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24226"/>
  <mc:AlternateContent xmlns:mc="http://schemas.openxmlformats.org/markup-compatibility/2006">
    <mc:Choice Requires="x15">
      <x15ac:absPath xmlns:x15ac="http://schemas.microsoft.com/office/spreadsheetml/2010/11/ac" url="C:\Users\Lucie\Downloads\"/>
    </mc:Choice>
  </mc:AlternateContent>
  <xr:revisionPtr revIDLastSave="0" documentId="8_{3B6CD867-93F8-4E49-8EEE-AAF6EAD999F6}" xr6:coauthVersionLast="45" xr6:coauthVersionMax="45" xr10:uidLastSave="{00000000-0000-0000-0000-000000000000}"/>
  <bookViews>
    <workbookView xWindow="-90" yWindow="-18120" windowWidth="29040" windowHeight="17640" xr2:uid="{00000000-000D-0000-FFFF-FFFF00000000}"/>
  </bookViews>
  <sheets>
    <sheet name="Tabulka" sheetId="1" r:id="rId1"/>
    <sheet name="proc_horsi" sheetId="2" r:id="rId2"/>
    <sheet name="proc_lepsi" sheetId="3" r:id="rId3"/>
    <sheet name="co_delat" sheetId="4" r:id="rId4"/>
    <sheet name="sucho_jak" sheetId="5" r:id="rId5"/>
    <sheet name="ovzdusi_jak" sheetId="6" r:id="rId6"/>
    <sheet name="recall" sheetId="7" r:id="rId7"/>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G6" i="1" l="1"/>
  <c r="BH6" i="1"/>
  <c r="BG7" i="1"/>
  <c r="BH7" i="1"/>
  <c r="BG8" i="1"/>
  <c r="BH8" i="1"/>
  <c r="BH12" i="1"/>
  <c r="BH13" i="1"/>
  <c r="BH14" i="1"/>
  <c r="BG17" i="1"/>
  <c r="BH17" i="1"/>
  <c r="BG18" i="1"/>
  <c r="BH18" i="1"/>
  <c r="BG19" i="1"/>
  <c r="BH19" i="1"/>
  <c r="BG20" i="1"/>
  <c r="BH20" i="1"/>
  <c r="BG21" i="1"/>
  <c r="BH21" i="1"/>
  <c r="BH22" i="1"/>
  <c r="BH23" i="1"/>
  <c r="BH24" i="1"/>
  <c r="BG27" i="1"/>
  <c r="BH27" i="1"/>
  <c r="BG28" i="1"/>
  <c r="BH28" i="1"/>
  <c r="BH29" i="1"/>
  <c r="BH30" i="1"/>
  <c r="BH31" i="1"/>
  <c r="BG34" i="1"/>
  <c r="BH34" i="1"/>
  <c r="BG35" i="1"/>
  <c r="BH35" i="1"/>
  <c r="BH36" i="1"/>
  <c r="BH37" i="1"/>
  <c r="BH38" i="1"/>
  <c r="BG41" i="1"/>
  <c r="BH41" i="1"/>
  <c r="BG42" i="1"/>
  <c r="BH42" i="1"/>
  <c r="BG43" i="1"/>
  <c r="BH43" i="1"/>
  <c r="BH44" i="1"/>
  <c r="BH45" i="1"/>
  <c r="BH46" i="1"/>
  <c r="BG49" i="1"/>
  <c r="BH49" i="1"/>
  <c r="BG50" i="1"/>
  <c r="BH50" i="1"/>
  <c r="BG51" i="1"/>
  <c r="BH51" i="1"/>
  <c r="BG52" i="1"/>
  <c r="BH52" i="1"/>
  <c r="BH53" i="1"/>
  <c r="BH54" i="1"/>
  <c r="BH55" i="1"/>
  <c r="BG58" i="1"/>
  <c r="BH58" i="1"/>
  <c r="BG59" i="1"/>
  <c r="BH59" i="1"/>
  <c r="BG60" i="1"/>
  <c r="BH60" i="1"/>
  <c r="BG61" i="1"/>
  <c r="BH61" i="1"/>
  <c r="BH62" i="1"/>
  <c r="BH63" i="1"/>
  <c r="BH64" i="1"/>
  <c r="BG67" i="1"/>
  <c r="BH67" i="1"/>
  <c r="BH68" i="1"/>
  <c r="BH69" i="1"/>
  <c r="BH70" i="1"/>
  <c r="BG73" i="1"/>
  <c r="BH73" i="1"/>
  <c r="BG74" i="1"/>
  <c r="BH74" i="1"/>
  <c r="BG75" i="1"/>
  <c r="BH75" i="1"/>
  <c r="BG76" i="1"/>
  <c r="BH76" i="1"/>
  <c r="BG78" i="1"/>
  <c r="BH78" i="1"/>
  <c r="BG79" i="1"/>
  <c r="BH79" i="1"/>
  <c r="BG80" i="1"/>
  <c r="BH80" i="1"/>
  <c r="BG81" i="1"/>
  <c r="BH81" i="1"/>
  <c r="BG83" i="1"/>
  <c r="BH83" i="1"/>
  <c r="BG84" i="1"/>
  <c r="BH84" i="1"/>
  <c r="BG85" i="1"/>
  <c r="BH85" i="1"/>
  <c r="BG86" i="1"/>
  <c r="BH86" i="1"/>
  <c r="BG88" i="1"/>
  <c r="BH88" i="1"/>
  <c r="BG89" i="1"/>
  <c r="BH89" i="1"/>
  <c r="BG90" i="1"/>
  <c r="BH90" i="1"/>
  <c r="BG91" i="1"/>
  <c r="BH91" i="1"/>
  <c r="BG93" i="1"/>
  <c r="BH93" i="1"/>
  <c r="BG94" i="1"/>
  <c r="BH94" i="1"/>
  <c r="BG95" i="1"/>
  <c r="BH95" i="1"/>
  <c r="BG96" i="1"/>
  <c r="BH96" i="1"/>
  <c r="BG98" i="1"/>
  <c r="BH98" i="1"/>
  <c r="BG99" i="1"/>
  <c r="BH99" i="1"/>
  <c r="BG100" i="1"/>
  <c r="BH100" i="1"/>
  <c r="BG101" i="1"/>
  <c r="BH101" i="1"/>
  <c r="BG103" i="1"/>
  <c r="BH103" i="1"/>
  <c r="BG104" i="1"/>
  <c r="BH104" i="1"/>
  <c r="BG105" i="1"/>
  <c r="BH105" i="1"/>
  <c r="BG106" i="1"/>
  <c r="BH106" i="1"/>
  <c r="BG108" i="1"/>
  <c r="BH108" i="1"/>
  <c r="BG109" i="1"/>
  <c r="BH109" i="1"/>
  <c r="BG110" i="1"/>
  <c r="BH110" i="1"/>
  <c r="BG111" i="1"/>
  <c r="BH111" i="1"/>
  <c r="BG113" i="1"/>
  <c r="BH113" i="1"/>
  <c r="BG114" i="1"/>
  <c r="BH114" i="1"/>
  <c r="BG115" i="1"/>
  <c r="BH115" i="1"/>
  <c r="BG116" i="1"/>
  <c r="BH116" i="1"/>
  <c r="BG118" i="1"/>
  <c r="BH118" i="1"/>
  <c r="BG119" i="1"/>
  <c r="BH119" i="1"/>
  <c r="BG120" i="1"/>
  <c r="BH120" i="1"/>
  <c r="BG121" i="1"/>
  <c r="BH121" i="1"/>
  <c r="BG123" i="1"/>
  <c r="BH123" i="1"/>
  <c r="BG124" i="1"/>
  <c r="BH124" i="1"/>
  <c r="BG125" i="1"/>
  <c r="BH125" i="1"/>
  <c r="BG126" i="1"/>
  <c r="BH126" i="1"/>
  <c r="BG128" i="1"/>
  <c r="BH128" i="1"/>
  <c r="BG129" i="1"/>
  <c r="BH129" i="1"/>
  <c r="BG130" i="1"/>
  <c r="BH130" i="1"/>
  <c r="BG131" i="1"/>
  <c r="BH131" i="1"/>
  <c r="BG133" i="1"/>
  <c r="BH133" i="1"/>
  <c r="BG134" i="1"/>
  <c r="BH134" i="1"/>
  <c r="BG135" i="1"/>
  <c r="BH135" i="1"/>
  <c r="BG136" i="1"/>
  <c r="BH136" i="1"/>
  <c r="BG137" i="1"/>
  <c r="BH137" i="1"/>
  <c r="BG138" i="1"/>
  <c r="BH138" i="1"/>
  <c r="BG139" i="1"/>
  <c r="BH139" i="1"/>
  <c r="BG140" i="1"/>
  <c r="BH140" i="1"/>
  <c r="BG141" i="1"/>
  <c r="BH141" i="1"/>
  <c r="BG142" i="1"/>
  <c r="BH142" i="1"/>
  <c r="BG143" i="1"/>
  <c r="BH143" i="1"/>
  <c r="BG144" i="1"/>
  <c r="BH144" i="1"/>
  <c r="BG146" i="1"/>
  <c r="BH146" i="1"/>
  <c r="BG147" i="1"/>
  <c r="BH147" i="1"/>
  <c r="BG148" i="1"/>
  <c r="BH148" i="1"/>
  <c r="BG149" i="1"/>
  <c r="BH149" i="1"/>
  <c r="BG150" i="1"/>
  <c r="BH150" i="1"/>
  <c r="BG151" i="1"/>
  <c r="BH151" i="1"/>
  <c r="BG152" i="1"/>
  <c r="BH152" i="1"/>
  <c r="BG153" i="1"/>
  <c r="BH153" i="1"/>
  <c r="BG154" i="1"/>
  <c r="BH154" i="1"/>
  <c r="BG155" i="1"/>
  <c r="BH155" i="1"/>
  <c r="BG156" i="1"/>
  <c r="BH156" i="1"/>
  <c r="BG157" i="1"/>
  <c r="BH157" i="1"/>
  <c r="BG159" i="1"/>
  <c r="BH159" i="1"/>
  <c r="BG160" i="1"/>
  <c r="BH160" i="1"/>
  <c r="BG161" i="1"/>
  <c r="BH161" i="1"/>
  <c r="BG162" i="1"/>
  <c r="BH162" i="1"/>
  <c r="BG163" i="1"/>
  <c r="BH163" i="1"/>
  <c r="BG164" i="1"/>
  <c r="BH164" i="1"/>
  <c r="BG165" i="1"/>
  <c r="BH165" i="1"/>
  <c r="BG166" i="1"/>
  <c r="BH166" i="1"/>
  <c r="BG167" i="1"/>
  <c r="BH167" i="1"/>
  <c r="BG168" i="1"/>
  <c r="BH168" i="1"/>
  <c r="BG169" i="1"/>
  <c r="BH169" i="1"/>
  <c r="BG170" i="1"/>
  <c r="BH170" i="1"/>
  <c r="BG172" i="1"/>
  <c r="BH172" i="1"/>
  <c r="BG173" i="1"/>
  <c r="BH173" i="1"/>
  <c r="BG174" i="1"/>
  <c r="BH174" i="1"/>
  <c r="BG175" i="1"/>
  <c r="BH175" i="1"/>
  <c r="BG176" i="1"/>
  <c r="BH176" i="1"/>
  <c r="BG177" i="1"/>
  <c r="BH177" i="1"/>
  <c r="BG178" i="1"/>
  <c r="BH178" i="1"/>
  <c r="BG179" i="1"/>
  <c r="BH179" i="1"/>
  <c r="BG180" i="1"/>
  <c r="BH180" i="1"/>
  <c r="BG181" i="1"/>
  <c r="BH181" i="1"/>
  <c r="BG182" i="1"/>
  <c r="BH182" i="1"/>
  <c r="BG183" i="1"/>
  <c r="BH183" i="1"/>
  <c r="BG185" i="1"/>
  <c r="BH185" i="1"/>
  <c r="BH186" i="1"/>
  <c r="BH187" i="1"/>
  <c r="BH188" i="1"/>
  <c r="BG191" i="1"/>
  <c r="BH191" i="1"/>
  <c r="BG192" i="1"/>
  <c r="BH192" i="1"/>
  <c r="BH193" i="1"/>
  <c r="BH194" i="1"/>
  <c r="BH195" i="1"/>
  <c r="BG198" i="1"/>
  <c r="BH198" i="1"/>
  <c r="BG199" i="1"/>
  <c r="BH199" i="1"/>
  <c r="BG200" i="1"/>
  <c r="BH200" i="1"/>
  <c r="BG201" i="1"/>
  <c r="BH201" i="1"/>
  <c r="BG202" i="1"/>
  <c r="BH202" i="1"/>
  <c r="BH203" i="1"/>
  <c r="BH204" i="1"/>
  <c r="BH205" i="1"/>
  <c r="BG208" i="1"/>
  <c r="BH208" i="1"/>
  <c r="BG209" i="1"/>
  <c r="BH209" i="1"/>
  <c r="BH210" i="1"/>
  <c r="BH211" i="1"/>
  <c r="BH212" i="1"/>
  <c r="BG215" i="1"/>
  <c r="BH215" i="1"/>
  <c r="BG216" i="1"/>
  <c r="BH216" i="1"/>
  <c r="BG217" i="1"/>
  <c r="BH217" i="1"/>
  <c r="BG218" i="1"/>
  <c r="BH218" i="1"/>
  <c r="BG219" i="1"/>
  <c r="BH219" i="1"/>
  <c r="BH220" i="1"/>
  <c r="BH221" i="1"/>
  <c r="BH222" i="1"/>
  <c r="BG225" i="1"/>
  <c r="BH225" i="1"/>
  <c r="BG226" i="1"/>
  <c r="BH226" i="1"/>
  <c r="BH227" i="1"/>
  <c r="BH228" i="1"/>
  <c r="BH229" i="1"/>
  <c r="BG232" i="1"/>
  <c r="BH232" i="1"/>
  <c r="BG233" i="1"/>
  <c r="BH233" i="1"/>
  <c r="BG234" i="1"/>
  <c r="BH234" i="1"/>
  <c r="BG235" i="1"/>
  <c r="BH235" i="1"/>
  <c r="BH236" i="1"/>
  <c r="BH237" i="1"/>
  <c r="BH238" i="1"/>
  <c r="BG241" i="1"/>
  <c r="BH241" i="1"/>
  <c r="BG242" i="1"/>
  <c r="BH242" i="1"/>
  <c r="BG243" i="1"/>
  <c r="BH243" i="1"/>
  <c r="BG244" i="1"/>
  <c r="BH244" i="1"/>
  <c r="BH245" i="1"/>
  <c r="BH246" i="1"/>
  <c r="BH247" i="1"/>
  <c r="BG250" i="1"/>
  <c r="BH250" i="1"/>
  <c r="BG251" i="1"/>
  <c r="BH251" i="1"/>
  <c r="BG252" i="1"/>
  <c r="BH252" i="1"/>
  <c r="BG253" i="1"/>
  <c r="BH253" i="1"/>
  <c r="BH254" i="1"/>
  <c r="BH255" i="1"/>
  <c r="BH256" i="1"/>
  <c r="BG259" i="1"/>
  <c r="BH259" i="1"/>
  <c r="BG260" i="1"/>
  <c r="BH260" i="1"/>
  <c r="BG261" i="1"/>
  <c r="BH261" i="1"/>
  <c r="BG263" i="1"/>
  <c r="BH263" i="1"/>
  <c r="BG264" i="1"/>
  <c r="BH264" i="1"/>
  <c r="BG265" i="1"/>
  <c r="BH265" i="1"/>
  <c r="BG267" i="1"/>
  <c r="BH267" i="1"/>
  <c r="BG268" i="1"/>
  <c r="BH268" i="1"/>
  <c r="BG269" i="1"/>
  <c r="BH269" i="1"/>
  <c r="BG271" i="1"/>
  <c r="BH271" i="1"/>
  <c r="BG272" i="1"/>
  <c r="BH272" i="1"/>
  <c r="BG273" i="1"/>
  <c r="BH273" i="1"/>
  <c r="BG275" i="1"/>
  <c r="BH275" i="1"/>
  <c r="BG276" i="1"/>
  <c r="BH276" i="1"/>
  <c r="BG277" i="1"/>
  <c r="BH277" i="1"/>
  <c r="BG279" i="1"/>
  <c r="BH279" i="1"/>
  <c r="BG280" i="1"/>
  <c r="BH280" i="1"/>
  <c r="BG281" i="1"/>
  <c r="BH281" i="1"/>
  <c r="BG283" i="1"/>
  <c r="BH283" i="1"/>
  <c r="BG284" i="1"/>
  <c r="BH284" i="1"/>
  <c r="BG285" i="1"/>
  <c r="BH285" i="1"/>
  <c r="BG287" i="1"/>
  <c r="BH287" i="1"/>
  <c r="BG288" i="1"/>
  <c r="BH288" i="1"/>
  <c r="BG289" i="1"/>
  <c r="BH289" i="1"/>
  <c r="BG291" i="1"/>
  <c r="BH291" i="1"/>
  <c r="BG292" i="1"/>
  <c r="BH292" i="1"/>
  <c r="BG293" i="1"/>
  <c r="BH293" i="1"/>
  <c r="BG294" i="1"/>
  <c r="BH294" i="1"/>
  <c r="BG295" i="1"/>
  <c r="BH295" i="1"/>
  <c r="BG296" i="1"/>
  <c r="BH296" i="1"/>
  <c r="BG297" i="1"/>
  <c r="BH297" i="1"/>
  <c r="BG298" i="1"/>
  <c r="BH298" i="1"/>
  <c r="BG300" i="1"/>
  <c r="BH300" i="1"/>
  <c r="BG301" i="1"/>
  <c r="BH301" i="1"/>
  <c r="BG302" i="1"/>
  <c r="BH302" i="1"/>
  <c r="BG303" i="1"/>
  <c r="BH303" i="1"/>
  <c r="BG304" i="1"/>
  <c r="BH304" i="1"/>
  <c r="BG305" i="1"/>
  <c r="BH305" i="1"/>
  <c r="BG306" i="1"/>
  <c r="BH306" i="1"/>
  <c r="BG307" i="1"/>
  <c r="BH307" i="1"/>
  <c r="BG309" i="1"/>
  <c r="BH309" i="1"/>
  <c r="BG310" i="1"/>
  <c r="BH310" i="1"/>
  <c r="BG311" i="1"/>
  <c r="BH311" i="1"/>
  <c r="BG312" i="1"/>
  <c r="BH312" i="1"/>
  <c r="BG313" i="1"/>
  <c r="BH313" i="1"/>
  <c r="BG314" i="1"/>
  <c r="BH314" i="1"/>
  <c r="BG315" i="1"/>
  <c r="BH315" i="1"/>
  <c r="BG316" i="1"/>
  <c r="BH316" i="1"/>
  <c r="BG318" i="1"/>
  <c r="BH318" i="1"/>
  <c r="BH319" i="1"/>
  <c r="BH320" i="1"/>
  <c r="BH321" i="1"/>
  <c r="BG324" i="1"/>
  <c r="BH324" i="1"/>
  <c r="BG325" i="1"/>
  <c r="BH325" i="1"/>
  <c r="BG326" i="1"/>
  <c r="BH326" i="1"/>
  <c r="BG328" i="1"/>
  <c r="BH328" i="1"/>
  <c r="BG329" i="1"/>
  <c r="BH329" i="1"/>
  <c r="BG330" i="1"/>
  <c r="BH330" i="1"/>
  <c r="BG332" i="1"/>
  <c r="BH332" i="1"/>
  <c r="BG333" i="1"/>
  <c r="BH333" i="1"/>
  <c r="BG334" i="1"/>
  <c r="BH334" i="1"/>
  <c r="BG336" i="1"/>
  <c r="BH336" i="1"/>
  <c r="BG337" i="1"/>
  <c r="BH337" i="1"/>
  <c r="BG338" i="1"/>
  <c r="BH338" i="1"/>
  <c r="BG340" i="1"/>
  <c r="BH340" i="1"/>
  <c r="BG341" i="1"/>
  <c r="BH341" i="1"/>
  <c r="BG342" i="1"/>
  <c r="BH342" i="1"/>
  <c r="BG344" i="1"/>
  <c r="BH344" i="1"/>
  <c r="BG345" i="1"/>
  <c r="BH345" i="1"/>
  <c r="BG346" i="1"/>
  <c r="BH346" i="1"/>
  <c r="BG348" i="1"/>
  <c r="BH348" i="1"/>
  <c r="BG349" i="1"/>
  <c r="BH349" i="1"/>
  <c r="BG350" i="1"/>
  <c r="BH350" i="1"/>
  <c r="BG352" i="1"/>
  <c r="BH352" i="1"/>
  <c r="BG353" i="1"/>
  <c r="BH353" i="1"/>
  <c r="BG354" i="1"/>
  <c r="BH354" i="1"/>
  <c r="BG356" i="1"/>
  <c r="BH356" i="1"/>
  <c r="BG357" i="1"/>
  <c r="BH357" i="1"/>
  <c r="BG358" i="1"/>
  <c r="BH358" i="1"/>
  <c r="BG359" i="1"/>
  <c r="BH359" i="1"/>
  <c r="BG360" i="1"/>
  <c r="BH360" i="1"/>
  <c r="BG361" i="1"/>
  <c r="BH361" i="1"/>
  <c r="BG362" i="1"/>
  <c r="BH362" i="1"/>
  <c r="BG363" i="1"/>
  <c r="BH363" i="1"/>
  <c r="BG365" i="1"/>
  <c r="BH365" i="1"/>
  <c r="BG366" i="1"/>
  <c r="BH366" i="1"/>
  <c r="BG367" i="1"/>
  <c r="BH367" i="1"/>
  <c r="BG368" i="1"/>
  <c r="BH368" i="1"/>
  <c r="BG369" i="1"/>
  <c r="BH369" i="1"/>
  <c r="BG370" i="1"/>
  <c r="BH370" i="1"/>
  <c r="BG371" i="1"/>
  <c r="BH371" i="1"/>
  <c r="BG372" i="1"/>
  <c r="BH372" i="1"/>
  <c r="BG374" i="1"/>
  <c r="BH374" i="1"/>
  <c r="BG375" i="1"/>
  <c r="BH375" i="1"/>
  <c r="BG376" i="1"/>
  <c r="BH376" i="1"/>
  <c r="BG377" i="1"/>
  <c r="BH377" i="1"/>
  <c r="BG378" i="1"/>
  <c r="BH378" i="1"/>
  <c r="BG379" i="1"/>
  <c r="BH379" i="1"/>
  <c r="BG380" i="1"/>
  <c r="BH380" i="1"/>
  <c r="BG381" i="1"/>
  <c r="BH381" i="1"/>
  <c r="BG383" i="1"/>
  <c r="BH383" i="1"/>
  <c r="BH384" i="1"/>
  <c r="BH385" i="1"/>
  <c r="BH386" i="1"/>
  <c r="BG389" i="1"/>
  <c r="BH389" i="1"/>
  <c r="BG390" i="1"/>
  <c r="BH390" i="1"/>
  <c r="BH391" i="1"/>
  <c r="BH392" i="1"/>
  <c r="BH393" i="1"/>
  <c r="BC6" i="1"/>
  <c r="BD6" i="1"/>
  <c r="BC7" i="1"/>
  <c r="BD7" i="1"/>
  <c r="BC8" i="1"/>
  <c r="BD8" i="1"/>
  <c r="BD12" i="1"/>
  <c r="BD13" i="1"/>
  <c r="BD14" i="1"/>
  <c r="BC17" i="1"/>
  <c r="BD17" i="1"/>
  <c r="BC18" i="1"/>
  <c r="BD18" i="1"/>
  <c r="BC19" i="1"/>
  <c r="BD19" i="1"/>
  <c r="BC20" i="1"/>
  <c r="BD20" i="1"/>
  <c r="BC21" i="1"/>
  <c r="BD21" i="1"/>
  <c r="BD22" i="1"/>
  <c r="BD23" i="1"/>
  <c r="BD24" i="1"/>
  <c r="BC27" i="1"/>
  <c r="BD27" i="1"/>
  <c r="BC28" i="1"/>
  <c r="BD28" i="1"/>
  <c r="BD29" i="1"/>
  <c r="BD30" i="1"/>
  <c r="BD31" i="1"/>
  <c r="BC34" i="1"/>
  <c r="BD34" i="1"/>
  <c r="BC35" i="1"/>
  <c r="BD35" i="1"/>
  <c r="BD36" i="1"/>
  <c r="BD37" i="1"/>
  <c r="BD38" i="1"/>
  <c r="BC41" i="1"/>
  <c r="BD41" i="1"/>
  <c r="BC42" i="1"/>
  <c r="BD42" i="1"/>
  <c r="BC43" i="1"/>
  <c r="BD43" i="1"/>
  <c r="BD44" i="1"/>
  <c r="BD45" i="1"/>
  <c r="BD46" i="1"/>
  <c r="BC49" i="1"/>
  <c r="BD49" i="1"/>
  <c r="BC50" i="1"/>
  <c r="BD50" i="1"/>
  <c r="BC51" i="1"/>
  <c r="BD51" i="1"/>
  <c r="BC52" i="1"/>
  <c r="BD52" i="1"/>
  <c r="BD53" i="1"/>
  <c r="BD54" i="1"/>
  <c r="BD55" i="1"/>
  <c r="BC58" i="1"/>
  <c r="BD58" i="1"/>
  <c r="BC59" i="1"/>
  <c r="BD59" i="1"/>
  <c r="BC60" i="1"/>
  <c r="BD60" i="1"/>
  <c r="BC61" i="1"/>
  <c r="BD61" i="1"/>
  <c r="BD62" i="1"/>
  <c r="BD63" i="1"/>
  <c r="BD64" i="1"/>
  <c r="BC67" i="1"/>
  <c r="BD67" i="1"/>
  <c r="BD68" i="1"/>
  <c r="BD69" i="1"/>
  <c r="BD70" i="1"/>
  <c r="BC73" i="1"/>
  <c r="BD73" i="1"/>
  <c r="BC74" i="1"/>
  <c r="BD74" i="1"/>
  <c r="BC75" i="1"/>
  <c r="BD75" i="1"/>
  <c r="BC76" i="1"/>
  <c r="BD76" i="1"/>
  <c r="BC78" i="1"/>
  <c r="BD78" i="1"/>
  <c r="BC79" i="1"/>
  <c r="BD79" i="1"/>
  <c r="BC80" i="1"/>
  <c r="BD80" i="1"/>
  <c r="BC81" i="1"/>
  <c r="BD81" i="1"/>
  <c r="BC83" i="1"/>
  <c r="BD83" i="1"/>
  <c r="BC84" i="1"/>
  <c r="BD84" i="1"/>
  <c r="BC85" i="1"/>
  <c r="BD85" i="1"/>
  <c r="BC86" i="1"/>
  <c r="BD86" i="1"/>
  <c r="BC88" i="1"/>
  <c r="BD88" i="1"/>
  <c r="BC89" i="1"/>
  <c r="BD89" i="1"/>
  <c r="BC90" i="1"/>
  <c r="BD90" i="1"/>
  <c r="BC91" i="1"/>
  <c r="BD91" i="1"/>
  <c r="BC93" i="1"/>
  <c r="BD93" i="1"/>
  <c r="BC94" i="1"/>
  <c r="BD94" i="1"/>
  <c r="BC95" i="1"/>
  <c r="BD95" i="1"/>
  <c r="BC96" i="1"/>
  <c r="BD96" i="1"/>
  <c r="BC98" i="1"/>
  <c r="BD98" i="1"/>
  <c r="BC99" i="1"/>
  <c r="BD99" i="1"/>
  <c r="BC100" i="1"/>
  <c r="BD100" i="1"/>
  <c r="BC101" i="1"/>
  <c r="BD101" i="1"/>
  <c r="BC103" i="1"/>
  <c r="BD103" i="1"/>
  <c r="BC104" i="1"/>
  <c r="BD104" i="1"/>
  <c r="BC105" i="1"/>
  <c r="BD105" i="1"/>
  <c r="BC106" i="1"/>
  <c r="BD106" i="1"/>
  <c r="BC108" i="1"/>
  <c r="BD108" i="1"/>
  <c r="BC109" i="1"/>
  <c r="BD109" i="1"/>
  <c r="BC110" i="1"/>
  <c r="BD110" i="1"/>
  <c r="BC111" i="1"/>
  <c r="BD111" i="1"/>
  <c r="BC113" i="1"/>
  <c r="BD113" i="1"/>
  <c r="BC114" i="1"/>
  <c r="BD114" i="1"/>
  <c r="BC115" i="1"/>
  <c r="BD115" i="1"/>
  <c r="BC116" i="1"/>
  <c r="BD116" i="1"/>
  <c r="BC118" i="1"/>
  <c r="BD118" i="1"/>
  <c r="BC119" i="1"/>
  <c r="BD119" i="1"/>
  <c r="BC120" i="1"/>
  <c r="BD120" i="1"/>
  <c r="BC121" i="1"/>
  <c r="BD121" i="1"/>
  <c r="BC123" i="1"/>
  <c r="BD123" i="1"/>
  <c r="BC124" i="1"/>
  <c r="BD124" i="1"/>
  <c r="BC125" i="1"/>
  <c r="BD125" i="1"/>
  <c r="BC126" i="1"/>
  <c r="BD126" i="1"/>
  <c r="BC128" i="1"/>
  <c r="BD128" i="1"/>
  <c r="BC129" i="1"/>
  <c r="BD129" i="1"/>
  <c r="BC130" i="1"/>
  <c r="BD130" i="1"/>
  <c r="BC131" i="1"/>
  <c r="BD131" i="1"/>
  <c r="BC133" i="1"/>
  <c r="BD133" i="1"/>
  <c r="BC134" i="1"/>
  <c r="BD134" i="1"/>
  <c r="BC135" i="1"/>
  <c r="BD135" i="1"/>
  <c r="BC136" i="1"/>
  <c r="BD136" i="1"/>
  <c r="BC137" i="1"/>
  <c r="BD137" i="1"/>
  <c r="BC138" i="1"/>
  <c r="BD138" i="1"/>
  <c r="BC139" i="1"/>
  <c r="BD139" i="1"/>
  <c r="BC140" i="1"/>
  <c r="BD140" i="1"/>
  <c r="BC141" i="1"/>
  <c r="BD141" i="1"/>
  <c r="BC142" i="1"/>
  <c r="BD142" i="1"/>
  <c r="BC143" i="1"/>
  <c r="BD143" i="1"/>
  <c r="BC144" i="1"/>
  <c r="BD144" i="1"/>
  <c r="BC146" i="1"/>
  <c r="BD146" i="1"/>
  <c r="BC147" i="1"/>
  <c r="BD147" i="1"/>
  <c r="BC148" i="1"/>
  <c r="BD148" i="1"/>
  <c r="BC149" i="1"/>
  <c r="BD149" i="1"/>
  <c r="BC150" i="1"/>
  <c r="BD150" i="1"/>
  <c r="BC151" i="1"/>
  <c r="BD151" i="1"/>
  <c r="BC152" i="1"/>
  <c r="BD152" i="1"/>
  <c r="BC153" i="1"/>
  <c r="BD153" i="1"/>
  <c r="BC154" i="1"/>
  <c r="BD154" i="1"/>
  <c r="BC155" i="1"/>
  <c r="BD155" i="1"/>
  <c r="BC156" i="1"/>
  <c r="BD156" i="1"/>
  <c r="BC157" i="1"/>
  <c r="BD157" i="1"/>
  <c r="BC159" i="1"/>
  <c r="BD159" i="1"/>
  <c r="BC160" i="1"/>
  <c r="BD160" i="1"/>
  <c r="BC161" i="1"/>
  <c r="BD161" i="1"/>
  <c r="BC162" i="1"/>
  <c r="BD162" i="1"/>
  <c r="BC163" i="1"/>
  <c r="BD163" i="1"/>
  <c r="BC164" i="1"/>
  <c r="BD164" i="1"/>
  <c r="BC165" i="1"/>
  <c r="BD165" i="1"/>
  <c r="BC166" i="1"/>
  <c r="BD166" i="1"/>
  <c r="BC167" i="1"/>
  <c r="BD167" i="1"/>
  <c r="BC168" i="1"/>
  <c r="BD168" i="1"/>
  <c r="BC169" i="1"/>
  <c r="BD169" i="1"/>
  <c r="BC170" i="1"/>
  <c r="BD170" i="1"/>
  <c r="BC172" i="1"/>
  <c r="BD172" i="1"/>
  <c r="BC173" i="1"/>
  <c r="BD173" i="1"/>
  <c r="BC174" i="1"/>
  <c r="BD174" i="1"/>
  <c r="BC175" i="1"/>
  <c r="BD175" i="1"/>
  <c r="BC176" i="1"/>
  <c r="BD176" i="1"/>
  <c r="BC177" i="1"/>
  <c r="BD177" i="1"/>
  <c r="BC178" i="1"/>
  <c r="BD178" i="1"/>
  <c r="BC179" i="1"/>
  <c r="BD179" i="1"/>
  <c r="BC180" i="1"/>
  <c r="BD180" i="1"/>
  <c r="BC181" i="1"/>
  <c r="BD181" i="1"/>
  <c r="BC182" i="1"/>
  <c r="BD182" i="1"/>
  <c r="BC183" i="1"/>
  <c r="BD183" i="1"/>
  <c r="BC185" i="1"/>
  <c r="BD185" i="1"/>
  <c r="BD186" i="1"/>
  <c r="BD187" i="1"/>
  <c r="BD188" i="1"/>
  <c r="BC191" i="1"/>
  <c r="BD191" i="1"/>
  <c r="BC192" i="1"/>
  <c r="BD192" i="1"/>
  <c r="BD193" i="1"/>
  <c r="BD194" i="1"/>
  <c r="BD195" i="1"/>
  <c r="BC198" i="1"/>
  <c r="BD198" i="1"/>
  <c r="BC199" i="1"/>
  <c r="BD199" i="1"/>
  <c r="BC200" i="1"/>
  <c r="BD200" i="1"/>
  <c r="BC201" i="1"/>
  <c r="BD201" i="1"/>
  <c r="BC202" i="1"/>
  <c r="BD202" i="1"/>
  <c r="BD203" i="1"/>
  <c r="BD204" i="1"/>
  <c r="BD205" i="1"/>
  <c r="BC208" i="1"/>
  <c r="BD208" i="1"/>
  <c r="BC209" i="1"/>
  <c r="BD209" i="1"/>
  <c r="BD210" i="1"/>
  <c r="BD211" i="1"/>
  <c r="BD212" i="1"/>
  <c r="BC215" i="1"/>
  <c r="BD215" i="1"/>
  <c r="BC216" i="1"/>
  <c r="BD216" i="1"/>
  <c r="BC217" i="1"/>
  <c r="BD217" i="1"/>
  <c r="BC218" i="1"/>
  <c r="BD218" i="1"/>
  <c r="BC219" i="1"/>
  <c r="BD219" i="1"/>
  <c r="BD220" i="1"/>
  <c r="BD221" i="1"/>
  <c r="BD222" i="1"/>
  <c r="BC225" i="1"/>
  <c r="BD225" i="1"/>
  <c r="BC226" i="1"/>
  <c r="BD226" i="1"/>
  <c r="BD227" i="1"/>
  <c r="BD228" i="1"/>
  <c r="BD229" i="1"/>
  <c r="BC232" i="1"/>
  <c r="BD232" i="1"/>
  <c r="BC233" i="1"/>
  <c r="BD233" i="1"/>
  <c r="BC234" i="1"/>
  <c r="BD234" i="1"/>
  <c r="BC235" i="1"/>
  <c r="BD235" i="1"/>
  <c r="BD236" i="1"/>
  <c r="BD237" i="1"/>
  <c r="BD238" i="1"/>
  <c r="BC241" i="1"/>
  <c r="BD241" i="1"/>
  <c r="BC242" i="1"/>
  <c r="BD242" i="1"/>
  <c r="BC243" i="1"/>
  <c r="BD243" i="1"/>
  <c r="BC244" i="1"/>
  <c r="BD244" i="1"/>
  <c r="BD245" i="1"/>
  <c r="BD246" i="1"/>
  <c r="BD247" i="1"/>
  <c r="BC250" i="1"/>
  <c r="BD250" i="1"/>
  <c r="BC251" i="1"/>
  <c r="BD251" i="1"/>
  <c r="BC252" i="1"/>
  <c r="BD252" i="1"/>
  <c r="BC253" i="1"/>
  <c r="BD253" i="1"/>
  <c r="BD254" i="1"/>
  <c r="BD255" i="1"/>
  <c r="BD256" i="1"/>
  <c r="BC259" i="1"/>
  <c r="BD259" i="1"/>
  <c r="BC260" i="1"/>
  <c r="BD260" i="1"/>
  <c r="BC261" i="1"/>
  <c r="BD261" i="1"/>
  <c r="BC263" i="1"/>
  <c r="BD263" i="1"/>
  <c r="BC264" i="1"/>
  <c r="BD264" i="1"/>
  <c r="BC265" i="1"/>
  <c r="BD265" i="1"/>
  <c r="BC267" i="1"/>
  <c r="BD267" i="1"/>
  <c r="BC268" i="1"/>
  <c r="BD268" i="1"/>
  <c r="BC269" i="1"/>
  <c r="BD269" i="1"/>
  <c r="BC271" i="1"/>
  <c r="BD271" i="1"/>
  <c r="BC272" i="1"/>
  <c r="BD272" i="1"/>
  <c r="BC273" i="1"/>
  <c r="BD273" i="1"/>
  <c r="BC275" i="1"/>
  <c r="BD275" i="1"/>
  <c r="BC276" i="1"/>
  <c r="BD276" i="1"/>
  <c r="BC277" i="1"/>
  <c r="BD277" i="1"/>
  <c r="BC279" i="1"/>
  <c r="BD279" i="1"/>
  <c r="BC280" i="1"/>
  <c r="BD280" i="1"/>
  <c r="BC281" i="1"/>
  <c r="BD281" i="1"/>
  <c r="BC283" i="1"/>
  <c r="BD283" i="1"/>
  <c r="BC284" i="1"/>
  <c r="BD284" i="1"/>
  <c r="BC285" i="1"/>
  <c r="BD285" i="1"/>
  <c r="BC287" i="1"/>
  <c r="BD287" i="1"/>
  <c r="BC288" i="1"/>
  <c r="BD288" i="1"/>
  <c r="BC289" i="1"/>
  <c r="BD289" i="1"/>
  <c r="BC291" i="1"/>
  <c r="BD291" i="1"/>
  <c r="BC292" i="1"/>
  <c r="BD292" i="1"/>
  <c r="BC293" i="1"/>
  <c r="BD293" i="1"/>
  <c r="BC294" i="1"/>
  <c r="BD294" i="1"/>
  <c r="BC295" i="1"/>
  <c r="BD295" i="1"/>
  <c r="BC296" i="1"/>
  <c r="BD296" i="1"/>
  <c r="BC297" i="1"/>
  <c r="BD297" i="1"/>
  <c r="BC298" i="1"/>
  <c r="BD298" i="1"/>
  <c r="BC300" i="1"/>
  <c r="BD300" i="1"/>
  <c r="BC301" i="1"/>
  <c r="BD301" i="1"/>
  <c r="BC302" i="1"/>
  <c r="BD302" i="1"/>
  <c r="BC303" i="1"/>
  <c r="BD303" i="1"/>
  <c r="BC304" i="1"/>
  <c r="BD304" i="1"/>
  <c r="BC305" i="1"/>
  <c r="BD305" i="1"/>
  <c r="BC306" i="1"/>
  <c r="BD306" i="1"/>
  <c r="BC307" i="1"/>
  <c r="BD307" i="1"/>
  <c r="BC309" i="1"/>
  <c r="BD309" i="1"/>
  <c r="BC310" i="1"/>
  <c r="BD310" i="1"/>
  <c r="BC311" i="1"/>
  <c r="BD311" i="1"/>
  <c r="BC312" i="1"/>
  <c r="BD312" i="1"/>
  <c r="BC313" i="1"/>
  <c r="BD313" i="1"/>
  <c r="BC314" i="1"/>
  <c r="BD314" i="1"/>
  <c r="BC315" i="1"/>
  <c r="BD315" i="1"/>
  <c r="BC316" i="1"/>
  <c r="BD316" i="1"/>
  <c r="BC318" i="1"/>
  <c r="BD318" i="1"/>
  <c r="BD319" i="1"/>
  <c r="BD320" i="1"/>
  <c r="BD321" i="1"/>
  <c r="BC324" i="1"/>
  <c r="BD324" i="1"/>
  <c r="BC325" i="1"/>
  <c r="BD325" i="1"/>
  <c r="BC326" i="1"/>
  <c r="BD326" i="1"/>
  <c r="BC328" i="1"/>
  <c r="BD328" i="1"/>
  <c r="BC329" i="1"/>
  <c r="BD329" i="1"/>
  <c r="BC330" i="1"/>
  <c r="BD330" i="1"/>
  <c r="BC332" i="1"/>
  <c r="BD332" i="1"/>
  <c r="BC333" i="1"/>
  <c r="BD333" i="1"/>
  <c r="BC334" i="1"/>
  <c r="BD334" i="1"/>
  <c r="BC336" i="1"/>
  <c r="BD336" i="1"/>
  <c r="BC337" i="1"/>
  <c r="BD337" i="1"/>
  <c r="BC338" i="1"/>
  <c r="BD338" i="1"/>
  <c r="BC340" i="1"/>
  <c r="BD340" i="1"/>
  <c r="BC341" i="1"/>
  <c r="BD341" i="1"/>
  <c r="BC342" i="1"/>
  <c r="BD342" i="1"/>
  <c r="BC344" i="1"/>
  <c r="BD344" i="1"/>
  <c r="BC345" i="1"/>
  <c r="BD345" i="1"/>
  <c r="BC346" i="1"/>
  <c r="BD346" i="1"/>
  <c r="BC348" i="1"/>
  <c r="BD348" i="1"/>
  <c r="BC349" i="1"/>
  <c r="BD349" i="1"/>
  <c r="BC350" i="1"/>
  <c r="BD350" i="1"/>
  <c r="BC352" i="1"/>
  <c r="BD352" i="1"/>
  <c r="BC353" i="1"/>
  <c r="BD353" i="1"/>
  <c r="BC354" i="1"/>
  <c r="BD354" i="1"/>
  <c r="BC356" i="1"/>
  <c r="BD356" i="1"/>
  <c r="BC357" i="1"/>
  <c r="BD357" i="1"/>
  <c r="BC358" i="1"/>
  <c r="BD358" i="1"/>
  <c r="BC359" i="1"/>
  <c r="BD359" i="1"/>
  <c r="BC360" i="1"/>
  <c r="BD360" i="1"/>
  <c r="BC361" i="1"/>
  <c r="BD361" i="1"/>
  <c r="BC362" i="1"/>
  <c r="BD362" i="1"/>
  <c r="BC363" i="1"/>
  <c r="BD363" i="1"/>
  <c r="BC365" i="1"/>
  <c r="BD365" i="1"/>
  <c r="BC366" i="1"/>
  <c r="BD366" i="1"/>
  <c r="BC367" i="1"/>
  <c r="BD367" i="1"/>
  <c r="BC368" i="1"/>
  <c r="BD368" i="1"/>
  <c r="BC369" i="1"/>
  <c r="BD369" i="1"/>
  <c r="BC370" i="1"/>
  <c r="BD370" i="1"/>
  <c r="BC371" i="1"/>
  <c r="BD371" i="1"/>
  <c r="BC372" i="1"/>
  <c r="BD372" i="1"/>
  <c r="BC374" i="1"/>
  <c r="BD374" i="1"/>
  <c r="BC375" i="1"/>
  <c r="BD375" i="1"/>
  <c r="BC376" i="1"/>
  <c r="BD376" i="1"/>
  <c r="BC377" i="1"/>
  <c r="BD377" i="1"/>
  <c r="BC378" i="1"/>
  <c r="BD378" i="1"/>
  <c r="BC379" i="1"/>
  <c r="BD379" i="1"/>
  <c r="BC380" i="1"/>
  <c r="BD380" i="1"/>
  <c r="BC381" i="1"/>
  <c r="BD381" i="1"/>
  <c r="BC383" i="1"/>
  <c r="BD383" i="1"/>
  <c r="BD384" i="1"/>
  <c r="BD385" i="1"/>
  <c r="BD386" i="1"/>
  <c r="BC389" i="1"/>
  <c r="BD389" i="1"/>
  <c r="BC390" i="1"/>
  <c r="BD390" i="1"/>
  <c r="BD391" i="1"/>
  <c r="BD392" i="1"/>
  <c r="BD393" i="1"/>
  <c r="A1" i="7"/>
  <c r="A1" i="6"/>
  <c r="A1" i="5"/>
  <c r="A1" i="4"/>
  <c r="A1" i="3"/>
  <c r="A1" i="2"/>
  <c r="CZ393" i="1"/>
  <c r="CV393" i="1"/>
  <c r="CR393" i="1"/>
  <c r="CN393" i="1"/>
  <c r="CJ393" i="1"/>
  <c r="CF393" i="1"/>
  <c r="CB393" i="1"/>
  <c r="BX393" i="1"/>
  <c r="BT393" i="1"/>
  <c r="BP393" i="1"/>
  <c r="BL393" i="1"/>
  <c r="AZ393" i="1"/>
  <c r="AV393" i="1"/>
  <c r="AR393" i="1"/>
  <c r="AN393" i="1"/>
  <c r="AJ393" i="1"/>
  <c r="AF393" i="1"/>
  <c r="AB393" i="1"/>
  <c r="X393" i="1"/>
  <c r="T393" i="1"/>
  <c r="P393" i="1"/>
  <c r="L393" i="1"/>
  <c r="H393" i="1"/>
  <c r="D393" i="1"/>
  <c r="CZ392" i="1"/>
  <c r="CV392" i="1"/>
  <c r="CR392" i="1"/>
  <c r="CN392" i="1"/>
  <c r="CJ392" i="1"/>
  <c r="CF392" i="1"/>
  <c r="CB392" i="1"/>
  <c r="BX392" i="1"/>
  <c r="BT392" i="1"/>
  <c r="BP392" i="1"/>
  <c r="BL392" i="1"/>
  <c r="AZ392" i="1"/>
  <c r="AV392" i="1"/>
  <c r="AR392" i="1"/>
  <c r="AN392" i="1"/>
  <c r="AJ392" i="1"/>
  <c r="AF392" i="1"/>
  <c r="AB392" i="1"/>
  <c r="X392" i="1"/>
  <c r="T392" i="1"/>
  <c r="P392" i="1"/>
  <c r="L392" i="1"/>
  <c r="H392" i="1"/>
  <c r="D392" i="1"/>
  <c r="CZ391" i="1"/>
  <c r="CV391" i="1"/>
  <c r="CR391" i="1"/>
  <c r="CN391" i="1"/>
  <c r="CJ391" i="1"/>
  <c r="CF391" i="1"/>
  <c r="CB391" i="1"/>
  <c r="BX391" i="1"/>
  <c r="BT391" i="1"/>
  <c r="BP391" i="1"/>
  <c r="BL391" i="1"/>
  <c r="AZ391" i="1"/>
  <c r="AV391" i="1"/>
  <c r="AR391" i="1"/>
  <c r="AN391" i="1"/>
  <c r="AJ391" i="1"/>
  <c r="AF391" i="1"/>
  <c r="AB391" i="1"/>
  <c r="X391" i="1"/>
  <c r="T391" i="1"/>
  <c r="P391" i="1"/>
  <c r="L391" i="1"/>
  <c r="H391" i="1"/>
  <c r="D391" i="1"/>
  <c r="CZ390" i="1"/>
  <c r="CY390" i="1"/>
  <c r="CV390" i="1"/>
  <c r="CU390" i="1"/>
  <c r="CR390" i="1"/>
  <c r="CQ390" i="1"/>
  <c r="CN390" i="1"/>
  <c r="CM390" i="1"/>
  <c r="CJ390" i="1"/>
  <c r="CI390" i="1"/>
  <c r="CF390" i="1"/>
  <c r="CE390" i="1"/>
  <c r="CB390" i="1"/>
  <c r="CA390" i="1"/>
  <c r="BX390" i="1"/>
  <c r="BW390" i="1"/>
  <c r="BT390" i="1"/>
  <c r="BS390" i="1"/>
  <c r="BP390" i="1"/>
  <c r="BO390" i="1"/>
  <c r="BL390" i="1"/>
  <c r="BK390" i="1"/>
  <c r="AZ390" i="1"/>
  <c r="AY390" i="1"/>
  <c r="AV390" i="1"/>
  <c r="AU390" i="1"/>
  <c r="AR390" i="1"/>
  <c r="AQ390" i="1"/>
  <c r="AN390" i="1"/>
  <c r="AM390" i="1"/>
  <c r="AJ390" i="1"/>
  <c r="AI390" i="1"/>
  <c r="AF390" i="1"/>
  <c r="AE390" i="1"/>
  <c r="AB390" i="1"/>
  <c r="AA390" i="1"/>
  <c r="X390" i="1"/>
  <c r="W390" i="1"/>
  <c r="T390" i="1"/>
  <c r="S390" i="1"/>
  <c r="P390" i="1"/>
  <c r="O390" i="1"/>
  <c r="L390" i="1"/>
  <c r="K390" i="1"/>
  <c r="H390" i="1"/>
  <c r="G390" i="1"/>
  <c r="D390" i="1"/>
  <c r="C390" i="1"/>
  <c r="CZ389" i="1"/>
  <c r="CY389" i="1"/>
  <c r="CV389" i="1"/>
  <c r="CU389" i="1"/>
  <c r="CR389" i="1"/>
  <c r="CQ389" i="1"/>
  <c r="CN389" i="1"/>
  <c r="CM389" i="1"/>
  <c r="CJ389" i="1"/>
  <c r="CI389" i="1"/>
  <c r="CF389" i="1"/>
  <c r="CE389" i="1"/>
  <c r="CB389" i="1"/>
  <c r="CA389" i="1"/>
  <c r="BX389" i="1"/>
  <c r="BW389" i="1"/>
  <c r="BT389" i="1"/>
  <c r="BS389" i="1"/>
  <c r="BP389" i="1"/>
  <c r="BO389" i="1"/>
  <c r="BL389" i="1"/>
  <c r="BK389" i="1"/>
  <c r="AZ389" i="1"/>
  <c r="AY389" i="1"/>
  <c r="AV389" i="1"/>
  <c r="AU389" i="1"/>
  <c r="AR389" i="1"/>
  <c r="AQ389" i="1"/>
  <c r="AN389" i="1"/>
  <c r="AM389" i="1"/>
  <c r="AJ389" i="1"/>
  <c r="AI389" i="1"/>
  <c r="AF389" i="1"/>
  <c r="AE389" i="1"/>
  <c r="AB389" i="1"/>
  <c r="AA389" i="1"/>
  <c r="X389" i="1"/>
  <c r="W389" i="1"/>
  <c r="T389" i="1"/>
  <c r="S389" i="1"/>
  <c r="P389" i="1"/>
  <c r="O389" i="1"/>
  <c r="L389" i="1"/>
  <c r="K389" i="1"/>
  <c r="H389" i="1"/>
  <c r="G389" i="1"/>
  <c r="D389" i="1"/>
  <c r="C389" i="1"/>
  <c r="A388" i="1"/>
  <c r="CZ386" i="1"/>
  <c r="CV386" i="1"/>
  <c r="CR386" i="1"/>
  <c r="CN386" i="1"/>
  <c r="CJ386" i="1"/>
  <c r="CF386" i="1"/>
  <c r="CB386" i="1"/>
  <c r="BX386" i="1"/>
  <c r="BT386" i="1"/>
  <c r="BP386" i="1"/>
  <c r="BL386" i="1"/>
  <c r="AZ386" i="1"/>
  <c r="AV386" i="1"/>
  <c r="AR386" i="1"/>
  <c r="AN386" i="1"/>
  <c r="AJ386" i="1"/>
  <c r="AF386" i="1"/>
  <c r="AB386" i="1"/>
  <c r="X386" i="1"/>
  <c r="T386" i="1"/>
  <c r="P386" i="1"/>
  <c r="L386" i="1"/>
  <c r="H386" i="1"/>
  <c r="D386" i="1"/>
  <c r="CZ385" i="1"/>
  <c r="CV385" i="1"/>
  <c r="CR385" i="1"/>
  <c r="CN385" i="1"/>
  <c r="CJ385" i="1"/>
  <c r="CF385" i="1"/>
  <c r="CB385" i="1"/>
  <c r="BX385" i="1"/>
  <c r="BT385" i="1"/>
  <c r="BP385" i="1"/>
  <c r="BL385" i="1"/>
  <c r="AZ385" i="1"/>
  <c r="AV385" i="1"/>
  <c r="AR385" i="1"/>
  <c r="AN385" i="1"/>
  <c r="AJ385" i="1"/>
  <c r="AF385" i="1"/>
  <c r="AB385" i="1"/>
  <c r="X385" i="1"/>
  <c r="T385" i="1"/>
  <c r="P385" i="1"/>
  <c r="L385" i="1"/>
  <c r="H385" i="1"/>
  <c r="D385" i="1"/>
  <c r="CZ384" i="1"/>
  <c r="CV384" i="1"/>
  <c r="CR384" i="1"/>
  <c r="CN384" i="1"/>
  <c r="CJ384" i="1"/>
  <c r="CF384" i="1"/>
  <c r="CB384" i="1"/>
  <c r="BX384" i="1"/>
  <c r="BT384" i="1"/>
  <c r="BP384" i="1"/>
  <c r="BL384" i="1"/>
  <c r="AZ384" i="1"/>
  <c r="AV384" i="1"/>
  <c r="AR384" i="1"/>
  <c r="AN384" i="1"/>
  <c r="AJ384" i="1"/>
  <c r="AF384" i="1"/>
  <c r="AB384" i="1"/>
  <c r="X384" i="1"/>
  <c r="T384" i="1"/>
  <c r="P384" i="1"/>
  <c r="L384" i="1"/>
  <c r="H384" i="1"/>
  <c r="D384" i="1"/>
  <c r="CZ383" i="1"/>
  <c r="CY383" i="1"/>
  <c r="CV383" i="1"/>
  <c r="CU383" i="1"/>
  <c r="CR383" i="1"/>
  <c r="CQ383" i="1"/>
  <c r="CN383" i="1"/>
  <c r="CM383" i="1"/>
  <c r="CJ383" i="1"/>
  <c r="CI383" i="1"/>
  <c r="CF383" i="1"/>
  <c r="CE383" i="1"/>
  <c r="CB383" i="1"/>
  <c r="CA383" i="1"/>
  <c r="BX383" i="1"/>
  <c r="BW383" i="1"/>
  <c r="BT383" i="1"/>
  <c r="BS383" i="1"/>
  <c r="BP383" i="1"/>
  <c r="BO383" i="1"/>
  <c r="BL383" i="1"/>
  <c r="BK383" i="1"/>
  <c r="AZ383" i="1"/>
  <c r="AY383" i="1"/>
  <c r="AV383" i="1"/>
  <c r="AU383" i="1"/>
  <c r="AR383" i="1"/>
  <c r="AQ383" i="1"/>
  <c r="AN383" i="1"/>
  <c r="AM383" i="1"/>
  <c r="AJ383" i="1"/>
  <c r="AI383" i="1"/>
  <c r="AF383" i="1"/>
  <c r="AE383" i="1"/>
  <c r="AB383" i="1"/>
  <c r="AA383" i="1"/>
  <c r="X383" i="1"/>
  <c r="W383" i="1"/>
  <c r="T383" i="1"/>
  <c r="S383" i="1"/>
  <c r="P383" i="1"/>
  <c r="O383" i="1"/>
  <c r="L383" i="1"/>
  <c r="K383" i="1"/>
  <c r="H383" i="1"/>
  <c r="G383" i="1"/>
  <c r="D383" i="1"/>
  <c r="C383" i="1"/>
  <c r="CZ381" i="1"/>
  <c r="CY381" i="1"/>
  <c r="CV381" i="1"/>
  <c r="CU381" i="1"/>
  <c r="CR381" i="1"/>
  <c r="CQ381" i="1"/>
  <c r="CN381" i="1"/>
  <c r="CM381" i="1"/>
  <c r="CJ381" i="1"/>
  <c r="CI381" i="1"/>
  <c r="CF381" i="1"/>
  <c r="CE381" i="1"/>
  <c r="CB381" i="1"/>
  <c r="CA381" i="1"/>
  <c r="BX381" i="1"/>
  <c r="BW381" i="1"/>
  <c r="BT381" i="1"/>
  <c r="BS381" i="1"/>
  <c r="BP381" i="1"/>
  <c r="BO381" i="1"/>
  <c r="BL381" i="1"/>
  <c r="BK381" i="1"/>
  <c r="AZ381" i="1"/>
  <c r="AY381" i="1"/>
  <c r="AV381" i="1"/>
  <c r="AU381" i="1"/>
  <c r="AR381" i="1"/>
  <c r="AQ381" i="1"/>
  <c r="AN381" i="1"/>
  <c r="AM381" i="1"/>
  <c r="AJ381" i="1"/>
  <c r="AI381" i="1"/>
  <c r="AF381" i="1"/>
  <c r="AE381" i="1"/>
  <c r="AB381" i="1"/>
  <c r="AA381" i="1"/>
  <c r="X381" i="1"/>
  <c r="W381" i="1"/>
  <c r="T381" i="1"/>
  <c r="S381" i="1"/>
  <c r="P381" i="1"/>
  <c r="O381" i="1"/>
  <c r="L381" i="1"/>
  <c r="K381" i="1"/>
  <c r="H381" i="1"/>
  <c r="G381" i="1"/>
  <c r="D381" i="1"/>
  <c r="C381" i="1"/>
  <c r="CZ380" i="1"/>
  <c r="CY380" i="1"/>
  <c r="CV380" i="1"/>
  <c r="CU380" i="1"/>
  <c r="CR380" i="1"/>
  <c r="CQ380" i="1"/>
  <c r="CN380" i="1"/>
  <c r="CM380" i="1"/>
  <c r="CJ380" i="1"/>
  <c r="CI380" i="1"/>
  <c r="CF380" i="1"/>
  <c r="CE380" i="1"/>
  <c r="CB380" i="1"/>
  <c r="CA380" i="1"/>
  <c r="BX380" i="1"/>
  <c r="BW380" i="1"/>
  <c r="BT380" i="1"/>
  <c r="BS380" i="1"/>
  <c r="BP380" i="1"/>
  <c r="BO380" i="1"/>
  <c r="BL380" i="1"/>
  <c r="BK380" i="1"/>
  <c r="AZ380" i="1"/>
  <c r="AY380" i="1"/>
  <c r="AV380" i="1"/>
  <c r="AU380" i="1"/>
  <c r="AR380" i="1"/>
  <c r="AQ380" i="1"/>
  <c r="AN380" i="1"/>
  <c r="AM380" i="1"/>
  <c r="AJ380" i="1"/>
  <c r="AI380" i="1"/>
  <c r="AF380" i="1"/>
  <c r="AE380" i="1"/>
  <c r="AB380" i="1"/>
  <c r="AA380" i="1"/>
  <c r="X380" i="1"/>
  <c r="W380" i="1"/>
  <c r="T380" i="1"/>
  <c r="S380" i="1"/>
  <c r="P380" i="1"/>
  <c r="O380" i="1"/>
  <c r="L380" i="1"/>
  <c r="K380" i="1"/>
  <c r="H380" i="1"/>
  <c r="G380" i="1"/>
  <c r="D380" i="1"/>
  <c r="C380" i="1"/>
  <c r="CZ379" i="1"/>
  <c r="CY379" i="1"/>
  <c r="CV379" i="1"/>
  <c r="CU379" i="1"/>
  <c r="CR379" i="1"/>
  <c r="CQ379" i="1"/>
  <c r="CN379" i="1"/>
  <c r="CM379" i="1"/>
  <c r="CJ379" i="1"/>
  <c r="CI379" i="1"/>
  <c r="CF379" i="1"/>
  <c r="CE379" i="1"/>
  <c r="CB379" i="1"/>
  <c r="CA379" i="1"/>
  <c r="BX379" i="1"/>
  <c r="BW379" i="1"/>
  <c r="BT379" i="1"/>
  <c r="BS379" i="1"/>
  <c r="BP379" i="1"/>
  <c r="BO379" i="1"/>
  <c r="BL379" i="1"/>
  <c r="BK379" i="1"/>
  <c r="AZ379" i="1"/>
  <c r="AY379" i="1"/>
  <c r="AV379" i="1"/>
  <c r="AU379" i="1"/>
  <c r="AR379" i="1"/>
  <c r="AQ379" i="1"/>
  <c r="AN379" i="1"/>
  <c r="AM379" i="1"/>
  <c r="AJ379" i="1"/>
  <c r="AI379" i="1"/>
  <c r="AF379" i="1"/>
  <c r="AE379" i="1"/>
  <c r="AB379" i="1"/>
  <c r="AA379" i="1"/>
  <c r="X379" i="1"/>
  <c r="W379" i="1"/>
  <c r="T379" i="1"/>
  <c r="S379" i="1"/>
  <c r="P379" i="1"/>
  <c r="O379" i="1"/>
  <c r="L379" i="1"/>
  <c r="K379" i="1"/>
  <c r="H379" i="1"/>
  <c r="G379" i="1"/>
  <c r="D379" i="1"/>
  <c r="C379" i="1"/>
  <c r="CZ378" i="1"/>
  <c r="CY378" i="1"/>
  <c r="CV378" i="1"/>
  <c r="CU378" i="1"/>
  <c r="CR378" i="1"/>
  <c r="CQ378" i="1"/>
  <c r="CN378" i="1"/>
  <c r="CM378" i="1"/>
  <c r="CJ378" i="1"/>
  <c r="CI378" i="1"/>
  <c r="CF378" i="1"/>
  <c r="CE378" i="1"/>
  <c r="CB378" i="1"/>
  <c r="CA378" i="1"/>
  <c r="BX378" i="1"/>
  <c r="BW378" i="1"/>
  <c r="BT378" i="1"/>
  <c r="BS378" i="1"/>
  <c r="BP378" i="1"/>
  <c r="BO378" i="1"/>
  <c r="BL378" i="1"/>
  <c r="BK378" i="1"/>
  <c r="AZ378" i="1"/>
  <c r="AY378" i="1"/>
  <c r="AV378" i="1"/>
  <c r="AU378" i="1"/>
  <c r="AR378" i="1"/>
  <c r="AQ378" i="1"/>
  <c r="AN378" i="1"/>
  <c r="AM378" i="1"/>
  <c r="AJ378" i="1"/>
  <c r="AI378" i="1"/>
  <c r="AF378" i="1"/>
  <c r="AE378" i="1"/>
  <c r="AB378" i="1"/>
  <c r="AA378" i="1"/>
  <c r="X378" i="1"/>
  <c r="W378" i="1"/>
  <c r="T378" i="1"/>
  <c r="S378" i="1"/>
  <c r="P378" i="1"/>
  <c r="O378" i="1"/>
  <c r="L378" i="1"/>
  <c r="K378" i="1"/>
  <c r="H378" i="1"/>
  <c r="G378" i="1"/>
  <c r="D378" i="1"/>
  <c r="C378" i="1"/>
  <c r="CZ377" i="1"/>
  <c r="CY377" i="1"/>
  <c r="CV377" i="1"/>
  <c r="CU377" i="1"/>
  <c r="CR377" i="1"/>
  <c r="CQ377" i="1"/>
  <c r="CN377" i="1"/>
  <c r="CM377" i="1"/>
  <c r="CJ377" i="1"/>
  <c r="CI377" i="1"/>
  <c r="CF377" i="1"/>
  <c r="CE377" i="1"/>
  <c r="CB377" i="1"/>
  <c r="CA377" i="1"/>
  <c r="BX377" i="1"/>
  <c r="BW377" i="1"/>
  <c r="BT377" i="1"/>
  <c r="BS377" i="1"/>
  <c r="BP377" i="1"/>
  <c r="BO377" i="1"/>
  <c r="BL377" i="1"/>
  <c r="BK377" i="1"/>
  <c r="AZ377" i="1"/>
  <c r="AY377" i="1"/>
  <c r="AV377" i="1"/>
  <c r="AU377" i="1"/>
  <c r="AR377" i="1"/>
  <c r="AQ377" i="1"/>
  <c r="AN377" i="1"/>
  <c r="AM377" i="1"/>
  <c r="AJ377" i="1"/>
  <c r="AI377" i="1"/>
  <c r="AF377" i="1"/>
  <c r="AE377" i="1"/>
  <c r="AB377" i="1"/>
  <c r="AA377" i="1"/>
  <c r="X377" i="1"/>
  <c r="W377" i="1"/>
  <c r="T377" i="1"/>
  <c r="S377" i="1"/>
  <c r="P377" i="1"/>
  <c r="O377" i="1"/>
  <c r="L377" i="1"/>
  <c r="K377" i="1"/>
  <c r="H377" i="1"/>
  <c r="G377" i="1"/>
  <c r="D377" i="1"/>
  <c r="C377" i="1"/>
  <c r="CZ376" i="1"/>
  <c r="CY376" i="1"/>
  <c r="CV376" i="1"/>
  <c r="CU376" i="1"/>
  <c r="CR376" i="1"/>
  <c r="CQ376" i="1"/>
  <c r="CN376" i="1"/>
  <c r="CM376" i="1"/>
  <c r="CJ376" i="1"/>
  <c r="CI376" i="1"/>
  <c r="CF376" i="1"/>
  <c r="CE376" i="1"/>
  <c r="CB376" i="1"/>
  <c r="CA376" i="1"/>
  <c r="BX376" i="1"/>
  <c r="BW376" i="1"/>
  <c r="BT376" i="1"/>
  <c r="BS376" i="1"/>
  <c r="BP376" i="1"/>
  <c r="BO376" i="1"/>
  <c r="BL376" i="1"/>
  <c r="BK376" i="1"/>
  <c r="AZ376" i="1"/>
  <c r="AY376" i="1"/>
  <c r="AV376" i="1"/>
  <c r="AU376" i="1"/>
  <c r="AR376" i="1"/>
  <c r="AQ376" i="1"/>
  <c r="AN376" i="1"/>
  <c r="AM376" i="1"/>
  <c r="AJ376" i="1"/>
  <c r="AI376" i="1"/>
  <c r="AF376" i="1"/>
  <c r="AE376" i="1"/>
  <c r="AB376" i="1"/>
  <c r="AA376" i="1"/>
  <c r="X376" i="1"/>
  <c r="W376" i="1"/>
  <c r="T376" i="1"/>
  <c r="S376" i="1"/>
  <c r="P376" i="1"/>
  <c r="O376" i="1"/>
  <c r="L376" i="1"/>
  <c r="K376" i="1"/>
  <c r="H376" i="1"/>
  <c r="G376" i="1"/>
  <c r="D376" i="1"/>
  <c r="C376" i="1"/>
  <c r="CZ375" i="1"/>
  <c r="CY375" i="1"/>
  <c r="CV375" i="1"/>
  <c r="CU375" i="1"/>
  <c r="CR375" i="1"/>
  <c r="CQ375" i="1"/>
  <c r="CN375" i="1"/>
  <c r="CM375" i="1"/>
  <c r="CJ375" i="1"/>
  <c r="CI375" i="1"/>
  <c r="CF375" i="1"/>
  <c r="CE375" i="1"/>
  <c r="CB375" i="1"/>
  <c r="CA375" i="1"/>
  <c r="BX375" i="1"/>
  <c r="BW375" i="1"/>
  <c r="BT375" i="1"/>
  <c r="BS375" i="1"/>
  <c r="BP375" i="1"/>
  <c r="BO375" i="1"/>
  <c r="BL375" i="1"/>
  <c r="BK375" i="1"/>
  <c r="AZ375" i="1"/>
  <c r="AY375" i="1"/>
  <c r="AV375" i="1"/>
  <c r="AU375" i="1"/>
  <c r="AR375" i="1"/>
  <c r="AQ375" i="1"/>
  <c r="AN375" i="1"/>
  <c r="AM375" i="1"/>
  <c r="AJ375" i="1"/>
  <c r="AI375" i="1"/>
  <c r="AF375" i="1"/>
  <c r="AE375" i="1"/>
  <c r="AB375" i="1"/>
  <c r="AA375" i="1"/>
  <c r="X375" i="1"/>
  <c r="W375" i="1"/>
  <c r="T375" i="1"/>
  <c r="S375" i="1"/>
  <c r="P375" i="1"/>
  <c r="O375" i="1"/>
  <c r="L375" i="1"/>
  <c r="K375" i="1"/>
  <c r="H375" i="1"/>
  <c r="G375" i="1"/>
  <c r="D375" i="1"/>
  <c r="C375" i="1"/>
  <c r="CZ374" i="1"/>
  <c r="CY374" i="1"/>
  <c r="CV374" i="1"/>
  <c r="CU374" i="1"/>
  <c r="CR374" i="1"/>
  <c r="CQ374" i="1"/>
  <c r="CN374" i="1"/>
  <c r="CM374" i="1"/>
  <c r="CJ374" i="1"/>
  <c r="CI374" i="1"/>
  <c r="CF374" i="1"/>
  <c r="CE374" i="1"/>
  <c r="CB374" i="1"/>
  <c r="CA374" i="1"/>
  <c r="BX374" i="1"/>
  <c r="BW374" i="1"/>
  <c r="BT374" i="1"/>
  <c r="BS374" i="1"/>
  <c r="BP374" i="1"/>
  <c r="BO374" i="1"/>
  <c r="BL374" i="1"/>
  <c r="BK374" i="1"/>
  <c r="AZ374" i="1"/>
  <c r="AY374" i="1"/>
  <c r="AV374" i="1"/>
  <c r="AU374" i="1"/>
  <c r="AR374" i="1"/>
  <c r="AQ374" i="1"/>
  <c r="AN374" i="1"/>
  <c r="AM374" i="1"/>
  <c r="AJ374" i="1"/>
  <c r="AI374" i="1"/>
  <c r="AF374" i="1"/>
  <c r="AE374" i="1"/>
  <c r="AB374" i="1"/>
  <c r="AA374" i="1"/>
  <c r="X374" i="1"/>
  <c r="W374" i="1"/>
  <c r="T374" i="1"/>
  <c r="S374" i="1"/>
  <c r="P374" i="1"/>
  <c r="O374" i="1"/>
  <c r="L374" i="1"/>
  <c r="K374" i="1"/>
  <c r="H374" i="1"/>
  <c r="G374" i="1"/>
  <c r="D374" i="1"/>
  <c r="C374" i="1"/>
  <c r="CZ372" i="1"/>
  <c r="CY372" i="1"/>
  <c r="CV372" i="1"/>
  <c r="CU372" i="1"/>
  <c r="CR372" i="1"/>
  <c r="CQ372" i="1"/>
  <c r="CN372" i="1"/>
  <c r="CM372" i="1"/>
  <c r="CJ372" i="1"/>
  <c r="CI372" i="1"/>
  <c r="CF372" i="1"/>
  <c r="CE372" i="1"/>
  <c r="CB372" i="1"/>
  <c r="CA372" i="1"/>
  <c r="BX372" i="1"/>
  <c r="BW372" i="1"/>
  <c r="BT372" i="1"/>
  <c r="BS372" i="1"/>
  <c r="BP372" i="1"/>
  <c r="BO372" i="1"/>
  <c r="BL372" i="1"/>
  <c r="BK372" i="1"/>
  <c r="AZ372" i="1"/>
  <c r="AY372" i="1"/>
  <c r="AV372" i="1"/>
  <c r="AU372" i="1"/>
  <c r="AR372" i="1"/>
  <c r="AQ372" i="1"/>
  <c r="AN372" i="1"/>
  <c r="AM372" i="1"/>
  <c r="AJ372" i="1"/>
  <c r="AI372" i="1"/>
  <c r="AF372" i="1"/>
  <c r="AE372" i="1"/>
  <c r="AB372" i="1"/>
  <c r="AA372" i="1"/>
  <c r="X372" i="1"/>
  <c r="W372" i="1"/>
  <c r="T372" i="1"/>
  <c r="S372" i="1"/>
  <c r="P372" i="1"/>
  <c r="O372" i="1"/>
  <c r="L372" i="1"/>
  <c r="K372" i="1"/>
  <c r="H372" i="1"/>
  <c r="G372" i="1"/>
  <c r="D372" i="1"/>
  <c r="C372" i="1"/>
  <c r="CZ371" i="1"/>
  <c r="CY371" i="1"/>
  <c r="CV371" i="1"/>
  <c r="CU371" i="1"/>
  <c r="CR371" i="1"/>
  <c r="CQ371" i="1"/>
  <c r="CN371" i="1"/>
  <c r="CM371" i="1"/>
  <c r="CJ371" i="1"/>
  <c r="CI371" i="1"/>
  <c r="CF371" i="1"/>
  <c r="CE371" i="1"/>
  <c r="CB371" i="1"/>
  <c r="CA371" i="1"/>
  <c r="BX371" i="1"/>
  <c r="BW371" i="1"/>
  <c r="BT371" i="1"/>
  <c r="BS371" i="1"/>
  <c r="BP371" i="1"/>
  <c r="BO371" i="1"/>
  <c r="BL371" i="1"/>
  <c r="BK371" i="1"/>
  <c r="AZ371" i="1"/>
  <c r="AY371" i="1"/>
  <c r="AV371" i="1"/>
  <c r="AU371" i="1"/>
  <c r="AR371" i="1"/>
  <c r="AQ371" i="1"/>
  <c r="AN371" i="1"/>
  <c r="AM371" i="1"/>
  <c r="AJ371" i="1"/>
  <c r="AI371" i="1"/>
  <c r="AF371" i="1"/>
  <c r="AE371" i="1"/>
  <c r="AB371" i="1"/>
  <c r="AA371" i="1"/>
  <c r="X371" i="1"/>
  <c r="W371" i="1"/>
  <c r="T371" i="1"/>
  <c r="S371" i="1"/>
  <c r="P371" i="1"/>
  <c r="O371" i="1"/>
  <c r="L371" i="1"/>
  <c r="K371" i="1"/>
  <c r="H371" i="1"/>
  <c r="G371" i="1"/>
  <c r="D371" i="1"/>
  <c r="C371" i="1"/>
  <c r="CZ370" i="1"/>
  <c r="CY370" i="1"/>
  <c r="CV370" i="1"/>
  <c r="CU370" i="1"/>
  <c r="CR370" i="1"/>
  <c r="CQ370" i="1"/>
  <c r="CN370" i="1"/>
  <c r="CM370" i="1"/>
  <c r="CJ370" i="1"/>
  <c r="CI370" i="1"/>
  <c r="CF370" i="1"/>
  <c r="CE370" i="1"/>
  <c r="CB370" i="1"/>
  <c r="CA370" i="1"/>
  <c r="BX370" i="1"/>
  <c r="BW370" i="1"/>
  <c r="BT370" i="1"/>
  <c r="BS370" i="1"/>
  <c r="BP370" i="1"/>
  <c r="BO370" i="1"/>
  <c r="BL370" i="1"/>
  <c r="BK370" i="1"/>
  <c r="AZ370" i="1"/>
  <c r="AY370" i="1"/>
  <c r="AV370" i="1"/>
  <c r="AU370" i="1"/>
  <c r="AR370" i="1"/>
  <c r="AQ370" i="1"/>
  <c r="AN370" i="1"/>
  <c r="AM370" i="1"/>
  <c r="AJ370" i="1"/>
  <c r="AI370" i="1"/>
  <c r="AF370" i="1"/>
  <c r="AE370" i="1"/>
  <c r="AB370" i="1"/>
  <c r="AA370" i="1"/>
  <c r="X370" i="1"/>
  <c r="W370" i="1"/>
  <c r="T370" i="1"/>
  <c r="S370" i="1"/>
  <c r="P370" i="1"/>
  <c r="O370" i="1"/>
  <c r="L370" i="1"/>
  <c r="K370" i="1"/>
  <c r="H370" i="1"/>
  <c r="G370" i="1"/>
  <c r="D370" i="1"/>
  <c r="C370" i="1"/>
  <c r="CZ369" i="1"/>
  <c r="CY369" i="1"/>
  <c r="CV369" i="1"/>
  <c r="CU369" i="1"/>
  <c r="CR369" i="1"/>
  <c r="CQ369" i="1"/>
  <c r="CN369" i="1"/>
  <c r="CM369" i="1"/>
  <c r="CJ369" i="1"/>
  <c r="CI369" i="1"/>
  <c r="CF369" i="1"/>
  <c r="CE369" i="1"/>
  <c r="CB369" i="1"/>
  <c r="CA369" i="1"/>
  <c r="BX369" i="1"/>
  <c r="BW369" i="1"/>
  <c r="BT369" i="1"/>
  <c r="BS369" i="1"/>
  <c r="BP369" i="1"/>
  <c r="BO369" i="1"/>
  <c r="BL369" i="1"/>
  <c r="BK369" i="1"/>
  <c r="AZ369" i="1"/>
  <c r="AY369" i="1"/>
  <c r="AV369" i="1"/>
  <c r="AU369" i="1"/>
  <c r="AR369" i="1"/>
  <c r="AQ369" i="1"/>
  <c r="AN369" i="1"/>
  <c r="AM369" i="1"/>
  <c r="AJ369" i="1"/>
  <c r="AI369" i="1"/>
  <c r="AF369" i="1"/>
  <c r="AE369" i="1"/>
  <c r="AB369" i="1"/>
  <c r="AA369" i="1"/>
  <c r="X369" i="1"/>
  <c r="W369" i="1"/>
  <c r="T369" i="1"/>
  <c r="S369" i="1"/>
  <c r="P369" i="1"/>
  <c r="O369" i="1"/>
  <c r="L369" i="1"/>
  <c r="K369" i="1"/>
  <c r="H369" i="1"/>
  <c r="G369" i="1"/>
  <c r="D369" i="1"/>
  <c r="C369" i="1"/>
  <c r="CZ368" i="1"/>
  <c r="CY368" i="1"/>
  <c r="CV368" i="1"/>
  <c r="CU368" i="1"/>
  <c r="CR368" i="1"/>
  <c r="CQ368" i="1"/>
  <c r="CN368" i="1"/>
  <c r="CM368" i="1"/>
  <c r="CJ368" i="1"/>
  <c r="CI368" i="1"/>
  <c r="CF368" i="1"/>
  <c r="CE368" i="1"/>
  <c r="CB368" i="1"/>
  <c r="CA368" i="1"/>
  <c r="BX368" i="1"/>
  <c r="BW368" i="1"/>
  <c r="BT368" i="1"/>
  <c r="BS368" i="1"/>
  <c r="BP368" i="1"/>
  <c r="BO368" i="1"/>
  <c r="BL368" i="1"/>
  <c r="BK368" i="1"/>
  <c r="AZ368" i="1"/>
  <c r="AY368" i="1"/>
  <c r="AV368" i="1"/>
  <c r="AU368" i="1"/>
  <c r="AR368" i="1"/>
  <c r="AQ368" i="1"/>
  <c r="AN368" i="1"/>
  <c r="AM368" i="1"/>
  <c r="AJ368" i="1"/>
  <c r="AI368" i="1"/>
  <c r="AF368" i="1"/>
  <c r="AE368" i="1"/>
  <c r="AB368" i="1"/>
  <c r="AA368" i="1"/>
  <c r="X368" i="1"/>
  <c r="W368" i="1"/>
  <c r="T368" i="1"/>
  <c r="S368" i="1"/>
  <c r="P368" i="1"/>
  <c r="O368" i="1"/>
  <c r="L368" i="1"/>
  <c r="K368" i="1"/>
  <c r="H368" i="1"/>
  <c r="G368" i="1"/>
  <c r="D368" i="1"/>
  <c r="C368" i="1"/>
  <c r="CZ367" i="1"/>
  <c r="CY367" i="1"/>
  <c r="CV367" i="1"/>
  <c r="CU367" i="1"/>
  <c r="CR367" i="1"/>
  <c r="CQ367" i="1"/>
  <c r="CN367" i="1"/>
  <c r="CM367" i="1"/>
  <c r="CJ367" i="1"/>
  <c r="CI367" i="1"/>
  <c r="CF367" i="1"/>
  <c r="CE367" i="1"/>
  <c r="CB367" i="1"/>
  <c r="CA367" i="1"/>
  <c r="BX367" i="1"/>
  <c r="BW367" i="1"/>
  <c r="BT367" i="1"/>
  <c r="BS367" i="1"/>
  <c r="BP367" i="1"/>
  <c r="BO367" i="1"/>
  <c r="BL367" i="1"/>
  <c r="BK367" i="1"/>
  <c r="AZ367" i="1"/>
  <c r="AY367" i="1"/>
  <c r="AV367" i="1"/>
  <c r="AU367" i="1"/>
  <c r="AR367" i="1"/>
  <c r="AQ367" i="1"/>
  <c r="AN367" i="1"/>
  <c r="AM367" i="1"/>
  <c r="AJ367" i="1"/>
  <c r="AI367" i="1"/>
  <c r="AF367" i="1"/>
  <c r="AE367" i="1"/>
  <c r="AB367" i="1"/>
  <c r="AA367" i="1"/>
  <c r="X367" i="1"/>
  <c r="W367" i="1"/>
  <c r="T367" i="1"/>
  <c r="S367" i="1"/>
  <c r="P367" i="1"/>
  <c r="O367" i="1"/>
  <c r="L367" i="1"/>
  <c r="K367" i="1"/>
  <c r="H367" i="1"/>
  <c r="G367" i="1"/>
  <c r="D367" i="1"/>
  <c r="C367" i="1"/>
  <c r="CZ366" i="1"/>
  <c r="CY366" i="1"/>
  <c r="CV366" i="1"/>
  <c r="CU366" i="1"/>
  <c r="CR366" i="1"/>
  <c r="CQ366" i="1"/>
  <c r="CN366" i="1"/>
  <c r="CM366" i="1"/>
  <c r="CJ366" i="1"/>
  <c r="CI366" i="1"/>
  <c r="CF366" i="1"/>
  <c r="CE366" i="1"/>
  <c r="CB366" i="1"/>
  <c r="CA366" i="1"/>
  <c r="BX366" i="1"/>
  <c r="BW366" i="1"/>
  <c r="BT366" i="1"/>
  <c r="BS366" i="1"/>
  <c r="BP366" i="1"/>
  <c r="BO366" i="1"/>
  <c r="BL366" i="1"/>
  <c r="BK366" i="1"/>
  <c r="AZ366" i="1"/>
  <c r="AY366" i="1"/>
  <c r="AV366" i="1"/>
  <c r="AU366" i="1"/>
  <c r="AR366" i="1"/>
  <c r="AQ366" i="1"/>
  <c r="AN366" i="1"/>
  <c r="AM366" i="1"/>
  <c r="AJ366" i="1"/>
  <c r="AI366" i="1"/>
  <c r="AF366" i="1"/>
  <c r="AE366" i="1"/>
  <c r="AB366" i="1"/>
  <c r="AA366" i="1"/>
  <c r="X366" i="1"/>
  <c r="W366" i="1"/>
  <c r="T366" i="1"/>
  <c r="S366" i="1"/>
  <c r="P366" i="1"/>
  <c r="O366" i="1"/>
  <c r="L366" i="1"/>
  <c r="K366" i="1"/>
  <c r="H366" i="1"/>
  <c r="G366" i="1"/>
  <c r="D366" i="1"/>
  <c r="C366" i="1"/>
  <c r="CZ365" i="1"/>
  <c r="CY365" i="1"/>
  <c r="CV365" i="1"/>
  <c r="CU365" i="1"/>
  <c r="CR365" i="1"/>
  <c r="CQ365" i="1"/>
  <c r="CN365" i="1"/>
  <c r="CM365" i="1"/>
  <c r="CJ365" i="1"/>
  <c r="CI365" i="1"/>
  <c r="CF365" i="1"/>
  <c r="CE365" i="1"/>
  <c r="CB365" i="1"/>
  <c r="CA365" i="1"/>
  <c r="BX365" i="1"/>
  <c r="BW365" i="1"/>
  <c r="BT365" i="1"/>
  <c r="BS365" i="1"/>
  <c r="BP365" i="1"/>
  <c r="BO365" i="1"/>
  <c r="BL365" i="1"/>
  <c r="BK365" i="1"/>
  <c r="AZ365" i="1"/>
  <c r="AY365" i="1"/>
  <c r="AV365" i="1"/>
  <c r="AU365" i="1"/>
  <c r="AR365" i="1"/>
  <c r="AQ365" i="1"/>
  <c r="AN365" i="1"/>
  <c r="AM365" i="1"/>
  <c r="AJ365" i="1"/>
  <c r="AI365" i="1"/>
  <c r="AF365" i="1"/>
  <c r="AE365" i="1"/>
  <c r="AB365" i="1"/>
  <c r="AA365" i="1"/>
  <c r="X365" i="1"/>
  <c r="W365" i="1"/>
  <c r="T365" i="1"/>
  <c r="S365" i="1"/>
  <c r="P365" i="1"/>
  <c r="O365" i="1"/>
  <c r="L365" i="1"/>
  <c r="K365" i="1"/>
  <c r="H365" i="1"/>
  <c r="G365" i="1"/>
  <c r="D365" i="1"/>
  <c r="C365" i="1"/>
  <c r="CZ363" i="1"/>
  <c r="CY363" i="1"/>
  <c r="CV363" i="1"/>
  <c r="CU363" i="1"/>
  <c r="CR363" i="1"/>
  <c r="CQ363" i="1"/>
  <c r="CN363" i="1"/>
  <c r="CM363" i="1"/>
  <c r="CJ363" i="1"/>
  <c r="CI363" i="1"/>
  <c r="CF363" i="1"/>
  <c r="CE363" i="1"/>
  <c r="CB363" i="1"/>
  <c r="CA363" i="1"/>
  <c r="BX363" i="1"/>
  <c r="BW363" i="1"/>
  <c r="BT363" i="1"/>
  <c r="BS363" i="1"/>
  <c r="BP363" i="1"/>
  <c r="BO363" i="1"/>
  <c r="BL363" i="1"/>
  <c r="BK363" i="1"/>
  <c r="AZ363" i="1"/>
  <c r="AY363" i="1"/>
  <c r="AV363" i="1"/>
  <c r="AU363" i="1"/>
  <c r="AR363" i="1"/>
  <c r="AQ363" i="1"/>
  <c r="AN363" i="1"/>
  <c r="AM363" i="1"/>
  <c r="AJ363" i="1"/>
  <c r="AI363" i="1"/>
  <c r="AF363" i="1"/>
  <c r="AE363" i="1"/>
  <c r="AB363" i="1"/>
  <c r="AA363" i="1"/>
  <c r="X363" i="1"/>
  <c r="W363" i="1"/>
  <c r="T363" i="1"/>
  <c r="S363" i="1"/>
  <c r="P363" i="1"/>
  <c r="O363" i="1"/>
  <c r="L363" i="1"/>
  <c r="K363" i="1"/>
  <c r="H363" i="1"/>
  <c r="G363" i="1"/>
  <c r="D363" i="1"/>
  <c r="C363" i="1"/>
  <c r="CZ362" i="1"/>
  <c r="CY362" i="1"/>
  <c r="CV362" i="1"/>
  <c r="CU362" i="1"/>
  <c r="CR362" i="1"/>
  <c r="CQ362" i="1"/>
  <c r="CN362" i="1"/>
  <c r="CM362" i="1"/>
  <c r="CJ362" i="1"/>
  <c r="CI362" i="1"/>
  <c r="CF362" i="1"/>
  <c r="CE362" i="1"/>
  <c r="CB362" i="1"/>
  <c r="CA362" i="1"/>
  <c r="BX362" i="1"/>
  <c r="BW362" i="1"/>
  <c r="BT362" i="1"/>
  <c r="BS362" i="1"/>
  <c r="BP362" i="1"/>
  <c r="BO362" i="1"/>
  <c r="BL362" i="1"/>
  <c r="BK362" i="1"/>
  <c r="AZ362" i="1"/>
  <c r="AY362" i="1"/>
  <c r="AV362" i="1"/>
  <c r="AU362" i="1"/>
  <c r="AR362" i="1"/>
  <c r="AQ362" i="1"/>
  <c r="AN362" i="1"/>
  <c r="AM362" i="1"/>
  <c r="AJ362" i="1"/>
  <c r="AI362" i="1"/>
  <c r="AF362" i="1"/>
  <c r="AE362" i="1"/>
  <c r="AB362" i="1"/>
  <c r="AA362" i="1"/>
  <c r="X362" i="1"/>
  <c r="W362" i="1"/>
  <c r="T362" i="1"/>
  <c r="S362" i="1"/>
  <c r="P362" i="1"/>
  <c r="O362" i="1"/>
  <c r="L362" i="1"/>
  <c r="K362" i="1"/>
  <c r="H362" i="1"/>
  <c r="G362" i="1"/>
  <c r="D362" i="1"/>
  <c r="C362" i="1"/>
  <c r="CZ361" i="1"/>
  <c r="CY361" i="1"/>
  <c r="CV361" i="1"/>
  <c r="CU361" i="1"/>
  <c r="CR361" i="1"/>
  <c r="CQ361" i="1"/>
  <c r="CN361" i="1"/>
  <c r="CM361" i="1"/>
  <c r="CJ361" i="1"/>
  <c r="CI361" i="1"/>
  <c r="CF361" i="1"/>
  <c r="CE361" i="1"/>
  <c r="CB361" i="1"/>
  <c r="CA361" i="1"/>
  <c r="BX361" i="1"/>
  <c r="BW361" i="1"/>
  <c r="BT361" i="1"/>
  <c r="BS361" i="1"/>
  <c r="BP361" i="1"/>
  <c r="BO361" i="1"/>
  <c r="BL361" i="1"/>
  <c r="BK361" i="1"/>
  <c r="AZ361" i="1"/>
  <c r="AY361" i="1"/>
  <c r="AV361" i="1"/>
  <c r="AU361" i="1"/>
  <c r="AR361" i="1"/>
  <c r="AQ361" i="1"/>
  <c r="AN361" i="1"/>
  <c r="AM361" i="1"/>
  <c r="AJ361" i="1"/>
  <c r="AI361" i="1"/>
  <c r="AF361" i="1"/>
  <c r="AE361" i="1"/>
  <c r="AB361" i="1"/>
  <c r="AA361" i="1"/>
  <c r="X361" i="1"/>
  <c r="W361" i="1"/>
  <c r="T361" i="1"/>
  <c r="S361" i="1"/>
  <c r="P361" i="1"/>
  <c r="O361" i="1"/>
  <c r="L361" i="1"/>
  <c r="K361" i="1"/>
  <c r="H361" i="1"/>
  <c r="G361" i="1"/>
  <c r="D361" i="1"/>
  <c r="C361" i="1"/>
  <c r="CZ360" i="1"/>
  <c r="CY360" i="1"/>
  <c r="CV360" i="1"/>
  <c r="CU360" i="1"/>
  <c r="CR360" i="1"/>
  <c r="CQ360" i="1"/>
  <c r="CN360" i="1"/>
  <c r="CM360" i="1"/>
  <c r="CJ360" i="1"/>
  <c r="CI360" i="1"/>
  <c r="CF360" i="1"/>
  <c r="CE360" i="1"/>
  <c r="CB360" i="1"/>
  <c r="CA360" i="1"/>
  <c r="BX360" i="1"/>
  <c r="BW360" i="1"/>
  <c r="BT360" i="1"/>
  <c r="BS360" i="1"/>
  <c r="BP360" i="1"/>
  <c r="BO360" i="1"/>
  <c r="BL360" i="1"/>
  <c r="BK360" i="1"/>
  <c r="AZ360" i="1"/>
  <c r="AY360" i="1"/>
  <c r="AV360" i="1"/>
  <c r="AU360" i="1"/>
  <c r="AR360" i="1"/>
  <c r="AQ360" i="1"/>
  <c r="AN360" i="1"/>
  <c r="AM360" i="1"/>
  <c r="AJ360" i="1"/>
  <c r="AI360" i="1"/>
  <c r="AF360" i="1"/>
  <c r="AE360" i="1"/>
  <c r="AB360" i="1"/>
  <c r="AA360" i="1"/>
  <c r="X360" i="1"/>
  <c r="W360" i="1"/>
  <c r="T360" i="1"/>
  <c r="S360" i="1"/>
  <c r="P360" i="1"/>
  <c r="O360" i="1"/>
  <c r="L360" i="1"/>
  <c r="K360" i="1"/>
  <c r="H360" i="1"/>
  <c r="G360" i="1"/>
  <c r="D360" i="1"/>
  <c r="C360" i="1"/>
  <c r="CZ359" i="1"/>
  <c r="CY359" i="1"/>
  <c r="CV359" i="1"/>
  <c r="CU359" i="1"/>
  <c r="CR359" i="1"/>
  <c r="CQ359" i="1"/>
  <c r="CN359" i="1"/>
  <c r="CM359" i="1"/>
  <c r="CJ359" i="1"/>
  <c r="CI359" i="1"/>
  <c r="CF359" i="1"/>
  <c r="CE359" i="1"/>
  <c r="CB359" i="1"/>
  <c r="CA359" i="1"/>
  <c r="BX359" i="1"/>
  <c r="BW359" i="1"/>
  <c r="BT359" i="1"/>
  <c r="BS359" i="1"/>
  <c r="BP359" i="1"/>
  <c r="BO359" i="1"/>
  <c r="BL359" i="1"/>
  <c r="BK359" i="1"/>
  <c r="AZ359" i="1"/>
  <c r="AY359" i="1"/>
  <c r="AV359" i="1"/>
  <c r="AU359" i="1"/>
  <c r="AR359" i="1"/>
  <c r="AQ359" i="1"/>
  <c r="AN359" i="1"/>
  <c r="AM359" i="1"/>
  <c r="AJ359" i="1"/>
  <c r="AI359" i="1"/>
  <c r="AF359" i="1"/>
  <c r="AE359" i="1"/>
  <c r="AB359" i="1"/>
  <c r="AA359" i="1"/>
  <c r="X359" i="1"/>
  <c r="W359" i="1"/>
  <c r="T359" i="1"/>
  <c r="S359" i="1"/>
  <c r="P359" i="1"/>
  <c r="O359" i="1"/>
  <c r="L359" i="1"/>
  <c r="K359" i="1"/>
  <c r="H359" i="1"/>
  <c r="G359" i="1"/>
  <c r="D359" i="1"/>
  <c r="C359" i="1"/>
  <c r="CZ358" i="1"/>
  <c r="CY358" i="1"/>
  <c r="CV358" i="1"/>
  <c r="CU358" i="1"/>
  <c r="CR358" i="1"/>
  <c r="CQ358" i="1"/>
  <c r="CN358" i="1"/>
  <c r="CM358" i="1"/>
  <c r="CJ358" i="1"/>
  <c r="CI358" i="1"/>
  <c r="CF358" i="1"/>
  <c r="CE358" i="1"/>
  <c r="CB358" i="1"/>
  <c r="CA358" i="1"/>
  <c r="BX358" i="1"/>
  <c r="BW358" i="1"/>
  <c r="BT358" i="1"/>
  <c r="BS358" i="1"/>
  <c r="BP358" i="1"/>
  <c r="BO358" i="1"/>
  <c r="BL358" i="1"/>
  <c r="BK358" i="1"/>
  <c r="AZ358" i="1"/>
  <c r="AY358" i="1"/>
  <c r="AV358" i="1"/>
  <c r="AU358" i="1"/>
  <c r="AR358" i="1"/>
  <c r="AQ358" i="1"/>
  <c r="AN358" i="1"/>
  <c r="AM358" i="1"/>
  <c r="AJ358" i="1"/>
  <c r="AI358" i="1"/>
  <c r="AF358" i="1"/>
  <c r="AE358" i="1"/>
  <c r="AB358" i="1"/>
  <c r="AA358" i="1"/>
  <c r="X358" i="1"/>
  <c r="W358" i="1"/>
  <c r="T358" i="1"/>
  <c r="S358" i="1"/>
  <c r="P358" i="1"/>
  <c r="O358" i="1"/>
  <c r="L358" i="1"/>
  <c r="K358" i="1"/>
  <c r="H358" i="1"/>
  <c r="G358" i="1"/>
  <c r="D358" i="1"/>
  <c r="C358" i="1"/>
  <c r="CZ357" i="1"/>
  <c r="CY357" i="1"/>
  <c r="CV357" i="1"/>
  <c r="CU357" i="1"/>
  <c r="CR357" i="1"/>
  <c r="CQ357" i="1"/>
  <c r="CN357" i="1"/>
  <c r="CM357" i="1"/>
  <c r="CJ357" i="1"/>
  <c r="CI357" i="1"/>
  <c r="CF357" i="1"/>
  <c r="CE357" i="1"/>
  <c r="CB357" i="1"/>
  <c r="CA357" i="1"/>
  <c r="BX357" i="1"/>
  <c r="BW357" i="1"/>
  <c r="BT357" i="1"/>
  <c r="BS357" i="1"/>
  <c r="BP357" i="1"/>
  <c r="BO357" i="1"/>
  <c r="BL357" i="1"/>
  <c r="BK357" i="1"/>
  <c r="AZ357" i="1"/>
  <c r="AY357" i="1"/>
  <c r="AV357" i="1"/>
  <c r="AU357" i="1"/>
  <c r="AR357" i="1"/>
  <c r="AQ357" i="1"/>
  <c r="AN357" i="1"/>
  <c r="AM357" i="1"/>
  <c r="AJ357" i="1"/>
  <c r="AI357" i="1"/>
  <c r="AF357" i="1"/>
  <c r="AE357" i="1"/>
  <c r="AB357" i="1"/>
  <c r="AA357" i="1"/>
  <c r="X357" i="1"/>
  <c r="W357" i="1"/>
  <c r="T357" i="1"/>
  <c r="S357" i="1"/>
  <c r="P357" i="1"/>
  <c r="O357" i="1"/>
  <c r="L357" i="1"/>
  <c r="K357" i="1"/>
  <c r="H357" i="1"/>
  <c r="G357" i="1"/>
  <c r="D357" i="1"/>
  <c r="C357" i="1"/>
  <c r="CZ356" i="1"/>
  <c r="CY356" i="1"/>
  <c r="CV356" i="1"/>
  <c r="CU356" i="1"/>
  <c r="CR356" i="1"/>
  <c r="CQ356" i="1"/>
  <c r="CN356" i="1"/>
  <c r="CM356" i="1"/>
  <c r="CJ356" i="1"/>
  <c r="CI356" i="1"/>
  <c r="CF356" i="1"/>
  <c r="CE356" i="1"/>
  <c r="CB356" i="1"/>
  <c r="CA356" i="1"/>
  <c r="BX356" i="1"/>
  <c r="BW356" i="1"/>
  <c r="BT356" i="1"/>
  <c r="BS356" i="1"/>
  <c r="BP356" i="1"/>
  <c r="BO356" i="1"/>
  <c r="BL356" i="1"/>
  <c r="BK356" i="1"/>
  <c r="AZ356" i="1"/>
  <c r="AY356" i="1"/>
  <c r="AV356" i="1"/>
  <c r="AU356" i="1"/>
  <c r="AR356" i="1"/>
  <c r="AQ356" i="1"/>
  <c r="AN356" i="1"/>
  <c r="AM356" i="1"/>
  <c r="AJ356" i="1"/>
  <c r="AI356" i="1"/>
  <c r="AF356" i="1"/>
  <c r="AE356" i="1"/>
  <c r="AB356" i="1"/>
  <c r="AA356" i="1"/>
  <c r="X356" i="1"/>
  <c r="W356" i="1"/>
  <c r="T356" i="1"/>
  <c r="S356" i="1"/>
  <c r="P356" i="1"/>
  <c r="O356" i="1"/>
  <c r="L356" i="1"/>
  <c r="K356" i="1"/>
  <c r="H356" i="1"/>
  <c r="G356" i="1"/>
  <c r="D356" i="1"/>
  <c r="C356" i="1"/>
  <c r="CZ354" i="1"/>
  <c r="CY354" i="1"/>
  <c r="CV354" i="1"/>
  <c r="CU354" i="1"/>
  <c r="CR354" i="1"/>
  <c r="CQ354" i="1"/>
  <c r="CN354" i="1"/>
  <c r="CM354" i="1"/>
  <c r="CJ354" i="1"/>
  <c r="CI354" i="1"/>
  <c r="CF354" i="1"/>
  <c r="CE354" i="1"/>
  <c r="CB354" i="1"/>
  <c r="CA354" i="1"/>
  <c r="BX354" i="1"/>
  <c r="BW354" i="1"/>
  <c r="BT354" i="1"/>
  <c r="BS354" i="1"/>
  <c r="BP354" i="1"/>
  <c r="BO354" i="1"/>
  <c r="BL354" i="1"/>
  <c r="BK354" i="1"/>
  <c r="AZ354" i="1"/>
  <c r="AY354" i="1"/>
  <c r="AV354" i="1"/>
  <c r="AU354" i="1"/>
  <c r="AR354" i="1"/>
  <c r="AQ354" i="1"/>
  <c r="AN354" i="1"/>
  <c r="AM354" i="1"/>
  <c r="AJ354" i="1"/>
  <c r="AI354" i="1"/>
  <c r="AF354" i="1"/>
  <c r="AE354" i="1"/>
  <c r="AB354" i="1"/>
  <c r="AA354" i="1"/>
  <c r="X354" i="1"/>
  <c r="W354" i="1"/>
  <c r="T354" i="1"/>
  <c r="S354" i="1"/>
  <c r="P354" i="1"/>
  <c r="O354" i="1"/>
  <c r="L354" i="1"/>
  <c r="K354" i="1"/>
  <c r="H354" i="1"/>
  <c r="G354" i="1"/>
  <c r="D354" i="1"/>
  <c r="C354" i="1"/>
  <c r="CZ353" i="1"/>
  <c r="CY353" i="1"/>
  <c r="CV353" i="1"/>
  <c r="CU353" i="1"/>
  <c r="CR353" i="1"/>
  <c r="CQ353" i="1"/>
  <c r="CN353" i="1"/>
  <c r="CM353" i="1"/>
  <c r="CJ353" i="1"/>
  <c r="CI353" i="1"/>
  <c r="CF353" i="1"/>
  <c r="CE353" i="1"/>
  <c r="CB353" i="1"/>
  <c r="CA353" i="1"/>
  <c r="BX353" i="1"/>
  <c r="BW353" i="1"/>
  <c r="BT353" i="1"/>
  <c r="BS353" i="1"/>
  <c r="BP353" i="1"/>
  <c r="BO353" i="1"/>
  <c r="BL353" i="1"/>
  <c r="BK353" i="1"/>
  <c r="AZ353" i="1"/>
  <c r="AY353" i="1"/>
  <c r="AV353" i="1"/>
  <c r="AU353" i="1"/>
  <c r="AR353" i="1"/>
  <c r="AQ353" i="1"/>
  <c r="AN353" i="1"/>
  <c r="AM353" i="1"/>
  <c r="AJ353" i="1"/>
  <c r="AI353" i="1"/>
  <c r="AF353" i="1"/>
  <c r="AE353" i="1"/>
  <c r="AB353" i="1"/>
  <c r="AA353" i="1"/>
  <c r="X353" i="1"/>
  <c r="W353" i="1"/>
  <c r="T353" i="1"/>
  <c r="S353" i="1"/>
  <c r="P353" i="1"/>
  <c r="O353" i="1"/>
  <c r="L353" i="1"/>
  <c r="K353" i="1"/>
  <c r="H353" i="1"/>
  <c r="G353" i="1"/>
  <c r="D353" i="1"/>
  <c r="C353" i="1"/>
  <c r="CZ352" i="1"/>
  <c r="CY352" i="1"/>
  <c r="CV352" i="1"/>
  <c r="CU352" i="1"/>
  <c r="CR352" i="1"/>
  <c r="CQ352" i="1"/>
  <c r="CN352" i="1"/>
  <c r="CM352" i="1"/>
  <c r="CJ352" i="1"/>
  <c r="CI352" i="1"/>
  <c r="CF352" i="1"/>
  <c r="CE352" i="1"/>
  <c r="CB352" i="1"/>
  <c r="CA352" i="1"/>
  <c r="BX352" i="1"/>
  <c r="BW352" i="1"/>
  <c r="BT352" i="1"/>
  <c r="BS352" i="1"/>
  <c r="BP352" i="1"/>
  <c r="BO352" i="1"/>
  <c r="BL352" i="1"/>
  <c r="BK352" i="1"/>
  <c r="AZ352" i="1"/>
  <c r="AY352" i="1"/>
  <c r="AV352" i="1"/>
  <c r="AU352" i="1"/>
  <c r="AR352" i="1"/>
  <c r="AQ352" i="1"/>
  <c r="AN352" i="1"/>
  <c r="AM352" i="1"/>
  <c r="AJ352" i="1"/>
  <c r="AI352" i="1"/>
  <c r="AF352" i="1"/>
  <c r="AE352" i="1"/>
  <c r="AB352" i="1"/>
  <c r="AA352" i="1"/>
  <c r="X352" i="1"/>
  <c r="W352" i="1"/>
  <c r="T352" i="1"/>
  <c r="S352" i="1"/>
  <c r="P352" i="1"/>
  <c r="O352" i="1"/>
  <c r="L352" i="1"/>
  <c r="K352" i="1"/>
  <c r="H352" i="1"/>
  <c r="G352" i="1"/>
  <c r="D352" i="1"/>
  <c r="C352" i="1"/>
  <c r="CZ350" i="1"/>
  <c r="CY350" i="1"/>
  <c r="CV350" i="1"/>
  <c r="CU350" i="1"/>
  <c r="CR350" i="1"/>
  <c r="CQ350" i="1"/>
  <c r="CN350" i="1"/>
  <c r="CM350" i="1"/>
  <c r="CJ350" i="1"/>
  <c r="CI350" i="1"/>
  <c r="CF350" i="1"/>
  <c r="CE350" i="1"/>
  <c r="CB350" i="1"/>
  <c r="CA350" i="1"/>
  <c r="BX350" i="1"/>
  <c r="BW350" i="1"/>
  <c r="BT350" i="1"/>
  <c r="BS350" i="1"/>
  <c r="BP350" i="1"/>
  <c r="BO350" i="1"/>
  <c r="BL350" i="1"/>
  <c r="BK350" i="1"/>
  <c r="AZ350" i="1"/>
  <c r="AY350" i="1"/>
  <c r="AV350" i="1"/>
  <c r="AU350" i="1"/>
  <c r="AR350" i="1"/>
  <c r="AQ350" i="1"/>
  <c r="AN350" i="1"/>
  <c r="AM350" i="1"/>
  <c r="AJ350" i="1"/>
  <c r="AI350" i="1"/>
  <c r="AF350" i="1"/>
  <c r="AE350" i="1"/>
  <c r="AB350" i="1"/>
  <c r="AA350" i="1"/>
  <c r="X350" i="1"/>
  <c r="W350" i="1"/>
  <c r="T350" i="1"/>
  <c r="S350" i="1"/>
  <c r="P350" i="1"/>
  <c r="O350" i="1"/>
  <c r="L350" i="1"/>
  <c r="K350" i="1"/>
  <c r="H350" i="1"/>
  <c r="G350" i="1"/>
  <c r="D350" i="1"/>
  <c r="C350" i="1"/>
  <c r="CZ349" i="1"/>
  <c r="CY349" i="1"/>
  <c r="CV349" i="1"/>
  <c r="CU349" i="1"/>
  <c r="CR349" i="1"/>
  <c r="CQ349" i="1"/>
  <c r="CN349" i="1"/>
  <c r="CM349" i="1"/>
  <c r="CJ349" i="1"/>
  <c r="CI349" i="1"/>
  <c r="CF349" i="1"/>
  <c r="CE349" i="1"/>
  <c r="CB349" i="1"/>
  <c r="CA349" i="1"/>
  <c r="BX349" i="1"/>
  <c r="BW349" i="1"/>
  <c r="BT349" i="1"/>
  <c r="BS349" i="1"/>
  <c r="BP349" i="1"/>
  <c r="BO349" i="1"/>
  <c r="BL349" i="1"/>
  <c r="BK349" i="1"/>
  <c r="AZ349" i="1"/>
  <c r="AY349" i="1"/>
  <c r="AV349" i="1"/>
  <c r="AU349" i="1"/>
  <c r="AR349" i="1"/>
  <c r="AQ349" i="1"/>
  <c r="AN349" i="1"/>
  <c r="AM349" i="1"/>
  <c r="AJ349" i="1"/>
  <c r="AI349" i="1"/>
  <c r="AF349" i="1"/>
  <c r="AE349" i="1"/>
  <c r="AB349" i="1"/>
  <c r="AA349" i="1"/>
  <c r="X349" i="1"/>
  <c r="W349" i="1"/>
  <c r="T349" i="1"/>
  <c r="S349" i="1"/>
  <c r="P349" i="1"/>
  <c r="O349" i="1"/>
  <c r="L349" i="1"/>
  <c r="K349" i="1"/>
  <c r="H349" i="1"/>
  <c r="G349" i="1"/>
  <c r="D349" i="1"/>
  <c r="C349" i="1"/>
  <c r="CZ348" i="1"/>
  <c r="CY348" i="1"/>
  <c r="CV348" i="1"/>
  <c r="CU348" i="1"/>
  <c r="CR348" i="1"/>
  <c r="CQ348" i="1"/>
  <c r="CN348" i="1"/>
  <c r="CM348" i="1"/>
  <c r="CJ348" i="1"/>
  <c r="CI348" i="1"/>
  <c r="CF348" i="1"/>
  <c r="CE348" i="1"/>
  <c r="CB348" i="1"/>
  <c r="CA348" i="1"/>
  <c r="BX348" i="1"/>
  <c r="BW348" i="1"/>
  <c r="BT348" i="1"/>
  <c r="BS348" i="1"/>
  <c r="BP348" i="1"/>
  <c r="BO348" i="1"/>
  <c r="BL348" i="1"/>
  <c r="BK348" i="1"/>
  <c r="AZ348" i="1"/>
  <c r="AY348" i="1"/>
  <c r="AV348" i="1"/>
  <c r="AU348" i="1"/>
  <c r="AR348" i="1"/>
  <c r="AQ348" i="1"/>
  <c r="AN348" i="1"/>
  <c r="AM348" i="1"/>
  <c r="AJ348" i="1"/>
  <c r="AI348" i="1"/>
  <c r="AF348" i="1"/>
  <c r="AE348" i="1"/>
  <c r="AB348" i="1"/>
  <c r="AA348" i="1"/>
  <c r="X348" i="1"/>
  <c r="W348" i="1"/>
  <c r="T348" i="1"/>
  <c r="S348" i="1"/>
  <c r="P348" i="1"/>
  <c r="O348" i="1"/>
  <c r="L348" i="1"/>
  <c r="K348" i="1"/>
  <c r="H348" i="1"/>
  <c r="G348" i="1"/>
  <c r="D348" i="1"/>
  <c r="C348" i="1"/>
  <c r="CZ346" i="1"/>
  <c r="CY346" i="1"/>
  <c r="CV346" i="1"/>
  <c r="CU346" i="1"/>
  <c r="CR346" i="1"/>
  <c r="CQ346" i="1"/>
  <c r="CN346" i="1"/>
  <c r="CM346" i="1"/>
  <c r="CJ346" i="1"/>
  <c r="CI346" i="1"/>
  <c r="CF346" i="1"/>
  <c r="CE346" i="1"/>
  <c r="CB346" i="1"/>
  <c r="CA346" i="1"/>
  <c r="BX346" i="1"/>
  <c r="BW346" i="1"/>
  <c r="BT346" i="1"/>
  <c r="BS346" i="1"/>
  <c r="BP346" i="1"/>
  <c r="BO346" i="1"/>
  <c r="BL346" i="1"/>
  <c r="BK346" i="1"/>
  <c r="AZ346" i="1"/>
  <c r="AY346" i="1"/>
  <c r="AV346" i="1"/>
  <c r="AU346" i="1"/>
  <c r="AR346" i="1"/>
  <c r="AQ346" i="1"/>
  <c r="AN346" i="1"/>
  <c r="AM346" i="1"/>
  <c r="AJ346" i="1"/>
  <c r="AI346" i="1"/>
  <c r="AF346" i="1"/>
  <c r="AE346" i="1"/>
  <c r="AB346" i="1"/>
  <c r="AA346" i="1"/>
  <c r="X346" i="1"/>
  <c r="W346" i="1"/>
  <c r="T346" i="1"/>
  <c r="S346" i="1"/>
  <c r="P346" i="1"/>
  <c r="O346" i="1"/>
  <c r="L346" i="1"/>
  <c r="K346" i="1"/>
  <c r="H346" i="1"/>
  <c r="G346" i="1"/>
  <c r="D346" i="1"/>
  <c r="C346" i="1"/>
  <c r="CZ345" i="1"/>
  <c r="CY345" i="1"/>
  <c r="CV345" i="1"/>
  <c r="CU345" i="1"/>
  <c r="CR345" i="1"/>
  <c r="CQ345" i="1"/>
  <c r="CN345" i="1"/>
  <c r="CM345" i="1"/>
  <c r="CJ345" i="1"/>
  <c r="CI345" i="1"/>
  <c r="CF345" i="1"/>
  <c r="CE345" i="1"/>
  <c r="CB345" i="1"/>
  <c r="CA345" i="1"/>
  <c r="BX345" i="1"/>
  <c r="BW345" i="1"/>
  <c r="BT345" i="1"/>
  <c r="BS345" i="1"/>
  <c r="BP345" i="1"/>
  <c r="BO345" i="1"/>
  <c r="BL345" i="1"/>
  <c r="BK345" i="1"/>
  <c r="AZ345" i="1"/>
  <c r="AY345" i="1"/>
  <c r="AV345" i="1"/>
  <c r="AU345" i="1"/>
  <c r="AR345" i="1"/>
  <c r="AQ345" i="1"/>
  <c r="AN345" i="1"/>
  <c r="AM345" i="1"/>
  <c r="AJ345" i="1"/>
  <c r="AI345" i="1"/>
  <c r="AF345" i="1"/>
  <c r="AE345" i="1"/>
  <c r="AB345" i="1"/>
  <c r="AA345" i="1"/>
  <c r="X345" i="1"/>
  <c r="W345" i="1"/>
  <c r="T345" i="1"/>
  <c r="S345" i="1"/>
  <c r="P345" i="1"/>
  <c r="O345" i="1"/>
  <c r="L345" i="1"/>
  <c r="K345" i="1"/>
  <c r="H345" i="1"/>
  <c r="G345" i="1"/>
  <c r="D345" i="1"/>
  <c r="C345" i="1"/>
  <c r="CZ344" i="1"/>
  <c r="CY344" i="1"/>
  <c r="CV344" i="1"/>
  <c r="CU344" i="1"/>
  <c r="CR344" i="1"/>
  <c r="CQ344" i="1"/>
  <c r="CN344" i="1"/>
  <c r="CM344" i="1"/>
  <c r="CJ344" i="1"/>
  <c r="CI344" i="1"/>
  <c r="CF344" i="1"/>
  <c r="CE344" i="1"/>
  <c r="CB344" i="1"/>
  <c r="CA344" i="1"/>
  <c r="BX344" i="1"/>
  <c r="BW344" i="1"/>
  <c r="BT344" i="1"/>
  <c r="BS344" i="1"/>
  <c r="BP344" i="1"/>
  <c r="BO344" i="1"/>
  <c r="BL344" i="1"/>
  <c r="BK344" i="1"/>
  <c r="AZ344" i="1"/>
  <c r="AY344" i="1"/>
  <c r="AV344" i="1"/>
  <c r="AU344" i="1"/>
  <c r="AR344" i="1"/>
  <c r="AQ344" i="1"/>
  <c r="AN344" i="1"/>
  <c r="AM344" i="1"/>
  <c r="AJ344" i="1"/>
  <c r="AI344" i="1"/>
  <c r="AF344" i="1"/>
  <c r="AE344" i="1"/>
  <c r="AB344" i="1"/>
  <c r="AA344" i="1"/>
  <c r="X344" i="1"/>
  <c r="W344" i="1"/>
  <c r="T344" i="1"/>
  <c r="S344" i="1"/>
  <c r="P344" i="1"/>
  <c r="O344" i="1"/>
  <c r="L344" i="1"/>
  <c r="K344" i="1"/>
  <c r="H344" i="1"/>
  <c r="G344" i="1"/>
  <c r="D344" i="1"/>
  <c r="C344" i="1"/>
  <c r="CZ342" i="1"/>
  <c r="CY342" i="1"/>
  <c r="CV342" i="1"/>
  <c r="CU342" i="1"/>
  <c r="CR342" i="1"/>
  <c r="CQ342" i="1"/>
  <c r="CN342" i="1"/>
  <c r="CM342" i="1"/>
  <c r="CJ342" i="1"/>
  <c r="CI342" i="1"/>
  <c r="CF342" i="1"/>
  <c r="CE342" i="1"/>
  <c r="CB342" i="1"/>
  <c r="CA342" i="1"/>
  <c r="BX342" i="1"/>
  <c r="BW342" i="1"/>
  <c r="BT342" i="1"/>
  <c r="BS342" i="1"/>
  <c r="BP342" i="1"/>
  <c r="BO342" i="1"/>
  <c r="BL342" i="1"/>
  <c r="BK342" i="1"/>
  <c r="AZ342" i="1"/>
  <c r="AY342" i="1"/>
  <c r="AV342" i="1"/>
  <c r="AU342" i="1"/>
  <c r="AR342" i="1"/>
  <c r="AQ342" i="1"/>
  <c r="AN342" i="1"/>
  <c r="AM342" i="1"/>
  <c r="AJ342" i="1"/>
  <c r="AI342" i="1"/>
  <c r="AF342" i="1"/>
  <c r="AE342" i="1"/>
  <c r="AB342" i="1"/>
  <c r="AA342" i="1"/>
  <c r="X342" i="1"/>
  <c r="W342" i="1"/>
  <c r="T342" i="1"/>
  <c r="S342" i="1"/>
  <c r="P342" i="1"/>
  <c r="O342" i="1"/>
  <c r="L342" i="1"/>
  <c r="K342" i="1"/>
  <c r="H342" i="1"/>
  <c r="G342" i="1"/>
  <c r="D342" i="1"/>
  <c r="C342" i="1"/>
  <c r="CZ341" i="1"/>
  <c r="CY341" i="1"/>
  <c r="CV341" i="1"/>
  <c r="CU341" i="1"/>
  <c r="CR341" i="1"/>
  <c r="CQ341" i="1"/>
  <c r="CN341" i="1"/>
  <c r="CM341" i="1"/>
  <c r="CJ341" i="1"/>
  <c r="CI341" i="1"/>
  <c r="CF341" i="1"/>
  <c r="CE341" i="1"/>
  <c r="CB341" i="1"/>
  <c r="CA341" i="1"/>
  <c r="BX341" i="1"/>
  <c r="BW341" i="1"/>
  <c r="BT341" i="1"/>
  <c r="BS341" i="1"/>
  <c r="BP341" i="1"/>
  <c r="BO341" i="1"/>
  <c r="BL341" i="1"/>
  <c r="BK341" i="1"/>
  <c r="AZ341" i="1"/>
  <c r="AY341" i="1"/>
  <c r="AV341" i="1"/>
  <c r="AU341" i="1"/>
  <c r="AR341" i="1"/>
  <c r="AQ341" i="1"/>
  <c r="AN341" i="1"/>
  <c r="AM341" i="1"/>
  <c r="AJ341" i="1"/>
  <c r="AI341" i="1"/>
  <c r="AF341" i="1"/>
  <c r="AE341" i="1"/>
  <c r="AB341" i="1"/>
  <c r="AA341" i="1"/>
  <c r="X341" i="1"/>
  <c r="W341" i="1"/>
  <c r="T341" i="1"/>
  <c r="S341" i="1"/>
  <c r="P341" i="1"/>
  <c r="O341" i="1"/>
  <c r="L341" i="1"/>
  <c r="K341" i="1"/>
  <c r="H341" i="1"/>
  <c r="G341" i="1"/>
  <c r="D341" i="1"/>
  <c r="C341" i="1"/>
  <c r="CZ340" i="1"/>
  <c r="CY340" i="1"/>
  <c r="CV340" i="1"/>
  <c r="CU340" i="1"/>
  <c r="CR340" i="1"/>
  <c r="CQ340" i="1"/>
  <c r="CN340" i="1"/>
  <c r="CM340" i="1"/>
  <c r="CJ340" i="1"/>
  <c r="CI340" i="1"/>
  <c r="CF340" i="1"/>
  <c r="CE340" i="1"/>
  <c r="CB340" i="1"/>
  <c r="CA340" i="1"/>
  <c r="BX340" i="1"/>
  <c r="BW340" i="1"/>
  <c r="BT340" i="1"/>
  <c r="BS340" i="1"/>
  <c r="BP340" i="1"/>
  <c r="BO340" i="1"/>
  <c r="BL340" i="1"/>
  <c r="BK340" i="1"/>
  <c r="AZ340" i="1"/>
  <c r="AY340" i="1"/>
  <c r="AV340" i="1"/>
  <c r="AU340" i="1"/>
  <c r="AR340" i="1"/>
  <c r="AQ340" i="1"/>
  <c r="AN340" i="1"/>
  <c r="AM340" i="1"/>
  <c r="AJ340" i="1"/>
  <c r="AI340" i="1"/>
  <c r="AF340" i="1"/>
  <c r="AE340" i="1"/>
  <c r="AB340" i="1"/>
  <c r="AA340" i="1"/>
  <c r="X340" i="1"/>
  <c r="W340" i="1"/>
  <c r="T340" i="1"/>
  <c r="S340" i="1"/>
  <c r="P340" i="1"/>
  <c r="O340" i="1"/>
  <c r="L340" i="1"/>
  <c r="K340" i="1"/>
  <c r="H340" i="1"/>
  <c r="G340" i="1"/>
  <c r="D340" i="1"/>
  <c r="C340" i="1"/>
  <c r="CZ338" i="1"/>
  <c r="CY338" i="1"/>
  <c r="CV338" i="1"/>
  <c r="CU338" i="1"/>
  <c r="CR338" i="1"/>
  <c r="CQ338" i="1"/>
  <c r="CN338" i="1"/>
  <c r="CM338" i="1"/>
  <c r="CJ338" i="1"/>
  <c r="CI338" i="1"/>
  <c r="CF338" i="1"/>
  <c r="CE338" i="1"/>
  <c r="CB338" i="1"/>
  <c r="CA338" i="1"/>
  <c r="BX338" i="1"/>
  <c r="BW338" i="1"/>
  <c r="BT338" i="1"/>
  <c r="BS338" i="1"/>
  <c r="BP338" i="1"/>
  <c r="BO338" i="1"/>
  <c r="BL338" i="1"/>
  <c r="BK338" i="1"/>
  <c r="AZ338" i="1"/>
  <c r="AY338" i="1"/>
  <c r="AV338" i="1"/>
  <c r="AU338" i="1"/>
  <c r="AR338" i="1"/>
  <c r="AQ338" i="1"/>
  <c r="AN338" i="1"/>
  <c r="AM338" i="1"/>
  <c r="AJ338" i="1"/>
  <c r="AI338" i="1"/>
  <c r="AF338" i="1"/>
  <c r="AE338" i="1"/>
  <c r="AB338" i="1"/>
  <c r="AA338" i="1"/>
  <c r="X338" i="1"/>
  <c r="W338" i="1"/>
  <c r="T338" i="1"/>
  <c r="S338" i="1"/>
  <c r="P338" i="1"/>
  <c r="O338" i="1"/>
  <c r="L338" i="1"/>
  <c r="K338" i="1"/>
  <c r="H338" i="1"/>
  <c r="G338" i="1"/>
  <c r="D338" i="1"/>
  <c r="C338" i="1"/>
  <c r="CZ337" i="1"/>
  <c r="CY337" i="1"/>
  <c r="CV337" i="1"/>
  <c r="CU337" i="1"/>
  <c r="CR337" i="1"/>
  <c r="CQ337" i="1"/>
  <c r="CN337" i="1"/>
  <c r="CM337" i="1"/>
  <c r="CJ337" i="1"/>
  <c r="CI337" i="1"/>
  <c r="CF337" i="1"/>
  <c r="CE337" i="1"/>
  <c r="CB337" i="1"/>
  <c r="CA337" i="1"/>
  <c r="BX337" i="1"/>
  <c r="BW337" i="1"/>
  <c r="BT337" i="1"/>
  <c r="BS337" i="1"/>
  <c r="BP337" i="1"/>
  <c r="BO337" i="1"/>
  <c r="BL337" i="1"/>
  <c r="BK337" i="1"/>
  <c r="AZ337" i="1"/>
  <c r="AY337" i="1"/>
  <c r="AV337" i="1"/>
  <c r="AU337" i="1"/>
  <c r="AR337" i="1"/>
  <c r="AQ337" i="1"/>
  <c r="AN337" i="1"/>
  <c r="AM337" i="1"/>
  <c r="AJ337" i="1"/>
  <c r="AI337" i="1"/>
  <c r="AF337" i="1"/>
  <c r="AE337" i="1"/>
  <c r="AB337" i="1"/>
  <c r="AA337" i="1"/>
  <c r="X337" i="1"/>
  <c r="W337" i="1"/>
  <c r="T337" i="1"/>
  <c r="S337" i="1"/>
  <c r="P337" i="1"/>
  <c r="O337" i="1"/>
  <c r="L337" i="1"/>
  <c r="K337" i="1"/>
  <c r="H337" i="1"/>
  <c r="G337" i="1"/>
  <c r="D337" i="1"/>
  <c r="C337" i="1"/>
  <c r="CZ336" i="1"/>
  <c r="CY336" i="1"/>
  <c r="CV336" i="1"/>
  <c r="CU336" i="1"/>
  <c r="CR336" i="1"/>
  <c r="CQ336" i="1"/>
  <c r="CN336" i="1"/>
  <c r="CM336" i="1"/>
  <c r="CJ336" i="1"/>
  <c r="CI336" i="1"/>
  <c r="CF336" i="1"/>
  <c r="CE336" i="1"/>
  <c r="CB336" i="1"/>
  <c r="CA336" i="1"/>
  <c r="BX336" i="1"/>
  <c r="BW336" i="1"/>
  <c r="BT336" i="1"/>
  <c r="BS336" i="1"/>
  <c r="BP336" i="1"/>
  <c r="BO336" i="1"/>
  <c r="BL336" i="1"/>
  <c r="BK336" i="1"/>
  <c r="AZ336" i="1"/>
  <c r="AY336" i="1"/>
  <c r="AV336" i="1"/>
  <c r="AU336" i="1"/>
  <c r="AR336" i="1"/>
  <c r="AQ336" i="1"/>
  <c r="AN336" i="1"/>
  <c r="AM336" i="1"/>
  <c r="AJ336" i="1"/>
  <c r="AI336" i="1"/>
  <c r="AF336" i="1"/>
  <c r="AE336" i="1"/>
  <c r="AB336" i="1"/>
  <c r="AA336" i="1"/>
  <c r="X336" i="1"/>
  <c r="W336" i="1"/>
  <c r="T336" i="1"/>
  <c r="S336" i="1"/>
  <c r="P336" i="1"/>
  <c r="O336" i="1"/>
  <c r="L336" i="1"/>
  <c r="K336" i="1"/>
  <c r="H336" i="1"/>
  <c r="G336" i="1"/>
  <c r="D336" i="1"/>
  <c r="C336" i="1"/>
  <c r="CZ334" i="1"/>
  <c r="CY334" i="1"/>
  <c r="CV334" i="1"/>
  <c r="CU334" i="1"/>
  <c r="CR334" i="1"/>
  <c r="CQ334" i="1"/>
  <c r="CN334" i="1"/>
  <c r="CM334" i="1"/>
  <c r="CJ334" i="1"/>
  <c r="CI334" i="1"/>
  <c r="CF334" i="1"/>
  <c r="CE334" i="1"/>
  <c r="CB334" i="1"/>
  <c r="CA334" i="1"/>
  <c r="BX334" i="1"/>
  <c r="BW334" i="1"/>
  <c r="BT334" i="1"/>
  <c r="BS334" i="1"/>
  <c r="BP334" i="1"/>
  <c r="BO334" i="1"/>
  <c r="BL334" i="1"/>
  <c r="BK334" i="1"/>
  <c r="AZ334" i="1"/>
  <c r="AY334" i="1"/>
  <c r="AV334" i="1"/>
  <c r="AU334" i="1"/>
  <c r="AR334" i="1"/>
  <c r="AQ334" i="1"/>
  <c r="AN334" i="1"/>
  <c r="AM334" i="1"/>
  <c r="AJ334" i="1"/>
  <c r="AI334" i="1"/>
  <c r="AF334" i="1"/>
  <c r="AE334" i="1"/>
  <c r="AB334" i="1"/>
  <c r="AA334" i="1"/>
  <c r="X334" i="1"/>
  <c r="W334" i="1"/>
  <c r="T334" i="1"/>
  <c r="S334" i="1"/>
  <c r="P334" i="1"/>
  <c r="O334" i="1"/>
  <c r="L334" i="1"/>
  <c r="K334" i="1"/>
  <c r="H334" i="1"/>
  <c r="G334" i="1"/>
  <c r="D334" i="1"/>
  <c r="C334" i="1"/>
  <c r="CZ333" i="1"/>
  <c r="CY333" i="1"/>
  <c r="CV333" i="1"/>
  <c r="CU333" i="1"/>
  <c r="CR333" i="1"/>
  <c r="CQ333" i="1"/>
  <c r="CN333" i="1"/>
  <c r="CM333" i="1"/>
  <c r="CJ333" i="1"/>
  <c r="CI333" i="1"/>
  <c r="CF333" i="1"/>
  <c r="CE333" i="1"/>
  <c r="CB333" i="1"/>
  <c r="CA333" i="1"/>
  <c r="BX333" i="1"/>
  <c r="BW333" i="1"/>
  <c r="BT333" i="1"/>
  <c r="BS333" i="1"/>
  <c r="BP333" i="1"/>
  <c r="BO333" i="1"/>
  <c r="BL333" i="1"/>
  <c r="BK333" i="1"/>
  <c r="AZ333" i="1"/>
  <c r="AY333" i="1"/>
  <c r="AV333" i="1"/>
  <c r="AU333" i="1"/>
  <c r="AR333" i="1"/>
  <c r="AQ333" i="1"/>
  <c r="AN333" i="1"/>
  <c r="AM333" i="1"/>
  <c r="AJ333" i="1"/>
  <c r="AI333" i="1"/>
  <c r="AF333" i="1"/>
  <c r="AE333" i="1"/>
  <c r="AB333" i="1"/>
  <c r="AA333" i="1"/>
  <c r="X333" i="1"/>
  <c r="W333" i="1"/>
  <c r="T333" i="1"/>
  <c r="S333" i="1"/>
  <c r="P333" i="1"/>
  <c r="O333" i="1"/>
  <c r="L333" i="1"/>
  <c r="K333" i="1"/>
  <c r="H333" i="1"/>
  <c r="G333" i="1"/>
  <c r="D333" i="1"/>
  <c r="C333" i="1"/>
  <c r="CZ332" i="1"/>
  <c r="CY332" i="1"/>
  <c r="CV332" i="1"/>
  <c r="CU332" i="1"/>
  <c r="CR332" i="1"/>
  <c r="CQ332" i="1"/>
  <c r="CN332" i="1"/>
  <c r="CM332" i="1"/>
  <c r="CJ332" i="1"/>
  <c r="CI332" i="1"/>
  <c r="CF332" i="1"/>
  <c r="CE332" i="1"/>
  <c r="CB332" i="1"/>
  <c r="CA332" i="1"/>
  <c r="BX332" i="1"/>
  <c r="BW332" i="1"/>
  <c r="BT332" i="1"/>
  <c r="BS332" i="1"/>
  <c r="BP332" i="1"/>
  <c r="BO332" i="1"/>
  <c r="BL332" i="1"/>
  <c r="BK332" i="1"/>
  <c r="AZ332" i="1"/>
  <c r="AY332" i="1"/>
  <c r="AV332" i="1"/>
  <c r="AU332" i="1"/>
  <c r="AR332" i="1"/>
  <c r="AQ332" i="1"/>
  <c r="AN332" i="1"/>
  <c r="AM332" i="1"/>
  <c r="AJ332" i="1"/>
  <c r="AI332" i="1"/>
  <c r="AF332" i="1"/>
  <c r="AE332" i="1"/>
  <c r="AB332" i="1"/>
  <c r="AA332" i="1"/>
  <c r="X332" i="1"/>
  <c r="W332" i="1"/>
  <c r="T332" i="1"/>
  <c r="S332" i="1"/>
  <c r="P332" i="1"/>
  <c r="O332" i="1"/>
  <c r="L332" i="1"/>
  <c r="K332" i="1"/>
  <c r="H332" i="1"/>
  <c r="G332" i="1"/>
  <c r="D332" i="1"/>
  <c r="C332" i="1"/>
  <c r="CZ330" i="1"/>
  <c r="CY330" i="1"/>
  <c r="CV330" i="1"/>
  <c r="CU330" i="1"/>
  <c r="CR330" i="1"/>
  <c r="CQ330" i="1"/>
  <c r="CN330" i="1"/>
  <c r="CM330" i="1"/>
  <c r="CJ330" i="1"/>
  <c r="CI330" i="1"/>
  <c r="CF330" i="1"/>
  <c r="CE330" i="1"/>
  <c r="CB330" i="1"/>
  <c r="CA330" i="1"/>
  <c r="BX330" i="1"/>
  <c r="BW330" i="1"/>
  <c r="BT330" i="1"/>
  <c r="BS330" i="1"/>
  <c r="BP330" i="1"/>
  <c r="BO330" i="1"/>
  <c r="BL330" i="1"/>
  <c r="BK330" i="1"/>
  <c r="AZ330" i="1"/>
  <c r="AY330" i="1"/>
  <c r="AV330" i="1"/>
  <c r="AU330" i="1"/>
  <c r="AR330" i="1"/>
  <c r="AQ330" i="1"/>
  <c r="AN330" i="1"/>
  <c r="AM330" i="1"/>
  <c r="AJ330" i="1"/>
  <c r="AI330" i="1"/>
  <c r="AF330" i="1"/>
  <c r="AE330" i="1"/>
  <c r="AB330" i="1"/>
  <c r="AA330" i="1"/>
  <c r="X330" i="1"/>
  <c r="W330" i="1"/>
  <c r="T330" i="1"/>
  <c r="S330" i="1"/>
  <c r="P330" i="1"/>
  <c r="O330" i="1"/>
  <c r="L330" i="1"/>
  <c r="K330" i="1"/>
  <c r="H330" i="1"/>
  <c r="G330" i="1"/>
  <c r="D330" i="1"/>
  <c r="C330" i="1"/>
  <c r="CZ329" i="1"/>
  <c r="CY329" i="1"/>
  <c r="CV329" i="1"/>
  <c r="CU329" i="1"/>
  <c r="CR329" i="1"/>
  <c r="CQ329" i="1"/>
  <c r="CN329" i="1"/>
  <c r="CM329" i="1"/>
  <c r="CJ329" i="1"/>
  <c r="CI329" i="1"/>
  <c r="CF329" i="1"/>
  <c r="CE329" i="1"/>
  <c r="CB329" i="1"/>
  <c r="CA329" i="1"/>
  <c r="BX329" i="1"/>
  <c r="BW329" i="1"/>
  <c r="BT329" i="1"/>
  <c r="BS329" i="1"/>
  <c r="BP329" i="1"/>
  <c r="BO329" i="1"/>
  <c r="BL329" i="1"/>
  <c r="BK329" i="1"/>
  <c r="AZ329" i="1"/>
  <c r="AY329" i="1"/>
  <c r="AV329" i="1"/>
  <c r="AU329" i="1"/>
  <c r="AR329" i="1"/>
  <c r="AQ329" i="1"/>
  <c r="AN329" i="1"/>
  <c r="AM329" i="1"/>
  <c r="AJ329" i="1"/>
  <c r="AI329" i="1"/>
  <c r="AF329" i="1"/>
  <c r="AE329" i="1"/>
  <c r="AB329" i="1"/>
  <c r="AA329" i="1"/>
  <c r="X329" i="1"/>
  <c r="W329" i="1"/>
  <c r="T329" i="1"/>
  <c r="S329" i="1"/>
  <c r="P329" i="1"/>
  <c r="O329" i="1"/>
  <c r="L329" i="1"/>
  <c r="K329" i="1"/>
  <c r="H329" i="1"/>
  <c r="G329" i="1"/>
  <c r="D329" i="1"/>
  <c r="C329" i="1"/>
  <c r="CZ328" i="1"/>
  <c r="CY328" i="1"/>
  <c r="CV328" i="1"/>
  <c r="CU328" i="1"/>
  <c r="CR328" i="1"/>
  <c r="CQ328" i="1"/>
  <c r="CN328" i="1"/>
  <c r="CM328" i="1"/>
  <c r="CJ328" i="1"/>
  <c r="CI328" i="1"/>
  <c r="CF328" i="1"/>
  <c r="CE328" i="1"/>
  <c r="CB328" i="1"/>
  <c r="CA328" i="1"/>
  <c r="BX328" i="1"/>
  <c r="BW328" i="1"/>
  <c r="BT328" i="1"/>
  <c r="BS328" i="1"/>
  <c r="BP328" i="1"/>
  <c r="BO328" i="1"/>
  <c r="BL328" i="1"/>
  <c r="BK328" i="1"/>
  <c r="AZ328" i="1"/>
  <c r="AY328" i="1"/>
  <c r="AV328" i="1"/>
  <c r="AU328" i="1"/>
  <c r="AR328" i="1"/>
  <c r="AQ328" i="1"/>
  <c r="AN328" i="1"/>
  <c r="AM328" i="1"/>
  <c r="AJ328" i="1"/>
  <c r="AI328" i="1"/>
  <c r="AF328" i="1"/>
  <c r="AE328" i="1"/>
  <c r="AB328" i="1"/>
  <c r="AA328" i="1"/>
  <c r="X328" i="1"/>
  <c r="W328" i="1"/>
  <c r="T328" i="1"/>
  <c r="S328" i="1"/>
  <c r="P328" i="1"/>
  <c r="O328" i="1"/>
  <c r="L328" i="1"/>
  <c r="K328" i="1"/>
  <c r="H328" i="1"/>
  <c r="G328" i="1"/>
  <c r="D328" i="1"/>
  <c r="C328" i="1"/>
  <c r="CZ326" i="1"/>
  <c r="CY326" i="1"/>
  <c r="CV326" i="1"/>
  <c r="CU326" i="1"/>
  <c r="CR326" i="1"/>
  <c r="CQ326" i="1"/>
  <c r="CN326" i="1"/>
  <c r="CM326" i="1"/>
  <c r="CJ326" i="1"/>
  <c r="CI326" i="1"/>
  <c r="CF326" i="1"/>
  <c r="CE326" i="1"/>
  <c r="CB326" i="1"/>
  <c r="CA326" i="1"/>
  <c r="BX326" i="1"/>
  <c r="BW326" i="1"/>
  <c r="BT326" i="1"/>
  <c r="BS326" i="1"/>
  <c r="BP326" i="1"/>
  <c r="BO326" i="1"/>
  <c r="BL326" i="1"/>
  <c r="BK326" i="1"/>
  <c r="AZ326" i="1"/>
  <c r="AY326" i="1"/>
  <c r="AV326" i="1"/>
  <c r="AU326" i="1"/>
  <c r="AR326" i="1"/>
  <c r="AQ326" i="1"/>
  <c r="AN326" i="1"/>
  <c r="AM326" i="1"/>
  <c r="AJ326" i="1"/>
  <c r="AI326" i="1"/>
  <c r="AF326" i="1"/>
  <c r="AE326" i="1"/>
  <c r="AB326" i="1"/>
  <c r="AA326" i="1"/>
  <c r="X326" i="1"/>
  <c r="W326" i="1"/>
  <c r="T326" i="1"/>
  <c r="S326" i="1"/>
  <c r="P326" i="1"/>
  <c r="O326" i="1"/>
  <c r="L326" i="1"/>
  <c r="K326" i="1"/>
  <c r="H326" i="1"/>
  <c r="G326" i="1"/>
  <c r="D326" i="1"/>
  <c r="C326" i="1"/>
  <c r="CZ325" i="1"/>
  <c r="CY325" i="1"/>
  <c r="CV325" i="1"/>
  <c r="CU325" i="1"/>
  <c r="CR325" i="1"/>
  <c r="CQ325" i="1"/>
  <c r="CN325" i="1"/>
  <c r="CM325" i="1"/>
  <c r="CJ325" i="1"/>
  <c r="CI325" i="1"/>
  <c r="CF325" i="1"/>
  <c r="CE325" i="1"/>
  <c r="CB325" i="1"/>
  <c r="CA325" i="1"/>
  <c r="BX325" i="1"/>
  <c r="BW325" i="1"/>
  <c r="BT325" i="1"/>
  <c r="BS325" i="1"/>
  <c r="BP325" i="1"/>
  <c r="BO325" i="1"/>
  <c r="BL325" i="1"/>
  <c r="BK325" i="1"/>
  <c r="AZ325" i="1"/>
  <c r="AY325" i="1"/>
  <c r="AV325" i="1"/>
  <c r="AU325" i="1"/>
  <c r="AR325" i="1"/>
  <c r="AQ325" i="1"/>
  <c r="AN325" i="1"/>
  <c r="AM325" i="1"/>
  <c r="AJ325" i="1"/>
  <c r="AI325" i="1"/>
  <c r="AF325" i="1"/>
  <c r="AE325" i="1"/>
  <c r="AB325" i="1"/>
  <c r="AA325" i="1"/>
  <c r="X325" i="1"/>
  <c r="W325" i="1"/>
  <c r="T325" i="1"/>
  <c r="S325" i="1"/>
  <c r="P325" i="1"/>
  <c r="O325" i="1"/>
  <c r="L325" i="1"/>
  <c r="K325" i="1"/>
  <c r="H325" i="1"/>
  <c r="G325" i="1"/>
  <c r="D325" i="1"/>
  <c r="C325" i="1"/>
  <c r="CZ324" i="1"/>
  <c r="CY324" i="1"/>
  <c r="CV324" i="1"/>
  <c r="CU324" i="1"/>
  <c r="CR324" i="1"/>
  <c r="CQ324" i="1"/>
  <c r="CN324" i="1"/>
  <c r="CM324" i="1"/>
  <c r="CJ324" i="1"/>
  <c r="CI324" i="1"/>
  <c r="CF324" i="1"/>
  <c r="CE324" i="1"/>
  <c r="CB324" i="1"/>
  <c r="CA324" i="1"/>
  <c r="BX324" i="1"/>
  <c r="BW324" i="1"/>
  <c r="BT324" i="1"/>
  <c r="BS324" i="1"/>
  <c r="BP324" i="1"/>
  <c r="BO324" i="1"/>
  <c r="BL324" i="1"/>
  <c r="BK324" i="1"/>
  <c r="AZ324" i="1"/>
  <c r="AY324" i="1"/>
  <c r="AV324" i="1"/>
  <c r="AU324" i="1"/>
  <c r="AR324" i="1"/>
  <c r="AQ324" i="1"/>
  <c r="AN324" i="1"/>
  <c r="AM324" i="1"/>
  <c r="AJ324" i="1"/>
  <c r="AI324" i="1"/>
  <c r="AF324" i="1"/>
  <c r="AE324" i="1"/>
  <c r="AB324" i="1"/>
  <c r="AA324" i="1"/>
  <c r="X324" i="1"/>
  <c r="W324" i="1"/>
  <c r="T324" i="1"/>
  <c r="S324" i="1"/>
  <c r="P324" i="1"/>
  <c r="O324" i="1"/>
  <c r="L324" i="1"/>
  <c r="K324" i="1"/>
  <c r="H324" i="1"/>
  <c r="G324" i="1"/>
  <c r="D324" i="1"/>
  <c r="C324" i="1"/>
  <c r="CZ321" i="1"/>
  <c r="CV321" i="1"/>
  <c r="CR321" i="1"/>
  <c r="CN321" i="1"/>
  <c r="CJ321" i="1"/>
  <c r="CF321" i="1"/>
  <c r="CB321" i="1"/>
  <c r="BX321" i="1"/>
  <c r="BT321" i="1"/>
  <c r="BP321" i="1"/>
  <c r="BL321" i="1"/>
  <c r="AZ321" i="1"/>
  <c r="AV321" i="1"/>
  <c r="AR321" i="1"/>
  <c r="AN321" i="1"/>
  <c r="AJ321" i="1"/>
  <c r="AF321" i="1"/>
  <c r="AB321" i="1"/>
  <c r="X321" i="1"/>
  <c r="T321" i="1"/>
  <c r="P321" i="1"/>
  <c r="L321" i="1"/>
  <c r="H321" i="1"/>
  <c r="D321" i="1"/>
  <c r="CZ320" i="1"/>
  <c r="CV320" i="1"/>
  <c r="CR320" i="1"/>
  <c r="CN320" i="1"/>
  <c r="CJ320" i="1"/>
  <c r="CF320" i="1"/>
  <c r="CB320" i="1"/>
  <c r="BX320" i="1"/>
  <c r="BT320" i="1"/>
  <c r="BP320" i="1"/>
  <c r="BL320" i="1"/>
  <c r="AZ320" i="1"/>
  <c r="AV320" i="1"/>
  <c r="AR320" i="1"/>
  <c r="AN320" i="1"/>
  <c r="AJ320" i="1"/>
  <c r="AF320" i="1"/>
  <c r="AB320" i="1"/>
  <c r="X320" i="1"/>
  <c r="T320" i="1"/>
  <c r="P320" i="1"/>
  <c r="L320" i="1"/>
  <c r="H320" i="1"/>
  <c r="D320" i="1"/>
  <c r="CZ319" i="1"/>
  <c r="CV319" i="1"/>
  <c r="CR319" i="1"/>
  <c r="CN319" i="1"/>
  <c r="CJ319" i="1"/>
  <c r="CF319" i="1"/>
  <c r="CB319" i="1"/>
  <c r="BX319" i="1"/>
  <c r="BT319" i="1"/>
  <c r="BP319" i="1"/>
  <c r="BL319" i="1"/>
  <c r="AZ319" i="1"/>
  <c r="AV319" i="1"/>
  <c r="AR319" i="1"/>
  <c r="AN319" i="1"/>
  <c r="AJ319" i="1"/>
  <c r="AF319" i="1"/>
  <c r="AB319" i="1"/>
  <c r="X319" i="1"/>
  <c r="T319" i="1"/>
  <c r="P319" i="1"/>
  <c r="L319" i="1"/>
  <c r="H319" i="1"/>
  <c r="D319" i="1"/>
  <c r="CZ318" i="1"/>
  <c r="CY318" i="1"/>
  <c r="CV318" i="1"/>
  <c r="CU318" i="1"/>
  <c r="CR318" i="1"/>
  <c r="CQ318" i="1"/>
  <c r="CN318" i="1"/>
  <c r="CM318" i="1"/>
  <c r="CJ318" i="1"/>
  <c r="CI318" i="1"/>
  <c r="CF318" i="1"/>
  <c r="CE318" i="1"/>
  <c r="CB318" i="1"/>
  <c r="CA318" i="1"/>
  <c r="BX318" i="1"/>
  <c r="BW318" i="1"/>
  <c r="BT318" i="1"/>
  <c r="BS318" i="1"/>
  <c r="BP318" i="1"/>
  <c r="BO318" i="1"/>
  <c r="BL318" i="1"/>
  <c r="BK318" i="1"/>
  <c r="AZ318" i="1"/>
  <c r="AY318" i="1"/>
  <c r="AV318" i="1"/>
  <c r="AU318" i="1"/>
  <c r="AR318" i="1"/>
  <c r="AQ318" i="1"/>
  <c r="AN318" i="1"/>
  <c r="AM318" i="1"/>
  <c r="AJ318" i="1"/>
  <c r="AI318" i="1"/>
  <c r="AF318" i="1"/>
  <c r="AE318" i="1"/>
  <c r="AB318" i="1"/>
  <c r="AA318" i="1"/>
  <c r="X318" i="1"/>
  <c r="W318" i="1"/>
  <c r="T318" i="1"/>
  <c r="S318" i="1"/>
  <c r="P318" i="1"/>
  <c r="O318" i="1"/>
  <c r="L318" i="1"/>
  <c r="K318" i="1"/>
  <c r="H318" i="1"/>
  <c r="G318" i="1"/>
  <c r="D318" i="1"/>
  <c r="C318" i="1"/>
  <c r="CZ316" i="1"/>
  <c r="CY316" i="1"/>
  <c r="CV316" i="1"/>
  <c r="CU316" i="1"/>
  <c r="CR316" i="1"/>
  <c r="CQ316" i="1"/>
  <c r="CN316" i="1"/>
  <c r="CM316" i="1"/>
  <c r="CJ316" i="1"/>
  <c r="CI316" i="1"/>
  <c r="CF316" i="1"/>
  <c r="CE316" i="1"/>
  <c r="CB316" i="1"/>
  <c r="CA316" i="1"/>
  <c r="BX316" i="1"/>
  <c r="BW316" i="1"/>
  <c r="BT316" i="1"/>
  <c r="BS316" i="1"/>
  <c r="BP316" i="1"/>
  <c r="BO316" i="1"/>
  <c r="BL316" i="1"/>
  <c r="BK316" i="1"/>
  <c r="AZ316" i="1"/>
  <c r="AY316" i="1"/>
  <c r="AV316" i="1"/>
  <c r="AU316" i="1"/>
  <c r="AR316" i="1"/>
  <c r="AQ316" i="1"/>
  <c r="AN316" i="1"/>
  <c r="AM316" i="1"/>
  <c r="AJ316" i="1"/>
  <c r="AI316" i="1"/>
  <c r="AF316" i="1"/>
  <c r="AE316" i="1"/>
  <c r="AB316" i="1"/>
  <c r="AA316" i="1"/>
  <c r="X316" i="1"/>
  <c r="W316" i="1"/>
  <c r="T316" i="1"/>
  <c r="S316" i="1"/>
  <c r="P316" i="1"/>
  <c r="O316" i="1"/>
  <c r="L316" i="1"/>
  <c r="K316" i="1"/>
  <c r="H316" i="1"/>
  <c r="G316" i="1"/>
  <c r="D316" i="1"/>
  <c r="C316" i="1"/>
  <c r="CZ315" i="1"/>
  <c r="CY315" i="1"/>
  <c r="CV315" i="1"/>
  <c r="CU315" i="1"/>
  <c r="CR315" i="1"/>
  <c r="CQ315" i="1"/>
  <c r="CN315" i="1"/>
  <c r="CM315" i="1"/>
  <c r="CJ315" i="1"/>
  <c r="CI315" i="1"/>
  <c r="CF315" i="1"/>
  <c r="CE315" i="1"/>
  <c r="CB315" i="1"/>
  <c r="CA315" i="1"/>
  <c r="BX315" i="1"/>
  <c r="BW315" i="1"/>
  <c r="BT315" i="1"/>
  <c r="BS315" i="1"/>
  <c r="BP315" i="1"/>
  <c r="BO315" i="1"/>
  <c r="BL315" i="1"/>
  <c r="BK315" i="1"/>
  <c r="AZ315" i="1"/>
  <c r="AY315" i="1"/>
  <c r="AV315" i="1"/>
  <c r="AU315" i="1"/>
  <c r="AR315" i="1"/>
  <c r="AQ315" i="1"/>
  <c r="AN315" i="1"/>
  <c r="AM315" i="1"/>
  <c r="AJ315" i="1"/>
  <c r="AI315" i="1"/>
  <c r="AF315" i="1"/>
  <c r="AE315" i="1"/>
  <c r="AB315" i="1"/>
  <c r="AA315" i="1"/>
  <c r="X315" i="1"/>
  <c r="W315" i="1"/>
  <c r="T315" i="1"/>
  <c r="S315" i="1"/>
  <c r="P315" i="1"/>
  <c r="O315" i="1"/>
  <c r="L315" i="1"/>
  <c r="K315" i="1"/>
  <c r="H315" i="1"/>
  <c r="G315" i="1"/>
  <c r="D315" i="1"/>
  <c r="C315" i="1"/>
  <c r="CZ314" i="1"/>
  <c r="CY314" i="1"/>
  <c r="CV314" i="1"/>
  <c r="CU314" i="1"/>
  <c r="CR314" i="1"/>
  <c r="CQ314" i="1"/>
  <c r="CN314" i="1"/>
  <c r="CM314" i="1"/>
  <c r="CJ314" i="1"/>
  <c r="CI314" i="1"/>
  <c r="CF314" i="1"/>
  <c r="CE314" i="1"/>
  <c r="CB314" i="1"/>
  <c r="CA314" i="1"/>
  <c r="BX314" i="1"/>
  <c r="BW314" i="1"/>
  <c r="BT314" i="1"/>
  <c r="BS314" i="1"/>
  <c r="BP314" i="1"/>
  <c r="BO314" i="1"/>
  <c r="BL314" i="1"/>
  <c r="BK314" i="1"/>
  <c r="AZ314" i="1"/>
  <c r="AY314" i="1"/>
  <c r="AV314" i="1"/>
  <c r="AU314" i="1"/>
  <c r="AR314" i="1"/>
  <c r="AQ314" i="1"/>
  <c r="AN314" i="1"/>
  <c r="AM314" i="1"/>
  <c r="AJ314" i="1"/>
  <c r="AI314" i="1"/>
  <c r="AF314" i="1"/>
  <c r="AE314" i="1"/>
  <c r="AB314" i="1"/>
  <c r="AA314" i="1"/>
  <c r="X314" i="1"/>
  <c r="W314" i="1"/>
  <c r="T314" i="1"/>
  <c r="S314" i="1"/>
  <c r="P314" i="1"/>
  <c r="O314" i="1"/>
  <c r="L314" i="1"/>
  <c r="K314" i="1"/>
  <c r="H314" i="1"/>
  <c r="G314" i="1"/>
  <c r="D314" i="1"/>
  <c r="C314" i="1"/>
  <c r="CZ313" i="1"/>
  <c r="CY313" i="1"/>
  <c r="CV313" i="1"/>
  <c r="CU313" i="1"/>
  <c r="CR313" i="1"/>
  <c r="CQ313" i="1"/>
  <c r="CN313" i="1"/>
  <c r="CM313" i="1"/>
  <c r="CJ313" i="1"/>
  <c r="CI313" i="1"/>
  <c r="CF313" i="1"/>
  <c r="CE313" i="1"/>
  <c r="CB313" i="1"/>
  <c r="CA313" i="1"/>
  <c r="BX313" i="1"/>
  <c r="BW313" i="1"/>
  <c r="BT313" i="1"/>
  <c r="BS313" i="1"/>
  <c r="BP313" i="1"/>
  <c r="BO313" i="1"/>
  <c r="BL313" i="1"/>
  <c r="BK313" i="1"/>
  <c r="AZ313" i="1"/>
  <c r="AY313" i="1"/>
  <c r="AV313" i="1"/>
  <c r="AU313" i="1"/>
  <c r="AR313" i="1"/>
  <c r="AQ313" i="1"/>
  <c r="AN313" i="1"/>
  <c r="AM313" i="1"/>
  <c r="AJ313" i="1"/>
  <c r="AI313" i="1"/>
  <c r="AF313" i="1"/>
  <c r="AE313" i="1"/>
  <c r="AB313" i="1"/>
  <c r="AA313" i="1"/>
  <c r="X313" i="1"/>
  <c r="W313" i="1"/>
  <c r="T313" i="1"/>
  <c r="S313" i="1"/>
  <c r="P313" i="1"/>
  <c r="O313" i="1"/>
  <c r="L313" i="1"/>
  <c r="K313" i="1"/>
  <c r="H313" i="1"/>
  <c r="G313" i="1"/>
  <c r="D313" i="1"/>
  <c r="C313" i="1"/>
  <c r="CZ312" i="1"/>
  <c r="CY312" i="1"/>
  <c r="CV312" i="1"/>
  <c r="CU312" i="1"/>
  <c r="CR312" i="1"/>
  <c r="CQ312" i="1"/>
  <c r="CN312" i="1"/>
  <c r="CM312" i="1"/>
  <c r="CJ312" i="1"/>
  <c r="CI312" i="1"/>
  <c r="CF312" i="1"/>
  <c r="CE312" i="1"/>
  <c r="CB312" i="1"/>
  <c r="CA312" i="1"/>
  <c r="BX312" i="1"/>
  <c r="BW312" i="1"/>
  <c r="BT312" i="1"/>
  <c r="BS312" i="1"/>
  <c r="BP312" i="1"/>
  <c r="BO312" i="1"/>
  <c r="BL312" i="1"/>
  <c r="BK312" i="1"/>
  <c r="AZ312" i="1"/>
  <c r="AY312" i="1"/>
  <c r="AV312" i="1"/>
  <c r="AU312" i="1"/>
  <c r="AR312" i="1"/>
  <c r="AQ312" i="1"/>
  <c r="AN312" i="1"/>
  <c r="AM312" i="1"/>
  <c r="AJ312" i="1"/>
  <c r="AI312" i="1"/>
  <c r="AF312" i="1"/>
  <c r="AE312" i="1"/>
  <c r="AB312" i="1"/>
  <c r="AA312" i="1"/>
  <c r="X312" i="1"/>
  <c r="W312" i="1"/>
  <c r="T312" i="1"/>
  <c r="S312" i="1"/>
  <c r="P312" i="1"/>
  <c r="O312" i="1"/>
  <c r="L312" i="1"/>
  <c r="K312" i="1"/>
  <c r="H312" i="1"/>
  <c r="G312" i="1"/>
  <c r="D312" i="1"/>
  <c r="C312" i="1"/>
  <c r="CZ311" i="1"/>
  <c r="CY311" i="1"/>
  <c r="CV311" i="1"/>
  <c r="CU311" i="1"/>
  <c r="CR311" i="1"/>
  <c r="CQ311" i="1"/>
  <c r="CN311" i="1"/>
  <c r="CM311" i="1"/>
  <c r="CJ311" i="1"/>
  <c r="CI311" i="1"/>
  <c r="CF311" i="1"/>
  <c r="CE311" i="1"/>
  <c r="CB311" i="1"/>
  <c r="CA311" i="1"/>
  <c r="BX311" i="1"/>
  <c r="BW311" i="1"/>
  <c r="BT311" i="1"/>
  <c r="BS311" i="1"/>
  <c r="BP311" i="1"/>
  <c r="BO311" i="1"/>
  <c r="BL311" i="1"/>
  <c r="BK311" i="1"/>
  <c r="AZ311" i="1"/>
  <c r="AY311" i="1"/>
  <c r="AV311" i="1"/>
  <c r="AU311" i="1"/>
  <c r="AR311" i="1"/>
  <c r="AQ311" i="1"/>
  <c r="AN311" i="1"/>
  <c r="AM311" i="1"/>
  <c r="AJ311" i="1"/>
  <c r="AI311" i="1"/>
  <c r="AF311" i="1"/>
  <c r="AE311" i="1"/>
  <c r="AB311" i="1"/>
  <c r="AA311" i="1"/>
  <c r="X311" i="1"/>
  <c r="W311" i="1"/>
  <c r="T311" i="1"/>
  <c r="S311" i="1"/>
  <c r="P311" i="1"/>
  <c r="O311" i="1"/>
  <c r="L311" i="1"/>
  <c r="K311" i="1"/>
  <c r="H311" i="1"/>
  <c r="G311" i="1"/>
  <c r="D311" i="1"/>
  <c r="C311" i="1"/>
  <c r="CZ310" i="1"/>
  <c r="CY310" i="1"/>
  <c r="CV310" i="1"/>
  <c r="CU310" i="1"/>
  <c r="CR310" i="1"/>
  <c r="CQ310" i="1"/>
  <c r="CN310" i="1"/>
  <c r="CM310" i="1"/>
  <c r="CJ310" i="1"/>
  <c r="CI310" i="1"/>
  <c r="CF310" i="1"/>
  <c r="CE310" i="1"/>
  <c r="CB310" i="1"/>
  <c r="CA310" i="1"/>
  <c r="BX310" i="1"/>
  <c r="BW310" i="1"/>
  <c r="BT310" i="1"/>
  <c r="BS310" i="1"/>
  <c r="BP310" i="1"/>
  <c r="BO310" i="1"/>
  <c r="BL310" i="1"/>
  <c r="BK310" i="1"/>
  <c r="AZ310" i="1"/>
  <c r="AY310" i="1"/>
  <c r="AV310" i="1"/>
  <c r="AU310" i="1"/>
  <c r="AR310" i="1"/>
  <c r="AQ310" i="1"/>
  <c r="AN310" i="1"/>
  <c r="AM310" i="1"/>
  <c r="AJ310" i="1"/>
  <c r="AI310" i="1"/>
  <c r="AF310" i="1"/>
  <c r="AE310" i="1"/>
  <c r="AB310" i="1"/>
  <c r="AA310" i="1"/>
  <c r="X310" i="1"/>
  <c r="W310" i="1"/>
  <c r="T310" i="1"/>
  <c r="S310" i="1"/>
  <c r="P310" i="1"/>
  <c r="O310" i="1"/>
  <c r="L310" i="1"/>
  <c r="K310" i="1"/>
  <c r="H310" i="1"/>
  <c r="G310" i="1"/>
  <c r="D310" i="1"/>
  <c r="C310" i="1"/>
  <c r="CZ309" i="1"/>
  <c r="CY309" i="1"/>
  <c r="CV309" i="1"/>
  <c r="CU309" i="1"/>
  <c r="CR309" i="1"/>
  <c r="CQ309" i="1"/>
  <c r="CN309" i="1"/>
  <c r="CM309" i="1"/>
  <c r="CJ309" i="1"/>
  <c r="CI309" i="1"/>
  <c r="CF309" i="1"/>
  <c r="CE309" i="1"/>
  <c r="CB309" i="1"/>
  <c r="CA309" i="1"/>
  <c r="BX309" i="1"/>
  <c r="BW309" i="1"/>
  <c r="BT309" i="1"/>
  <c r="BS309" i="1"/>
  <c r="BP309" i="1"/>
  <c r="BO309" i="1"/>
  <c r="BL309" i="1"/>
  <c r="BK309" i="1"/>
  <c r="AZ309" i="1"/>
  <c r="AY309" i="1"/>
  <c r="AV309" i="1"/>
  <c r="AU309" i="1"/>
  <c r="AR309" i="1"/>
  <c r="AQ309" i="1"/>
  <c r="AN309" i="1"/>
  <c r="AM309" i="1"/>
  <c r="AJ309" i="1"/>
  <c r="AI309" i="1"/>
  <c r="AF309" i="1"/>
  <c r="AE309" i="1"/>
  <c r="AB309" i="1"/>
  <c r="AA309" i="1"/>
  <c r="X309" i="1"/>
  <c r="W309" i="1"/>
  <c r="T309" i="1"/>
  <c r="S309" i="1"/>
  <c r="P309" i="1"/>
  <c r="O309" i="1"/>
  <c r="L309" i="1"/>
  <c r="K309" i="1"/>
  <c r="H309" i="1"/>
  <c r="G309" i="1"/>
  <c r="D309" i="1"/>
  <c r="C309" i="1"/>
  <c r="CZ307" i="1"/>
  <c r="CY307" i="1"/>
  <c r="CV307" i="1"/>
  <c r="CU307" i="1"/>
  <c r="CR307" i="1"/>
  <c r="CQ307" i="1"/>
  <c r="CN307" i="1"/>
  <c r="CM307" i="1"/>
  <c r="CJ307" i="1"/>
  <c r="CI307" i="1"/>
  <c r="CF307" i="1"/>
  <c r="CE307" i="1"/>
  <c r="CB307" i="1"/>
  <c r="CA307" i="1"/>
  <c r="BX307" i="1"/>
  <c r="BW307" i="1"/>
  <c r="BT307" i="1"/>
  <c r="BS307" i="1"/>
  <c r="BP307" i="1"/>
  <c r="BO307" i="1"/>
  <c r="BL307" i="1"/>
  <c r="BK307" i="1"/>
  <c r="AZ307" i="1"/>
  <c r="AY307" i="1"/>
  <c r="AV307" i="1"/>
  <c r="AU307" i="1"/>
  <c r="AR307" i="1"/>
  <c r="AQ307" i="1"/>
  <c r="AN307" i="1"/>
  <c r="AM307" i="1"/>
  <c r="AJ307" i="1"/>
  <c r="AI307" i="1"/>
  <c r="AF307" i="1"/>
  <c r="AE307" i="1"/>
  <c r="AB307" i="1"/>
  <c r="AA307" i="1"/>
  <c r="X307" i="1"/>
  <c r="W307" i="1"/>
  <c r="T307" i="1"/>
  <c r="S307" i="1"/>
  <c r="P307" i="1"/>
  <c r="O307" i="1"/>
  <c r="L307" i="1"/>
  <c r="K307" i="1"/>
  <c r="H307" i="1"/>
  <c r="G307" i="1"/>
  <c r="D307" i="1"/>
  <c r="C307" i="1"/>
  <c r="CZ306" i="1"/>
  <c r="CY306" i="1"/>
  <c r="CV306" i="1"/>
  <c r="CU306" i="1"/>
  <c r="CR306" i="1"/>
  <c r="CQ306" i="1"/>
  <c r="CN306" i="1"/>
  <c r="CM306" i="1"/>
  <c r="CJ306" i="1"/>
  <c r="CI306" i="1"/>
  <c r="CF306" i="1"/>
  <c r="CE306" i="1"/>
  <c r="CB306" i="1"/>
  <c r="CA306" i="1"/>
  <c r="BX306" i="1"/>
  <c r="BW306" i="1"/>
  <c r="BT306" i="1"/>
  <c r="BS306" i="1"/>
  <c r="BP306" i="1"/>
  <c r="BO306" i="1"/>
  <c r="BL306" i="1"/>
  <c r="BK306" i="1"/>
  <c r="AZ306" i="1"/>
  <c r="AY306" i="1"/>
  <c r="AV306" i="1"/>
  <c r="AU306" i="1"/>
  <c r="AR306" i="1"/>
  <c r="AQ306" i="1"/>
  <c r="AN306" i="1"/>
  <c r="AM306" i="1"/>
  <c r="AJ306" i="1"/>
  <c r="AI306" i="1"/>
  <c r="AF306" i="1"/>
  <c r="AE306" i="1"/>
  <c r="AB306" i="1"/>
  <c r="AA306" i="1"/>
  <c r="X306" i="1"/>
  <c r="W306" i="1"/>
  <c r="T306" i="1"/>
  <c r="S306" i="1"/>
  <c r="P306" i="1"/>
  <c r="O306" i="1"/>
  <c r="L306" i="1"/>
  <c r="K306" i="1"/>
  <c r="H306" i="1"/>
  <c r="G306" i="1"/>
  <c r="D306" i="1"/>
  <c r="C306" i="1"/>
  <c r="CZ305" i="1"/>
  <c r="CY305" i="1"/>
  <c r="CV305" i="1"/>
  <c r="CU305" i="1"/>
  <c r="CR305" i="1"/>
  <c r="CQ305" i="1"/>
  <c r="CN305" i="1"/>
  <c r="CM305" i="1"/>
  <c r="CJ305" i="1"/>
  <c r="CI305" i="1"/>
  <c r="CF305" i="1"/>
  <c r="CE305" i="1"/>
  <c r="CB305" i="1"/>
  <c r="CA305" i="1"/>
  <c r="BX305" i="1"/>
  <c r="BW305" i="1"/>
  <c r="BT305" i="1"/>
  <c r="BS305" i="1"/>
  <c r="BP305" i="1"/>
  <c r="BO305" i="1"/>
  <c r="BL305" i="1"/>
  <c r="BK305" i="1"/>
  <c r="AZ305" i="1"/>
  <c r="AY305" i="1"/>
  <c r="AV305" i="1"/>
  <c r="AU305" i="1"/>
  <c r="AR305" i="1"/>
  <c r="AQ305" i="1"/>
  <c r="AN305" i="1"/>
  <c r="AM305" i="1"/>
  <c r="AJ305" i="1"/>
  <c r="AI305" i="1"/>
  <c r="AF305" i="1"/>
  <c r="AE305" i="1"/>
  <c r="AB305" i="1"/>
  <c r="AA305" i="1"/>
  <c r="X305" i="1"/>
  <c r="W305" i="1"/>
  <c r="T305" i="1"/>
  <c r="S305" i="1"/>
  <c r="P305" i="1"/>
  <c r="O305" i="1"/>
  <c r="L305" i="1"/>
  <c r="K305" i="1"/>
  <c r="H305" i="1"/>
  <c r="G305" i="1"/>
  <c r="D305" i="1"/>
  <c r="C305" i="1"/>
  <c r="CZ304" i="1"/>
  <c r="CY304" i="1"/>
  <c r="CV304" i="1"/>
  <c r="CU304" i="1"/>
  <c r="CR304" i="1"/>
  <c r="CQ304" i="1"/>
  <c r="CN304" i="1"/>
  <c r="CM304" i="1"/>
  <c r="CJ304" i="1"/>
  <c r="CI304" i="1"/>
  <c r="CF304" i="1"/>
  <c r="CE304" i="1"/>
  <c r="CB304" i="1"/>
  <c r="CA304" i="1"/>
  <c r="BX304" i="1"/>
  <c r="BW304" i="1"/>
  <c r="BT304" i="1"/>
  <c r="BS304" i="1"/>
  <c r="BP304" i="1"/>
  <c r="BO304" i="1"/>
  <c r="BL304" i="1"/>
  <c r="BK304" i="1"/>
  <c r="AZ304" i="1"/>
  <c r="AY304" i="1"/>
  <c r="AV304" i="1"/>
  <c r="AU304" i="1"/>
  <c r="AR304" i="1"/>
  <c r="AQ304" i="1"/>
  <c r="AN304" i="1"/>
  <c r="AM304" i="1"/>
  <c r="AJ304" i="1"/>
  <c r="AI304" i="1"/>
  <c r="AF304" i="1"/>
  <c r="AE304" i="1"/>
  <c r="AB304" i="1"/>
  <c r="AA304" i="1"/>
  <c r="X304" i="1"/>
  <c r="W304" i="1"/>
  <c r="T304" i="1"/>
  <c r="S304" i="1"/>
  <c r="P304" i="1"/>
  <c r="O304" i="1"/>
  <c r="L304" i="1"/>
  <c r="K304" i="1"/>
  <c r="H304" i="1"/>
  <c r="G304" i="1"/>
  <c r="D304" i="1"/>
  <c r="C304" i="1"/>
  <c r="CZ303" i="1"/>
  <c r="CY303" i="1"/>
  <c r="CV303" i="1"/>
  <c r="CU303" i="1"/>
  <c r="CR303" i="1"/>
  <c r="CQ303" i="1"/>
  <c r="CN303" i="1"/>
  <c r="CM303" i="1"/>
  <c r="CJ303" i="1"/>
  <c r="CI303" i="1"/>
  <c r="CF303" i="1"/>
  <c r="CE303" i="1"/>
  <c r="CB303" i="1"/>
  <c r="CA303" i="1"/>
  <c r="BX303" i="1"/>
  <c r="BW303" i="1"/>
  <c r="BT303" i="1"/>
  <c r="BS303" i="1"/>
  <c r="BP303" i="1"/>
  <c r="BO303" i="1"/>
  <c r="BL303" i="1"/>
  <c r="BK303" i="1"/>
  <c r="AZ303" i="1"/>
  <c r="AY303" i="1"/>
  <c r="AV303" i="1"/>
  <c r="AU303" i="1"/>
  <c r="AR303" i="1"/>
  <c r="AQ303" i="1"/>
  <c r="AN303" i="1"/>
  <c r="AM303" i="1"/>
  <c r="AJ303" i="1"/>
  <c r="AI303" i="1"/>
  <c r="AF303" i="1"/>
  <c r="AE303" i="1"/>
  <c r="AB303" i="1"/>
  <c r="AA303" i="1"/>
  <c r="X303" i="1"/>
  <c r="W303" i="1"/>
  <c r="T303" i="1"/>
  <c r="S303" i="1"/>
  <c r="P303" i="1"/>
  <c r="O303" i="1"/>
  <c r="L303" i="1"/>
  <c r="K303" i="1"/>
  <c r="H303" i="1"/>
  <c r="G303" i="1"/>
  <c r="D303" i="1"/>
  <c r="C303" i="1"/>
  <c r="CZ302" i="1"/>
  <c r="CY302" i="1"/>
  <c r="CV302" i="1"/>
  <c r="CU302" i="1"/>
  <c r="CR302" i="1"/>
  <c r="CQ302" i="1"/>
  <c r="CN302" i="1"/>
  <c r="CM302" i="1"/>
  <c r="CJ302" i="1"/>
  <c r="CI302" i="1"/>
  <c r="CF302" i="1"/>
  <c r="CE302" i="1"/>
  <c r="CB302" i="1"/>
  <c r="CA302" i="1"/>
  <c r="BX302" i="1"/>
  <c r="BW302" i="1"/>
  <c r="BT302" i="1"/>
  <c r="BS302" i="1"/>
  <c r="BP302" i="1"/>
  <c r="BO302" i="1"/>
  <c r="BL302" i="1"/>
  <c r="BK302" i="1"/>
  <c r="AZ302" i="1"/>
  <c r="AY302" i="1"/>
  <c r="AV302" i="1"/>
  <c r="AU302" i="1"/>
  <c r="AR302" i="1"/>
  <c r="AQ302" i="1"/>
  <c r="AN302" i="1"/>
  <c r="AM302" i="1"/>
  <c r="AJ302" i="1"/>
  <c r="AI302" i="1"/>
  <c r="AF302" i="1"/>
  <c r="AE302" i="1"/>
  <c r="AB302" i="1"/>
  <c r="AA302" i="1"/>
  <c r="X302" i="1"/>
  <c r="W302" i="1"/>
  <c r="T302" i="1"/>
  <c r="S302" i="1"/>
  <c r="P302" i="1"/>
  <c r="O302" i="1"/>
  <c r="L302" i="1"/>
  <c r="K302" i="1"/>
  <c r="H302" i="1"/>
  <c r="G302" i="1"/>
  <c r="D302" i="1"/>
  <c r="C302" i="1"/>
  <c r="CZ301" i="1"/>
  <c r="CY301" i="1"/>
  <c r="CV301" i="1"/>
  <c r="CU301" i="1"/>
  <c r="CR301" i="1"/>
  <c r="CQ301" i="1"/>
  <c r="CN301" i="1"/>
  <c r="CM301" i="1"/>
  <c r="CJ301" i="1"/>
  <c r="CI301" i="1"/>
  <c r="CF301" i="1"/>
  <c r="CE301" i="1"/>
  <c r="CB301" i="1"/>
  <c r="CA301" i="1"/>
  <c r="BX301" i="1"/>
  <c r="BW301" i="1"/>
  <c r="BT301" i="1"/>
  <c r="BS301" i="1"/>
  <c r="BP301" i="1"/>
  <c r="BO301" i="1"/>
  <c r="BL301" i="1"/>
  <c r="BK301" i="1"/>
  <c r="AZ301" i="1"/>
  <c r="AY301" i="1"/>
  <c r="AV301" i="1"/>
  <c r="AU301" i="1"/>
  <c r="AR301" i="1"/>
  <c r="AQ301" i="1"/>
  <c r="AN301" i="1"/>
  <c r="AM301" i="1"/>
  <c r="AJ301" i="1"/>
  <c r="AI301" i="1"/>
  <c r="AF301" i="1"/>
  <c r="AE301" i="1"/>
  <c r="AB301" i="1"/>
  <c r="AA301" i="1"/>
  <c r="X301" i="1"/>
  <c r="W301" i="1"/>
  <c r="T301" i="1"/>
  <c r="S301" i="1"/>
  <c r="P301" i="1"/>
  <c r="O301" i="1"/>
  <c r="L301" i="1"/>
  <c r="K301" i="1"/>
  <c r="H301" i="1"/>
  <c r="G301" i="1"/>
  <c r="D301" i="1"/>
  <c r="C301" i="1"/>
  <c r="CZ300" i="1"/>
  <c r="CY300" i="1"/>
  <c r="CV300" i="1"/>
  <c r="CU300" i="1"/>
  <c r="CR300" i="1"/>
  <c r="CQ300" i="1"/>
  <c r="CN300" i="1"/>
  <c r="CM300" i="1"/>
  <c r="CJ300" i="1"/>
  <c r="CI300" i="1"/>
  <c r="CF300" i="1"/>
  <c r="CE300" i="1"/>
  <c r="CB300" i="1"/>
  <c r="CA300" i="1"/>
  <c r="BX300" i="1"/>
  <c r="BW300" i="1"/>
  <c r="BT300" i="1"/>
  <c r="BS300" i="1"/>
  <c r="BP300" i="1"/>
  <c r="BO300" i="1"/>
  <c r="BL300" i="1"/>
  <c r="BK300" i="1"/>
  <c r="AZ300" i="1"/>
  <c r="AY300" i="1"/>
  <c r="AV300" i="1"/>
  <c r="AU300" i="1"/>
  <c r="AR300" i="1"/>
  <c r="AQ300" i="1"/>
  <c r="AN300" i="1"/>
  <c r="AM300" i="1"/>
  <c r="AJ300" i="1"/>
  <c r="AI300" i="1"/>
  <c r="AF300" i="1"/>
  <c r="AE300" i="1"/>
  <c r="AB300" i="1"/>
  <c r="AA300" i="1"/>
  <c r="X300" i="1"/>
  <c r="W300" i="1"/>
  <c r="T300" i="1"/>
  <c r="S300" i="1"/>
  <c r="P300" i="1"/>
  <c r="O300" i="1"/>
  <c r="L300" i="1"/>
  <c r="K300" i="1"/>
  <c r="H300" i="1"/>
  <c r="G300" i="1"/>
  <c r="D300" i="1"/>
  <c r="C300" i="1"/>
  <c r="CZ298" i="1"/>
  <c r="CY298" i="1"/>
  <c r="CV298" i="1"/>
  <c r="CU298" i="1"/>
  <c r="CR298" i="1"/>
  <c r="CQ298" i="1"/>
  <c r="CN298" i="1"/>
  <c r="CM298" i="1"/>
  <c r="CJ298" i="1"/>
  <c r="CI298" i="1"/>
  <c r="CF298" i="1"/>
  <c r="CE298" i="1"/>
  <c r="CB298" i="1"/>
  <c r="CA298" i="1"/>
  <c r="BX298" i="1"/>
  <c r="BW298" i="1"/>
  <c r="BT298" i="1"/>
  <c r="BS298" i="1"/>
  <c r="BP298" i="1"/>
  <c r="BO298" i="1"/>
  <c r="BL298" i="1"/>
  <c r="BK298" i="1"/>
  <c r="AZ298" i="1"/>
  <c r="AY298" i="1"/>
  <c r="AV298" i="1"/>
  <c r="AU298" i="1"/>
  <c r="AR298" i="1"/>
  <c r="AQ298" i="1"/>
  <c r="AN298" i="1"/>
  <c r="AM298" i="1"/>
  <c r="AJ298" i="1"/>
  <c r="AI298" i="1"/>
  <c r="AF298" i="1"/>
  <c r="AE298" i="1"/>
  <c r="AB298" i="1"/>
  <c r="AA298" i="1"/>
  <c r="X298" i="1"/>
  <c r="W298" i="1"/>
  <c r="T298" i="1"/>
  <c r="S298" i="1"/>
  <c r="P298" i="1"/>
  <c r="O298" i="1"/>
  <c r="L298" i="1"/>
  <c r="K298" i="1"/>
  <c r="H298" i="1"/>
  <c r="G298" i="1"/>
  <c r="D298" i="1"/>
  <c r="C298" i="1"/>
  <c r="CZ297" i="1"/>
  <c r="CY297" i="1"/>
  <c r="CV297" i="1"/>
  <c r="CU297" i="1"/>
  <c r="CR297" i="1"/>
  <c r="CQ297" i="1"/>
  <c r="CN297" i="1"/>
  <c r="CM297" i="1"/>
  <c r="CJ297" i="1"/>
  <c r="CI297" i="1"/>
  <c r="CF297" i="1"/>
  <c r="CE297" i="1"/>
  <c r="CB297" i="1"/>
  <c r="CA297" i="1"/>
  <c r="BX297" i="1"/>
  <c r="BW297" i="1"/>
  <c r="BT297" i="1"/>
  <c r="BS297" i="1"/>
  <c r="BP297" i="1"/>
  <c r="BO297" i="1"/>
  <c r="BL297" i="1"/>
  <c r="BK297" i="1"/>
  <c r="AZ297" i="1"/>
  <c r="AY297" i="1"/>
  <c r="AV297" i="1"/>
  <c r="AU297" i="1"/>
  <c r="AR297" i="1"/>
  <c r="AQ297" i="1"/>
  <c r="AN297" i="1"/>
  <c r="AM297" i="1"/>
  <c r="AJ297" i="1"/>
  <c r="AI297" i="1"/>
  <c r="AF297" i="1"/>
  <c r="AE297" i="1"/>
  <c r="AB297" i="1"/>
  <c r="AA297" i="1"/>
  <c r="X297" i="1"/>
  <c r="W297" i="1"/>
  <c r="T297" i="1"/>
  <c r="S297" i="1"/>
  <c r="P297" i="1"/>
  <c r="O297" i="1"/>
  <c r="L297" i="1"/>
  <c r="K297" i="1"/>
  <c r="H297" i="1"/>
  <c r="G297" i="1"/>
  <c r="D297" i="1"/>
  <c r="C297" i="1"/>
  <c r="CZ296" i="1"/>
  <c r="CY296" i="1"/>
  <c r="CV296" i="1"/>
  <c r="CU296" i="1"/>
  <c r="CR296" i="1"/>
  <c r="CQ296" i="1"/>
  <c r="CN296" i="1"/>
  <c r="CM296" i="1"/>
  <c r="CJ296" i="1"/>
  <c r="CI296" i="1"/>
  <c r="CF296" i="1"/>
  <c r="CE296" i="1"/>
  <c r="CB296" i="1"/>
  <c r="CA296" i="1"/>
  <c r="BX296" i="1"/>
  <c r="BW296" i="1"/>
  <c r="BT296" i="1"/>
  <c r="BS296" i="1"/>
  <c r="BP296" i="1"/>
  <c r="BO296" i="1"/>
  <c r="BL296" i="1"/>
  <c r="BK296" i="1"/>
  <c r="AZ296" i="1"/>
  <c r="AY296" i="1"/>
  <c r="AV296" i="1"/>
  <c r="AU296" i="1"/>
  <c r="AR296" i="1"/>
  <c r="AQ296" i="1"/>
  <c r="AN296" i="1"/>
  <c r="AM296" i="1"/>
  <c r="AJ296" i="1"/>
  <c r="AI296" i="1"/>
  <c r="AF296" i="1"/>
  <c r="AE296" i="1"/>
  <c r="AB296" i="1"/>
  <c r="AA296" i="1"/>
  <c r="X296" i="1"/>
  <c r="W296" i="1"/>
  <c r="T296" i="1"/>
  <c r="S296" i="1"/>
  <c r="P296" i="1"/>
  <c r="O296" i="1"/>
  <c r="L296" i="1"/>
  <c r="K296" i="1"/>
  <c r="H296" i="1"/>
  <c r="G296" i="1"/>
  <c r="D296" i="1"/>
  <c r="C296" i="1"/>
  <c r="CZ295" i="1"/>
  <c r="CY295" i="1"/>
  <c r="CV295" i="1"/>
  <c r="CU295" i="1"/>
  <c r="CR295" i="1"/>
  <c r="CQ295" i="1"/>
  <c r="CN295" i="1"/>
  <c r="CM295" i="1"/>
  <c r="CJ295" i="1"/>
  <c r="CI295" i="1"/>
  <c r="CF295" i="1"/>
  <c r="CE295" i="1"/>
  <c r="CB295" i="1"/>
  <c r="CA295" i="1"/>
  <c r="BX295" i="1"/>
  <c r="BW295" i="1"/>
  <c r="BT295" i="1"/>
  <c r="BS295" i="1"/>
  <c r="BP295" i="1"/>
  <c r="BO295" i="1"/>
  <c r="BL295" i="1"/>
  <c r="BK295" i="1"/>
  <c r="AZ295" i="1"/>
  <c r="AY295" i="1"/>
  <c r="AV295" i="1"/>
  <c r="AU295" i="1"/>
  <c r="AR295" i="1"/>
  <c r="AQ295" i="1"/>
  <c r="AN295" i="1"/>
  <c r="AM295" i="1"/>
  <c r="AJ295" i="1"/>
  <c r="AI295" i="1"/>
  <c r="AF295" i="1"/>
  <c r="AE295" i="1"/>
  <c r="AB295" i="1"/>
  <c r="AA295" i="1"/>
  <c r="X295" i="1"/>
  <c r="W295" i="1"/>
  <c r="T295" i="1"/>
  <c r="S295" i="1"/>
  <c r="P295" i="1"/>
  <c r="O295" i="1"/>
  <c r="L295" i="1"/>
  <c r="K295" i="1"/>
  <c r="H295" i="1"/>
  <c r="G295" i="1"/>
  <c r="D295" i="1"/>
  <c r="C295" i="1"/>
  <c r="CZ294" i="1"/>
  <c r="CY294" i="1"/>
  <c r="CV294" i="1"/>
  <c r="CU294" i="1"/>
  <c r="CR294" i="1"/>
  <c r="CQ294" i="1"/>
  <c r="CN294" i="1"/>
  <c r="CM294" i="1"/>
  <c r="CJ294" i="1"/>
  <c r="CI294" i="1"/>
  <c r="CF294" i="1"/>
  <c r="CE294" i="1"/>
  <c r="CB294" i="1"/>
  <c r="CA294" i="1"/>
  <c r="BX294" i="1"/>
  <c r="BW294" i="1"/>
  <c r="BT294" i="1"/>
  <c r="BS294" i="1"/>
  <c r="BP294" i="1"/>
  <c r="BO294" i="1"/>
  <c r="BL294" i="1"/>
  <c r="BK294" i="1"/>
  <c r="AZ294" i="1"/>
  <c r="AY294" i="1"/>
  <c r="AV294" i="1"/>
  <c r="AU294" i="1"/>
  <c r="AR294" i="1"/>
  <c r="AQ294" i="1"/>
  <c r="AN294" i="1"/>
  <c r="AM294" i="1"/>
  <c r="AJ294" i="1"/>
  <c r="AI294" i="1"/>
  <c r="AF294" i="1"/>
  <c r="AE294" i="1"/>
  <c r="AB294" i="1"/>
  <c r="AA294" i="1"/>
  <c r="X294" i="1"/>
  <c r="W294" i="1"/>
  <c r="T294" i="1"/>
  <c r="S294" i="1"/>
  <c r="P294" i="1"/>
  <c r="O294" i="1"/>
  <c r="L294" i="1"/>
  <c r="K294" i="1"/>
  <c r="H294" i="1"/>
  <c r="G294" i="1"/>
  <c r="D294" i="1"/>
  <c r="C294" i="1"/>
  <c r="CZ293" i="1"/>
  <c r="CY293" i="1"/>
  <c r="CV293" i="1"/>
  <c r="CU293" i="1"/>
  <c r="CR293" i="1"/>
  <c r="CQ293" i="1"/>
  <c r="CN293" i="1"/>
  <c r="CM293" i="1"/>
  <c r="CJ293" i="1"/>
  <c r="CI293" i="1"/>
  <c r="CF293" i="1"/>
  <c r="CE293" i="1"/>
  <c r="CB293" i="1"/>
  <c r="CA293" i="1"/>
  <c r="BX293" i="1"/>
  <c r="BW293" i="1"/>
  <c r="BT293" i="1"/>
  <c r="BS293" i="1"/>
  <c r="BP293" i="1"/>
  <c r="BO293" i="1"/>
  <c r="BL293" i="1"/>
  <c r="BK293" i="1"/>
  <c r="AZ293" i="1"/>
  <c r="AY293" i="1"/>
  <c r="AV293" i="1"/>
  <c r="AU293" i="1"/>
  <c r="AR293" i="1"/>
  <c r="AQ293" i="1"/>
  <c r="AN293" i="1"/>
  <c r="AM293" i="1"/>
  <c r="AJ293" i="1"/>
  <c r="AI293" i="1"/>
  <c r="AF293" i="1"/>
  <c r="AE293" i="1"/>
  <c r="AB293" i="1"/>
  <c r="AA293" i="1"/>
  <c r="X293" i="1"/>
  <c r="W293" i="1"/>
  <c r="T293" i="1"/>
  <c r="S293" i="1"/>
  <c r="P293" i="1"/>
  <c r="O293" i="1"/>
  <c r="L293" i="1"/>
  <c r="K293" i="1"/>
  <c r="H293" i="1"/>
  <c r="G293" i="1"/>
  <c r="D293" i="1"/>
  <c r="C293" i="1"/>
  <c r="CZ292" i="1"/>
  <c r="CY292" i="1"/>
  <c r="CV292" i="1"/>
  <c r="CU292" i="1"/>
  <c r="CR292" i="1"/>
  <c r="CQ292" i="1"/>
  <c r="CN292" i="1"/>
  <c r="CM292" i="1"/>
  <c r="CJ292" i="1"/>
  <c r="CI292" i="1"/>
  <c r="CF292" i="1"/>
  <c r="CE292" i="1"/>
  <c r="CB292" i="1"/>
  <c r="CA292" i="1"/>
  <c r="BX292" i="1"/>
  <c r="BW292" i="1"/>
  <c r="BT292" i="1"/>
  <c r="BS292" i="1"/>
  <c r="BP292" i="1"/>
  <c r="BO292" i="1"/>
  <c r="BL292" i="1"/>
  <c r="BK292" i="1"/>
  <c r="AZ292" i="1"/>
  <c r="AY292" i="1"/>
  <c r="AV292" i="1"/>
  <c r="AU292" i="1"/>
  <c r="AR292" i="1"/>
  <c r="AQ292" i="1"/>
  <c r="AN292" i="1"/>
  <c r="AM292" i="1"/>
  <c r="AJ292" i="1"/>
  <c r="AI292" i="1"/>
  <c r="AF292" i="1"/>
  <c r="AE292" i="1"/>
  <c r="AB292" i="1"/>
  <c r="AA292" i="1"/>
  <c r="X292" i="1"/>
  <c r="W292" i="1"/>
  <c r="T292" i="1"/>
  <c r="S292" i="1"/>
  <c r="P292" i="1"/>
  <c r="O292" i="1"/>
  <c r="L292" i="1"/>
  <c r="K292" i="1"/>
  <c r="H292" i="1"/>
  <c r="G292" i="1"/>
  <c r="D292" i="1"/>
  <c r="C292" i="1"/>
  <c r="CZ291" i="1"/>
  <c r="CY291" i="1"/>
  <c r="CV291" i="1"/>
  <c r="CU291" i="1"/>
  <c r="CR291" i="1"/>
  <c r="CQ291" i="1"/>
  <c r="CN291" i="1"/>
  <c r="CM291" i="1"/>
  <c r="CJ291" i="1"/>
  <c r="CI291" i="1"/>
  <c r="CF291" i="1"/>
  <c r="CE291" i="1"/>
  <c r="CB291" i="1"/>
  <c r="CA291" i="1"/>
  <c r="BX291" i="1"/>
  <c r="BW291" i="1"/>
  <c r="BT291" i="1"/>
  <c r="BS291" i="1"/>
  <c r="BP291" i="1"/>
  <c r="BO291" i="1"/>
  <c r="BL291" i="1"/>
  <c r="BK291" i="1"/>
  <c r="AZ291" i="1"/>
  <c r="AY291" i="1"/>
  <c r="AV291" i="1"/>
  <c r="AU291" i="1"/>
  <c r="AR291" i="1"/>
  <c r="AQ291" i="1"/>
  <c r="AN291" i="1"/>
  <c r="AM291" i="1"/>
  <c r="AJ291" i="1"/>
  <c r="AI291" i="1"/>
  <c r="AF291" i="1"/>
  <c r="AE291" i="1"/>
  <c r="AB291" i="1"/>
  <c r="AA291" i="1"/>
  <c r="X291" i="1"/>
  <c r="W291" i="1"/>
  <c r="T291" i="1"/>
  <c r="S291" i="1"/>
  <c r="P291" i="1"/>
  <c r="O291" i="1"/>
  <c r="L291" i="1"/>
  <c r="K291" i="1"/>
  <c r="H291" i="1"/>
  <c r="G291" i="1"/>
  <c r="D291" i="1"/>
  <c r="C291" i="1"/>
  <c r="CZ289" i="1"/>
  <c r="CY289" i="1"/>
  <c r="CV289" i="1"/>
  <c r="CU289" i="1"/>
  <c r="CR289" i="1"/>
  <c r="CQ289" i="1"/>
  <c r="CN289" i="1"/>
  <c r="CM289" i="1"/>
  <c r="CJ289" i="1"/>
  <c r="CI289" i="1"/>
  <c r="CF289" i="1"/>
  <c r="CE289" i="1"/>
  <c r="CB289" i="1"/>
  <c r="CA289" i="1"/>
  <c r="BX289" i="1"/>
  <c r="BW289" i="1"/>
  <c r="BT289" i="1"/>
  <c r="BS289" i="1"/>
  <c r="BP289" i="1"/>
  <c r="BO289" i="1"/>
  <c r="BL289" i="1"/>
  <c r="BK289" i="1"/>
  <c r="AZ289" i="1"/>
  <c r="AY289" i="1"/>
  <c r="AV289" i="1"/>
  <c r="AU289" i="1"/>
  <c r="AR289" i="1"/>
  <c r="AQ289" i="1"/>
  <c r="AN289" i="1"/>
  <c r="AM289" i="1"/>
  <c r="AJ289" i="1"/>
  <c r="AI289" i="1"/>
  <c r="AF289" i="1"/>
  <c r="AE289" i="1"/>
  <c r="AB289" i="1"/>
  <c r="AA289" i="1"/>
  <c r="X289" i="1"/>
  <c r="W289" i="1"/>
  <c r="T289" i="1"/>
  <c r="S289" i="1"/>
  <c r="P289" i="1"/>
  <c r="O289" i="1"/>
  <c r="L289" i="1"/>
  <c r="K289" i="1"/>
  <c r="H289" i="1"/>
  <c r="G289" i="1"/>
  <c r="D289" i="1"/>
  <c r="C289" i="1"/>
  <c r="CZ288" i="1"/>
  <c r="CY288" i="1"/>
  <c r="CV288" i="1"/>
  <c r="CU288" i="1"/>
  <c r="CR288" i="1"/>
  <c r="CQ288" i="1"/>
  <c r="CN288" i="1"/>
  <c r="CM288" i="1"/>
  <c r="CJ288" i="1"/>
  <c r="CI288" i="1"/>
  <c r="CF288" i="1"/>
  <c r="CE288" i="1"/>
  <c r="CB288" i="1"/>
  <c r="CA288" i="1"/>
  <c r="BX288" i="1"/>
  <c r="BW288" i="1"/>
  <c r="BT288" i="1"/>
  <c r="BS288" i="1"/>
  <c r="BP288" i="1"/>
  <c r="BO288" i="1"/>
  <c r="BL288" i="1"/>
  <c r="BK288" i="1"/>
  <c r="AZ288" i="1"/>
  <c r="AY288" i="1"/>
  <c r="AV288" i="1"/>
  <c r="AU288" i="1"/>
  <c r="AR288" i="1"/>
  <c r="AQ288" i="1"/>
  <c r="AN288" i="1"/>
  <c r="AM288" i="1"/>
  <c r="AJ288" i="1"/>
  <c r="AI288" i="1"/>
  <c r="AF288" i="1"/>
  <c r="AE288" i="1"/>
  <c r="AB288" i="1"/>
  <c r="AA288" i="1"/>
  <c r="X288" i="1"/>
  <c r="W288" i="1"/>
  <c r="T288" i="1"/>
  <c r="S288" i="1"/>
  <c r="P288" i="1"/>
  <c r="O288" i="1"/>
  <c r="L288" i="1"/>
  <c r="K288" i="1"/>
  <c r="H288" i="1"/>
  <c r="G288" i="1"/>
  <c r="D288" i="1"/>
  <c r="C288" i="1"/>
  <c r="CZ287" i="1"/>
  <c r="CY287" i="1"/>
  <c r="CV287" i="1"/>
  <c r="CU287" i="1"/>
  <c r="CR287" i="1"/>
  <c r="CQ287" i="1"/>
  <c r="CN287" i="1"/>
  <c r="CM287" i="1"/>
  <c r="CJ287" i="1"/>
  <c r="CI287" i="1"/>
  <c r="CF287" i="1"/>
  <c r="CE287" i="1"/>
  <c r="CB287" i="1"/>
  <c r="CA287" i="1"/>
  <c r="BX287" i="1"/>
  <c r="BW287" i="1"/>
  <c r="BT287" i="1"/>
  <c r="BS287" i="1"/>
  <c r="BP287" i="1"/>
  <c r="BO287" i="1"/>
  <c r="BL287" i="1"/>
  <c r="BK287" i="1"/>
  <c r="AZ287" i="1"/>
  <c r="AY287" i="1"/>
  <c r="AV287" i="1"/>
  <c r="AU287" i="1"/>
  <c r="AR287" i="1"/>
  <c r="AQ287" i="1"/>
  <c r="AN287" i="1"/>
  <c r="AM287" i="1"/>
  <c r="AJ287" i="1"/>
  <c r="AI287" i="1"/>
  <c r="AF287" i="1"/>
  <c r="AE287" i="1"/>
  <c r="AB287" i="1"/>
  <c r="AA287" i="1"/>
  <c r="X287" i="1"/>
  <c r="W287" i="1"/>
  <c r="T287" i="1"/>
  <c r="S287" i="1"/>
  <c r="P287" i="1"/>
  <c r="O287" i="1"/>
  <c r="L287" i="1"/>
  <c r="K287" i="1"/>
  <c r="H287" i="1"/>
  <c r="G287" i="1"/>
  <c r="D287" i="1"/>
  <c r="C287" i="1"/>
  <c r="CZ285" i="1"/>
  <c r="CY285" i="1"/>
  <c r="CV285" i="1"/>
  <c r="CU285" i="1"/>
  <c r="CR285" i="1"/>
  <c r="CQ285" i="1"/>
  <c r="CN285" i="1"/>
  <c r="CM285" i="1"/>
  <c r="CJ285" i="1"/>
  <c r="CI285" i="1"/>
  <c r="CF285" i="1"/>
  <c r="CE285" i="1"/>
  <c r="CB285" i="1"/>
  <c r="CA285" i="1"/>
  <c r="BX285" i="1"/>
  <c r="BW285" i="1"/>
  <c r="BT285" i="1"/>
  <c r="BS285" i="1"/>
  <c r="BP285" i="1"/>
  <c r="BO285" i="1"/>
  <c r="BL285" i="1"/>
  <c r="BK285" i="1"/>
  <c r="AZ285" i="1"/>
  <c r="AY285" i="1"/>
  <c r="AV285" i="1"/>
  <c r="AU285" i="1"/>
  <c r="AR285" i="1"/>
  <c r="AQ285" i="1"/>
  <c r="AN285" i="1"/>
  <c r="AM285" i="1"/>
  <c r="AJ285" i="1"/>
  <c r="AI285" i="1"/>
  <c r="AF285" i="1"/>
  <c r="AE285" i="1"/>
  <c r="AB285" i="1"/>
  <c r="AA285" i="1"/>
  <c r="X285" i="1"/>
  <c r="W285" i="1"/>
  <c r="T285" i="1"/>
  <c r="S285" i="1"/>
  <c r="P285" i="1"/>
  <c r="O285" i="1"/>
  <c r="L285" i="1"/>
  <c r="K285" i="1"/>
  <c r="H285" i="1"/>
  <c r="G285" i="1"/>
  <c r="D285" i="1"/>
  <c r="C285" i="1"/>
  <c r="CZ284" i="1"/>
  <c r="CY284" i="1"/>
  <c r="CV284" i="1"/>
  <c r="CU284" i="1"/>
  <c r="CR284" i="1"/>
  <c r="CQ284" i="1"/>
  <c r="CN284" i="1"/>
  <c r="CM284" i="1"/>
  <c r="CJ284" i="1"/>
  <c r="CI284" i="1"/>
  <c r="CF284" i="1"/>
  <c r="CE284" i="1"/>
  <c r="CB284" i="1"/>
  <c r="CA284" i="1"/>
  <c r="BX284" i="1"/>
  <c r="BW284" i="1"/>
  <c r="BT284" i="1"/>
  <c r="BS284" i="1"/>
  <c r="BP284" i="1"/>
  <c r="BO284" i="1"/>
  <c r="BL284" i="1"/>
  <c r="BK284" i="1"/>
  <c r="AZ284" i="1"/>
  <c r="AY284" i="1"/>
  <c r="AV284" i="1"/>
  <c r="AU284" i="1"/>
  <c r="AR284" i="1"/>
  <c r="AQ284" i="1"/>
  <c r="AN284" i="1"/>
  <c r="AM284" i="1"/>
  <c r="AJ284" i="1"/>
  <c r="AI284" i="1"/>
  <c r="AF284" i="1"/>
  <c r="AE284" i="1"/>
  <c r="AB284" i="1"/>
  <c r="AA284" i="1"/>
  <c r="X284" i="1"/>
  <c r="W284" i="1"/>
  <c r="T284" i="1"/>
  <c r="S284" i="1"/>
  <c r="P284" i="1"/>
  <c r="O284" i="1"/>
  <c r="L284" i="1"/>
  <c r="K284" i="1"/>
  <c r="H284" i="1"/>
  <c r="G284" i="1"/>
  <c r="D284" i="1"/>
  <c r="C284" i="1"/>
  <c r="CZ283" i="1"/>
  <c r="CY283" i="1"/>
  <c r="CV283" i="1"/>
  <c r="CU283" i="1"/>
  <c r="CR283" i="1"/>
  <c r="CQ283" i="1"/>
  <c r="CN283" i="1"/>
  <c r="CM283" i="1"/>
  <c r="CJ283" i="1"/>
  <c r="CI283" i="1"/>
  <c r="CF283" i="1"/>
  <c r="CE283" i="1"/>
  <c r="CB283" i="1"/>
  <c r="CA283" i="1"/>
  <c r="BX283" i="1"/>
  <c r="BW283" i="1"/>
  <c r="BT283" i="1"/>
  <c r="BS283" i="1"/>
  <c r="BP283" i="1"/>
  <c r="BO283" i="1"/>
  <c r="BL283" i="1"/>
  <c r="BK283" i="1"/>
  <c r="AZ283" i="1"/>
  <c r="AY283" i="1"/>
  <c r="AV283" i="1"/>
  <c r="AU283" i="1"/>
  <c r="AR283" i="1"/>
  <c r="AQ283" i="1"/>
  <c r="AN283" i="1"/>
  <c r="AM283" i="1"/>
  <c r="AJ283" i="1"/>
  <c r="AI283" i="1"/>
  <c r="AF283" i="1"/>
  <c r="AE283" i="1"/>
  <c r="AB283" i="1"/>
  <c r="AA283" i="1"/>
  <c r="X283" i="1"/>
  <c r="W283" i="1"/>
  <c r="T283" i="1"/>
  <c r="S283" i="1"/>
  <c r="P283" i="1"/>
  <c r="O283" i="1"/>
  <c r="L283" i="1"/>
  <c r="K283" i="1"/>
  <c r="H283" i="1"/>
  <c r="G283" i="1"/>
  <c r="D283" i="1"/>
  <c r="C283" i="1"/>
  <c r="CZ281" i="1"/>
  <c r="CY281" i="1"/>
  <c r="CV281" i="1"/>
  <c r="CU281" i="1"/>
  <c r="CR281" i="1"/>
  <c r="CQ281" i="1"/>
  <c r="CN281" i="1"/>
  <c r="CM281" i="1"/>
  <c r="CJ281" i="1"/>
  <c r="CI281" i="1"/>
  <c r="CF281" i="1"/>
  <c r="CE281" i="1"/>
  <c r="CB281" i="1"/>
  <c r="CA281" i="1"/>
  <c r="BX281" i="1"/>
  <c r="BW281" i="1"/>
  <c r="BT281" i="1"/>
  <c r="BS281" i="1"/>
  <c r="BP281" i="1"/>
  <c r="BO281" i="1"/>
  <c r="BL281" i="1"/>
  <c r="BK281" i="1"/>
  <c r="AZ281" i="1"/>
  <c r="AY281" i="1"/>
  <c r="AV281" i="1"/>
  <c r="AU281" i="1"/>
  <c r="AR281" i="1"/>
  <c r="AQ281" i="1"/>
  <c r="AN281" i="1"/>
  <c r="AM281" i="1"/>
  <c r="AJ281" i="1"/>
  <c r="AI281" i="1"/>
  <c r="AF281" i="1"/>
  <c r="AE281" i="1"/>
  <c r="AB281" i="1"/>
  <c r="AA281" i="1"/>
  <c r="X281" i="1"/>
  <c r="W281" i="1"/>
  <c r="T281" i="1"/>
  <c r="S281" i="1"/>
  <c r="P281" i="1"/>
  <c r="O281" i="1"/>
  <c r="L281" i="1"/>
  <c r="K281" i="1"/>
  <c r="H281" i="1"/>
  <c r="G281" i="1"/>
  <c r="D281" i="1"/>
  <c r="C281" i="1"/>
  <c r="CZ280" i="1"/>
  <c r="CY280" i="1"/>
  <c r="CV280" i="1"/>
  <c r="CU280" i="1"/>
  <c r="CR280" i="1"/>
  <c r="CQ280" i="1"/>
  <c r="CN280" i="1"/>
  <c r="CM280" i="1"/>
  <c r="CJ280" i="1"/>
  <c r="CI280" i="1"/>
  <c r="CF280" i="1"/>
  <c r="CE280" i="1"/>
  <c r="CB280" i="1"/>
  <c r="CA280" i="1"/>
  <c r="BX280" i="1"/>
  <c r="BW280" i="1"/>
  <c r="BT280" i="1"/>
  <c r="BS280" i="1"/>
  <c r="BP280" i="1"/>
  <c r="BO280" i="1"/>
  <c r="BL280" i="1"/>
  <c r="BK280" i="1"/>
  <c r="AZ280" i="1"/>
  <c r="AY280" i="1"/>
  <c r="AV280" i="1"/>
  <c r="AU280" i="1"/>
  <c r="AR280" i="1"/>
  <c r="AQ280" i="1"/>
  <c r="AN280" i="1"/>
  <c r="AM280" i="1"/>
  <c r="AJ280" i="1"/>
  <c r="AI280" i="1"/>
  <c r="AF280" i="1"/>
  <c r="AE280" i="1"/>
  <c r="AB280" i="1"/>
  <c r="AA280" i="1"/>
  <c r="X280" i="1"/>
  <c r="W280" i="1"/>
  <c r="T280" i="1"/>
  <c r="S280" i="1"/>
  <c r="P280" i="1"/>
  <c r="O280" i="1"/>
  <c r="L280" i="1"/>
  <c r="K280" i="1"/>
  <c r="H280" i="1"/>
  <c r="G280" i="1"/>
  <c r="D280" i="1"/>
  <c r="C280" i="1"/>
  <c r="CZ279" i="1"/>
  <c r="CY279" i="1"/>
  <c r="CV279" i="1"/>
  <c r="CU279" i="1"/>
  <c r="CR279" i="1"/>
  <c r="CQ279" i="1"/>
  <c r="CN279" i="1"/>
  <c r="CM279" i="1"/>
  <c r="CJ279" i="1"/>
  <c r="CI279" i="1"/>
  <c r="CF279" i="1"/>
  <c r="CE279" i="1"/>
  <c r="CB279" i="1"/>
  <c r="CA279" i="1"/>
  <c r="BX279" i="1"/>
  <c r="BW279" i="1"/>
  <c r="BT279" i="1"/>
  <c r="BS279" i="1"/>
  <c r="BP279" i="1"/>
  <c r="BO279" i="1"/>
  <c r="BL279" i="1"/>
  <c r="BK279" i="1"/>
  <c r="AZ279" i="1"/>
  <c r="AY279" i="1"/>
  <c r="AV279" i="1"/>
  <c r="AU279" i="1"/>
  <c r="AR279" i="1"/>
  <c r="AQ279" i="1"/>
  <c r="AN279" i="1"/>
  <c r="AM279" i="1"/>
  <c r="AJ279" i="1"/>
  <c r="AI279" i="1"/>
  <c r="AF279" i="1"/>
  <c r="AE279" i="1"/>
  <c r="AB279" i="1"/>
  <c r="AA279" i="1"/>
  <c r="X279" i="1"/>
  <c r="W279" i="1"/>
  <c r="T279" i="1"/>
  <c r="S279" i="1"/>
  <c r="P279" i="1"/>
  <c r="O279" i="1"/>
  <c r="L279" i="1"/>
  <c r="K279" i="1"/>
  <c r="H279" i="1"/>
  <c r="G279" i="1"/>
  <c r="D279" i="1"/>
  <c r="C279" i="1"/>
  <c r="CZ277" i="1"/>
  <c r="CY277" i="1"/>
  <c r="CV277" i="1"/>
  <c r="CU277" i="1"/>
  <c r="CR277" i="1"/>
  <c r="CQ277" i="1"/>
  <c r="CN277" i="1"/>
  <c r="CM277" i="1"/>
  <c r="CJ277" i="1"/>
  <c r="CI277" i="1"/>
  <c r="CF277" i="1"/>
  <c r="CE277" i="1"/>
  <c r="CB277" i="1"/>
  <c r="CA277" i="1"/>
  <c r="BX277" i="1"/>
  <c r="BW277" i="1"/>
  <c r="BT277" i="1"/>
  <c r="BS277" i="1"/>
  <c r="BP277" i="1"/>
  <c r="BO277" i="1"/>
  <c r="BL277" i="1"/>
  <c r="BK277" i="1"/>
  <c r="AZ277" i="1"/>
  <c r="AY277" i="1"/>
  <c r="AV277" i="1"/>
  <c r="AU277" i="1"/>
  <c r="AR277" i="1"/>
  <c r="AQ277" i="1"/>
  <c r="AN277" i="1"/>
  <c r="AM277" i="1"/>
  <c r="AJ277" i="1"/>
  <c r="AI277" i="1"/>
  <c r="AF277" i="1"/>
  <c r="AE277" i="1"/>
  <c r="AB277" i="1"/>
  <c r="AA277" i="1"/>
  <c r="X277" i="1"/>
  <c r="W277" i="1"/>
  <c r="T277" i="1"/>
  <c r="S277" i="1"/>
  <c r="P277" i="1"/>
  <c r="O277" i="1"/>
  <c r="L277" i="1"/>
  <c r="K277" i="1"/>
  <c r="H277" i="1"/>
  <c r="G277" i="1"/>
  <c r="D277" i="1"/>
  <c r="C277" i="1"/>
  <c r="CZ276" i="1"/>
  <c r="CY276" i="1"/>
  <c r="CV276" i="1"/>
  <c r="CU276" i="1"/>
  <c r="CR276" i="1"/>
  <c r="CQ276" i="1"/>
  <c r="CN276" i="1"/>
  <c r="CM276" i="1"/>
  <c r="CJ276" i="1"/>
  <c r="CI276" i="1"/>
  <c r="CF276" i="1"/>
  <c r="CE276" i="1"/>
  <c r="CB276" i="1"/>
  <c r="CA276" i="1"/>
  <c r="BX276" i="1"/>
  <c r="BW276" i="1"/>
  <c r="BT276" i="1"/>
  <c r="BS276" i="1"/>
  <c r="BP276" i="1"/>
  <c r="BO276" i="1"/>
  <c r="BL276" i="1"/>
  <c r="BK276" i="1"/>
  <c r="AZ276" i="1"/>
  <c r="AY276" i="1"/>
  <c r="AV276" i="1"/>
  <c r="AU276" i="1"/>
  <c r="AR276" i="1"/>
  <c r="AQ276" i="1"/>
  <c r="AN276" i="1"/>
  <c r="AM276" i="1"/>
  <c r="AJ276" i="1"/>
  <c r="AI276" i="1"/>
  <c r="AF276" i="1"/>
  <c r="AE276" i="1"/>
  <c r="AB276" i="1"/>
  <c r="AA276" i="1"/>
  <c r="X276" i="1"/>
  <c r="W276" i="1"/>
  <c r="T276" i="1"/>
  <c r="S276" i="1"/>
  <c r="P276" i="1"/>
  <c r="O276" i="1"/>
  <c r="L276" i="1"/>
  <c r="K276" i="1"/>
  <c r="H276" i="1"/>
  <c r="G276" i="1"/>
  <c r="D276" i="1"/>
  <c r="C276" i="1"/>
  <c r="CZ275" i="1"/>
  <c r="CY275" i="1"/>
  <c r="CV275" i="1"/>
  <c r="CU275" i="1"/>
  <c r="CR275" i="1"/>
  <c r="CQ275" i="1"/>
  <c r="CN275" i="1"/>
  <c r="CM275" i="1"/>
  <c r="CJ275" i="1"/>
  <c r="CI275" i="1"/>
  <c r="CF275" i="1"/>
  <c r="CE275" i="1"/>
  <c r="CB275" i="1"/>
  <c r="CA275" i="1"/>
  <c r="BX275" i="1"/>
  <c r="BW275" i="1"/>
  <c r="BT275" i="1"/>
  <c r="BS275" i="1"/>
  <c r="BP275" i="1"/>
  <c r="BO275" i="1"/>
  <c r="BL275" i="1"/>
  <c r="BK275" i="1"/>
  <c r="AZ275" i="1"/>
  <c r="AY275" i="1"/>
  <c r="AV275" i="1"/>
  <c r="AU275" i="1"/>
  <c r="AR275" i="1"/>
  <c r="AQ275" i="1"/>
  <c r="AN275" i="1"/>
  <c r="AM275" i="1"/>
  <c r="AJ275" i="1"/>
  <c r="AI275" i="1"/>
  <c r="AF275" i="1"/>
  <c r="AE275" i="1"/>
  <c r="AB275" i="1"/>
  <c r="AA275" i="1"/>
  <c r="X275" i="1"/>
  <c r="W275" i="1"/>
  <c r="T275" i="1"/>
  <c r="S275" i="1"/>
  <c r="P275" i="1"/>
  <c r="O275" i="1"/>
  <c r="L275" i="1"/>
  <c r="K275" i="1"/>
  <c r="H275" i="1"/>
  <c r="G275" i="1"/>
  <c r="D275" i="1"/>
  <c r="C275" i="1"/>
  <c r="CZ273" i="1"/>
  <c r="CY273" i="1"/>
  <c r="CV273" i="1"/>
  <c r="CU273" i="1"/>
  <c r="CR273" i="1"/>
  <c r="CQ273" i="1"/>
  <c r="CN273" i="1"/>
  <c r="CM273" i="1"/>
  <c r="CJ273" i="1"/>
  <c r="CI273" i="1"/>
  <c r="CF273" i="1"/>
  <c r="CE273" i="1"/>
  <c r="CB273" i="1"/>
  <c r="CA273" i="1"/>
  <c r="BX273" i="1"/>
  <c r="BW273" i="1"/>
  <c r="BT273" i="1"/>
  <c r="BS273" i="1"/>
  <c r="BP273" i="1"/>
  <c r="BO273" i="1"/>
  <c r="BL273" i="1"/>
  <c r="BK273" i="1"/>
  <c r="AZ273" i="1"/>
  <c r="AY273" i="1"/>
  <c r="AV273" i="1"/>
  <c r="AU273" i="1"/>
  <c r="AR273" i="1"/>
  <c r="AQ273" i="1"/>
  <c r="AN273" i="1"/>
  <c r="AM273" i="1"/>
  <c r="AJ273" i="1"/>
  <c r="AI273" i="1"/>
  <c r="AF273" i="1"/>
  <c r="AE273" i="1"/>
  <c r="AB273" i="1"/>
  <c r="AA273" i="1"/>
  <c r="X273" i="1"/>
  <c r="W273" i="1"/>
  <c r="T273" i="1"/>
  <c r="S273" i="1"/>
  <c r="P273" i="1"/>
  <c r="O273" i="1"/>
  <c r="L273" i="1"/>
  <c r="K273" i="1"/>
  <c r="H273" i="1"/>
  <c r="G273" i="1"/>
  <c r="D273" i="1"/>
  <c r="C273" i="1"/>
  <c r="CZ272" i="1"/>
  <c r="CY272" i="1"/>
  <c r="CV272" i="1"/>
  <c r="CU272" i="1"/>
  <c r="CR272" i="1"/>
  <c r="CQ272" i="1"/>
  <c r="CN272" i="1"/>
  <c r="CM272" i="1"/>
  <c r="CJ272" i="1"/>
  <c r="CI272" i="1"/>
  <c r="CF272" i="1"/>
  <c r="CE272" i="1"/>
  <c r="CB272" i="1"/>
  <c r="CA272" i="1"/>
  <c r="BX272" i="1"/>
  <c r="BW272" i="1"/>
  <c r="BT272" i="1"/>
  <c r="BS272" i="1"/>
  <c r="BP272" i="1"/>
  <c r="BO272" i="1"/>
  <c r="BL272" i="1"/>
  <c r="BK272" i="1"/>
  <c r="AZ272" i="1"/>
  <c r="AY272" i="1"/>
  <c r="AV272" i="1"/>
  <c r="AU272" i="1"/>
  <c r="AR272" i="1"/>
  <c r="AQ272" i="1"/>
  <c r="AN272" i="1"/>
  <c r="AM272" i="1"/>
  <c r="AJ272" i="1"/>
  <c r="AI272" i="1"/>
  <c r="AF272" i="1"/>
  <c r="AE272" i="1"/>
  <c r="AB272" i="1"/>
  <c r="AA272" i="1"/>
  <c r="X272" i="1"/>
  <c r="W272" i="1"/>
  <c r="T272" i="1"/>
  <c r="S272" i="1"/>
  <c r="P272" i="1"/>
  <c r="O272" i="1"/>
  <c r="L272" i="1"/>
  <c r="K272" i="1"/>
  <c r="H272" i="1"/>
  <c r="G272" i="1"/>
  <c r="D272" i="1"/>
  <c r="C272" i="1"/>
  <c r="CZ271" i="1"/>
  <c r="CY271" i="1"/>
  <c r="CV271" i="1"/>
  <c r="CU271" i="1"/>
  <c r="CR271" i="1"/>
  <c r="CQ271" i="1"/>
  <c r="CN271" i="1"/>
  <c r="CM271" i="1"/>
  <c r="CJ271" i="1"/>
  <c r="CI271" i="1"/>
  <c r="CF271" i="1"/>
  <c r="CE271" i="1"/>
  <c r="CB271" i="1"/>
  <c r="CA271" i="1"/>
  <c r="BX271" i="1"/>
  <c r="BW271" i="1"/>
  <c r="BT271" i="1"/>
  <c r="BS271" i="1"/>
  <c r="BP271" i="1"/>
  <c r="BO271" i="1"/>
  <c r="BL271" i="1"/>
  <c r="BK271" i="1"/>
  <c r="AZ271" i="1"/>
  <c r="AY271" i="1"/>
  <c r="AV271" i="1"/>
  <c r="AU271" i="1"/>
  <c r="AR271" i="1"/>
  <c r="AQ271" i="1"/>
  <c r="AN271" i="1"/>
  <c r="AM271" i="1"/>
  <c r="AJ271" i="1"/>
  <c r="AI271" i="1"/>
  <c r="AF271" i="1"/>
  <c r="AE271" i="1"/>
  <c r="AB271" i="1"/>
  <c r="AA271" i="1"/>
  <c r="X271" i="1"/>
  <c r="W271" i="1"/>
  <c r="T271" i="1"/>
  <c r="S271" i="1"/>
  <c r="P271" i="1"/>
  <c r="O271" i="1"/>
  <c r="L271" i="1"/>
  <c r="K271" i="1"/>
  <c r="H271" i="1"/>
  <c r="G271" i="1"/>
  <c r="D271" i="1"/>
  <c r="C271" i="1"/>
  <c r="CZ269" i="1"/>
  <c r="CY269" i="1"/>
  <c r="CV269" i="1"/>
  <c r="CU269" i="1"/>
  <c r="CR269" i="1"/>
  <c r="CQ269" i="1"/>
  <c r="CN269" i="1"/>
  <c r="CM269" i="1"/>
  <c r="CJ269" i="1"/>
  <c r="CI269" i="1"/>
  <c r="CF269" i="1"/>
  <c r="CE269" i="1"/>
  <c r="CB269" i="1"/>
  <c r="CA269" i="1"/>
  <c r="BX269" i="1"/>
  <c r="BW269" i="1"/>
  <c r="BT269" i="1"/>
  <c r="BS269" i="1"/>
  <c r="BP269" i="1"/>
  <c r="BO269" i="1"/>
  <c r="BL269" i="1"/>
  <c r="BK269" i="1"/>
  <c r="AZ269" i="1"/>
  <c r="AY269" i="1"/>
  <c r="AV269" i="1"/>
  <c r="AU269" i="1"/>
  <c r="AR269" i="1"/>
  <c r="AQ269" i="1"/>
  <c r="AN269" i="1"/>
  <c r="AM269" i="1"/>
  <c r="AJ269" i="1"/>
  <c r="AI269" i="1"/>
  <c r="AF269" i="1"/>
  <c r="AE269" i="1"/>
  <c r="AB269" i="1"/>
  <c r="AA269" i="1"/>
  <c r="X269" i="1"/>
  <c r="W269" i="1"/>
  <c r="T269" i="1"/>
  <c r="S269" i="1"/>
  <c r="P269" i="1"/>
  <c r="O269" i="1"/>
  <c r="L269" i="1"/>
  <c r="K269" i="1"/>
  <c r="H269" i="1"/>
  <c r="G269" i="1"/>
  <c r="D269" i="1"/>
  <c r="C269" i="1"/>
  <c r="CZ268" i="1"/>
  <c r="CY268" i="1"/>
  <c r="CV268" i="1"/>
  <c r="CU268" i="1"/>
  <c r="CR268" i="1"/>
  <c r="CQ268" i="1"/>
  <c r="CN268" i="1"/>
  <c r="CM268" i="1"/>
  <c r="CJ268" i="1"/>
  <c r="CI268" i="1"/>
  <c r="CF268" i="1"/>
  <c r="CE268" i="1"/>
  <c r="CB268" i="1"/>
  <c r="CA268" i="1"/>
  <c r="BX268" i="1"/>
  <c r="BW268" i="1"/>
  <c r="BT268" i="1"/>
  <c r="BS268" i="1"/>
  <c r="BP268" i="1"/>
  <c r="BO268" i="1"/>
  <c r="BL268" i="1"/>
  <c r="BK268" i="1"/>
  <c r="AZ268" i="1"/>
  <c r="AY268" i="1"/>
  <c r="AV268" i="1"/>
  <c r="AU268" i="1"/>
  <c r="AR268" i="1"/>
  <c r="AQ268" i="1"/>
  <c r="AN268" i="1"/>
  <c r="AM268" i="1"/>
  <c r="AJ268" i="1"/>
  <c r="AI268" i="1"/>
  <c r="AF268" i="1"/>
  <c r="AE268" i="1"/>
  <c r="AB268" i="1"/>
  <c r="AA268" i="1"/>
  <c r="X268" i="1"/>
  <c r="W268" i="1"/>
  <c r="T268" i="1"/>
  <c r="S268" i="1"/>
  <c r="P268" i="1"/>
  <c r="O268" i="1"/>
  <c r="L268" i="1"/>
  <c r="K268" i="1"/>
  <c r="H268" i="1"/>
  <c r="G268" i="1"/>
  <c r="D268" i="1"/>
  <c r="C268" i="1"/>
  <c r="CZ267" i="1"/>
  <c r="CY267" i="1"/>
  <c r="CV267" i="1"/>
  <c r="CU267" i="1"/>
  <c r="CR267" i="1"/>
  <c r="CQ267" i="1"/>
  <c r="CN267" i="1"/>
  <c r="CM267" i="1"/>
  <c r="CJ267" i="1"/>
  <c r="CI267" i="1"/>
  <c r="CF267" i="1"/>
  <c r="CE267" i="1"/>
  <c r="CB267" i="1"/>
  <c r="CA267" i="1"/>
  <c r="BX267" i="1"/>
  <c r="BW267" i="1"/>
  <c r="BT267" i="1"/>
  <c r="BS267" i="1"/>
  <c r="BP267" i="1"/>
  <c r="BO267" i="1"/>
  <c r="BL267" i="1"/>
  <c r="BK267" i="1"/>
  <c r="AZ267" i="1"/>
  <c r="AY267" i="1"/>
  <c r="AV267" i="1"/>
  <c r="AU267" i="1"/>
  <c r="AR267" i="1"/>
  <c r="AQ267" i="1"/>
  <c r="AN267" i="1"/>
  <c r="AM267" i="1"/>
  <c r="AJ267" i="1"/>
  <c r="AI267" i="1"/>
  <c r="AF267" i="1"/>
  <c r="AE267" i="1"/>
  <c r="AB267" i="1"/>
  <c r="AA267" i="1"/>
  <c r="X267" i="1"/>
  <c r="W267" i="1"/>
  <c r="T267" i="1"/>
  <c r="S267" i="1"/>
  <c r="P267" i="1"/>
  <c r="O267" i="1"/>
  <c r="L267" i="1"/>
  <c r="K267" i="1"/>
  <c r="H267" i="1"/>
  <c r="G267" i="1"/>
  <c r="D267" i="1"/>
  <c r="C267" i="1"/>
  <c r="CZ265" i="1"/>
  <c r="CY265" i="1"/>
  <c r="CV265" i="1"/>
  <c r="CU265" i="1"/>
  <c r="CR265" i="1"/>
  <c r="CQ265" i="1"/>
  <c r="CN265" i="1"/>
  <c r="CM265" i="1"/>
  <c r="CJ265" i="1"/>
  <c r="CI265" i="1"/>
  <c r="CF265" i="1"/>
  <c r="CE265" i="1"/>
  <c r="CB265" i="1"/>
  <c r="CA265" i="1"/>
  <c r="BX265" i="1"/>
  <c r="BW265" i="1"/>
  <c r="BT265" i="1"/>
  <c r="BS265" i="1"/>
  <c r="BP265" i="1"/>
  <c r="BO265" i="1"/>
  <c r="BL265" i="1"/>
  <c r="BK265" i="1"/>
  <c r="AZ265" i="1"/>
  <c r="AY265" i="1"/>
  <c r="AV265" i="1"/>
  <c r="AU265" i="1"/>
  <c r="AR265" i="1"/>
  <c r="AQ265" i="1"/>
  <c r="AN265" i="1"/>
  <c r="AM265" i="1"/>
  <c r="AJ265" i="1"/>
  <c r="AI265" i="1"/>
  <c r="AF265" i="1"/>
  <c r="AE265" i="1"/>
  <c r="AB265" i="1"/>
  <c r="AA265" i="1"/>
  <c r="X265" i="1"/>
  <c r="W265" i="1"/>
  <c r="T265" i="1"/>
  <c r="S265" i="1"/>
  <c r="P265" i="1"/>
  <c r="O265" i="1"/>
  <c r="L265" i="1"/>
  <c r="K265" i="1"/>
  <c r="H265" i="1"/>
  <c r="G265" i="1"/>
  <c r="D265" i="1"/>
  <c r="C265" i="1"/>
  <c r="CZ264" i="1"/>
  <c r="CY264" i="1"/>
  <c r="CV264" i="1"/>
  <c r="CU264" i="1"/>
  <c r="CR264" i="1"/>
  <c r="CQ264" i="1"/>
  <c r="CN264" i="1"/>
  <c r="CM264" i="1"/>
  <c r="CJ264" i="1"/>
  <c r="CI264" i="1"/>
  <c r="CF264" i="1"/>
  <c r="CE264" i="1"/>
  <c r="CB264" i="1"/>
  <c r="CA264" i="1"/>
  <c r="BX264" i="1"/>
  <c r="BW264" i="1"/>
  <c r="BT264" i="1"/>
  <c r="BS264" i="1"/>
  <c r="BP264" i="1"/>
  <c r="BO264" i="1"/>
  <c r="BL264" i="1"/>
  <c r="BK264" i="1"/>
  <c r="AZ264" i="1"/>
  <c r="AY264" i="1"/>
  <c r="AV264" i="1"/>
  <c r="AU264" i="1"/>
  <c r="AR264" i="1"/>
  <c r="AQ264" i="1"/>
  <c r="AN264" i="1"/>
  <c r="AM264" i="1"/>
  <c r="AJ264" i="1"/>
  <c r="AI264" i="1"/>
  <c r="AF264" i="1"/>
  <c r="AE264" i="1"/>
  <c r="AB264" i="1"/>
  <c r="AA264" i="1"/>
  <c r="X264" i="1"/>
  <c r="W264" i="1"/>
  <c r="T264" i="1"/>
  <c r="S264" i="1"/>
  <c r="P264" i="1"/>
  <c r="O264" i="1"/>
  <c r="L264" i="1"/>
  <c r="K264" i="1"/>
  <c r="H264" i="1"/>
  <c r="G264" i="1"/>
  <c r="D264" i="1"/>
  <c r="C264" i="1"/>
  <c r="CZ263" i="1"/>
  <c r="CY263" i="1"/>
  <c r="CV263" i="1"/>
  <c r="CU263" i="1"/>
  <c r="CR263" i="1"/>
  <c r="CQ263" i="1"/>
  <c r="CN263" i="1"/>
  <c r="CM263" i="1"/>
  <c r="CJ263" i="1"/>
  <c r="CI263" i="1"/>
  <c r="CF263" i="1"/>
  <c r="CE263" i="1"/>
  <c r="CB263" i="1"/>
  <c r="CA263" i="1"/>
  <c r="BX263" i="1"/>
  <c r="BW263" i="1"/>
  <c r="BT263" i="1"/>
  <c r="BS263" i="1"/>
  <c r="BP263" i="1"/>
  <c r="BO263" i="1"/>
  <c r="BL263" i="1"/>
  <c r="BK263" i="1"/>
  <c r="AZ263" i="1"/>
  <c r="AY263" i="1"/>
  <c r="AV263" i="1"/>
  <c r="AU263" i="1"/>
  <c r="AR263" i="1"/>
  <c r="AQ263" i="1"/>
  <c r="AN263" i="1"/>
  <c r="AM263" i="1"/>
  <c r="AJ263" i="1"/>
  <c r="AI263" i="1"/>
  <c r="AF263" i="1"/>
  <c r="AE263" i="1"/>
  <c r="AB263" i="1"/>
  <c r="AA263" i="1"/>
  <c r="X263" i="1"/>
  <c r="W263" i="1"/>
  <c r="T263" i="1"/>
  <c r="S263" i="1"/>
  <c r="P263" i="1"/>
  <c r="O263" i="1"/>
  <c r="L263" i="1"/>
  <c r="K263" i="1"/>
  <c r="H263" i="1"/>
  <c r="G263" i="1"/>
  <c r="D263" i="1"/>
  <c r="C263" i="1"/>
  <c r="CZ261" i="1"/>
  <c r="CY261" i="1"/>
  <c r="CV261" i="1"/>
  <c r="CU261" i="1"/>
  <c r="CR261" i="1"/>
  <c r="CQ261" i="1"/>
  <c r="CN261" i="1"/>
  <c r="CM261" i="1"/>
  <c r="CJ261" i="1"/>
  <c r="CI261" i="1"/>
  <c r="CF261" i="1"/>
  <c r="CE261" i="1"/>
  <c r="CB261" i="1"/>
  <c r="CA261" i="1"/>
  <c r="BX261" i="1"/>
  <c r="BW261" i="1"/>
  <c r="BT261" i="1"/>
  <c r="BS261" i="1"/>
  <c r="BP261" i="1"/>
  <c r="BO261" i="1"/>
  <c r="BL261" i="1"/>
  <c r="BK261" i="1"/>
  <c r="AZ261" i="1"/>
  <c r="AY261" i="1"/>
  <c r="AV261" i="1"/>
  <c r="AU261" i="1"/>
  <c r="AR261" i="1"/>
  <c r="AQ261" i="1"/>
  <c r="AN261" i="1"/>
  <c r="AM261" i="1"/>
  <c r="AJ261" i="1"/>
  <c r="AI261" i="1"/>
  <c r="AF261" i="1"/>
  <c r="AE261" i="1"/>
  <c r="AB261" i="1"/>
  <c r="AA261" i="1"/>
  <c r="X261" i="1"/>
  <c r="W261" i="1"/>
  <c r="T261" i="1"/>
  <c r="S261" i="1"/>
  <c r="P261" i="1"/>
  <c r="O261" i="1"/>
  <c r="L261" i="1"/>
  <c r="K261" i="1"/>
  <c r="H261" i="1"/>
  <c r="G261" i="1"/>
  <c r="D261" i="1"/>
  <c r="C261" i="1"/>
  <c r="CZ260" i="1"/>
  <c r="CY260" i="1"/>
  <c r="CV260" i="1"/>
  <c r="CU260" i="1"/>
  <c r="CR260" i="1"/>
  <c r="CQ260" i="1"/>
  <c r="CN260" i="1"/>
  <c r="CM260" i="1"/>
  <c r="CJ260" i="1"/>
  <c r="CI260" i="1"/>
  <c r="CF260" i="1"/>
  <c r="CE260" i="1"/>
  <c r="CB260" i="1"/>
  <c r="CA260" i="1"/>
  <c r="BX260" i="1"/>
  <c r="BW260" i="1"/>
  <c r="BT260" i="1"/>
  <c r="BS260" i="1"/>
  <c r="BP260" i="1"/>
  <c r="BO260" i="1"/>
  <c r="BL260" i="1"/>
  <c r="BK260" i="1"/>
  <c r="AZ260" i="1"/>
  <c r="AY260" i="1"/>
  <c r="AV260" i="1"/>
  <c r="AU260" i="1"/>
  <c r="AR260" i="1"/>
  <c r="AQ260" i="1"/>
  <c r="AN260" i="1"/>
  <c r="AM260" i="1"/>
  <c r="AJ260" i="1"/>
  <c r="AI260" i="1"/>
  <c r="AF260" i="1"/>
  <c r="AE260" i="1"/>
  <c r="AB260" i="1"/>
  <c r="AA260" i="1"/>
  <c r="X260" i="1"/>
  <c r="W260" i="1"/>
  <c r="T260" i="1"/>
  <c r="S260" i="1"/>
  <c r="P260" i="1"/>
  <c r="O260" i="1"/>
  <c r="L260" i="1"/>
  <c r="K260" i="1"/>
  <c r="H260" i="1"/>
  <c r="G260" i="1"/>
  <c r="D260" i="1"/>
  <c r="C260" i="1"/>
  <c r="CZ259" i="1"/>
  <c r="CY259" i="1"/>
  <c r="CV259" i="1"/>
  <c r="CU259" i="1"/>
  <c r="CR259" i="1"/>
  <c r="CQ259" i="1"/>
  <c r="CN259" i="1"/>
  <c r="CM259" i="1"/>
  <c r="CJ259" i="1"/>
  <c r="CI259" i="1"/>
  <c r="CF259" i="1"/>
  <c r="CE259" i="1"/>
  <c r="CB259" i="1"/>
  <c r="CA259" i="1"/>
  <c r="BX259" i="1"/>
  <c r="BW259" i="1"/>
  <c r="BT259" i="1"/>
  <c r="BS259" i="1"/>
  <c r="BP259" i="1"/>
  <c r="BO259" i="1"/>
  <c r="BL259" i="1"/>
  <c r="BK259" i="1"/>
  <c r="AZ259" i="1"/>
  <c r="AY259" i="1"/>
  <c r="AV259" i="1"/>
  <c r="AU259" i="1"/>
  <c r="AR259" i="1"/>
  <c r="AQ259" i="1"/>
  <c r="AN259" i="1"/>
  <c r="AM259" i="1"/>
  <c r="AJ259" i="1"/>
  <c r="AI259" i="1"/>
  <c r="AF259" i="1"/>
  <c r="AE259" i="1"/>
  <c r="AB259" i="1"/>
  <c r="AA259" i="1"/>
  <c r="X259" i="1"/>
  <c r="W259" i="1"/>
  <c r="T259" i="1"/>
  <c r="S259" i="1"/>
  <c r="P259" i="1"/>
  <c r="O259" i="1"/>
  <c r="L259" i="1"/>
  <c r="K259" i="1"/>
  <c r="H259" i="1"/>
  <c r="G259" i="1"/>
  <c r="D259" i="1"/>
  <c r="C259" i="1"/>
  <c r="CZ256" i="1"/>
  <c r="CV256" i="1"/>
  <c r="CR256" i="1"/>
  <c r="CN256" i="1"/>
  <c r="CJ256" i="1"/>
  <c r="CF256" i="1"/>
  <c r="CB256" i="1"/>
  <c r="BX256" i="1"/>
  <c r="BT256" i="1"/>
  <c r="BP256" i="1"/>
  <c r="BL256" i="1"/>
  <c r="AZ256" i="1"/>
  <c r="AV256" i="1"/>
  <c r="AR256" i="1"/>
  <c r="AN256" i="1"/>
  <c r="AJ256" i="1"/>
  <c r="AF256" i="1"/>
  <c r="AB256" i="1"/>
  <c r="X256" i="1"/>
  <c r="T256" i="1"/>
  <c r="P256" i="1"/>
  <c r="L256" i="1"/>
  <c r="H256" i="1"/>
  <c r="D256" i="1"/>
  <c r="CZ255" i="1"/>
  <c r="CV255" i="1"/>
  <c r="CR255" i="1"/>
  <c r="CN255" i="1"/>
  <c r="CJ255" i="1"/>
  <c r="CF255" i="1"/>
  <c r="CB255" i="1"/>
  <c r="BX255" i="1"/>
  <c r="BT255" i="1"/>
  <c r="BP255" i="1"/>
  <c r="BL255" i="1"/>
  <c r="AZ255" i="1"/>
  <c r="AV255" i="1"/>
  <c r="AR255" i="1"/>
  <c r="AN255" i="1"/>
  <c r="AJ255" i="1"/>
  <c r="AF255" i="1"/>
  <c r="AB255" i="1"/>
  <c r="X255" i="1"/>
  <c r="T255" i="1"/>
  <c r="P255" i="1"/>
  <c r="L255" i="1"/>
  <c r="H255" i="1"/>
  <c r="D255" i="1"/>
  <c r="CZ254" i="1"/>
  <c r="CV254" i="1"/>
  <c r="CR254" i="1"/>
  <c r="CN254" i="1"/>
  <c r="CJ254" i="1"/>
  <c r="CF254" i="1"/>
  <c r="CB254" i="1"/>
  <c r="BX254" i="1"/>
  <c r="BT254" i="1"/>
  <c r="BP254" i="1"/>
  <c r="BL254" i="1"/>
  <c r="AZ254" i="1"/>
  <c r="AV254" i="1"/>
  <c r="AR254" i="1"/>
  <c r="AN254" i="1"/>
  <c r="AJ254" i="1"/>
  <c r="AF254" i="1"/>
  <c r="AB254" i="1"/>
  <c r="X254" i="1"/>
  <c r="T254" i="1"/>
  <c r="P254" i="1"/>
  <c r="L254" i="1"/>
  <c r="H254" i="1"/>
  <c r="D254" i="1"/>
  <c r="CZ253" i="1"/>
  <c r="CY253" i="1"/>
  <c r="CV253" i="1"/>
  <c r="CU253" i="1"/>
  <c r="CR253" i="1"/>
  <c r="CQ253" i="1"/>
  <c r="CN253" i="1"/>
  <c r="CM253" i="1"/>
  <c r="CJ253" i="1"/>
  <c r="CI253" i="1"/>
  <c r="CF253" i="1"/>
  <c r="CE253" i="1"/>
  <c r="CB253" i="1"/>
  <c r="CA253" i="1"/>
  <c r="BX253" i="1"/>
  <c r="BW253" i="1"/>
  <c r="BT253" i="1"/>
  <c r="BS253" i="1"/>
  <c r="BP253" i="1"/>
  <c r="BO253" i="1"/>
  <c r="BL253" i="1"/>
  <c r="BK253" i="1"/>
  <c r="AZ253" i="1"/>
  <c r="AY253" i="1"/>
  <c r="AV253" i="1"/>
  <c r="AU253" i="1"/>
  <c r="AR253" i="1"/>
  <c r="AQ253" i="1"/>
  <c r="AN253" i="1"/>
  <c r="AM253" i="1"/>
  <c r="AJ253" i="1"/>
  <c r="AI253" i="1"/>
  <c r="AF253" i="1"/>
  <c r="AE253" i="1"/>
  <c r="AB253" i="1"/>
  <c r="AA253" i="1"/>
  <c r="X253" i="1"/>
  <c r="W253" i="1"/>
  <c r="T253" i="1"/>
  <c r="S253" i="1"/>
  <c r="P253" i="1"/>
  <c r="O253" i="1"/>
  <c r="L253" i="1"/>
  <c r="K253" i="1"/>
  <c r="H253" i="1"/>
  <c r="G253" i="1"/>
  <c r="D253" i="1"/>
  <c r="C253" i="1"/>
  <c r="CZ252" i="1"/>
  <c r="CY252" i="1"/>
  <c r="CV252" i="1"/>
  <c r="CU252" i="1"/>
  <c r="CR252" i="1"/>
  <c r="CQ252" i="1"/>
  <c r="CN252" i="1"/>
  <c r="CM252" i="1"/>
  <c r="CJ252" i="1"/>
  <c r="CI252" i="1"/>
  <c r="CF252" i="1"/>
  <c r="CE252" i="1"/>
  <c r="CB252" i="1"/>
  <c r="CA252" i="1"/>
  <c r="BX252" i="1"/>
  <c r="BW252" i="1"/>
  <c r="BT252" i="1"/>
  <c r="BS252" i="1"/>
  <c r="BP252" i="1"/>
  <c r="BO252" i="1"/>
  <c r="BL252" i="1"/>
  <c r="BK252" i="1"/>
  <c r="AZ252" i="1"/>
  <c r="AY252" i="1"/>
  <c r="AV252" i="1"/>
  <c r="AU252" i="1"/>
  <c r="AR252" i="1"/>
  <c r="AQ252" i="1"/>
  <c r="AN252" i="1"/>
  <c r="AM252" i="1"/>
  <c r="AJ252" i="1"/>
  <c r="AI252" i="1"/>
  <c r="AF252" i="1"/>
  <c r="AE252" i="1"/>
  <c r="AB252" i="1"/>
  <c r="AA252" i="1"/>
  <c r="X252" i="1"/>
  <c r="W252" i="1"/>
  <c r="T252" i="1"/>
  <c r="S252" i="1"/>
  <c r="P252" i="1"/>
  <c r="O252" i="1"/>
  <c r="L252" i="1"/>
  <c r="K252" i="1"/>
  <c r="H252" i="1"/>
  <c r="G252" i="1"/>
  <c r="D252" i="1"/>
  <c r="C252" i="1"/>
  <c r="CZ251" i="1"/>
  <c r="CY251" i="1"/>
  <c r="CV251" i="1"/>
  <c r="CU251" i="1"/>
  <c r="CR251" i="1"/>
  <c r="CQ251" i="1"/>
  <c r="CN251" i="1"/>
  <c r="CM251" i="1"/>
  <c r="CJ251" i="1"/>
  <c r="CI251" i="1"/>
  <c r="CF251" i="1"/>
  <c r="CE251" i="1"/>
  <c r="CB251" i="1"/>
  <c r="CA251" i="1"/>
  <c r="BX251" i="1"/>
  <c r="BW251" i="1"/>
  <c r="BT251" i="1"/>
  <c r="BS251" i="1"/>
  <c r="BP251" i="1"/>
  <c r="BO251" i="1"/>
  <c r="BL251" i="1"/>
  <c r="BK251" i="1"/>
  <c r="AZ251" i="1"/>
  <c r="AY251" i="1"/>
  <c r="AV251" i="1"/>
  <c r="AU251" i="1"/>
  <c r="AR251" i="1"/>
  <c r="AQ251" i="1"/>
  <c r="AN251" i="1"/>
  <c r="AM251" i="1"/>
  <c r="AJ251" i="1"/>
  <c r="AI251" i="1"/>
  <c r="AF251" i="1"/>
  <c r="AE251" i="1"/>
  <c r="AB251" i="1"/>
  <c r="AA251" i="1"/>
  <c r="X251" i="1"/>
  <c r="W251" i="1"/>
  <c r="T251" i="1"/>
  <c r="S251" i="1"/>
  <c r="P251" i="1"/>
  <c r="O251" i="1"/>
  <c r="L251" i="1"/>
  <c r="K251" i="1"/>
  <c r="H251" i="1"/>
  <c r="G251" i="1"/>
  <c r="D251" i="1"/>
  <c r="C251" i="1"/>
  <c r="CZ250" i="1"/>
  <c r="CY250" i="1"/>
  <c r="CV250" i="1"/>
  <c r="CU250" i="1"/>
  <c r="CR250" i="1"/>
  <c r="CQ250" i="1"/>
  <c r="CN250" i="1"/>
  <c r="CM250" i="1"/>
  <c r="CJ250" i="1"/>
  <c r="CI250" i="1"/>
  <c r="CF250" i="1"/>
  <c r="CE250" i="1"/>
  <c r="CB250" i="1"/>
  <c r="CA250" i="1"/>
  <c r="BX250" i="1"/>
  <c r="BW250" i="1"/>
  <c r="BT250" i="1"/>
  <c r="BS250" i="1"/>
  <c r="BP250" i="1"/>
  <c r="BO250" i="1"/>
  <c r="BL250" i="1"/>
  <c r="BK250" i="1"/>
  <c r="AZ250" i="1"/>
  <c r="AY250" i="1"/>
  <c r="AV250" i="1"/>
  <c r="AU250" i="1"/>
  <c r="AR250" i="1"/>
  <c r="AQ250" i="1"/>
  <c r="AN250" i="1"/>
  <c r="AM250" i="1"/>
  <c r="AJ250" i="1"/>
  <c r="AI250" i="1"/>
  <c r="AF250" i="1"/>
  <c r="AE250" i="1"/>
  <c r="AB250" i="1"/>
  <c r="AA250" i="1"/>
  <c r="X250" i="1"/>
  <c r="W250" i="1"/>
  <c r="T250" i="1"/>
  <c r="S250" i="1"/>
  <c r="P250" i="1"/>
  <c r="O250" i="1"/>
  <c r="L250" i="1"/>
  <c r="K250" i="1"/>
  <c r="H250" i="1"/>
  <c r="G250" i="1"/>
  <c r="D250" i="1"/>
  <c r="C250" i="1"/>
  <c r="CZ247" i="1"/>
  <c r="CV247" i="1"/>
  <c r="CR247" i="1"/>
  <c r="CN247" i="1"/>
  <c r="CJ247" i="1"/>
  <c r="CF247" i="1"/>
  <c r="CB247" i="1"/>
  <c r="BX247" i="1"/>
  <c r="BT247" i="1"/>
  <c r="BP247" i="1"/>
  <c r="BL247" i="1"/>
  <c r="AZ247" i="1"/>
  <c r="AV247" i="1"/>
  <c r="AR247" i="1"/>
  <c r="AN247" i="1"/>
  <c r="AJ247" i="1"/>
  <c r="AF247" i="1"/>
  <c r="AB247" i="1"/>
  <c r="X247" i="1"/>
  <c r="T247" i="1"/>
  <c r="P247" i="1"/>
  <c r="L247" i="1"/>
  <c r="H247" i="1"/>
  <c r="D247" i="1"/>
  <c r="CZ246" i="1"/>
  <c r="CV246" i="1"/>
  <c r="CR246" i="1"/>
  <c r="CN246" i="1"/>
  <c r="CJ246" i="1"/>
  <c r="CF246" i="1"/>
  <c r="CB246" i="1"/>
  <c r="BX246" i="1"/>
  <c r="BT246" i="1"/>
  <c r="BP246" i="1"/>
  <c r="BL246" i="1"/>
  <c r="AZ246" i="1"/>
  <c r="AV246" i="1"/>
  <c r="AR246" i="1"/>
  <c r="AN246" i="1"/>
  <c r="AJ246" i="1"/>
  <c r="AF246" i="1"/>
  <c r="AB246" i="1"/>
  <c r="X246" i="1"/>
  <c r="T246" i="1"/>
  <c r="P246" i="1"/>
  <c r="L246" i="1"/>
  <c r="H246" i="1"/>
  <c r="D246" i="1"/>
  <c r="CZ245" i="1"/>
  <c r="CV245" i="1"/>
  <c r="CR245" i="1"/>
  <c r="CN245" i="1"/>
  <c r="CJ245" i="1"/>
  <c r="CF245" i="1"/>
  <c r="CB245" i="1"/>
  <c r="BX245" i="1"/>
  <c r="BT245" i="1"/>
  <c r="BP245" i="1"/>
  <c r="BL245" i="1"/>
  <c r="AZ245" i="1"/>
  <c r="AV245" i="1"/>
  <c r="AR245" i="1"/>
  <c r="AN245" i="1"/>
  <c r="AJ245" i="1"/>
  <c r="AF245" i="1"/>
  <c r="AB245" i="1"/>
  <c r="X245" i="1"/>
  <c r="T245" i="1"/>
  <c r="P245" i="1"/>
  <c r="L245" i="1"/>
  <c r="H245" i="1"/>
  <c r="D245" i="1"/>
  <c r="CZ244" i="1"/>
  <c r="CY244" i="1"/>
  <c r="CV244" i="1"/>
  <c r="CU244" i="1"/>
  <c r="CR244" i="1"/>
  <c r="CQ244" i="1"/>
  <c r="CN244" i="1"/>
  <c r="CM244" i="1"/>
  <c r="CJ244" i="1"/>
  <c r="CI244" i="1"/>
  <c r="CF244" i="1"/>
  <c r="CE244" i="1"/>
  <c r="CB244" i="1"/>
  <c r="CA244" i="1"/>
  <c r="BX244" i="1"/>
  <c r="BW244" i="1"/>
  <c r="BT244" i="1"/>
  <c r="BS244" i="1"/>
  <c r="BP244" i="1"/>
  <c r="BO244" i="1"/>
  <c r="BL244" i="1"/>
  <c r="BK244" i="1"/>
  <c r="AZ244" i="1"/>
  <c r="AY244" i="1"/>
  <c r="AV244" i="1"/>
  <c r="AU244" i="1"/>
  <c r="AR244" i="1"/>
  <c r="AQ244" i="1"/>
  <c r="AN244" i="1"/>
  <c r="AM244" i="1"/>
  <c r="AJ244" i="1"/>
  <c r="AI244" i="1"/>
  <c r="AF244" i="1"/>
  <c r="AE244" i="1"/>
  <c r="AB244" i="1"/>
  <c r="AA244" i="1"/>
  <c r="X244" i="1"/>
  <c r="W244" i="1"/>
  <c r="T244" i="1"/>
  <c r="S244" i="1"/>
  <c r="P244" i="1"/>
  <c r="O244" i="1"/>
  <c r="L244" i="1"/>
  <c r="K244" i="1"/>
  <c r="H244" i="1"/>
  <c r="G244" i="1"/>
  <c r="D244" i="1"/>
  <c r="C244" i="1"/>
  <c r="CZ243" i="1"/>
  <c r="CY243" i="1"/>
  <c r="CV243" i="1"/>
  <c r="CU243" i="1"/>
  <c r="CR243" i="1"/>
  <c r="CQ243" i="1"/>
  <c r="CN243" i="1"/>
  <c r="CM243" i="1"/>
  <c r="CJ243" i="1"/>
  <c r="CI243" i="1"/>
  <c r="CF243" i="1"/>
  <c r="CE243" i="1"/>
  <c r="CB243" i="1"/>
  <c r="CA243" i="1"/>
  <c r="BX243" i="1"/>
  <c r="BW243" i="1"/>
  <c r="BT243" i="1"/>
  <c r="BS243" i="1"/>
  <c r="BP243" i="1"/>
  <c r="BO243" i="1"/>
  <c r="BL243" i="1"/>
  <c r="BK243" i="1"/>
  <c r="AZ243" i="1"/>
  <c r="AY243" i="1"/>
  <c r="AV243" i="1"/>
  <c r="AU243" i="1"/>
  <c r="AR243" i="1"/>
  <c r="AQ243" i="1"/>
  <c r="AN243" i="1"/>
  <c r="AM243" i="1"/>
  <c r="AJ243" i="1"/>
  <c r="AI243" i="1"/>
  <c r="AF243" i="1"/>
  <c r="AE243" i="1"/>
  <c r="AB243" i="1"/>
  <c r="AA243" i="1"/>
  <c r="X243" i="1"/>
  <c r="W243" i="1"/>
  <c r="T243" i="1"/>
  <c r="S243" i="1"/>
  <c r="P243" i="1"/>
  <c r="O243" i="1"/>
  <c r="L243" i="1"/>
  <c r="K243" i="1"/>
  <c r="H243" i="1"/>
  <c r="G243" i="1"/>
  <c r="D243" i="1"/>
  <c r="C243" i="1"/>
  <c r="CZ242" i="1"/>
  <c r="CY242" i="1"/>
  <c r="CV242" i="1"/>
  <c r="CU242" i="1"/>
  <c r="CR242" i="1"/>
  <c r="CQ242" i="1"/>
  <c r="CN242" i="1"/>
  <c r="CM242" i="1"/>
  <c r="CJ242" i="1"/>
  <c r="CI242" i="1"/>
  <c r="CF242" i="1"/>
  <c r="CE242" i="1"/>
  <c r="CB242" i="1"/>
  <c r="CA242" i="1"/>
  <c r="BX242" i="1"/>
  <c r="BW242" i="1"/>
  <c r="BT242" i="1"/>
  <c r="BS242" i="1"/>
  <c r="BP242" i="1"/>
  <c r="BO242" i="1"/>
  <c r="BL242" i="1"/>
  <c r="BK242" i="1"/>
  <c r="AZ242" i="1"/>
  <c r="AY242" i="1"/>
  <c r="AV242" i="1"/>
  <c r="AU242" i="1"/>
  <c r="AR242" i="1"/>
  <c r="AQ242" i="1"/>
  <c r="AN242" i="1"/>
  <c r="AM242" i="1"/>
  <c r="AJ242" i="1"/>
  <c r="AI242" i="1"/>
  <c r="AF242" i="1"/>
  <c r="AE242" i="1"/>
  <c r="AB242" i="1"/>
  <c r="AA242" i="1"/>
  <c r="X242" i="1"/>
  <c r="W242" i="1"/>
  <c r="T242" i="1"/>
  <c r="S242" i="1"/>
  <c r="P242" i="1"/>
  <c r="O242" i="1"/>
  <c r="L242" i="1"/>
  <c r="K242" i="1"/>
  <c r="H242" i="1"/>
  <c r="G242" i="1"/>
  <c r="D242" i="1"/>
  <c r="C242" i="1"/>
  <c r="CZ241" i="1"/>
  <c r="CY241" i="1"/>
  <c r="CV241" i="1"/>
  <c r="CU241" i="1"/>
  <c r="CR241" i="1"/>
  <c r="CQ241" i="1"/>
  <c r="CN241" i="1"/>
  <c r="CM241" i="1"/>
  <c r="CJ241" i="1"/>
  <c r="CI241" i="1"/>
  <c r="CF241" i="1"/>
  <c r="CE241" i="1"/>
  <c r="CB241" i="1"/>
  <c r="CA241" i="1"/>
  <c r="BX241" i="1"/>
  <c r="BW241" i="1"/>
  <c r="BT241" i="1"/>
  <c r="BS241" i="1"/>
  <c r="BP241" i="1"/>
  <c r="BO241" i="1"/>
  <c r="BL241" i="1"/>
  <c r="BK241" i="1"/>
  <c r="AZ241" i="1"/>
  <c r="AY241" i="1"/>
  <c r="AV241" i="1"/>
  <c r="AU241" i="1"/>
  <c r="AR241" i="1"/>
  <c r="AQ241" i="1"/>
  <c r="AN241" i="1"/>
  <c r="AM241" i="1"/>
  <c r="AJ241" i="1"/>
  <c r="AI241" i="1"/>
  <c r="AF241" i="1"/>
  <c r="AE241" i="1"/>
  <c r="AB241" i="1"/>
  <c r="AA241" i="1"/>
  <c r="X241" i="1"/>
  <c r="W241" i="1"/>
  <c r="T241" i="1"/>
  <c r="S241" i="1"/>
  <c r="P241" i="1"/>
  <c r="O241" i="1"/>
  <c r="L241" i="1"/>
  <c r="K241" i="1"/>
  <c r="H241" i="1"/>
  <c r="G241" i="1"/>
  <c r="D241" i="1"/>
  <c r="C241" i="1"/>
  <c r="CZ238" i="1"/>
  <c r="CV238" i="1"/>
  <c r="CR238" i="1"/>
  <c r="CN238" i="1"/>
  <c r="CJ238" i="1"/>
  <c r="CF238" i="1"/>
  <c r="CB238" i="1"/>
  <c r="BX238" i="1"/>
  <c r="BT238" i="1"/>
  <c r="BP238" i="1"/>
  <c r="BL238" i="1"/>
  <c r="AZ238" i="1"/>
  <c r="AV238" i="1"/>
  <c r="AR238" i="1"/>
  <c r="AN238" i="1"/>
  <c r="AJ238" i="1"/>
  <c r="AF238" i="1"/>
  <c r="AB238" i="1"/>
  <c r="X238" i="1"/>
  <c r="T238" i="1"/>
  <c r="P238" i="1"/>
  <c r="L238" i="1"/>
  <c r="H238" i="1"/>
  <c r="D238" i="1"/>
  <c r="CZ237" i="1"/>
  <c r="CV237" i="1"/>
  <c r="CR237" i="1"/>
  <c r="CN237" i="1"/>
  <c r="CJ237" i="1"/>
  <c r="CF237" i="1"/>
  <c r="CB237" i="1"/>
  <c r="BX237" i="1"/>
  <c r="BT237" i="1"/>
  <c r="BP237" i="1"/>
  <c r="BL237" i="1"/>
  <c r="AZ237" i="1"/>
  <c r="AV237" i="1"/>
  <c r="AR237" i="1"/>
  <c r="AN237" i="1"/>
  <c r="AJ237" i="1"/>
  <c r="AF237" i="1"/>
  <c r="AB237" i="1"/>
  <c r="X237" i="1"/>
  <c r="T237" i="1"/>
  <c r="P237" i="1"/>
  <c r="L237" i="1"/>
  <c r="H237" i="1"/>
  <c r="D237" i="1"/>
  <c r="CZ236" i="1"/>
  <c r="CV236" i="1"/>
  <c r="CR236" i="1"/>
  <c r="CN236" i="1"/>
  <c r="CJ236" i="1"/>
  <c r="CF236" i="1"/>
  <c r="CB236" i="1"/>
  <c r="BX236" i="1"/>
  <c r="BT236" i="1"/>
  <c r="BP236" i="1"/>
  <c r="BL236" i="1"/>
  <c r="AZ236" i="1"/>
  <c r="AV236" i="1"/>
  <c r="AR236" i="1"/>
  <c r="AN236" i="1"/>
  <c r="AJ236" i="1"/>
  <c r="AF236" i="1"/>
  <c r="AB236" i="1"/>
  <c r="X236" i="1"/>
  <c r="T236" i="1"/>
  <c r="P236" i="1"/>
  <c r="L236" i="1"/>
  <c r="H236" i="1"/>
  <c r="D236" i="1"/>
  <c r="CZ235" i="1"/>
  <c r="CY235" i="1"/>
  <c r="CV235" i="1"/>
  <c r="CU235" i="1"/>
  <c r="CR235" i="1"/>
  <c r="CQ235" i="1"/>
  <c r="CN235" i="1"/>
  <c r="CM235" i="1"/>
  <c r="CJ235" i="1"/>
  <c r="CI235" i="1"/>
  <c r="CF235" i="1"/>
  <c r="CE235" i="1"/>
  <c r="CB235" i="1"/>
  <c r="CA235" i="1"/>
  <c r="BX235" i="1"/>
  <c r="BW235" i="1"/>
  <c r="BT235" i="1"/>
  <c r="BS235" i="1"/>
  <c r="BP235" i="1"/>
  <c r="BO235" i="1"/>
  <c r="BL235" i="1"/>
  <c r="BK235" i="1"/>
  <c r="AZ235" i="1"/>
  <c r="AY235" i="1"/>
  <c r="AV235" i="1"/>
  <c r="AU235" i="1"/>
  <c r="AR235" i="1"/>
  <c r="AQ235" i="1"/>
  <c r="AN235" i="1"/>
  <c r="AM235" i="1"/>
  <c r="AJ235" i="1"/>
  <c r="AI235" i="1"/>
  <c r="AF235" i="1"/>
  <c r="AE235" i="1"/>
  <c r="AB235" i="1"/>
  <c r="AA235" i="1"/>
  <c r="X235" i="1"/>
  <c r="W235" i="1"/>
  <c r="T235" i="1"/>
  <c r="S235" i="1"/>
  <c r="P235" i="1"/>
  <c r="O235" i="1"/>
  <c r="L235" i="1"/>
  <c r="K235" i="1"/>
  <c r="H235" i="1"/>
  <c r="G235" i="1"/>
  <c r="D235" i="1"/>
  <c r="C235" i="1"/>
  <c r="CZ234" i="1"/>
  <c r="CY234" i="1"/>
  <c r="CV234" i="1"/>
  <c r="CU234" i="1"/>
  <c r="CR234" i="1"/>
  <c r="CQ234" i="1"/>
  <c r="CN234" i="1"/>
  <c r="CM234" i="1"/>
  <c r="CJ234" i="1"/>
  <c r="CI234" i="1"/>
  <c r="CF234" i="1"/>
  <c r="CE234" i="1"/>
  <c r="CB234" i="1"/>
  <c r="CA234" i="1"/>
  <c r="BX234" i="1"/>
  <c r="BW234" i="1"/>
  <c r="BT234" i="1"/>
  <c r="BS234" i="1"/>
  <c r="BP234" i="1"/>
  <c r="BO234" i="1"/>
  <c r="BL234" i="1"/>
  <c r="BK234" i="1"/>
  <c r="AZ234" i="1"/>
  <c r="AY234" i="1"/>
  <c r="AV234" i="1"/>
  <c r="AU234" i="1"/>
  <c r="AR234" i="1"/>
  <c r="AQ234" i="1"/>
  <c r="AN234" i="1"/>
  <c r="AM234" i="1"/>
  <c r="AJ234" i="1"/>
  <c r="AI234" i="1"/>
  <c r="AF234" i="1"/>
  <c r="AE234" i="1"/>
  <c r="AB234" i="1"/>
  <c r="AA234" i="1"/>
  <c r="X234" i="1"/>
  <c r="W234" i="1"/>
  <c r="T234" i="1"/>
  <c r="S234" i="1"/>
  <c r="P234" i="1"/>
  <c r="O234" i="1"/>
  <c r="L234" i="1"/>
  <c r="K234" i="1"/>
  <c r="H234" i="1"/>
  <c r="G234" i="1"/>
  <c r="D234" i="1"/>
  <c r="C234" i="1"/>
  <c r="CZ233" i="1"/>
  <c r="CY233" i="1"/>
  <c r="CV233" i="1"/>
  <c r="CU233" i="1"/>
  <c r="CR233" i="1"/>
  <c r="CQ233" i="1"/>
  <c r="CN233" i="1"/>
  <c r="CM233" i="1"/>
  <c r="CJ233" i="1"/>
  <c r="CI233" i="1"/>
  <c r="CF233" i="1"/>
  <c r="CE233" i="1"/>
  <c r="CB233" i="1"/>
  <c r="CA233" i="1"/>
  <c r="BX233" i="1"/>
  <c r="BW233" i="1"/>
  <c r="BT233" i="1"/>
  <c r="BS233" i="1"/>
  <c r="BP233" i="1"/>
  <c r="BO233" i="1"/>
  <c r="BL233" i="1"/>
  <c r="BK233" i="1"/>
  <c r="AZ233" i="1"/>
  <c r="AY233" i="1"/>
  <c r="AV233" i="1"/>
  <c r="AU233" i="1"/>
  <c r="AR233" i="1"/>
  <c r="AQ233" i="1"/>
  <c r="AN233" i="1"/>
  <c r="AM233" i="1"/>
  <c r="AJ233" i="1"/>
  <c r="AI233" i="1"/>
  <c r="AF233" i="1"/>
  <c r="AE233" i="1"/>
  <c r="AB233" i="1"/>
  <c r="AA233" i="1"/>
  <c r="X233" i="1"/>
  <c r="W233" i="1"/>
  <c r="T233" i="1"/>
  <c r="S233" i="1"/>
  <c r="P233" i="1"/>
  <c r="O233" i="1"/>
  <c r="L233" i="1"/>
  <c r="K233" i="1"/>
  <c r="H233" i="1"/>
  <c r="G233" i="1"/>
  <c r="D233" i="1"/>
  <c r="C233" i="1"/>
  <c r="CZ232" i="1"/>
  <c r="CY232" i="1"/>
  <c r="CV232" i="1"/>
  <c r="CU232" i="1"/>
  <c r="CR232" i="1"/>
  <c r="CQ232" i="1"/>
  <c r="CN232" i="1"/>
  <c r="CM232" i="1"/>
  <c r="CJ232" i="1"/>
  <c r="CI232" i="1"/>
  <c r="CF232" i="1"/>
  <c r="CE232" i="1"/>
  <c r="CB232" i="1"/>
  <c r="CA232" i="1"/>
  <c r="BX232" i="1"/>
  <c r="BW232" i="1"/>
  <c r="BT232" i="1"/>
  <c r="BS232" i="1"/>
  <c r="BP232" i="1"/>
  <c r="BO232" i="1"/>
  <c r="BL232" i="1"/>
  <c r="BK232" i="1"/>
  <c r="AZ232" i="1"/>
  <c r="AY232" i="1"/>
  <c r="AV232" i="1"/>
  <c r="AU232" i="1"/>
  <c r="AR232" i="1"/>
  <c r="AQ232" i="1"/>
  <c r="AN232" i="1"/>
  <c r="AM232" i="1"/>
  <c r="AJ232" i="1"/>
  <c r="AI232" i="1"/>
  <c r="AF232" i="1"/>
  <c r="AE232" i="1"/>
  <c r="AB232" i="1"/>
  <c r="AA232" i="1"/>
  <c r="X232" i="1"/>
  <c r="W232" i="1"/>
  <c r="T232" i="1"/>
  <c r="S232" i="1"/>
  <c r="P232" i="1"/>
  <c r="O232" i="1"/>
  <c r="L232" i="1"/>
  <c r="K232" i="1"/>
  <c r="H232" i="1"/>
  <c r="G232" i="1"/>
  <c r="D232" i="1"/>
  <c r="C232" i="1"/>
  <c r="CZ229" i="1"/>
  <c r="CV229" i="1"/>
  <c r="CR229" i="1"/>
  <c r="CN229" i="1"/>
  <c r="CJ229" i="1"/>
  <c r="CF229" i="1"/>
  <c r="CB229" i="1"/>
  <c r="BX229" i="1"/>
  <c r="BT229" i="1"/>
  <c r="BP229" i="1"/>
  <c r="BL229" i="1"/>
  <c r="AZ229" i="1"/>
  <c r="AV229" i="1"/>
  <c r="AR229" i="1"/>
  <c r="AN229" i="1"/>
  <c r="AJ229" i="1"/>
  <c r="AF229" i="1"/>
  <c r="AB229" i="1"/>
  <c r="X229" i="1"/>
  <c r="T229" i="1"/>
  <c r="P229" i="1"/>
  <c r="L229" i="1"/>
  <c r="H229" i="1"/>
  <c r="D229" i="1"/>
  <c r="CZ228" i="1"/>
  <c r="CV228" i="1"/>
  <c r="CR228" i="1"/>
  <c r="CN228" i="1"/>
  <c r="CJ228" i="1"/>
  <c r="CF228" i="1"/>
  <c r="CB228" i="1"/>
  <c r="BX228" i="1"/>
  <c r="BT228" i="1"/>
  <c r="BP228" i="1"/>
  <c r="BL228" i="1"/>
  <c r="AZ228" i="1"/>
  <c r="AV228" i="1"/>
  <c r="AR228" i="1"/>
  <c r="AN228" i="1"/>
  <c r="AJ228" i="1"/>
  <c r="AF228" i="1"/>
  <c r="AB228" i="1"/>
  <c r="X228" i="1"/>
  <c r="T228" i="1"/>
  <c r="P228" i="1"/>
  <c r="L228" i="1"/>
  <c r="H228" i="1"/>
  <c r="D228" i="1"/>
  <c r="CZ227" i="1"/>
  <c r="CV227" i="1"/>
  <c r="CR227" i="1"/>
  <c r="CN227" i="1"/>
  <c r="CJ227" i="1"/>
  <c r="CF227" i="1"/>
  <c r="CB227" i="1"/>
  <c r="BX227" i="1"/>
  <c r="BT227" i="1"/>
  <c r="BP227" i="1"/>
  <c r="BL227" i="1"/>
  <c r="AZ227" i="1"/>
  <c r="AV227" i="1"/>
  <c r="AR227" i="1"/>
  <c r="AN227" i="1"/>
  <c r="AJ227" i="1"/>
  <c r="AF227" i="1"/>
  <c r="AB227" i="1"/>
  <c r="X227" i="1"/>
  <c r="T227" i="1"/>
  <c r="P227" i="1"/>
  <c r="L227" i="1"/>
  <c r="H227" i="1"/>
  <c r="D227" i="1"/>
  <c r="CZ226" i="1"/>
  <c r="CY226" i="1"/>
  <c r="CV226" i="1"/>
  <c r="CU226" i="1"/>
  <c r="CR226" i="1"/>
  <c r="CQ226" i="1"/>
  <c r="CN226" i="1"/>
  <c r="CM226" i="1"/>
  <c r="CJ226" i="1"/>
  <c r="CI226" i="1"/>
  <c r="CF226" i="1"/>
  <c r="CE226" i="1"/>
  <c r="CB226" i="1"/>
  <c r="CA226" i="1"/>
  <c r="BX226" i="1"/>
  <c r="BW226" i="1"/>
  <c r="BT226" i="1"/>
  <c r="BS226" i="1"/>
  <c r="BP226" i="1"/>
  <c r="BO226" i="1"/>
  <c r="BL226" i="1"/>
  <c r="BK226" i="1"/>
  <c r="AZ226" i="1"/>
  <c r="AY226" i="1"/>
  <c r="AV226" i="1"/>
  <c r="AU226" i="1"/>
  <c r="AR226" i="1"/>
  <c r="AQ226" i="1"/>
  <c r="AN226" i="1"/>
  <c r="AM226" i="1"/>
  <c r="AJ226" i="1"/>
  <c r="AI226" i="1"/>
  <c r="AF226" i="1"/>
  <c r="AE226" i="1"/>
  <c r="AB226" i="1"/>
  <c r="AA226" i="1"/>
  <c r="X226" i="1"/>
  <c r="W226" i="1"/>
  <c r="T226" i="1"/>
  <c r="S226" i="1"/>
  <c r="P226" i="1"/>
  <c r="O226" i="1"/>
  <c r="L226" i="1"/>
  <c r="K226" i="1"/>
  <c r="H226" i="1"/>
  <c r="G226" i="1"/>
  <c r="D226" i="1"/>
  <c r="C226" i="1"/>
  <c r="CZ225" i="1"/>
  <c r="CY225" i="1"/>
  <c r="CV225" i="1"/>
  <c r="CU225" i="1"/>
  <c r="CR225" i="1"/>
  <c r="CQ225" i="1"/>
  <c r="CN225" i="1"/>
  <c r="CM225" i="1"/>
  <c r="CJ225" i="1"/>
  <c r="CI225" i="1"/>
  <c r="CF225" i="1"/>
  <c r="CE225" i="1"/>
  <c r="CB225" i="1"/>
  <c r="CA225" i="1"/>
  <c r="BX225" i="1"/>
  <c r="BW225" i="1"/>
  <c r="BT225" i="1"/>
  <c r="BS225" i="1"/>
  <c r="BP225" i="1"/>
  <c r="BO225" i="1"/>
  <c r="BL225" i="1"/>
  <c r="BK225" i="1"/>
  <c r="AZ225" i="1"/>
  <c r="AY225" i="1"/>
  <c r="AV225" i="1"/>
  <c r="AU225" i="1"/>
  <c r="AR225" i="1"/>
  <c r="AQ225" i="1"/>
  <c r="AN225" i="1"/>
  <c r="AM225" i="1"/>
  <c r="AJ225" i="1"/>
  <c r="AI225" i="1"/>
  <c r="AF225" i="1"/>
  <c r="AE225" i="1"/>
  <c r="AB225" i="1"/>
  <c r="AA225" i="1"/>
  <c r="X225" i="1"/>
  <c r="W225" i="1"/>
  <c r="T225" i="1"/>
  <c r="S225" i="1"/>
  <c r="P225" i="1"/>
  <c r="O225" i="1"/>
  <c r="L225" i="1"/>
  <c r="K225" i="1"/>
  <c r="H225" i="1"/>
  <c r="G225" i="1"/>
  <c r="D225" i="1"/>
  <c r="C225" i="1"/>
  <c r="A224" i="1"/>
  <c r="CZ222" i="1"/>
  <c r="CV222" i="1"/>
  <c r="CR222" i="1"/>
  <c r="CN222" i="1"/>
  <c r="CJ222" i="1"/>
  <c r="CF222" i="1"/>
  <c r="CB222" i="1"/>
  <c r="BX222" i="1"/>
  <c r="BT222" i="1"/>
  <c r="BP222" i="1"/>
  <c r="BL222" i="1"/>
  <c r="AZ222" i="1"/>
  <c r="AV222" i="1"/>
  <c r="AR222" i="1"/>
  <c r="AN222" i="1"/>
  <c r="AJ222" i="1"/>
  <c r="AF222" i="1"/>
  <c r="AB222" i="1"/>
  <c r="X222" i="1"/>
  <c r="T222" i="1"/>
  <c r="P222" i="1"/>
  <c r="L222" i="1"/>
  <c r="H222" i="1"/>
  <c r="D222" i="1"/>
  <c r="CZ221" i="1"/>
  <c r="CV221" i="1"/>
  <c r="CR221" i="1"/>
  <c r="CN221" i="1"/>
  <c r="CJ221" i="1"/>
  <c r="CF221" i="1"/>
  <c r="CB221" i="1"/>
  <c r="BX221" i="1"/>
  <c r="BT221" i="1"/>
  <c r="BP221" i="1"/>
  <c r="BL221" i="1"/>
  <c r="AZ221" i="1"/>
  <c r="AV221" i="1"/>
  <c r="AR221" i="1"/>
  <c r="AN221" i="1"/>
  <c r="AJ221" i="1"/>
  <c r="AF221" i="1"/>
  <c r="AB221" i="1"/>
  <c r="X221" i="1"/>
  <c r="T221" i="1"/>
  <c r="P221" i="1"/>
  <c r="L221" i="1"/>
  <c r="H221" i="1"/>
  <c r="D221" i="1"/>
  <c r="CZ220" i="1"/>
  <c r="CV220" i="1"/>
  <c r="CR220" i="1"/>
  <c r="CN220" i="1"/>
  <c r="CJ220" i="1"/>
  <c r="CF220" i="1"/>
  <c r="CB220" i="1"/>
  <c r="BX220" i="1"/>
  <c r="BT220" i="1"/>
  <c r="BP220" i="1"/>
  <c r="BL220" i="1"/>
  <c r="AZ220" i="1"/>
  <c r="AV220" i="1"/>
  <c r="AR220" i="1"/>
  <c r="AN220" i="1"/>
  <c r="AJ220" i="1"/>
  <c r="AF220" i="1"/>
  <c r="AB220" i="1"/>
  <c r="X220" i="1"/>
  <c r="T220" i="1"/>
  <c r="P220" i="1"/>
  <c r="L220" i="1"/>
  <c r="H220" i="1"/>
  <c r="D220" i="1"/>
  <c r="CZ219" i="1"/>
  <c r="CY219" i="1"/>
  <c r="CV219" i="1"/>
  <c r="CU219" i="1"/>
  <c r="CR219" i="1"/>
  <c r="CQ219" i="1"/>
  <c r="CN219" i="1"/>
  <c r="CM219" i="1"/>
  <c r="CJ219" i="1"/>
  <c r="CI219" i="1"/>
  <c r="CF219" i="1"/>
  <c r="CE219" i="1"/>
  <c r="CB219" i="1"/>
  <c r="CA219" i="1"/>
  <c r="BX219" i="1"/>
  <c r="BW219" i="1"/>
  <c r="BT219" i="1"/>
  <c r="BS219" i="1"/>
  <c r="BP219" i="1"/>
  <c r="BO219" i="1"/>
  <c r="BL219" i="1"/>
  <c r="BK219" i="1"/>
  <c r="AZ219" i="1"/>
  <c r="AY219" i="1"/>
  <c r="AV219" i="1"/>
  <c r="AU219" i="1"/>
  <c r="AR219" i="1"/>
  <c r="AQ219" i="1"/>
  <c r="AN219" i="1"/>
  <c r="AM219" i="1"/>
  <c r="AJ219" i="1"/>
  <c r="AI219" i="1"/>
  <c r="AF219" i="1"/>
  <c r="AE219" i="1"/>
  <c r="AB219" i="1"/>
  <c r="AA219" i="1"/>
  <c r="X219" i="1"/>
  <c r="W219" i="1"/>
  <c r="T219" i="1"/>
  <c r="S219" i="1"/>
  <c r="P219" i="1"/>
  <c r="O219" i="1"/>
  <c r="L219" i="1"/>
  <c r="K219" i="1"/>
  <c r="H219" i="1"/>
  <c r="G219" i="1"/>
  <c r="D219" i="1"/>
  <c r="C219" i="1"/>
  <c r="CZ218" i="1"/>
  <c r="CY218" i="1"/>
  <c r="CV218" i="1"/>
  <c r="CU218" i="1"/>
  <c r="CR218" i="1"/>
  <c r="CQ218" i="1"/>
  <c r="CN218" i="1"/>
  <c r="CM218" i="1"/>
  <c r="CJ218" i="1"/>
  <c r="CI218" i="1"/>
  <c r="CF218" i="1"/>
  <c r="CE218" i="1"/>
  <c r="CB218" i="1"/>
  <c r="CA218" i="1"/>
  <c r="BX218" i="1"/>
  <c r="BW218" i="1"/>
  <c r="BT218" i="1"/>
  <c r="BS218" i="1"/>
  <c r="BP218" i="1"/>
  <c r="BO218" i="1"/>
  <c r="BL218" i="1"/>
  <c r="BK218" i="1"/>
  <c r="AZ218" i="1"/>
  <c r="AY218" i="1"/>
  <c r="AV218" i="1"/>
  <c r="AU218" i="1"/>
  <c r="AR218" i="1"/>
  <c r="AQ218" i="1"/>
  <c r="AN218" i="1"/>
  <c r="AM218" i="1"/>
  <c r="AJ218" i="1"/>
  <c r="AI218" i="1"/>
  <c r="AF218" i="1"/>
  <c r="AE218" i="1"/>
  <c r="AB218" i="1"/>
  <c r="AA218" i="1"/>
  <c r="X218" i="1"/>
  <c r="W218" i="1"/>
  <c r="T218" i="1"/>
  <c r="S218" i="1"/>
  <c r="P218" i="1"/>
  <c r="O218" i="1"/>
  <c r="L218" i="1"/>
  <c r="K218" i="1"/>
  <c r="H218" i="1"/>
  <c r="G218" i="1"/>
  <c r="D218" i="1"/>
  <c r="C218" i="1"/>
  <c r="CZ217" i="1"/>
  <c r="CY217" i="1"/>
  <c r="CV217" i="1"/>
  <c r="CU217" i="1"/>
  <c r="CR217" i="1"/>
  <c r="CQ217" i="1"/>
  <c r="CN217" i="1"/>
  <c r="CM217" i="1"/>
  <c r="CJ217" i="1"/>
  <c r="CI217" i="1"/>
  <c r="CF217" i="1"/>
  <c r="CE217" i="1"/>
  <c r="CB217" i="1"/>
  <c r="CA217" i="1"/>
  <c r="BX217" i="1"/>
  <c r="BW217" i="1"/>
  <c r="BT217" i="1"/>
  <c r="BS217" i="1"/>
  <c r="BP217" i="1"/>
  <c r="BO217" i="1"/>
  <c r="BL217" i="1"/>
  <c r="BK217" i="1"/>
  <c r="AZ217" i="1"/>
  <c r="AY217" i="1"/>
  <c r="AV217" i="1"/>
  <c r="AU217" i="1"/>
  <c r="AR217" i="1"/>
  <c r="AQ217" i="1"/>
  <c r="AN217" i="1"/>
  <c r="AM217" i="1"/>
  <c r="AJ217" i="1"/>
  <c r="AI217" i="1"/>
  <c r="AF217" i="1"/>
  <c r="AE217" i="1"/>
  <c r="AB217" i="1"/>
  <c r="AA217" i="1"/>
  <c r="X217" i="1"/>
  <c r="W217" i="1"/>
  <c r="T217" i="1"/>
  <c r="S217" i="1"/>
  <c r="P217" i="1"/>
  <c r="O217" i="1"/>
  <c r="L217" i="1"/>
  <c r="K217" i="1"/>
  <c r="H217" i="1"/>
  <c r="G217" i="1"/>
  <c r="D217" i="1"/>
  <c r="C217" i="1"/>
  <c r="CZ216" i="1"/>
  <c r="CY216" i="1"/>
  <c r="CV216" i="1"/>
  <c r="CU216" i="1"/>
  <c r="CR216" i="1"/>
  <c r="CQ216" i="1"/>
  <c r="CN216" i="1"/>
  <c r="CM216" i="1"/>
  <c r="CJ216" i="1"/>
  <c r="CI216" i="1"/>
  <c r="CF216" i="1"/>
  <c r="CE216" i="1"/>
  <c r="CB216" i="1"/>
  <c r="CA216" i="1"/>
  <c r="BX216" i="1"/>
  <c r="BW216" i="1"/>
  <c r="BT216" i="1"/>
  <c r="BS216" i="1"/>
  <c r="BP216" i="1"/>
  <c r="BO216" i="1"/>
  <c r="BL216" i="1"/>
  <c r="BK216" i="1"/>
  <c r="AZ216" i="1"/>
  <c r="AY216" i="1"/>
  <c r="AV216" i="1"/>
  <c r="AU216" i="1"/>
  <c r="AR216" i="1"/>
  <c r="AQ216" i="1"/>
  <c r="AN216" i="1"/>
  <c r="AM216" i="1"/>
  <c r="AJ216" i="1"/>
  <c r="AI216" i="1"/>
  <c r="AF216" i="1"/>
  <c r="AE216" i="1"/>
  <c r="AB216" i="1"/>
  <c r="AA216" i="1"/>
  <c r="X216" i="1"/>
  <c r="W216" i="1"/>
  <c r="T216" i="1"/>
  <c r="S216" i="1"/>
  <c r="P216" i="1"/>
  <c r="O216" i="1"/>
  <c r="L216" i="1"/>
  <c r="K216" i="1"/>
  <c r="H216" i="1"/>
  <c r="G216" i="1"/>
  <c r="D216" i="1"/>
  <c r="C216" i="1"/>
  <c r="CZ215" i="1"/>
  <c r="CY215" i="1"/>
  <c r="CV215" i="1"/>
  <c r="CU215" i="1"/>
  <c r="CR215" i="1"/>
  <c r="CQ215" i="1"/>
  <c r="CN215" i="1"/>
  <c r="CM215" i="1"/>
  <c r="CJ215" i="1"/>
  <c r="CI215" i="1"/>
  <c r="CF215" i="1"/>
  <c r="CE215" i="1"/>
  <c r="CB215" i="1"/>
  <c r="CA215" i="1"/>
  <c r="BX215" i="1"/>
  <c r="BW215" i="1"/>
  <c r="BT215" i="1"/>
  <c r="BS215" i="1"/>
  <c r="BP215" i="1"/>
  <c r="BO215" i="1"/>
  <c r="BL215" i="1"/>
  <c r="BK215" i="1"/>
  <c r="AZ215" i="1"/>
  <c r="AY215" i="1"/>
  <c r="AV215" i="1"/>
  <c r="AU215" i="1"/>
  <c r="AR215" i="1"/>
  <c r="AQ215" i="1"/>
  <c r="AN215" i="1"/>
  <c r="AM215" i="1"/>
  <c r="AJ215" i="1"/>
  <c r="AI215" i="1"/>
  <c r="AF215" i="1"/>
  <c r="AE215" i="1"/>
  <c r="AB215" i="1"/>
  <c r="AA215" i="1"/>
  <c r="X215" i="1"/>
  <c r="W215" i="1"/>
  <c r="T215" i="1"/>
  <c r="S215" i="1"/>
  <c r="P215" i="1"/>
  <c r="O215" i="1"/>
  <c r="L215" i="1"/>
  <c r="K215" i="1"/>
  <c r="H215" i="1"/>
  <c r="G215" i="1"/>
  <c r="D215" i="1"/>
  <c r="C215" i="1"/>
  <c r="CZ212" i="1"/>
  <c r="CV212" i="1"/>
  <c r="CR212" i="1"/>
  <c r="CN212" i="1"/>
  <c r="CJ212" i="1"/>
  <c r="CF212" i="1"/>
  <c r="CB212" i="1"/>
  <c r="BX212" i="1"/>
  <c r="BT212" i="1"/>
  <c r="BP212" i="1"/>
  <c r="BL212" i="1"/>
  <c r="AZ212" i="1"/>
  <c r="AV212" i="1"/>
  <c r="AR212" i="1"/>
  <c r="AN212" i="1"/>
  <c r="AJ212" i="1"/>
  <c r="AF212" i="1"/>
  <c r="AB212" i="1"/>
  <c r="X212" i="1"/>
  <c r="T212" i="1"/>
  <c r="P212" i="1"/>
  <c r="L212" i="1"/>
  <c r="H212" i="1"/>
  <c r="D212" i="1"/>
  <c r="CZ211" i="1"/>
  <c r="CV211" i="1"/>
  <c r="CR211" i="1"/>
  <c r="CN211" i="1"/>
  <c r="CJ211" i="1"/>
  <c r="CF211" i="1"/>
  <c r="CB211" i="1"/>
  <c r="BX211" i="1"/>
  <c r="BT211" i="1"/>
  <c r="BP211" i="1"/>
  <c r="BL211" i="1"/>
  <c r="AZ211" i="1"/>
  <c r="AV211" i="1"/>
  <c r="AR211" i="1"/>
  <c r="AN211" i="1"/>
  <c r="AJ211" i="1"/>
  <c r="AF211" i="1"/>
  <c r="AB211" i="1"/>
  <c r="X211" i="1"/>
  <c r="T211" i="1"/>
  <c r="P211" i="1"/>
  <c r="L211" i="1"/>
  <c r="H211" i="1"/>
  <c r="D211" i="1"/>
  <c r="CZ210" i="1"/>
  <c r="CV210" i="1"/>
  <c r="CR210" i="1"/>
  <c r="CN210" i="1"/>
  <c r="CJ210" i="1"/>
  <c r="CF210" i="1"/>
  <c r="CB210" i="1"/>
  <c r="BX210" i="1"/>
  <c r="BT210" i="1"/>
  <c r="BP210" i="1"/>
  <c r="BL210" i="1"/>
  <c r="AZ210" i="1"/>
  <c r="AV210" i="1"/>
  <c r="AR210" i="1"/>
  <c r="AN210" i="1"/>
  <c r="AJ210" i="1"/>
  <c r="AF210" i="1"/>
  <c r="AB210" i="1"/>
  <c r="X210" i="1"/>
  <c r="T210" i="1"/>
  <c r="P210" i="1"/>
  <c r="L210" i="1"/>
  <c r="H210" i="1"/>
  <c r="D210" i="1"/>
  <c r="CZ209" i="1"/>
  <c r="CY209" i="1"/>
  <c r="CV209" i="1"/>
  <c r="CU209" i="1"/>
  <c r="CR209" i="1"/>
  <c r="CQ209" i="1"/>
  <c r="CN209" i="1"/>
  <c r="CM209" i="1"/>
  <c r="CJ209" i="1"/>
  <c r="CI209" i="1"/>
  <c r="CF209" i="1"/>
  <c r="CE209" i="1"/>
  <c r="CB209" i="1"/>
  <c r="CA209" i="1"/>
  <c r="BX209" i="1"/>
  <c r="BW209" i="1"/>
  <c r="BT209" i="1"/>
  <c r="BS209" i="1"/>
  <c r="BP209" i="1"/>
  <c r="BO209" i="1"/>
  <c r="BL209" i="1"/>
  <c r="BK209" i="1"/>
  <c r="AZ209" i="1"/>
  <c r="AY209" i="1"/>
  <c r="AV209" i="1"/>
  <c r="AU209" i="1"/>
  <c r="AR209" i="1"/>
  <c r="AQ209" i="1"/>
  <c r="AN209" i="1"/>
  <c r="AM209" i="1"/>
  <c r="AJ209" i="1"/>
  <c r="AI209" i="1"/>
  <c r="AF209" i="1"/>
  <c r="AE209" i="1"/>
  <c r="AB209" i="1"/>
  <c r="AA209" i="1"/>
  <c r="X209" i="1"/>
  <c r="W209" i="1"/>
  <c r="T209" i="1"/>
  <c r="S209" i="1"/>
  <c r="P209" i="1"/>
  <c r="O209" i="1"/>
  <c r="L209" i="1"/>
  <c r="K209" i="1"/>
  <c r="H209" i="1"/>
  <c r="G209" i="1"/>
  <c r="D209" i="1"/>
  <c r="C209" i="1"/>
  <c r="CZ208" i="1"/>
  <c r="CY208" i="1"/>
  <c r="CV208" i="1"/>
  <c r="CU208" i="1"/>
  <c r="CR208" i="1"/>
  <c r="CQ208" i="1"/>
  <c r="CN208" i="1"/>
  <c r="CM208" i="1"/>
  <c r="CJ208" i="1"/>
  <c r="CI208" i="1"/>
  <c r="CF208" i="1"/>
  <c r="CE208" i="1"/>
  <c r="CB208" i="1"/>
  <c r="CA208" i="1"/>
  <c r="BX208" i="1"/>
  <c r="BW208" i="1"/>
  <c r="BT208" i="1"/>
  <c r="BS208" i="1"/>
  <c r="BP208" i="1"/>
  <c r="BO208" i="1"/>
  <c r="BL208" i="1"/>
  <c r="BK208" i="1"/>
  <c r="AZ208" i="1"/>
  <c r="AY208" i="1"/>
  <c r="AV208" i="1"/>
  <c r="AU208" i="1"/>
  <c r="AR208" i="1"/>
  <c r="AQ208" i="1"/>
  <c r="AN208" i="1"/>
  <c r="AM208" i="1"/>
  <c r="AJ208" i="1"/>
  <c r="AI208" i="1"/>
  <c r="AF208" i="1"/>
  <c r="AE208" i="1"/>
  <c r="AB208" i="1"/>
  <c r="AA208" i="1"/>
  <c r="X208" i="1"/>
  <c r="W208" i="1"/>
  <c r="T208" i="1"/>
  <c r="S208" i="1"/>
  <c r="P208" i="1"/>
  <c r="O208" i="1"/>
  <c r="L208" i="1"/>
  <c r="K208" i="1"/>
  <c r="H208" i="1"/>
  <c r="G208" i="1"/>
  <c r="D208" i="1"/>
  <c r="C208" i="1"/>
  <c r="A207" i="1"/>
  <c r="CZ205" i="1"/>
  <c r="CV205" i="1"/>
  <c r="CR205" i="1"/>
  <c r="CN205" i="1"/>
  <c r="CJ205" i="1"/>
  <c r="CF205" i="1"/>
  <c r="CB205" i="1"/>
  <c r="BX205" i="1"/>
  <c r="BT205" i="1"/>
  <c r="BP205" i="1"/>
  <c r="BL205" i="1"/>
  <c r="AZ205" i="1"/>
  <c r="AV205" i="1"/>
  <c r="AR205" i="1"/>
  <c r="AN205" i="1"/>
  <c r="AJ205" i="1"/>
  <c r="AF205" i="1"/>
  <c r="AB205" i="1"/>
  <c r="X205" i="1"/>
  <c r="T205" i="1"/>
  <c r="P205" i="1"/>
  <c r="L205" i="1"/>
  <c r="H205" i="1"/>
  <c r="D205" i="1"/>
  <c r="CZ204" i="1"/>
  <c r="CV204" i="1"/>
  <c r="CR204" i="1"/>
  <c r="CN204" i="1"/>
  <c r="CJ204" i="1"/>
  <c r="CF204" i="1"/>
  <c r="CB204" i="1"/>
  <c r="BX204" i="1"/>
  <c r="BT204" i="1"/>
  <c r="BP204" i="1"/>
  <c r="BL204" i="1"/>
  <c r="AZ204" i="1"/>
  <c r="AV204" i="1"/>
  <c r="AR204" i="1"/>
  <c r="AN204" i="1"/>
  <c r="AJ204" i="1"/>
  <c r="AF204" i="1"/>
  <c r="AB204" i="1"/>
  <c r="X204" i="1"/>
  <c r="T204" i="1"/>
  <c r="P204" i="1"/>
  <c r="L204" i="1"/>
  <c r="H204" i="1"/>
  <c r="D204" i="1"/>
  <c r="CZ203" i="1"/>
  <c r="CV203" i="1"/>
  <c r="CR203" i="1"/>
  <c r="CN203" i="1"/>
  <c r="CJ203" i="1"/>
  <c r="CF203" i="1"/>
  <c r="CB203" i="1"/>
  <c r="BX203" i="1"/>
  <c r="BT203" i="1"/>
  <c r="BP203" i="1"/>
  <c r="BL203" i="1"/>
  <c r="AZ203" i="1"/>
  <c r="AV203" i="1"/>
  <c r="AR203" i="1"/>
  <c r="AN203" i="1"/>
  <c r="AJ203" i="1"/>
  <c r="AF203" i="1"/>
  <c r="AB203" i="1"/>
  <c r="X203" i="1"/>
  <c r="T203" i="1"/>
  <c r="P203" i="1"/>
  <c r="L203" i="1"/>
  <c r="H203" i="1"/>
  <c r="D203" i="1"/>
  <c r="CZ202" i="1"/>
  <c r="CY202" i="1"/>
  <c r="CV202" i="1"/>
  <c r="CU202" i="1"/>
  <c r="CR202" i="1"/>
  <c r="CQ202" i="1"/>
  <c r="CN202" i="1"/>
  <c r="CM202" i="1"/>
  <c r="CJ202" i="1"/>
  <c r="CI202" i="1"/>
  <c r="CF202" i="1"/>
  <c r="CE202" i="1"/>
  <c r="CB202" i="1"/>
  <c r="CA202" i="1"/>
  <c r="BX202" i="1"/>
  <c r="BW202" i="1"/>
  <c r="BT202" i="1"/>
  <c r="BS202" i="1"/>
  <c r="BP202" i="1"/>
  <c r="BO202" i="1"/>
  <c r="BL202" i="1"/>
  <c r="BK202" i="1"/>
  <c r="AZ202" i="1"/>
  <c r="AY202" i="1"/>
  <c r="AV202" i="1"/>
  <c r="AU202" i="1"/>
  <c r="AR202" i="1"/>
  <c r="AQ202" i="1"/>
  <c r="AN202" i="1"/>
  <c r="AM202" i="1"/>
  <c r="AJ202" i="1"/>
  <c r="AI202" i="1"/>
  <c r="AF202" i="1"/>
  <c r="AE202" i="1"/>
  <c r="AB202" i="1"/>
  <c r="AA202" i="1"/>
  <c r="X202" i="1"/>
  <c r="W202" i="1"/>
  <c r="T202" i="1"/>
  <c r="S202" i="1"/>
  <c r="P202" i="1"/>
  <c r="O202" i="1"/>
  <c r="L202" i="1"/>
  <c r="K202" i="1"/>
  <c r="H202" i="1"/>
  <c r="G202" i="1"/>
  <c r="D202" i="1"/>
  <c r="C202" i="1"/>
  <c r="CZ201" i="1"/>
  <c r="CY201" i="1"/>
  <c r="CV201" i="1"/>
  <c r="CU201" i="1"/>
  <c r="CR201" i="1"/>
  <c r="CQ201" i="1"/>
  <c r="CN201" i="1"/>
  <c r="CM201" i="1"/>
  <c r="CJ201" i="1"/>
  <c r="CI201" i="1"/>
  <c r="CF201" i="1"/>
  <c r="CE201" i="1"/>
  <c r="CB201" i="1"/>
  <c r="CA201" i="1"/>
  <c r="BX201" i="1"/>
  <c r="BW201" i="1"/>
  <c r="BT201" i="1"/>
  <c r="BS201" i="1"/>
  <c r="BP201" i="1"/>
  <c r="BO201" i="1"/>
  <c r="BL201" i="1"/>
  <c r="BK201" i="1"/>
  <c r="AZ201" i="1"/>
  <c r="AY201" i="1"/>
  <c r="AV201" i="1"/>
  <c r="AU201" i="1"/>
  <c r="AR201" i="1"/>
  <c r="AQ201" i="1"/>
  <c r="AN201" i="1"/>
  <c r="AM201" i="1"/>
  <c r="AJ201" i="1"/>
  <c r="AI201" i="1"/>
  <c r="AF201" i="1"/>
  <c r="AE201" i="1"/>
  <c r="AB201" i="1"/>
  <c r="AA201" i="1"/>
  <c r="X201" i="1"/>
  <c r="W201" i="1"/>
  <c r="T201" i="1"/>
  <c r="S201" i="1"/>
  <c r="P201" i="1"/>
  <c r="O201" i="1"/>
  <c r="L201" i="1"/>
  <c r="K201" i="1"/>
  <c r="H201" i="1"/>
  <c r="G201" i="1"/>
  <c r="D201" i="1"/>
  <c r="C201" i="1"/>
  <c r="CZ200" i="1"/>
  <c r="CY200" i="1"/>
  <c r="CV200" i="1"/>
  <c r="CU200" i="1"/>
  <c r="CR200" i="1"/>
  <c r="CQ200" i="1"/>
  <c r="CN200" i="1"/>
  <c r="CM200" i="1"/>
  <c r="CJ200" i="1"/>
  <c r="CI200" i="1"/>
  <c r="CF200" i="1"/>
  <c r="CE200" i="1"/>
  <c r="CB200" i="1"/>
  <c r="CA200" i="1"/>
  <c r="BX200" i="1"/>
  <c r="BW200" i="1"/>
  <c r="BT200" i="1"/>
  <c r="BS200" i="1"/>
  <c r="BP200" i="1"/>
  <c r="BO200" i="1"/>
  <c r="BL200" i="1"/>
  <c r="BK200" i="1"/>
  <c r="AZ200" i="1"/>
  <c r="AY200" i="1"/>
  <c r="AV200" i="1"/>
  <c r="AU200" i="1"/>
  <c r="AR200" i="1"/>
  <c r="AQ200" i="1"/>
  <c r="AN200" i="1"/>
  <c r="AM200" i="1"/>
  <c r="AJ200" i="1"/>
  <c r="AI200" i="1"/>
  <c r="AF200" i="1"/>
  <c r="AE200" i="1"/>
  <c r="AB200" i="1"/>
  <c r="AA200" i="1"/>
  <c r="X200" i="1"/>
  <c r="W200" i="1"/>
  <c r="T200" i="1"/>
  <c r="S200" i="1"/>
  <c r="P200" i="1"/>
  <c r="O200" i="1"/>
  <c r="L200" i="1"/>
  <c r="K200" i="1"/>
  <c r="H200" i="1"/>
  <c r="G200" i="1"/>
  <c r="D200" i="1"/>
  <c r="C200" i="1"/>
  <c r="CZ199" i="1"/>
  <c r="CY199" i="1"/>
  <c r="CV199" i="1"/>
  <c r="CU199" i="1"/>
  <c r="CR199" i="1"/>
  <c r="CQ199" i="1"/>
  <c r="CN199" i="1"/>
  <c r="CM199" i="1"/>
  <c r="CJ199" i="1"/>
  <c r="CI199" i="1"/>
  <c r="CF199" i="1"/>
  <c r="CE199" i="1"/>
  <c r="CB199" i="1"/>
  <c r="CA199" i="1"/>
  <c r="BX199" i="1"/>
  <c r="BW199" i="1"/>
  <c r="BT199" i="1"/>
  <c r="BS199" i="1"/>
  <c r="BP199" i="1"/>
  <c r="BO199" i="1"/>
  <c r="BL199" i="1"/>
  <c r="BK199" i="1"/>
  <c r="AZ199" i="1"/>
  <c r="AY199" i="1"/>
  <c r="AV199" i="1"/>
  <c r="AU199" i="1"/>
  <c r="AR199" i="1"/>
  <c r="AQ199" i="1"/>
  <c r="AN199" i="1"/>
  <c r="AM199" i="1"/>
  <c r="AJ199" i="1"/>
  <c r="AI199" i="1"/>
  <c r="AF199" i="1"/>
  <c r="AE199" i="1"/>
  <c r="AB199" i="1"/>
  <c r="AA199" i="1"/>
  <c r="X199" i="1"/>
  <c r="W199" i="1"/>
  <c r="T199" i="1"/>
  <c r="S199" i="1"/>
  <c r="P199" i="1"/>
  <c r="O199" i="1"/>
  <c r="L199" i="1"/>
  <c r="K199" i="1"/>
  <c r="H199" i="1"/>
  <c r="G199" i="1"/>
  <c r="D199" i="1"/>
  <c r="C199" i="1"/>
  <c r="CZ198" i="1"/>
  <c r="CY198" i="1"/>
  <c r="CV198" i="1"/>
  <c r="CU198" i="1"/>
  <c r="CR198" i="1"/>
  <c r="CQ198" i="1"/>
  <c r="CN198" i="1"/>
  <c r="CM198" i="1"/>
  <c r="CJ198" i="1"/>
  <c r="CI198" i="1"/>
  <c r="CF198" i="1"/>
  <c r="CE198" i="1"/>
  <c r="CB198" i="1"/>
  <c r="CA198" i="1"/>
  <c r="BX198" i="1"/>
  <c r="BW198" i="1"/>
  <c r="BT198" i="1"/>
  <c r="BS198" i="1"/>
  <c r="BP198" i="1"/>
  <c r="BO198" i="1"/>
  <c r="BL198" i="1"/>
  <c r="BK198" i="1"/>
  <c r="AZ198" i="1"/>
  <c r="AY198" i="1"/>
  <c r="AV198" i="1"/>
  <c r="AU198" i="1"/>
  <c r="AR198" i="1"/>
  <c r="AQ198" i="1"/>
  <c r="AN198" i="1"/>
  <c r="AM198" i="1"/>
  <c r="AJ198" i="1"/>
  <c r="AI198" i="1"/>
  <c r="AF198" i="1"/>
  <c r="AE198" i="1"/>
  <c r="AB198" i="1"/>
  <c r="AA198" i="1"/>
  <c r="X198" i="1"/>
  <c r="W198" i="1"/>
  <c r="T198" i="1"/>
  <c r="S198" i="1"/>
  <c r="P198" i="1"/>
  <c r="O198" i="1"/>
  <c r="L198" i="1"/>
  <c r="K198" i="1"/>
  <c r="H198" i="1"/>
  <c r="G198" i="1"/>
  <c r="D198" i="1"/>
  <c r="C198" i="1"/>
  <c r="CZ195" i="1"/>
  <c r="CV195" i="1"/>
  <c r="CR195" i="1"/>
  <c r="CN195" i="1"/>
  <c r="CJ195" i="1"/>
  <c r="CF195" i="1"/>
  <c r="CB195" i="1"/>
  <c r="BX195" i="1"/>
  <c r="BT195" i="1"/>
  <c r="BP195" i="1"/>
  <c r="BL195" i="1"/>
  <c r="AZ195" i="1"/>
  <c r="AV195" i="1"/>
  <c r="AR195" i="1"/>
  <c r="AN195" i="1"/>
  <c r="AJ195" i="1"/>
  <c r="AF195" i="1"/>
  <c r="AB195" i="1"/>
  <c r="X195" i="1"/>
  <c r="T195" i="1"/>
  <c r="P195" i="1"/>
  <c r="L195" i="1"/>
  <c r="H195" i="1"/>
  <c r="D195" i="1"/>
  <c r="CZ194" i="1"/>
  <c r="CV194" i="1"/>
  <c r="CR194" i="1"/>
  <c r="CN194" i="1"/>
  <c r="CJ194" i="1"/>
  <c r="CF194" i="1"/>
  <c r="CB194" i="1"/>
  <c r="BX194" i="1"/>
  <c r="BT194" i="1"/>
  <c r="BP194" i="1"/>
  <c r="BL194" i="1"/>
  <c r="AZ194" i="1"/>
  <c r="AV194" i="1"/>
  <c r="AR194" i="1"/>
  <c r="AN194" i="1"/>
  <c r="AJ194" i="1"/>
  <c r="AF194" i="1"/>
  <c r="AB194" i="1"/>
  <c r="X194" i="1"/>
  <c r="T194" i="1"/>
  <c r="P194" i="1"/>
  <c r="L194" i="1"/>
  <c r="H194" i="1"/>
  <c r="D194" i="1"/>
  <c r="CZ193" i="1"/>
  <c r="CV193" i="1"/>
  <c r="CR193" i="1"/>
  <c r="CN193" i="1"/>
  <c r="CJ193" i="1"/>
  <c r="CF193" i="1"/>
  <c r="CB193" i="1"/>
  <c r="BX193" i="1"/>
  <c r="BT193" i="1"/>
  <c r="BP193" i="1"/>
  <c r="BL193" i="1"/>
  <c r="AZ193" i="1"/>
  <c r="AV193" i="1"/>
  <c r="AR193" i="1"/>
  <c r="AN193" i="1"/>
  <c r="AJ193" i="1"/>
  <c r="AF193" i="1"/>
  <c r="AB193" i="1"/>
  <c r="X193" i="1"/>
  <c r="T193" i="1"/>
  <c r="P193" i="1"/>
  <c r="L193" i="1"/>
  <c r="H193" i="1"/>
  <c r="D193" i="1"/>
  <c r="CZ192" i="1"/>
  <c r="CY192" i="1"/>
  <c r="CV192" i="1"/>
  <c r="CU192" i="1"/>
  <c r="CR192" i="1"/>
  <c r="CQ192" i="1"/>
  <c r="CN192" i="1"/>
  <c r="CM192" i="1"/>
  <c r="CJ192" i="1"/>
  <c r="CI192" i="1"/>
  <c r="CF192" i="1"/>
  <c r="CE192" i="1"/>
  <c r="CB192" i="1"/>
  <c r="CA192" i="1"/>
  <c r="BX192" i="1"/>
  <c r="BW192" i="1"/>
  <c r="BT192" i="1"/>
  <c r="BS192" i="1"/>
  <c r="BP192" i="1"/>
  <c r="BO192" i="1"/>
  <c r="BL192" i="1"/>
  <c r="BK192" i="1"/>
  <c r="AZ192" i="1"/>
  <c r="AY192" i="1"/>
  <c r="AV192" i="1"/>
  <c r="AU192" i="1"/>
  <c r="AR192" i="1"/>
  <c r="AQ192" i="1"/>
  <c r="AN192" i="1"/>
  <c r="AM192" i="1"/>
  <c r="AJ192" i="1"/>
  <c r="AI192" i="1"/>
  <c r="AF192" i="1"/>
  <c r="AE192" i="1"/>
  <c r="AB192" i="1"/>
  <c r="AA192" i="1"/>
  <c r="X192" i="1"/>
  <c r="W192" i="1"/>
  <c r="T192" i="1"/>
  <c r="S192" i="1"/>
  <c r="P192" i="1"/>
  <c r="O192" i="1"/>
  <c r="L192" i="1"/>
  <c r="K192" i="1"/>
  <c r="H192" i="1"/>
  <c r="G192" i="1"/>
  <c r="D192" i="1"/>
  <c r="C192" i="1"/>
  <c r="CZ191" i="1"/>
  <c r="CY191" i="1"/>
  <c r="CV191" i="1"/>
  <c r="CU191" i="1"/>
  <c r="CR191" i="1"/>
  <c r="CQ191" i="1"/>
  <c r="CN191" i="1"/>
  <c r="CM191" i="1"/>
  <c r="CJ191" i="1"/>
  <c r="CI191" i="1"/>
  <c r="CF191" i="1"/>
  <c r="CE191" i="1"/>
  <c r="CB191" i="1"/>
  <c r="CA191" i="1"/>
  <c r="BX191" i="1"/>
  <c r="BW191" i="1"/>
  <c r="BT191" i="1"/>
  <c r="BS191" i="1"/>
  <c r="BP191" i="1"/>
  <c r="BO191" i="1"/>
  <c r="BL191" i="1"/>
  <c r="BK191" i="1"/>
  <c r="AZ191" i="1"/>
  <c r="AY191" i="1"/>
  <c r="AV191" i="1"/>
  <c r="AU191" i="1"/>
  <c r="AR191" i="1"/>
  <c r="AQ191" i="1"/>
  <c r="AN191" i="1"/>
  <c r="AM191" i="1"/>
  <c r="AJ191" i="1"/>
  <c r="AI191" i="1"/>
  <c r="AF191" i="1"/>
  <c r="AE191" i="1"/>
  <c r="AB191" i="1"/>
  <c r="AA191" i="1"/>
  <c r="X191" i="1"/>
  <c r="W191" i="1"/>
  <c r="T191" i="1"/>
  <c r="S191" i="1"/>
  <c r="P191" i="1"/>
  <c r="O191" i="1"/>
  <c r="L191" i="1"/>
  <c r="K191" i="1"/>
  <c r="H191" i="1"/>
  <c r="G191" i="1"/>
  <c r="D191" i="1"/>
  <c r="C191" i="1"/>
  <c r="A190" i="1"/>
  <c r="CZ188" i="1"/>
  <c r="CV188" i="1"/>
  <c r="CR188" i="1"/>
  <c r="CN188" i="1"/>
  <c r="CJ188" i="1"/>
  <c r="CF188" i="1"/>
  <c r="CB188" i="1"/>
  <c r="BX188" i="1"/>
  <c r="BT188" i="1"/>
  <c r="BP188" i="1"/>
  <c r="BL188" i="1"/>
  <c r="AZ188" i="1"/>
  <c r="AV188" i="1"/>
  <c r="AR188" i="1"/>
  <c r="AN188" i="1"/>
  <c r="AJ188" i="1"/>
  <c r="AF188" i="1"/>
  <c r="AB188" i="1"/>
  <c r="X188" i="1"/>
  <c r="T188" i="1"/>
  <c r="P188" i="1"/>
  <c r="L188" i="1"/>
  <c r="H188" i="1"/>
  <c r="D188" i="1"/>
  <c r="CZ187" i="1"/>
  <c r="CV187" i="1"/>
  <c r="CR187" i="1"/>
  <c r="CN187" i="1"/>
  <c r="CJ187" i="1"/>
  <c r="CF187" i="1"/>
  <c r="CB187" i="1"/>
  <c r="BX187" i="1"/>
  <c r="BT187" i="1"/>
  <c r="BP187" i="1"/>
  <c r="BL187" i="1"/>
  <c r="AZ187" i="1"/>
  <c r="AV187" i="1"/>
  <c r="AR187" i="1"/>
  <c r="AN187" i="1"/>
  <c r="AJ187" i="1"/>
  <c r="AF187" i="1"/>
  <c r="AB187" i="1"/>
  <c r="X187" i="1"/>
  <c r="T187" i="1"/>
  <c r="P187" i="1"/>
  <c r="L187" i="1"/>
  <c r="H187" i="1"/>
  <c r="D187" i="1"/>
  <c r="CZ186" i="1"/>
  <c r="CV186" i="1"/>
  <c r="CR186" i="1"/>
  <c r="CN186" i="1"/>
  <c r="CJ186" i="1"/>
  <c r="CF186" i="1"/>
  <c r="CB186" i="1"/>
  <c r="BX186" i="1"/>
  <c r="BT186" i="1"/>
  <c r="BP186" i="1"/>
  <c r="BL186" i="1"/>
  <c r="AZ186" i="1"/>
  <c r="AV186" i="1"/>
  <c r="AR186" i="1"/>
  <c r="AN186" i="1"/>
  <c r="AJ186" i="1"/>
  <c r="AF186" i="1"/>
  <c r="AB186" i="1"/>
  <c r="X186" i="1"/>
  <c r="T186" i="1"/>
  <c r="P186" i="1"/>
  <c r="L186" i="1"/>
  <c r="H186" i="1"/>
  <c r="D186" i="1"/>
  <c r="CZ185" i="1"/>
  <c r="CY185" i="1"/>
  <c r="CV185" i="1"/>
  <c r="CU185" i="1"/>
  <c r="CR185" i="1"/>
  <c r="CQ185" i="1"/>
  <c r="CN185" i="1"/>
  <c r="CM185" i="1"/>
  <c r="CJ185" i="1"/>
  <c r="CI185" i="1"/>
  <c r="CF185" i="1"/>
  <c r="CE185" i="1"/>
  <c r="CB185" i="1"/>
  <c r="CA185" i="1"/>
  <c r="BX185" i="1"/>
  <c r="BW185" i="1"/>
  <c r="BT185" i="1"/>
  <c r="BS185" i="1"/>
  <c r="BP185" i="1"/>
  <c r="BO185" i="1"/>
  <c r="BL185" i="1"/>
  <c r="BK185" i="1"/>
  <c r="AZ185" i="1"/>
  <c r="AY185" i="1"/>
  <c r="AV185" i="1"/>
  <c r="AU185" i="1"/>
  <c r="AR185" i="1"/>
  <c r="AQ185" i="1"/>
  <c r="AN185" i="1"/>
  <c r="AM185" i="1"/>
  <c r="AJ185" i="1"/>
  <c r="AI185" i="1"/>
  <c r="AF185" i="1"/>
  <c r="AE185" i="1"/>
  <c r="AB185" i="1"/>
  <c r="AA185" i="1"/>
  <c r="X185" i="1"/>
  <c r="W185" i="1"/>
  <c r="T185" i="1"/>
  <c r="S185" i="1"/>
  <c r="P185" i="1"/>
  <c r="O185" i="1"/>
  <c r="L185" i="1"/>
  <c r="K185" i="1"/>
  <c r="H185" i="1"/>
  <c r="G185" i="1"/>
  <c r="D185" i="1"/>
  <c r="C185" i="1"/>
  <c r="CZ183" i="1"/>
  <c r="CY183" i="1"/>
  <c r="CV183" i="1"/>
  <c r="CU183" i="1"/>
  <c r="CR183" i="1"/>
  <c r="CQ183" i="1"/>
  <c r="CN183" i="1"/>
  <c r="CM183" i="1"/>
  <c r="CJ183" i="1"/>
  <c r="CI183" i="1"/>
  <c r="CF183" i="1"/>
  <c r="CE183" i="1"/>
  <c r="CB183" i="1"/>
  <c r="CA183" i="1"/>
  <c r="BX183" i="1"/>
  <c r="BW183" i="1"/>
  <c r="BT183" i="1"/>
  <c r="BS183" i="1"/>
  <c r="BP183" i="1"/>
  <c r="BO183" i="1"/>
  <c r="BL183" i="1"/>
  <c r="BK183" i="1"/>
  <c r="AZ183" i="1"/>
  <c r="AY183" i="1"/>
  <c r="AV183" i="1"/>
  <c r="AU183" i="1"/>
  <c r="AR183" i="1"/>
  <c r="AQ183" i="1"/>
  <c r="AN183" i="1"/>
  <c r="AM183" i="1"/>
  <c r="AJ183" i="1"/>
  <c r="AI183" i="1"/>
  <c r="AF183" i="1"/>
  <c r="AE183" i="1"/>
  <c r="AB183" i="1"/>
  <c r="AA183" i="1"/>
  <c r="X183" i="1"/>
  <c r="W183" i="1"/>
  <c r="T183" i="1"/>
  <c r="S183" i="1"/>
  <c r="P183" i="1"/>
  <c r="O183" i="1"/>
  <c r="L183" i="1"/>
  <c r="K183" i="1"/>
  <c r="H183" i="1"/>
  <c r="G183" i="1"/>
  <c r="D183" i="1"/>
  <c r="C183" i="1"/>
  <c r="CZ182" i="1"/>
  <c r="CY182" i="1"/>
  <c r="CV182" i="1"/>
  <c r="CU182" i="1"/>
  <c r="CR182" i="1"/>
  <c r="CQ182" i="1"/>
  <c r="CN182" i="1"/>
  <c r="CM182" i="1"/>
  <c r="CJ182" i="1"/>
  <c r="CI182" i="1"/>
  <c r="CF182" i="1"/>
  <c r="CE182" i="1"/>
  <c r="CB182" i="1"/>
  <c r="CA182" i="1"/>
  <c r="BX182" i="1"/>
  <c r="BW182" i="1"/>
  <c r="BT182" i="1"/>
  <c r="BS182" i="1"/>
  <c r="BP182" i="1"/>
  <c r="BO182" i="1"/>
  <c r="BL182" i="1"/>
  <c r="BK182" i="1"/>
  <c r="AZ182" i="1"/>
  <c r="AY182" i="1"/>
  <c r="AV182" i="1"/>
  <c r="AU182" i="1"/>
  <c r="AR182" i="1"/>
  <c r="AQ182" i="1"/>
  <c r="AN182" i="1"/>
  <c r="AM182" i="1"/>
  <c r="AJ182" i="1"/>
  <c r="AI182" i="1"/>
  <c r="AF182" i="1"/>
  <c r="AE182" i="1"/>
  <c r="AB182" i="1"/>
  <c r="AA182" i="1"/>
  <c r="X182" i="1"/>
  <c r="W182" i="1"/>
  <c r="T182" i="1"/>
  <c r="S182" i="1"/>
  <c r="P182" i="1"/>
  <c r="O182" i="1"/>
  <c r="L182" i="1"/>
  <c r="K182" i="1"/>
  <c r="H182" i="1"/>
  <c r="G182" i="1"/>
  <c r="D182" i="1"/>
  <c r="C182" i="1"/>
  <c r="CZ181" i="1"/>
  <c r="CY181" i="1"/>
  <c r="CV181" i="1"/>
  <c r="CU181" i="1"/>
  <c r="CR181" i="1"/>
  <c r="CQ181" i="1"/>
  <c r="CN181" i="1"/>
  <c r="CM181" i="1"/>
  <c r="CJ181" i="1"/>
  <c r="CI181" i="1"/>
  <c r="CF181" i="1"/>
  <c r="CE181" i="1"/>
  <c r="CB181" i="1"/>
  <c r="CA181" i="1"/>
  <c r="BX181" i="1"/>
  <c r="BW181" i="1"/>
  <c r="BT181" i="1"/>
  <c r="BS181" i="1"/>
  <c r="BP181" i="1"/>
  <c r="BO181" i="1"/>
  <c r="BL181" i="1"/>
  <c r="BK181" i="1"/>
  <c r="AZ181" i="1"/>
  <c r="AY181" i="1"/>
  <c r="AV181" i="1"/>
  <c r="AU181" i="1"/>
  <c r="AR181" i="1"/>
  <c r="AQ181" i="1"/>
  <c r="AN181" i="1"/>
  <c r="AM181" i="1"/>
  <c r="AJ181" i="1"/>
  <c r="AI181" i="1"/>
  <c r="AF181" i="1"/>
  <c r="AE181" i="1"/>
  <c r="AB181" i="1"/>
  <c r="AA181" i="1"/>
  <c r="X181" i="1"/>
  <c r="W181" i="1"/>
  <c r="T181" i="1"/>
  <c r="S181" i="1"/>
  <c r="P181" i="1"/>
  <c r="O181" i="1"/>
  <c r="L181" i="1"/>
  <c r="K181" i="1"/>
  <c r="H181" i="1"/>
  <c r="G181" i="1"/>
  <c r="D181" i="1"/>
  <c r="C181" i="1"/>
  <c r="CZ180" i="1"/>
  <c r="CY180" i="1"/>
  <c r="CV180" i="1"/>
  <c r="CU180" i="1"/>
  <c r="CR180" i="1"/>
  <c r="CQ180" i="1"/>
  <c r="CN180" i="1"/>
  <c r="CM180" i="1"/>
  <c r="CJ180" i="1"/>
  <c r="CI180" i="1"/>
  <c r="CF180" i="1"/>
  <c r="CE180" i="1"/>
  <c r="CB180" i="1"/>
  <c r="CA180" i="1"/>
  <c r="BX180" i="1"/>
  <c r="BW180" i="1"/>
  <c r="BT180" i="1"/>
  <c r="BS180" i="1"/>
  <c r="BP180" i="1"/>
  <c r="BO180" i="1"/>
  <c r="BL180" i="1"/>
  <c r="BK180" i="1"/>
  <c r="AZ180" i="1"/>
  <c r="AY180" i="1"/>
  <c r="AV180" i="1"/>
  <c r="AU180" i="1"/>
  <c r="AR180" i="1"/>
  <c r="AQ180" i="1"/>
  <c r="AN180" i="1"/>
  <c r="AM180" i="1"/>
  <c r="AJ180" i="1"/>
  <c r="AI180" i="1"/>
  <c r="AF180" i="1"/>
  <c r="AE180" i="1"/>
  <c r="AB180" i="1"/>
  <c r="AA180" i="1"/>
  <c r="X180" i="1"/>
  <c r="W180" i="1"/>
  <c r="T180" i="1"/>
  <c r="S180" i="1"/>
  <c r="P180" i="1"/>
  <c r="O180" i="1"/>
  <c r="L180" i="1"/>
  <c r="K180" i="1"/>
  <c r="H180" i="1"/>
  <c r="G180" i="1"/>
  <c r="D180" i="1"/>
  <c r="C180" i="1"/>
  <c r="CZ179" i="1"/>
  <c r="CY179" i="1"/>
  <c r="CV179" i="1"/>
  <c r="CU179" i="1"/>
  <c r="CR179" i="1"/>
  <c r="CQ179" i="1"/>
  <c r="CN179" i="1"/>
  <c r="CM179" i="1"/>
  <c r="CJ179" i="1"/>
  <c r="CI179" i="1"/>
  <c r="CF179" i="1"/>
  <c r="CE179" i="1"/>
  <c r="CB179" i="1"/>
  <c r="CA179" i="1"/>
  <c r="BX179" i="1"/>
  <c r="BW179" i="1"/>
  <c r="BT179" i="1"/>
  <c r="BS179" i="1"/>
  <c r="BP179" i="1"/>
  <c r="BO179" i="1"/>
  <c r="BL179" i="1"/>
  <c r="BK179" i="1"/>
  <c r="AZ179" i="1"/>
  <c r="AY179" i="1"/>
  <c r="AV179" i="1"/>
  <c r="AU179" i="1"/>
  <c r="AR179" i="1"/>
  <c r="AQ179" i="1"/>
  <c r="AN179" i="1"/>
  <c r="AM179" i="1"/>
  <c r="AJ179" i="1"/>
  <c r="AI179" i="1"/>
  <c r="AF179" i="1"/>
  <c r="AE179" i="1"/>
  <c r="AB179" i="1"/>
  <c r="AA179" i="1"/>
  <c r="X179" i="1"/>
  <c r="W179" i="1"/>
  <c r="T179" i="1"/>
  <c r="S179" i="1"/>
  <c r="P179" i="1"/>
  <c r="O179" i="1"/>
  <c r="L179" i="1"/>
  <c r="K179" i="1"/>
  <c r="H179" i="1"/>
  <c r="G179" i="1"/>
  <c r="D179" i="1"/>
  <c r="C179" i="1"/>
  <c r="CZ178" i="1"/>
  <c r="CY178" i="1"/>
  <c r="CV178" i="1"/>
  <c r="CU178" i="1"/>
  <c r="CR178" i="1"/>
  <c r="CQ178" i="1"/>
  <c r="CN178" i="1"/>
  <c r="CM178" i="1"/>
  <c r="CJ178" i="1"/>
  <c r="CI178" i="1"/>
  <c r="CF178" i="1"/>
  <c r="CE178" i="1"/>
  <c r="CB178" i="1"/>
  <c r="CA178" i="1"/>
  <c r="BX178" i="1"/>
  <c r="BW178" i="1"/>
  <c r="BT178" i="1"/>
  <c r="BS178" i="1"/>
  <c r="BP178" i="1"/>
  <c r="BO178" i="1"/>
  <c r="BL178" i="1"/>
  <c r="BK178" i="1"/>
  <c r="AZ178" i="1"/>
  <c r="AY178" i="1"/>
  <c r="AV178" i="1"/>
  <c r="AU178" i="1"/>
  <c r="AR178" i="1"/>
  <c r="AQ178" i="1"/>
  <c r="AN178" i="1"/>
  <c r="AM178" i="1"/>
  <c r="AJ178" i="1"/>
  <c r="AI178" i="1"/>
  <c r="AF178" i="1"/>
  <c r="AE178" i="1"/>
  <c r="AB178" i="1"/>
  <c r="AA178" i="1"/>
  <c r="X178" i="1"/>
  <c r="W178" i="1"/>
  <c r="T178" i="1"/>
  <c r="S178" i="1"/>
  <c r="P178" i="1"/>
  <c r="O178" i="1"/>
  <c r="L178" i="1"/>
  <c r="K178" i="1"/>
  <c r="H178" i="1"/>
  <c r="G178" i="1"/>
  <c r="D178" i="1"/>
  <c r="C178" i="1"/>
  <c r="CZ177" i="1"/>
  <c r="CY177" i="1"/>
  <c r="CV177" i="1"/>
  <c r="CU177" i="1"/>
  <c r="CR177" i="1"/>
  <c r="CQ177" i="1"/>
  <c r="CN177" i="1"/>
  <c r="CM177" i="1"/>
  <c r="CJ177" i="1"/>
  <c r="CI177" i="1"/>
  <c r="CF177" i="1"/>
  <c r="CE177" i="1"/>
  <c r="CB177" i="1"/>
  <c r="CA177" i="1"/>
  <c r="BX177" i="1"/>
  <c r="BW177" i="1"/>
  <c r="BT177" i="1"/>
  <c r="BS177" i="1"/>
  <c r="BP177" i="1"/>
  <c r="BO177" i="1"/>
  <c r="BL177" i="1"/>
  <c r="BK177" i="1"/>
  <c r="AZ177" i="1"/>
  <c r="AY177" i="1"/>
  <c r="AV177" i="1"/>
  <c r="AU177" i="1"/>
  <c r="AR177" i="1"/>
  <c r="AQ177" i="1"/>
  <c r="AN177" i="1"/>
  <c r="AM177" i="1"/>
  <c r="AJ177" i="1"/>
  <c r="AI177" i="1"/>
  <c r="AF177" i="1"/>
  <c r="AE177" i="1"/>
  <c r="AB177" i="1"/>
  <c r="AA177" i="1"/>
  <c r="X177" i="1"/>
  <c r="W177" i="1"/>
  <c r="T177" i="1"/>
  <c r="S177" i="1"/>
  <c r="P177" i="1"/>
  <c r="O177" i="1"/>
  <c r="L177" i="1"/>
  <c r="K177" i="1"/>
  <c r="H177" i="1"/>
  <c r="G177" i="1"/>
  <c r="D177" i="1"/>
  <c r="C177" i="1"/>
  <c r="CZ176" i="1"/>
  <c r="CY176" i="1"/>
  <c r="CV176" i="1"/>
  <c r="CU176" i="1"/>
  <c r="CR176" i="1"/>
  <c r="CQ176" i="1"/>
  <c r="CN176" i="1"/>
  <c r="CM176" i="1"/>
  <c r="CJ176" i="1"/>
  <c r="CI176" i="1"/>
  <c r="CF176" i="1"/>
  <c r="CE176" i="1"/>
  <c r="CB176" i="1"/>
  <c r="CA176" i="1"/>
  <c r="BX176" i="1"/>
  <c r="BW176" i="1"/>
  <c r="BT176" i="1"/>
  <c r="BS176" i="1"/>
  <c r="BP176" i="1"/>
  <c r="BO176" i="1"/>
  <c r="BL176" i="1"/>
  <c r="BK176" i="1"/>
  <c r="AZ176" i="1"/>
  <c r="AY176" i="1"/>
  <c r="AV176" i="1"/>
  <c r="AU176" i="1"/>
  <c r="AR176" i="1"/>
  <c r="AQ176" i="1"/>
  <c r="AN176" i="1"/>
  <c r="AM176" i="1"/>
  <c r="AJ176" i="1"/>
  <c r="AI176" i="1"/>
  <c r="AF176" i="1"/>
  <c r="AE176" i="1"/>
  <c r="AB176" i="1"/>
  <c r="AA176" i="1"/>
  <c r="X176" i="1"/>
  <c r="W176" i="1"/>
  <c r="T176" i="1"/>
  <c r="S176" i="1"/>
  <c r="P176" i="1"/>
  <c r="O176" i="1"/>
  <c r="L176" i="1"/>
  <c r="K176" i="1"/>
  <c r="H176" i="1"/>
  <c r="G176" i="1"/>
  <c r="D176" i="1"/>
  <c r="C176" i="1"/>
  <c r="CZ175" i="1"/>
  <c r="CY175" i="1"/>
  <c r="CV175" i="1"/>
  <c r="CU175" i="1"/>
  <c r="CR175" i="1"/>
  <c r="CQ175" i="1"/>
  <c r="CN175" i="1"/>
  <c r="CM175" i="1"/>
  <c r="CJ175" i="1"/>
  <c r="CI175" i="1"/>
  <c r="CF175" i="1"/>
  <c r="CE175" i="1"/>
  <c r="CB175" i="1"/>
  <c r="CA175" i="1"/>
  <c r="BX175" i="1"/>
  <c r="BW175" i="1"/>
  <c r="BT175" i="1"/>
  <c r="BS175" i="1"/>
  <c r="BP175" i="1"/>
  <c r="BO175" i="1"/>
  <c r="BL175" i="1"/>
  <c r="BK175" i="1"/>
  <c r="AZ175" i="1"/>
  <c r="AY175" i="1"/>
  <c r="AV175" i="1"/>
  <c r="AU175" i="1"/>
  <c r="AR175" i="1"/>
  <c r="AQ175" i="1"/>
  <c r="AN175" i="1"/>
  <c r="AM175" i="1"/>
  <c r="AJ175" i="1"/>
  <c r="AI175" i="1"/>
  <c r="AF175" i="1"/>
  <c r="AE175" i="1"/>
  <c r="AB175" i="1"/>
  <c r="AA175" i="1"/>
  <c r="X175" i="1"/>
  <c r="W175" i="1"/>
  <c r="T175" i="1"/>
  <c r="S175" i="1"/>
  <c r="P175" i="1"/>
  <c r="O175" i="1"/>
  <c r="L175" i="1"/>
  <c r="K175" i="1"/>
  <c r="H175" i="1"/>
  <c r="G175" i="1"/>
  <c r="D175" i="1"/>
  <c r="C175" i="1"/>
  <c r="CZ174" i="1"/>
  <c r="CY174" i="1"/>
  <c r="CV174" i="1"/>
  <c r="CU174" i="1"/>
  <c r="CR174" i="1"/>
  <c r="CQ174" i="1"/>
  <c r="CN174" i="1"/>
  <c r="CM174" i="1"/>
  <c r="CJ174" i="1"/>
  <c r="CI174" i="1"/>
  <c r="CF174" i="1"/>
  <c r="CE174" i="1"/>
  <c r="CB174" i="1"/>
  <c r="CA174" i="1"/>
  <c r="BX174" i="1"/>
  <c r="BW174" i="1"/>
  <c r="BT174" i="1"/>
  <c r="BS174" i="1"/>
  <c r="BP174" i="1"/>
  <c r="BO174" i="1"/>
  <c r="BL174" i="1"/>
  <c r="BK174" i="1"/>
  <c r="AZ174" i="1"/>
  <c r="AY174" i="1"/>
  <c r="AV174" i="1"/>
  <c r="AU174" i="1"/>
  <c r="AR174" i="1"/>
  <c r="AQ174" i="1"/>
  <c r="AN174" i="1"/>
  <c r="AM174" i="1"/>
  <c r="AJ174" i="1"/>
  <c r="AI174" i="1"/>
  <c r="AF174" i="1"/>
  <c r="AE174" i="1"/>
  <c r="AB174" i="1"/>
  <c r="AA174" i="1"/>
  <c r="X174" i="1"/>
  <c r="W174" i="1"/>
  <c r="T174" i="1"/>
  <c r="S174" i="1"/>
  <c r="P174" i="1"/>
  <c r="O174" i="1"/>
  <c r="L174" i="1"/>
  <c r="K174" i="1"/>
  <c r="H174" i="1"/>
  <c r="G174" i="1"/>
  <c r="D174" i="1"/>
  <c r="C174" i="1"/>
  <c r="CZ173" i="1"/>
  <c r="CY173" i="1"/>
  <c r="CV173" i="1"/>
  <c r="CU173" i="1"/>
  <c r="CR173" i="1"/>
  <c r="CQ173" i="1"/>
  <c r="CN173" i="1"/>
  <c r="CM173" i="1"/>
  <c r="CJ173" i="1"/>
  <c r="CI173" i="1"/>
  <c r="CF173" i="1"/>
  <c r="CE173" i="1"/>
  <c r="CB173" i="1"/>
  <c r="CA173" i="1"/>
  <c r="BX173" i="1"/>
  <c r="BW173" i="1"/>
  <c r="BT173" i="1"/>
  <c r="BS173" i="1"/>
  <c r="BP173" i="1"/>
  <c r="BO173" i="1"/>
  <c r="BL173" i="1"/>
  <c r="BK173" i="1"/>
  <c r="AZ173" i="1"/>
  <c r="AY173" i="1"/>
  <c r="AV173" i="1"/>
  <c r="AU173" i="1"/>
  <c r="AR173" i="1"/>
  <c r="AQ173" i="1"/>
  <c r="AN173" i="1"/>
  <c r="AM173" i="1"/>
  <c r="AJ173" i="1"/>
  <c r="AI173" i="1"/>
  <c r="AF173" i="1"/>
  <c r="AE173" i="1"/>
  <c r="AB173" i="1"/>
  <c r="AA173" i="1"/>
  <c r="X173" i="1"/>
  <c r="W173" i="1"/>
  <c r="T173" i="1"/>
  <c r="S173" i="1"/>
  <c r="P173" i="1"/>
  <c r="O173" i="1"/>
  <c r="L173" i="1"/>
  <c r="K173" i="1"/>
  <c r="H173" i="1"/>
  <c r="G173" i="1"/>
  <c r="D173" i="1"/>
  <c r="C173" i="1"/>
  <c r="CZ172" i="1"/>
  <c r="CY172" i="1"/>
  <c r="CV172" i="1"/>
  <c r="CU172" i="1"/>
  <c r="CR172" i="1"/>
  <c r="CQ172" i="1"/>
  <c r="CN172" i="1"/>
  <c r="CM172" i="1"/>
  <c r="CJ172" i="1"/>
  <c r="CI172" i="1"/>
  <c r="CF172" i="1"/>
  <c r="CE172" i="1"/>
  <c r="CB172" i="1"/>
  <c r="CA172" i="1"/>
  <c r="BX172" i="1"/>
  <c r="BW172" i="1"/>
  <c r="BT172" i="1"/>
  <c r="BS172" i="1"/>
  <c r="BP172" i="1"/>
  <c r="BO172" i="1"/>
  <c r="BL172" i="1"/>
  <c r="BK172" i="1"/>
  <c r="AZ172" i="1"/>
  <c r="AY172" i="1"/>
  <c r="AV172" i="1"/>
  <c r="AU172" i="1"/>
  <c r="AR172" i="1"/>
  <c r="AQ172" i="1"/>
  <c r="AN172" i="1"/>
  <c r="AM172" i="1"/>
  <c r="AJ172" i="1"/>
  <c r="AI172" i="1"/>
  <c r="AF172" i="1"/>
  <c r="AE172" i="1"/>
  <c r="AB172" i="1"/>
  <c r="AA172" i="1"/>
  <c r="X172" i="1"/>
  <c r="W172" i="1"/>
  <c r="T172" i="1"/>
  <c r="S172" i="1"/>
  <c r="P172" i="1"/>
  <c r="O172" i="1"/>
  <c r="L172" i="1"/>
  <c r="K172" i="1"/>
  <c r="H172" i="1"/>
  <c r="G172" i="1"/>
  <c r="D172" i="1"/>
  <c r="C172" i="1"/>
  <c r="CZ170" i="1"/>
  <c r="CY170" i="1"/>
  <c r="CV170" i="1"/>
  <c r="CU170" i="1"/>
  <c r="CR170" i="1"/>
  <c r="CQ170" i="1"/>
  <c r="CN170" i="1"/>
  <c r="CM170" i="1"/>
  <c r="CJ170" i="1"/>
  <c r="CI170" i="1"/>
  <c r="CF170" i="1"/>
  <c r="CE170" i="1"/>
  <c r="CB170" i="1"/>
  <c r="CA170" i="1"/>
  <c r="BX170" i="1"/>
  <c r="BW170" i="1"/>
  <c r="BT170" i="1"/>
  <c r="BS170" i="1"/>
  <c r="BP170" i="1"/>
  <c r="BO170" i="1"/>
  <c r="BL170" i="1"/>
  <c r="BK170" i="1"/>
  <c r="AZ170" i="1"/>
  <c r="AY170" i="1"/>
  <c r="AV170" i="1"/>
  <c r="AU170" i="1"/>
  <c r="AR170" i="1"/>
  <c r="AQ170" i="1"/>
  <c r="AN170" i="1"/>
  <c r="AM170" i="1"/>
  <c r="AJ170" i="1"/>
  <c r="AI170" i="1"/>
  <c r="AF170" i="1"/>
  <c r="AE170" i="1"/>
  <c r="AB170" i="1"/>
  <c r="AA170" i="1"/>
  <c r="X170" i="1"/>
  <c r="W170" i="1"/>
  <c r="T170" i="1"/>
  <c r="S170" i="1"/>
  <c r="P170" i="1"/>
  <c r="O170" i="1"/>
  <c r="L170" i="1"/>
  <c r="K170" i="1"/>
  <c r="H170" i="1"/>
  <c r="G170" i="1"/>
  <c r="D170" i="1"/>
  <c r="C170" i="1"/>
  <c r="CZ169" i="1"/>
  <c r="CY169" i="1"/>
  <c r="CV169" i="1"/>
  <c r="CU169" i="1"/>
  <c r="CR169" i="1"/>
  <c r="CQ169" i="1"/>
  <c r="CN169" i="1"/>
  <c r="CM169" i="1"/>
  <c r="CJ169" i="1"/>
  <c r="CI169" i="1"/>
  <c r="CF169" i="1"/>
  <c r="CE169" i="1"/>
  <c r="CB169" i="1"/>
  <c r="CA169" i="1"/>
  <c r="BX169" i="1"/>
  <c r="BW169" i="1"/>
  <c r="BT169" i="1"/>
  <c r="BS169" i="1"/>
  <c r="BP169" i="1"/>
  <c r="BO169" i="1"/>
  <c r="BL169" i="1"/>
  <c r="BK169" i="1"/>
  <c r="AZ169" i="1"/>
  <c r="AY169" i="1"/>
  <c r="AV169" i="1"/>
  <c r="AU169" i="1"/>
  <c r="AR169" i="1"/>
  <c r="AQ169" i="1"/>
  <c r="AN169" i="1"/>
  <c r="AM169" i="1"/>
  <c r="AJ169" i="1"/>
  <c r="AI169" i="1"/>
  <c r="AF169" i="1"/>
  <c r="AE169" i="1"/>
  <c r="AB169" i="1"/>
  <c r="AA169" i="1"/>
  <c r="X169" i="1"/>
  <c r="W169" i="1"/>
  <c r="T169" i="1"/>
  <c r="S169" i="1"/>
  <c r="P169" i="1"/>
  <c r="O169" i="1"/>
  <c r="L169" i="1"/>
  <c r="K169" i="1"/>
  <c r="H169" i="1"/>
  <c r="G169" i="1"/>
  <c r="D169" i="1"/>
  <c r="C169" i="1"/>
  <c r="CZ168" i="1"/>
  <c r="CY168" i="1"/>
  <c r="CV168" i="1"/>
  <c r="CU168" i="1"/>
  <c r="CR168" i="1"/>
  <c r="CQ168" i="1"/>
  <c r="CN168" i="1"/>
  <c r="CM168" i="1"/>
  <c r="CJ168" i="1"/>
  <c r="CI168" i="1"/>
  <c r="CF168" i="1"/>
  <c r="CE168" i="1"/>
  <c r="CB168" i="1"/>
  <c r="CA168" i="1"/>
  <c r="BX168" i="1"/>
  <c r="BW168" i="1"/>
  <c r="BT168" i="1"/>
  <c r="BS168" i="1"/>
  <c r="BP168" i="1"/>
  <c r="BO168" i="1"/>
  <c r="BL168" i="1"/>
  <c r="BK168" i="1"/>
  <c r="AZ168" i="1"/>
  <c r="AY168" i="1"/>
  <c r="AV168" i="1"/>
  <c r="AU168" i="1"/>
  <c r="AR168" i="1"/>
  <c r="AQ168" i="1"/>
  <c r="AN168" i="1"/>
  <c r="AM168" i="1"/>
  <c r="AJ168" i="1"/>
  <c r="AI168" i="1"/>
  <c r="AF168" i="1"/>
  <c r="AE168" i="1"/>
  <c r="AB168" i="1"/>
  <c r="AA168" i="1"/>
  <c r="X168" i="1"/>
  <c r="W168" i="1"/>
  <c r="T168" i="1"/>
  <c r="S168" i="1"/>
  <c r="P168" i="1"/>
  <c r="O168" i="1"/>
  <c r="L168" i="1"/>
  <c r="K168" i="1"/>
  <c r="H168" i="1"/>
  <c r="G168" i="1"/>
  <c r="D168" i="1"/>
  <c r="C168" i="1"/>
  <c r="CZ167" i="1"/>
  <c r="CY167" i="1"/>
  <c r="CV167" i="1"/>
  <c r="CU167" i="1"/>
  <c r="CR167" i="1"/>
  <c r="CQ167" i="1"/>
  <c r="CN167" i="1"/>
  <c r="CM167" i="1"/>
  <c r="CJ167" i="1"/>
  <c r="CI167" i="1"/>
  <c r="CF167" i="1"/>
  <c r="CE167" i="1"/>
  <c r="CB167" i="1"/>
  <c r="CA167" i="1"/>
  <c r="BX167" i="1"/>
  <c r="BW167" i="1"/>
  <c r="BT167" i="1"/>
  <c r="BS167" i="1"/>
  <c r="BP167" i="1"/>
  <c r="BO167" i="1"/>
  <c r="BL167" i="1"/>
  <c r="BK167" i="1"/>
  <c r="AZ167" i="1"/>
  <c r="AY167" i="1"/>
  <c r="AV167" i="1"/>
  <c r="AU167" i="1"/>
  <c r="AR167" i="1"/>
  <c r="AQ167" i="1"/>
  <c r="AN167" i="1"/>
  <c r="AM167" i="1"/>
  <c r="AJ167" i="1"/>
  <c r="AI167" i="1"/>
  <c r="AF167" i="1"/>
  <c r="AE167" i="1"/>
  <c r="AB167" i="1"/>
  <c r="AA167" i="1"/>
  <c r="X167" i="1"/>
  <c r="W167" i="1"/>
  <c r="T167" i="1"/>
  <c r="S167" i="1"/>
  <c r="P167" i="1"/>
  <c r="O167" i="1"/>
  <c r="L167" i="1"/>
  <c r="K167" i="1"/>
  <c r="H167" i="1"/>
  <c r="G167" i="1"/>
  <c r="D167" i="1"/>
  <c r="C167" i="1"/>
  <c r="CZ166" i="1"/>
  <c r="CY166" i="1"/>
  <c r="CV166" i="1"/>
  <c r="CU166" i="1"/>
  <c r="CR166" i="1"/>
  <c r="CQ166" i="1"/>
  <c r="CN166" i="1"/>
  <c r="CM166" i="1"/>
  <c r="CJ166" i="1"/>
  <c r="CI166" i="1"/>
  <c r="CF166" i="1"/>
  <c r="CE166" i="1"/>
  <c r="CB166" i="1"/>
  <c r="CA166" i="1"/>
  <c r="BX166" i="1"/>
  <c r="BW166" i="1"/>
  <c r="BT166" i="1"/>
  <c r="BS166" i="1"/>
  <c r="BP166" i="1"/>
  <c r="BO166" i="1"/>
  <c r="BL166" i="1"/>
  <c r="BK166" i="1"/>
  <c r="AZ166" i="1"/>
  <c r="AY166" i="1"/>
  <c r="AV166" i="1"/>
  <c r="AU166" i="1"/>
  <c r="AR166" i="1"/>
  <c r="AQ166" i="1"/>
  <c r="AN166" i="1"/>
  <c r="AM166" i="1"/>
  <c r="AJ166" i="1"/>
  <c r="AI166" i="1"/>
  <c r="AF166" i="1"/>
  <c r="AE166" i="1"/>
  <c r="AB166" i="1"/>
  <c r="AA166" i="1"/>
  <c r="X166" i="1"/>
  <c r="W166" i="1"/>
  <c r="T166" i="1"/>
  <c r="S166" i="1"/>
  <c r="P166" i="1"/>
  <c r="O166" i="1"/>
  <c r="L166" i="1"/>
  <c r="K166" i="1"/>
  <c r="H166" i="1"/>
  <c r="G166" i="1"/>
  <c r="D166" i="1"/>
  <c r="C166" i="1"/>
  <c r="CZ165" i="1"/>
  <c r="CY165" i="1"/>
  <c r="CV165" i="1"/>
  <c r="CU165" i="1"/>
  <c r="CR165" i="1"/>
  <c r="CQ165" i="1"/>
  <c r="CN165" i="1"/>
  <c r="CM165" i="1"/>
  <c r="CJ165" i="1"/>
  <c r="CI165" i="1"/>
  <c r="CF165" i="1"/>
  <c r="CE165" i="1"/>
  <c r="CB165" i="1"/>
  <c r="CA165" i="1"/>
  <c r="BX165" i="1"/>
  <c r="BW165" i="1"/>
  <c r="BT165" i="1"/>
  <c r="BS165" i="1"/>
  <c r="BP165" i="1"/>
  <c r="BO165" i="1"/>
  <c r="BL165" i="1"/>
  <c r="BK165" i="1"/>
  <c r="AZ165" i="1"/>
  <c r="AY165" i="1"/>
  <c r="AV165" i="1"/>
  <c r="AU165" i="1"/>
  <c r="AR165" i="1"/>
  <c r="AQ165" i="1"/>
  <c r="AN165" i="1"/>
  <c r="AM165" i="1"/>
  <c r="AJ165" i="1"/>
  <c r="AI165" i="1"/>
  <c r="AF165" i="1"/>
  <c r="AE165" i="1"/>
  <c r="AB165" i="1"/>
  <c r="AA165" i="1"/>
  <c r="X165" i="1"/>
  <c r="W165" i="1"/>
  <c r="T165" i="1"/>
  <c r="S165" i="1"/>
  <c r="P165" i="1"/>
  <c r="O165" i="1"/>
  <c r="L165" i="1"/>
  <c r="K165" i="1"/>
  <c r="H165" i="1"/>
  <c r="G165" i="1"/>
  <c r="D165" i="1"/>
  <c r="C165" i="1"/>
  <c r="CZ164" i="1"/>
  <c r="CY164" i="1"/>
  <c r="CV164" i="1"/>
  <c r="CU164" i="1"/>
  <c r="CR164" i="1"/>
  <c r="CQ164" i="1"/>
  <c r="CN164" i="1"/>
  <c r="CM164" i="1"/>
  <c r="CJ164" i="1"/>
  <c r="CI164" i="1"/>
  <c r="CF164" i="1"/>
  <c r="CE164" i="1"/>
  <c r="CB164" i="1"/>
  <c r="CA164" i="1"/>
  <c r="BX164" i="1"/>
  <c r="BW164" i="1"/>
  <c r="BT164" i="1"/>
  <c r="BS164" i="1"/>
  <c r="BP164" i="1"/>
  <c r="BO164" i="1"/>
  <c r="BL164" i="1"/>
  <c r="BK164" i="1"/>
  <c r="AZ164" i="1"/>
  <c r="AY164" i="1"/>
  <c r="AV164" i="1"/>
  <c r="AU164" i="1"/>
  <c r="AR164" i="1"/>
  <c r="AQ164" i="1"/>
  <c r="AN164" i="1"/>
  <c r="AM164" i="1"/>
  <c r="AJ164" i="1"/>
  <c r="AI164" i="1"/>
  <c r="AF164" i="1"/>
  <c r="AE164" i="1"/>
  <c r="AB164" i="1"/>
  <c r="AA164" i="1"/>
  <c r="X164" i="1"/>
  <c r="W164" i="1"/>
  <c r="T164" i="1"/>
  <c r="S164" i="1"/>
  <c r="P164" i="1"/>
  <c r="O164" i="1"/>
  <c r="L164" i="1"/>
  <c r="K164" i="1"/>
  <c r="H164" i="1"/>
  <c r="G164" i="1"/>
  <c r="D164" i="1"/>
  <c r="C164" i="1"/>
  <c r="CZ163" i="1"/>
  <c r="CY163" i="1"/>
  <c r="CV163" i="1"/>
  <c r="CU163" i="1"/>
  <c r="CR163" i="1"/>
  <c r="CQ163" i="1"/>
  <c r="CN163" i="1"/>
  <c r="CM163" i="1"/>
  <c r="CJ163" i="1"/>
  <c r="CI163" i="1"/>
  <c r="CF163" i="1"/>
  <c r="CE163" i="1"/>
  <c r="CB163" i="1"/>
  <c r="CA163" i="1"/>
  <c r="BX163" i="1"/>
  <c r="BW163" i="1"/>
  <c r="BT163" i="1"/>
  <c r="BS163" i="1"/>
  <c r="BP163" i="1"/>
  <c r="BO163" i="1"/>
  <c r="BL163" i="1"/>
  <c r="BK163" i="1"/>
  <c r="AZ163" i="1"/>
  <c r="AY163" i="1"/>
  <c r="AV163" i="1"/>
  <c r="AU163" i="1"/>
  <c r="AR163" i="1"/>
  <c r="AQ163" i="1"/>
  <c r="AN163" i="1"/>
  <c r="AM163" i="1"/>
  <c r="AJ163" i="1"/>
  <c r="AI163" i="1"/>
  <c r="AF163" i="1"/>
  <c r="AE163" i="1"/>
  <c r="AB163" i="1"/>
  <c r="AA163" i="1"/>
  <c r="X163" i="1"/>
  <c r="W163" i="1"/>
  <c r="T163" i="1"/>
  <c r="S163" i="1"/>
  <c r="P163" i="1"/>
  <c r="O163" i="1"/>
  <c r="L163" i="1"/>
  <c r="K163" i="1"/>
  <c r="H163" i="1"/>
  <c r="G163" i="1"/>
  <c r="D163" i="1"/>
  <c r="C163" i="1"/>
  <c r="CZ162" i="1"/>
  <c r="CY162" i="1"/>
  <c r="CV162" i="1"/>
  <c r="CU162" i="1"/>
  <c r="CR162" i="1"/>
  <c r="CQ162" i="1"/>
  <c r="CN162" i="1"/>
  <c r="CM162" i="1"/>
  <c r="CJ162" i="1"/>
  <c r="CI162" i="1"/>
  <c r="CF162" i="1"/>
  <c r="CE162" i="1"/>
  <c r="CB162" i="1"/>
  <c r="CA162" i="1"/>
  <c r="BX162" i="1"/>
  <c r="BW162" i="1"/>
  <c r="BT162" i="1"/>
  <c r="BS162" i="1"/>
  <c r="BP162" i="1"/>
  <c r="BO162" i="1"/>
  <c r="BL162" i="1"/>
  <c r="BK162" i="1"/>
  <c r="AZ162" i="1"/>
  <c r="AY162" i="1"/>
  <c r="AV162" i="1"/>
  <c r="AU162" i="1"/>
  <c r="AR162" i="1"/>
  <c r="AQ162" i="1"/>
  <c r="AN162" i="1"/>
  <c r="AM162" i="1"/>
  <c r="AJ162" i="1"/>
  <c r="AI162" i="1"/>
  <c r="AF162" i="1"/>
  <c r="AE162" i="1"/>
  <c r="AB162" i="1"/>
  <c r="AA162" i="1"/>
  <c r="X162" i="1"/>
  <c r="W162" i="1"/>
  <c r="T162" i="1"/>
  <c r="S162" i="1"/>
  <c r="P162" i="1"/>
  <c r="O162" i="1"/>
  <c r="L162" i="1"/>
  <c r="K162" i="1"/>
  <c r="H162" i="1"/>
  <c r="G162" i="1"/>
  <c r="D162" i="1"/>
  <c r="C162" i="1"/>
  <c r="CZ161" i="1"/>
  <c r="CY161" i="1"/>
  <c r="CV161" i="1"/>
  <c r="CU161" i="1"/>
  <c r="CR161" i="1"/>
  <c r="CQ161" i="1"/>
  <c r="CN161" i="1"/>
  <c r="CM161" i="1"/>
  <c r="CJ161" i="1"/>
  <c r="CI161" i="1"/>
  <c r="CF161" i="1"/>
  <c r="CE161" i="1"/>
  <c r="CB161" i="1"/>
  <c r="CA161" i="1"/>
  <c r="BX161" i="1"/>
  <c r="BW161" i="1"/>
  <c r="BT161" i="1"/>
  <c r="BS161" i="1"/>
  <c r="BP161" i="1"/>
  <c r="BO161" i="1"/>
  <c r="BL161" i="1"/>
  <c r="BK161" i="1"/>
  <c r="AZ161" i="1"/>
  <c r="AY161" i="1"/>
  <c r="AV161" i="1"/>
  <c r="AU161" i="1"/>
  <c r="AR161" i="1"/>
  <c r="AQ161" i="1"/>
  <c r="AN161" i="1"/>
  <c r="AM161" i="1"/>
  <c r="AJ161" i="1"/>
  <c r="AI161" i="1"/>
  <c r="AF161" i="1"/>
  <c r="AE161" i="1"/>
  <c r="AB161" i="1"/>
  <c r="AA161" i="1"/>
  <c r="X161" i="1"/>
  <c r="W161" i="1"/>
  <c r="T161" i="1"/>
  <c r="S161" i="1"/>
  <c r="P161" i="1"/>
  <c r="O161" i="1"/>
  <c r="L161" i="1"/>
  <c r="K161" i="1"/>
  <c r="H161" i="1"/>
  <c r="G161" i="1"/>
  <c r="D161" i="1"/>
  <c r="C161" i="1"/>
  <c r="CZ160" i="1"/>
  <c r="CY160" i="1"/>
  <c r="CV160" i="1"/>
  <c r="CU160" i="1"/>
  <c r="CR160" i="1"/>
  <c r="CQ160" i="1"/>
  <c r="CN160" i="1"/>
  <c r="CM160" i="1"/>
  <c r="CJ160" i="1"/>
  <c r="CI160" i="1"/>
  <c r="CF160" i="1"/>
  <c r="CE160" i="1"/>
  <c r="CB160" i="1"/>
  <c r="CA160" i="1"/>
  <c r="BX160" i="1"/>
  <c r="BW160" i="1"/>
  <c r="BT160" i="1"/>
  <c r="BS160" i="1"/>
  <c r="BP160" i="1"/>
  <c r="BO160" i="1"/>
  <c r="BL160" i="1"/>
  <c r="BK160" i="1"/>
  <c r="AZ160" i="1"/>
  <c r="AY160" i="1"/>
  <c r="AV160" i="1"/>
  <c r="AU160" i="1"/>
  <c r="AR160" i="1"/>
  <c r="AQ160" i="1"/>
  <c r="AN160" i="1"/>
  <c r="AM160" i="1"/>
  <c r="AJ160" i="1"/>
  <c r="AI160" i="1"/>
  <c r="AF160" i="1"/>
  <c r="AE160" i="1"/>
  <c r="AB160" i="1"/>
  <c r="AA160" i="1"/>
  <c r="X160" i="1"/>
  <c r="W160" i="1"/>
  <c r="T160" i="1"/>
  <c r="S160" i="1"/>
  <c r="P160" i="1"/>
  <c r="O160" i="1"/>
  <c r="L160" i="1"/>
  <c r="K160" i="1"/>
  <c r="H160" i="1"/>
  <c r="G160" i="1"/>
  <c r="D160" i="1"/>
  <c r="C160" i="1"/>
  <c r="CZ159" i="1"/>
  <c r="CY159" i="1"/>
  <c r="CV159" i="1"/>
  <c r="CU159" i="1"/>
  <c r="CR159" i="1"/>
  <c r="CQ159" i="1"/>
  <c r="CN159" i="1"/>
  <c r="CM159" i="1"/>
  <c r="CJ159" i="1"/>
  <c r="CI159" i="1"/>
  <c r="CF159" i="1"/>
  <c r="CE159" i="1"/>
  <c r="CB159" i="1"/>
  <c r="CA159" i="1"/>
  <c r="BX159" i="1"/>
  <c r="BW159" i="1"/>
  <c r="BT159" i="1"/>
  <c r="BS159" i="1"/>
  <c r="BP159" i="1"/>
  <c r="BO159" i="1"/>
  <c r="BL159" i="1"/>
  <c r="BK159" i="1"/>
  <c r="AZ159" i="1"/>
  <c r="AY159" i="1"/>
  <c r="AV159" i="1"/>
  <c r="AU159" i="1"/>
  <c r="AR159" i="1"/>
  <c r="AQ159" i="1"/>
  <c r="AN159" i="1"/>
  <c r="AM159" i="1"/>
  <c r="AJ159" i="1"/>
  <c r="AI159" i="1"/>
  <c r="AF159" i="1"/>
  <c r="AE159" i="1"/>
  <c r="AB159" i="1"/>
  <c r="AA159" i="1"/>
  <c r="X159" i="1"/>
  <c r="W159" i="1"/>
  <c r="T159" i="1"/>
  <c r="S159" i="1"/>
  <c r="P159" i="1"/>
  <c r="O159" i="1"/>
  <c r="L159" i="1"/>
  <c r="K159" i="1"/>
  <c r="H159" i="1"/>
  <c r="G159" i="1"/>
  <c r="D159" i="1"/>
  <c r="C159" i="1"/>
  <c r="CZ157" i="1"/>
  <c r="CY157" i="1"/>
  <c r="CV157" i="1"/>
  <c r="CU157" i="1"/>
  <c r="CR157" i="1"/>
  <c r="CQ157" i="1"/>
  <c r="CN157" i="1"/>
  <c r="CM157" i="1"/>
  <c r="CJ157" i="1"/>
  <c r="CI157" i="1"/>
  <c r="CF157" i="1"/>
  <c r="CE157" i="1"/>
  <c r="CB157" i="1"/>
  <c r="CA157" i="1"/>
  <c r="BX157" i="1"/>
  <c r="BW157" i="1"/>
  <c r="BT157" i="1"/>
  <c r="BS157" i="1"/>
  <c r="BP157" i="1"/>
  <c r="BO157" i="1"/>
  <c r="BL157" i="1"/>
  <c r="BK157" i="1"/>
  <c r="AZ157" i="1"/>
  <c r="AY157" i="1"/>
  <c r="AV157" i="1"/>
  <c r="AU157" i="1"/>
  <c r="AR157" i="1"/>
  <c r="AQ157" i="1"/>
  <c r="AN157" i="1"/>
  <c r="AM157" i="1"/>
  <c r="AJ157" i="1"/>
  <c r="AI157" i="1"/>
  <c r="AF157" i="1"/>
  <c r="AE157" i="1"/>
  <c r="AB157" i="1"/>
  <c r="AA157" i="1"/>
  <c r="X157" i="1"/>
  <c r="W157" i="1"/>
  <c r="T157" i="1"/>
  <c r="S157" i="1"/>
  <c r="P157" i="1"/>
  <c r="O157" i="1"/>
  <c r="L157" i="1"/>
  <c r="K157" i="1"/>
  <c r="H157" i="1"/>
  <c r="G157" i="1"/>
  <c r="D157" i="1"/>
  <c r="C157" i="1"/>
  <c r="CZ156" i="1"/>
  <c r="CY156" i="1"/>
  <c r="CV156" i="1"/>
  <c r="CU156" i="1"/>
  <c r="CR156" i="1"/>
  <c r="CQ156" i="1"/>
  <c r="CN156" i="1"/>
  <c r="CM156" i="1"/>
  <c r="CJ156" i="1"/>
  <c r="CI156" i="1"/>
  <c r="CF156" i="1"/>
  <c r="CE156" i="1"/>
  <c r="CB156" i="1"/>
  <c r="CA156" i="1"/>
  <c r="BX156" i="1"/>
  <c r="BW156" i="1"/>
  <c r="BT156" i="1"/>
  <c r="BS156" i="1"/>
  <c r="BP156" i="1"/>
  <c r="BO156" i="1"/>
  <c r="BL156" i="1"/>
  <c r="BK156" i="1"/>
  <c r="AZ156" i="1"/>
  <c r="AY156" i="1"/>
  <c r="AV156" i="1"/>
  <c r="AU156" i="1"/>
  <c r="AR156" i="1"/>
  <c r="AQ156" i="1"/>
  <c r="AN156" i="1"/>
  <c r="AM156" i="1"/>
  <c r="AJ156" i="1"/>
  <c r="AI156" i="1"/>
  <c r="AF156" i="1"/>
  <c r="AE156" i="1"/>
  <c r="AB156" i="1"/>
  <c r="AA156" i="1"/>
  <c r="X156" i="1"/>
  <c r="W156" i="1"/>
  <c r="T156" i="1"/>
  <c r="S156" i="1"/>
  <c r="P156" i="1"/>
  <c r="O156" i="1"/>
  <c r="L156" i="1"/>
  <c r="K156" i="1"/>
  <c r="H156" i="1"/>
  <c r="G156" i="1"/>
  <c r="D156" i="1"/>
  <c r="C156" i="1"/>
  <c r="CZ155" i="1"/>
  <c r="CY155" i="1"/>
  <c r="CV155" i="1"/>
  <c r="CU155" i="1"/>
  <c r="CR155" i="1"/>
  <c r="CQ155" i="1"/>
  <c r="CN155" i="1"/>
  <c r="CM155" i="1"/>
  <c r="CJ155" i="1"/>
  <c r="CI155" i="1"/>
  <c r="CF155" i="1"/>
  <c r="CE155" i="1"/>
  <c r="CB155" i="1"/>
  <c r="CA155" i="1"/>
  <c r="BX155" i="1"/>
  <c r="BW155" i="1"/>
  <c r="BT155" i="1"/>
  <c r="BS155" i="1"/>
  <c r="BP155" i="1"/>
  <c r="BO155" i="1"/>
  <c r="BL155" i="1"/>
  <c r="BK155" i="1"/>
  <c r="AZ155" i="1"/>
  <c r="AY155" i="1"/>
  <c r="AV155" i="1"/>
  <c r="AU155" i="1"/>
  <c r="AR155" i="1"/>
  <c r="AQ155" i="1"/>
  <c r="AN155" i="1"/>
  <c r="AM155" i="1"/>
  <c r="AJ155" i="1"/>
  <c r="AI155" i="1"/>
  <c r="AF155" i="1"/>
  <c r="AE155" i="1"/>
  <c r="AB155" i="1"/>
  <c r="AA155" i="1"/>
  <c r="X155" i="1"/>
  <c r="W155" i="1"/>
  <c r="T155" i="1"/>
  <c r="S155" i="1"/>
  <c r="P155" i="1"/>
  <c r="O155" i="1"/>
  <c r="L155" i="1"/>
  <c r="K155" i="1"/>
  <c r="H155" i="1"/>
  <c r="G155" i="1"/>
  <c r="D155" i="1"/>
  <c r="C155" i="1"/>
  <c r="CZ154" i="1"/>
  <c r="CY154" i="1"/>
  <c r="CV154" i="1"/>
  <c r="CU154" i="1"/>
  <c r="CR154" i="1"/>
  <c r="CQ154" i="1"/>
  <c r="CN154" i="1"/>
  <c r="CM154" i="1"/>
  <c r="CJ154" i="1"/>
  <c r="CI154" i="1"/>
  <c r="CF154" i="1"/>
  <c r="CE154" i="1"/>
  <c r="CB154" i="1"/>
  <c r="CA154" i="1"/>
  <c r="BX154" i="1"/>
  <c r="BW154" i="1"/>
  <c r="BT154" i="1"/>
  <c r="BS154" i="1"/>
  <c r="BP154" i="1"/>
  <c r="BO154" i="1"/>
  <c r="BL154" i="1"/>
  <c r="BK154" i="1"/>
  <c r="AZ154" i="1"/>
  <c r="AY154" i="1"/>
  <c r="AV154" i="1"/>
  <c r="AU154" i="1"/>
  <c r="AR154" i="1"/>
  <c r="AQ154" i="1"/>
  <c r="AN154" i="1"/>
  <c r="AM154" i="1"/>
  <c r="AJ154" i="1"/>
  <c r="AI154" i="1"/>
  <c r="AF154" i="1"/>
  <c r="AE154" i="1"/>
  <c r="AB154" i="1"/>
  <c r="AA154" i="1"/>
  <c r="X154" i="1"/>
  <c r="W154" i="1"/>
  <c r="T154" i="1"/>
  <c r="S154" i="1"/>
  <c r="P154" i="1"/>
  <c r="O154" i="1"/>
  <c r="L154" i="1"/>
  <c r="K154" i="1"/>
  <c r="H154" i="1"/>
  <c r="G154" i="1"/>
  <c r="D154" i="1"/>
  <c r="C154" i="1"/>
  <c r="CZ153" i="1"/>
  <c r="CY153" i="1"/>
  <c r="CV153" i="1"/>
  <c r="CU153" i="1"/>
  <c r="CR153" i="1"/>
  <c r="CQ153" i="1"/>
  <c r="CN153" i="1"/>
  <c r="CM153" i="1"/>
  <c r="CJ153" i="1"/>
  <c r="CI153" i="1"/>
  <c r="CF153" i="1"/>
  <c r="CE153" i="1"/>
  <c r="CB153" i="1"/>
  <c r="CA153" i="1"/>
  <c r="BX153" i="1"/>
  <c r="BW153" i="1"/>
  <c r="BT153" i="1"/>
  <c r="BS153" i="1"/>
  <c r="BP153" i="1"/>
  <c r="BO153" i="1"/>
  <c r="BL153" i="1"/>
  <c r="BK153" i="1"/>
  <c r="AZ153" i="1"/>
  <c r="AY153" i="1"/>
  <c r="AV153" i="1"/>
  <c r="AU153" i="1"/>
  <c r="AR153" i="1"/>
  <c r="AQ153" i="1"/>
  <c r="AN153" i="1"/>
  <c r="AM153" i="1"/>
  <c r="AJ153" i="1"/>
  <c r="AI153" i="1"/>
  <c r="AF153" i="1"/>
  <c r="AE153" i="1"/>
  <c r="AB153" i="1"/>
  <c r="AA153" i="1"/>
  <c r="X153" i="1"/>
  <c r="W153" i="1"/>
  <c r="T153" i="1"/>
  <c r="S153" i="1"/>
  <c r="P153" i="1"/>
  <c r="O153" i="1"/>
  <c r="L153" i="1"/>
  <c r="K153" i="1"/>
  <c r="H153" i="1"/>
  <c r="G153" i="1"/>
  <c r="D153" i="1"/>
  <c r="C153" i="1"/>
  <c r="CZ152" i="1"/>
  <c r="CY152" i="1"/>
  <c r="CV152" i="1"/>
  <c r="CU152" i="1"/>
  <c r="CR152" i="1"/>
  <c r="CQ152" i="1"/>
  <c r="CN152" i="1"/>
  <c r="CM152" i="1"/>
  <c r="CJ152" i="1"/>
  <c r="CI152" i="1"/>
  <c r="CF152" i="1"/>
  <c r="CE152" i="1"/>
  <c r="CB152" i="1"/>
  <c r="CA152" i="1"/>
  <c r="BX152" i="1"/>
  <c r="BW152" i="1"/>
  <c r="BT152" i="1"/>
  <c r="BS152" i="1"/>
  <c r="BP152" i="1"/>
  <c r="BO152" i="1"/>
  <c r="BL152" i="1"/>
  <c r="BK152" i="1"/>
  <c r="AZ152" i="1"/>
  <c r="AY152" i="1"/>
  <c r="AV152" i="1"/>
  <c r="AU152" i="1"/>
  <c r="AR152" i="1"/>
  <c r="AQ152" i="1"/>
  <c r="AN152" i="1"/>
  <c r="AM152" i="1"/>
  <c r="AJ152" i="1"/>
  <c r="AI152" i="1"/>
  <c r="AF152" i="1"/>
  <c r="AE152" i="1"/>
  <c r="AB152" i="1"/>
  <c r="AA152" i="1"/>
  <c r="X152" i="1"/>
  <c r="W152" i="1"/>
  <c r="T152" i="1"/>
  <c r="S152" i="1"/>
  <c r="P152" i="1"/>
  <c r="O152" i="1"/>
  <c r="L152" i="1"/>
  <c r="K152" i="1"/>
  <c r="H152" i="1"/>
  <c r="G152" i="1"/>
  <c r="D152" i="1"/>
  <c r="C152" i="1"/>
  <c r="CZ151" i="1"/>
  <c r="CY151" i="1"/>
  <c r="CV151" i="1"/>
  <c r="CU151" i="1"/>
  <c r="CR151" i="1"/>
  <c r="CQ151" i="1"/>
  <c r="CN151" i="1"/>
  <c r="CM151" i="1"/>
  <c r="CJ151" i="1"/>
  <c r="CI151" i="1"/>
  <c r="CF151" i="1"/>
  <c r="CE151" i="1"/>
  <c r="CB151" i="1"/>
  <c r="CA151" i="1"/>
  <c r="BX151" i="1"/>
  <c r="BW151" i="1"/>
  <c r="BT151" i="1"/>
  <c r="BS151" i="1"/>
  <c r="BP151" i="1"/>
  <c r="BO151" i="1"/>
  <c r="BL151" i="1"/>
  <c r="BK151" i="1"/>
  <c r="AZ151" i="1"/>
  <c r="AY151" i="1"/>
  <c r="AV151" i="1"/>
  <c r="AU151" i="1"/>
  <c r="AR151" i="1"/>
  <c r="AQ151" i="1"/>
  <c r="AN151" i="1"/>
  <c r="AM151" i="1"/>
  <c r="AJ151" i="1"/>
  <c r="AI151" i="1"/>
  <c r="AF151" i="1"/>
  <c r="AE151" i="1"/>
  <c r="AB151" i="1"/>
  <c r="AA151" i="1"/>
  <c r="X151" i="1"/>
  <c r="W151" i="1"/>
  <c r="T151" i="1"/>
  <c r="S151" i="1"/>
  <c r="P151" i="1"/>
  <c r="O151" i="1"/>
  <c r="L151" i="1"/>
  <c r="K151" i="1"/>
  <c r="H151" i="1"/>
  <c r="G151" i="1"/>
  <c r="D151" i="1"/>
  <c r="C151" i="1"/>
  <c r="CZ150" i="1"/>
  <c r="CY150" i="1"/>
  <c r="CV150" i="1"/>
  <c r="CU150" i="1"/>
  <c r="CR150" i="1"/>
  <c r="CQ150" i="1"/>
  <c r="CN150" i="1"/>
  <c r="CM150" i="1"/>
  <c r="CJ150" i="1"/>
  <c r="CI150" i="1"/>
  <c r="CF150" i="1"/>
  <c r="CE150" i="1"/>
  <c r="CB150" i="1"/>
  <c r="CA150" i="1"/>
  <c r="BX150" i="1"/>
  <c r="BW150" i="1"/>
  <c r="BT150" i="1"/>
  <c r="BS150" i="1"/>
  <c r="BP150" i="1"/>
  <c r="BO150" i="1"/>
  <c r="BL150" i="1"/>
  <c r="BK150" i="1"/>
  <c r="AZ150" i="1"/>
  <c r="AY150" i="1"/>
  <c r="AV150" i="1"/>
  <c r="AU150" i="1"/>
  <c r="AR150" i="1"/>
  <c r="AQ150" i="1"/>
  <c r="AN150" i="1"/>
  <c r="AM150" i="1"/>
  <c r="AJ150" i="1"/>
  <c r="AI150" i="1"/>
  <c r="AF150" i="1"/>
  <c r="AE150" i="1"/>
  <c r="AB150" i="1"/>
  <c r="AA150" i="1"/>
  <c r="X150" i="1"/>
  <c r="W150" i="1"/>
  <c r="T150" i="1"/>
  <c r="S150" i="1"/>
  <c r="P150" i="1"/>
  <c r="O150" i="1"/>
  <c r="L150" i="1"/>
  <c r="K150" i="1"/>
  <c r="H150" i="1"/>
  <c r="G150" i="1"/>
  <c r="D150" i="1"/>
  <c r="C150" i="1"/>
  <c r="CZ149" i="1"/>
  <c r="CY149" i="1"/>
  <c r="CV149" i="1"/>
  <c r="CU149" i="1"/>
  <c r="CR149" i="1"/>
  <c r="CQ149" i="1"/>
  <c r="CN149" i="1"/>
  <c r="CM149" i="1"/>
  <c r="CJ149" i="1"/>
  <c r="CI149" i="1"/>
  <c r="CF149" i="1"/>
  <c r="CE149" i="1"/>
  <c r="CB149" i="1"/>
  <c r="CA149" i="1"/>
  <c r="BX149" i="1"/>
  <c r="BW149" i="1"/>
  <c r="BT149" i="1"/>
  <c r="BS149" i="1"/>
  <c r="BP149" i="1"/>
  <c r="BO149" i="1"/>
  <c r="BL149" i="1"/>
  <c r="BK149" i="1"/>
  <c r="AZ149" i="1"/>
  <c r="AY149" i="1"/>
  <c r="AV149" i="1"/>
  <c r="AU149" i="1"/>
  <c r="AR149" i="1"/>
  <c r="AQ149" i="1"/>
  <c r="AN149" i="1"/>
  <c r="AM149" i="1"/>
  <c r="AJ149" i="1"/>
  <c r="AI149" i="1"/>
  <c r="AF149" i="1"/>
  <c r="AE149" i="1"/>
  <c r="AB149" i="1"/>
  <c r="AA149" i="1"/>
  <c r="X149" i="1"/>
  <c r="W149" i="1"/>
  <c r="T149" i="1"/>
  <c r="S149" i="1"/>
  <c r="P149" i="1"/>
  <c r="O149" i="1"/>
  <c r="L149" i="1"/>
  <c r="K149" i="1"/>
  <c r="H149" i="1"/>
  <c r="G149" i="1"/>
  <c r="D149" i="1"/>
  <c r="C149" i="1"/>
  <c r="CZ148" i="1"/>
  <c r="CY148" i="1"/>
  <c r="CV148" i="1"/>
  <c r="CU148" i="1"/>
  <c r="CR148" i="1"/>
  <c r="CQ148" i="1"/>
  <c r="CN148" i="1"/>
  <c r="CM148" i="1"/>
  <c r="CJ148" i="1"/>
  <c r="CI148" i="1"/>
  <c r="CF148" i="1"/>
  <c r="CE148" i="1"/>
  <c r="CB148" i="1"/>
  <c r="CA148" i="1"/>
  <c r="BX148" i="1"/>
  <c r="BW148" i="1"/>
  <c r="BT148" i="1"/>
  <c r="BS148" i="1"/>
  <c r="BP148" i="1"/>
  <c r="BO148" i="1"/>
  <c r="BL148" i="1"/>
  <c r="BK148" i="1"/>
  <c r="AZ148" i="1"/>
  <c r="AY148" i="1"/>
  <c r="AV148" i="1"/>
  <c r="AU148" i="1"/>
  <c r="AR148" i="1"/>
  <c r="AQ148" i="1"/>
  <c r="AN148" i="1"/>
  <c r="AM148" i="1"/>
  <c r="AJ148" i="1"/>
  <c r="AI148" i="1"/>
  <c r="AF148" i="1"/>
  <c r="AE148" i="1"/>
  <c r="AB148" i="1"/>
  <c r="AA148" i="1"/>
  <c r="X148" i="1"/>
  <c r="W148" i="1"/>
  <c r="T148" i="1"/>
  <c r="S148" i="1"/>
  <c r="P148" i="1"/>
  <c r="O148" i="1"/>
  <c r="L148" i="1"/>
  <c r="K148" i="1"/>
  <c r="H148" i="1"/>
  <c r="G148" i="1"/>
  <c r="D148" i="1"/>
  <c r="C148" i="1"/>
  <c r="CZ147" i="1"/>
  <c r="CY147" i="1"/>
  <c r="CV147" i="1"/>
  <c r="CU147" i="1"/>
  <c r="CR147" i="1"/>
  <c r="CQ147" i="1"/>
  <c r="CN147" i="1"/>
  <c r="CM147" i="1"/>
  <c r="CJ147" i="1"/>
  <c r="CI147" i="1"/>
  <c r="CF147" i="1"/>
  <c r="CE147" i="1"/>
  <c r="CB147" i="1"/>
  <c r="CA147" i="1"/>
  <c r="BX147" i="1"/>
  <c r="BW147" i="1"/>
  <c r="BT147" i="1"/>
  <c r="BS147" i="1"/>
  <c r="BP147" i="1"/>
  <c r="BO147" i="1"/>
  <c r="BL147" i="1"/>
  <c r="BK147" i="1"/>
  <c r="AZ147" i="1"/>
  <c r="AY147" i="1"/>
  <c r="AV147" i="1"/>
  <c r="AU147" i="1"/>
  <c r="AR147" i="1"/>
  <c r="AQ147" i="1"/>
  <c r="AN147" i="1"/>
  <c r="AM147" i="1"/>
  <c r="AJ147" i="1"/>
  <c r="AI147" i="1"/>
  <c r="AF147" i="1"/>
  <c r="AE147" i="1"/>
  <c r="AB147" i="1"/>
  <c r="AA147" i="1"/>
  <c r="X147" i="1"/>
  <c r="W147" i="1"/>
  <c r="T147" i="1"/>
  <c r="S147" i="1"/>
  <c r="P147" i="1"/>
  <c r="O147" i="1"/>
  <c r="L147" i="1"/>
  <c r="K147" i="1"/>
  <c r="H147" i="1"/>
  <c r="G147" i="1"/>
  <c r="D147" i="1"/>
  <c r="C147" i="1"/>
  <c r="CZ146" i="1"/>
  <c r="CY146" i="1"/>
  <c r="CV146" i="1"/>
  <c r="CU146" i="1"/>
  <c r="CR146" i="1"/>
  <c r="CQ146" i="1"/>
  <c r="CN146" i="1"/>
  <c r="CM146" i="1"/>
  <c r="CJ146" i="1"/>
  <c r="CI146" i="1"/>
  <c r="CF146" i="1"/>
  <c r="CE146" i="1"/>
  <c r="CB146" i="1"/>
  <c r="CA146" i="1"/>
  <c r="BX146" i="1"/>
  <c r="BW146" i="1"/>
  <c r="BT146" i="1"/>
  <c r="BS146" i="1"/>
  <c r="BP146" i="1"/>
  <c r="BO146" i="1"/>
  <c r="BL146" i="1"/>
  <c r="BK146" i="1"/>
  <c r="AZ146" i="1"/>
  <c r="AY146" i="1"/>
  <c r="AV146" i="1"/>
  <c r="AU146" i="1"/>
  <c r="AR146" i="1"/>
  <c r="AQ146" i="1"/>
  <c r="AN146" i="1"/>
  <c r="AM146" i="1"/>
  <c r="AJ146" i="1"/>
  <c r="AI146" i="1"/>
  <c r="AF146" i="1"/>
  <c r="AE146" i="1"/>
  <c r="AB146" i="1"/>
  <c r="AA146" i="1"/>
  <c r="X146" i="1"/>
  <c r="W146" i="1"/>
  <c r="T146" i="1"/>
  <c r="S146" i="1"/>
  <c r="P146" i="1"/>
  <c r="O146" i="1"/>
  <c r="L146" i="1"/>
  <c r="K146" i="1"/>
  <c r="H146" i="1"/>
  <c r="G146" i="1"/>
  <c r="D146" i="1"/>
  <c r="C146" i="1"/>
  <c r="CZ144" i="1"/>
  <c r="CY144" i="1"/>
  <c r="CV144" i="1"/>
  <c r="CU144" i="1"/>
  <c r="CR144" i="1"/>
  <c r="CQ144" i="1"/>
  <c r="CN144" i="1"/>
  <c r="CM144" i="1"/>
  <c r="CJ144" i="1"/>
  <c r="CI144" i="1"/>
  <c r="CF144" i="1"/>
  <c r="CE144" i="1"/>
  <c r="CB144" i="1"/>
  <c r="CA144" i="1"/>
  <c r="BX144" i="1"/>
  <c r="BW144" i="1"/>
  <c r="BT144" i="1"/>
  <c r="BS144" i="1"/>
  <c r="BP144" i="1"/>
  <c r="BO144" i="1"/>
  <c r="BL144" i="1"/>
  <c r="BK144" i="1"/>
  <c r="AZ144" i="1"/>
  <c r="AY144" i="1"/>
  <c r="AV144" i="1"/>
  <c r="AU144" i="1"/>
  <c r="AR144" i="1"/>
  <c r="AQ144" i="1"/>
  <c r="AN144" i="1"/>
  <c r="AM144" i="1"/>
  <c r="AJ144" i="1"/>
  <c r="AI144" i="1"/>
  <c r="AF144" i="1"/>
  <c r="AE144" i="1"/>
  <c r="AB144" i="1"/>
  <c r="AA144" i="1"/>
  <c r="X144" i="1"/>
  <c r="W144" i="1"/>
  <c r="T144" i="1"/>
  <c r="S144" i="1"/>
  <c r="P144" i="1"/>
  <c r="O144" i="1"/>
  <c r="L144" i="1"/>
  <c r="K144" i="1"/>
  <c r="H144" i="1"/>
  <c r="G144" i="1"/>
  <c r="D144" i="1"/>
  <c r="C144" i="1"/>
  <c r="CZ143" i="1"/>
  <c r="CY143" i="1"/>
  <c r="CV143" i="1"/>
  <c r="CU143" i="1"/>
  <c r="CR143" i="1"/>
  <c r="CQ143" i="1"/>
  <c r="CN143" i="1"/>
  <c r="CM143" i="1"/>
  <c r="CJ143" i="1"/>
  <c r="CI143" i="1"/>
  <c r="CF143" i="1"/>
  <c r="CE143" i="1"/>
  <c r="CB143" i="1"/>
  <c r="CA143" i="1"/>
  <c r="BX143" i="1"/>
  <c r="BW143" i="1"/>
  <c r="BT143" i="1"/>
  <c r="BS143" i="1"/>
  <c r="BP143" i="1"/>
  <c r="BO143" i="1"/>
  <c r="BL143" i="1"/>
  <c r="BK143" i="1"/>
  <c r="AZ143" i="1"/>
  <c r="AY143" i="1"/>
  <c r="AV143" i="1"/>
  <c r="AU143" i="1"/>
  <c r="AR143" i="1"/>
  <c r="AQ143" i="1"/>
  <c r="AN143" i="1"/>
  <c r="AM143" i="1"/>
  <c r="AJ143" i="1"/>
  <c r="AI143" i="1"/>
  <c r="AF143" i="1"/>
  <c r="AE143" i="1"/>
  <c r="AB143" i="1"/>
  <c r="AA143" i="1"/>
  <c r="X143" i="1"/>
  <c r="W143" i="1"/>
  <c r="T143" i="1"/>
  <c r="S143" i="1"/>
  <c r="P143" i="1"/>
  <c r="O143" i="1"/>
  <c r="L143" i="1"/>
  <c r="K143" i="1"/>
  <c r="H143" i="1"/>
  <c r="G143" i="1"/>
  <c r="D143" i="1"/>
  <c r="C143" i="1"/>
  <c r="CZ142" i="1"/>
  <c r="CY142" i="1"/>
  <c r="CV142" i="1"/>
  <c r="CU142" i="1"/>
  <c r="CR142" i="1"/>
  <c r="CQ142" i="1"/>
  <c r="CN142" i="1"/>
  <c r="CM142" i="1"/>
  <c r="CJ142" i="1"/>
  <c r="CI142" i="1"/>
  <c r="CF142" i="1"/>
  <c r="CE142" i="1"/>
  <c r="CB142" i="1"/>
  <c r="CA142" i="1"/>
  <c r="BX142" i="1"/>
  <c r="BW142" i="1"/>
  <c r="BT142" i="1"/>
  <c r="BS142" i="1"/>
  <c r="BP142" i="1"/>
  <c r="BO142" i="1"/>
  <c r="BL142" i="1"/>
  <c r="BK142" i="1"/>
  <c r="AZ142" i="1"/>
  <c r="AY142" i="1"/>
  <c r="AV142" i="1"/>
  <c r="AU142" i="1"/>
  <c r="AR142" i="1"/>
  <c r="AQ142" i="1"/>
  <c r="AN142" i="1"/>
  <c r="AM142" i="1"/>
  <c r="AJ142" i="1"/>
  <c r="AI142" i="1"/>
  <c r="AF142" i="1"/>
  <c r="AE142" i="1"/>
  <c r="AB142" i="1"/>
  <c r="AA142" i="1"/>
  <c r="X142" i="1"/>
  <c r="W142" i="1"/>
  <c r="T142" i="1"/>
  <c r="S142" i="1"/>
  <c r="P142" i="1"/>
  <c r="O142" i="1"/>
  <c r="L142" i="1"/>
  <c r="K142" i="1"/>
  <c r="H142" i="1"/>
  <c r="G142" i="1"/>
  <c r="D142" i="1"/>
  <c r="C142" i="1"/>
  <c r="CZ141" i="1"/>
  <c r="CY141" i="1"/>
  <c r="CV141" i="1"/>
  <c r="CU141" i="1"/>
  <c r="CR141" i="1"/>
  <c r="CQ141" i="1"/>
  <c r="CN141" i="1"/>
  <c r="CM141" i="1"/>
  <c r="CJ141" i="1"/>
  <c r="CI141" i="1"/>
  <c r="CF141" i="1"/>
  <c r="CE141" i="1"/>
  <c r="CB141" i="1"/>
  <c r="CA141" i="1"/>
  <c r="BX141" i="1"/>
  <c r="BW141" i="1"/>
  <c r="BT141" i="1"/>
  <c r="BS141" i="1"/>
  <c r="BP141" i="1"/>
  <c r="BO141" i="1"/>
  <c r="BL141" i="1"/>
  <c r="BK141" i="1"/>
  <c r="AZ141" i="1"/>
  <c r="AY141" i="1"/>
  <c r="AV141" i="1"/>
  <c r="AU141" i="1"/>
  <c r="AR141" i="1"/>
  <c r="AQ141" i="1"/>
  <c r="AN141" i="1"/>
  <c r="AM141" i="1"/>
  <c r="AJ141" i="1"/>
  <c r="AI141" i="1"/>
  <c r="AF141" i="1"/>
  <c r="AE141" i="1"/>
  <c r="AB141" i="1"/>
  <c r="AA141" i="1"/>
  <c r="X141" i="1"/>
  <c r="W141" i="1"/>
  <c r="T141" i="1"/>
  <c r="S141" i="1"/>
  <c r="P141" i="1"/>
  <c r="O141" i="1"/>
  <c r="L141" i="1"/>
  <c r="K141" i="1"/>
  <c r="H141" i="1"/>
  <c r="G141" i="1"/>
  <c r="D141" i="1"/>
  <c r="C141" i="1"/>
  <c r="CZ140" i="1"/>
  <c r="CY140" i="1"/>
  <c r="CV140" i="1"/>
  <c r="CU140" i="1"/>
  <c r="CR140" i="1"/>
  <c r="CQ140" i="1"/>
  <c r="CN140" i="1"/>
  <c r="CM140" i="1"/>
  <c r="CJ140" i="1"/>
  <c r="CI140" i="1"/>
  <c r="CF140" i="1"/>
  <c r="CE140" i="1"/>
  <c r="CB140" i="1"/>
  <c r="CA140" i="1"/>
  <c r="BX140" i="1"/>
  <c r="BW140" i="1"/>
  <c r="BT140" i="1"/>
  <c r="BS140" i="1"/>
  <c r="BP140" i="1"/>
  <c r="BO140" i="1"/>
  <c r="BL140" i="1"/>
  <c r="BK140" i="1"/>
  <c r="AZ140" i="1"/>
  <c r="AY140" i="1"/>
  <c r="AV140" i="1"/>
  <c r="AU140" i="1"/>
  <c r="AR140" i="1"/>
  <c r="AQ140" i="1"/>
  <c r="AN140" i="1"/>
  <c r="AM140" i="1"/>
  <c r="AJ140" i="1"/>
  <c r="AI140" i="1"/>
  <c r="AF140" i="1"/>
  <c r="AE140" i="1"/>
  <c r="AB140" i="1"/>
  <c r="AA140" i="1"/>
  <c r="X140" i="1"/>
  <c r="W140" i="1"/>
  <c r="T140" i="1"/>
  <c r="S140" i="1"/>
  <c r="P140" i="1"/>
  <c r="O140" i="1"/>
  <c r="L140" i="1"/>
  <c r="K140" i="1"/>
  <c r="H140" i="1"/>
  <c r="G140" i="1"/>
  <c r="D140" i="1"/>
  <c r="C140" i="1"/>
  <c r="CZ139" i="1"/>
  <c r="CY139" i="1"/>
  <c r="CV139" i="1"/>
  <c r="CU139" i="1"/>
  <c r="CR139" i="1"/>
  <c r="CQ139" i="1"/>
  <c r="CN139" i="1"/>
  <c r="CM139" i="1"/>
  <c r="CJ139" i="1"/>
  <c r="CI139" i="1"/>
  <c r="CF139" i="1"/>
  <c r="CE139" i="1"/>
  <c r="CB139" i="1"/>
  <c r="CA139" i="1"/>
  <c r="BX139" i="1"/>
  <c r="BW139" i="1"/>
  <c r="BT139" i="1"/>
  <c r="BS139" i="1"/>
  <c r="BP139" i="1"/>
  <c r="BO139" i="1"/>
  <c r="BL139" i="1"/>
  <c r="BK139" i="1"/>
  <c r="AZ139" i="1"/>
  <c r="AY139" i="1"/>
  <c r="AV139" i="1"/>
  <c r="AU139" i="1"/>
  <c r="AR139" i="1"/>
  <c r="AQ139" i="1"/>
  <c r="AN139" i="1"/>
  <c r="AM139" i="1"/>
  <c r="AJ139" i="1"/>
  <c r="AI139" i="1"/>
  <c r="AF139" i="1"/>
  <c r="AE139" i="1"/>
  <c r="AB139" i="1"/>
  <c r="AA139" i="1"/>
  <c r="X139" i="1"/>
  <c r="W139" i="1"/>
  <c r="T139" i="1"/>
  <c r="S139" i="1"/>
  <c r="P139" i="1"/>
  <c r="O139" i="1"/>
  <c r="L139" i="1"/>
  <c r="K139" i="1"/>
  <c r="H139" i="1"/>
  <c r="G139" i="1"/>
  <c r="D139" i="1"/>
  <c r="C139" i="1"/>
  <c r="CZ138" i="1"/>
  <c r="CY138" i="1"/>
  <c r="CV138" i="1"/>
  <c r="CU138" i="1"/>
  <c r="CR138" i="1"/>
  <c r="CQ138" i="1"/>
  <c r="CN138" i="1"/>
  <c r="CM138" i="1"/>
  <c r="CJ138" i="1"/>
  <c r="CI138" i="1"/>
  <c r="CF138" i="1"/>
  <c r="CE138" i="1"/>
  <c r="CB138" i="1"/>
  <c r="CA138" i="1"/>
  <c r="BX138" i="1"/>
  <c r="BW138" i="1"/>
  <c r="BT138" i="1"/>
  <c r="BS138" i="1"/>
  <c r="BP138" i="1"/>
  <c r="BO138" i="1"/>
  <c r="BL138" i="1"/>
  <c r="BK138" i="1"/>
  <c r="AZ138" i="1"/>
  <c r="AY138" i="1"/>
  <c r="AV138" i="1"/>
  <c r="AU138" i="1"/>
  <c r="AR138" i="1"/>
  <c r="AQ138" i="1"/>
  <c r="AN138" i="1"/>
  <c r="AM138" i="1"/>
  <c r="AJ138" i="1"/>
  <c r="AI138" i="1"/>
  <c r="AF138" i="1"/>
  <c r="AE138" i="1"/>
  <c r="AB138" i="1"/>
  <c r="AA138" i="1"/>
  <c r="X138" i="1"/>
  <c r="W138" i="1"/>
  <c r="T138" i="1"/>
  <c r="S138" i="1"/>
  <c r="P138" i="1"/>
  <c r="O138" i="1"/>
  <c r="L138" i="1"/>
  <c r="K138" i="1"/>
  <c r="H138" i="1"/>
  <c r="G138" i="1"/>
  <c r="D138" i="1"/>
  <c r="C138" i="1"/>
  <c r="CZ137" i="1"/>
  <c r="CY137" i="1"/>
  <c r="CV137" i="1"/>
  <c r="CU137" i="1"/>
  <c r="CR137" i="1"/>
  <c r="CQ137" i="1"/>
  <c r="CN137" i="1"/>
  <c r="CM137" i="1"/>
  <c r="CJ137" i="1"/>
  <c r="CI137" i="1"/>
  <c r="CF137" i="1"/>
  <c r="CE137" i="1"/>
  <c r="CB137" i="1"/>
  <c r="CA137" i="1"/>
  <c r="BX137" i="1"/>
  <c r="BW137" i="1"/>
  <c r="BT137" i="1"/>
  <c r="BS137" i="1"/>
  <c r="BP137" i="1"/>
  <c r="BO137" i="1"/>
  <c r="BL137" i="1"/>
  <c r="BK137" i="1"/>
  <c r="AZ137" i="1"/>
  <c r="AY137" i="1"/>
  <c r="AV137" i="1"/>
  <c r="AU137" i="1"/>
  <c r="AR137" i="1"/>
  <c r="AQ137" i="1"/>
  <c r="AN137" i="1"/>
  <c r="AM137" i="1"/>
  <c r="AJ137" i="1"/>
  <c r="AI137" i="1"/>
  <c r="AF137" i="1"/>
  <c r="AE137" i="1"/>
  <c r="AB137" i="1"/>
  <c r="AA137" i="1"/>
  <c r="X137" i="1"/>
  <c r="W137" i="1"/>
  <c r="T137" i="1"/>
  <c r="S137" i="1"/>
  <c r="P137" i="1"/>
  <c r="O137" i="1"/>
  <c r="L137" i="1"/>
  <c r="K137" i="1"/>
  <c r="H137" i="1"/>
  <c r="G137" i="1"/>
  <c r="D137" i="1"/>
  <c r="C137" i="1"/>
  <c r="CZ136" i="1"/>
  <c r="CY136" i="1"/>
  <c r="CV136" i="1"/>
  <c r="CU136" i="1"/>
  <c r="CR136" i="1"/>
  <c r="CQ136" i="1"/>
  <c r="CN136" i="1"/>
  <c r="CM136" i="1"/>
  <c r="CJ136" i="1"/>
  <c r="CI136" i="1"/>
  <c r="CF136" i="1"/>
  <c r="CE136" i="1"/>
  <c r="CB136" i="1"/>
  <c r="CA136" i="1"/>
  <c r="BX136" i="1"/>
  <c r="BW136" i="1"/>
  <c r="BT136" i="1"/>
  <c r="BS136" i="1"/>
  <c r="BP136" i="1"/>
  <c r="BO136" i="1"/>
  <c r="BL136" i="1"/>
  <c r="BK136" i="1"/>
  <c r="AZ136" i="1"/>
  <c r="AY136" i="1"/>
  <c r="AV136" i="1"/>
  <c r="AU136" i="1"/>
  <c r="AR136" i="1"/>
  <c r="AQ136" i="1"/>
  <c r="AN136" i="1"/>
  <c r="AM136" i="1"/>
  <c r="AJ136" i="1"/>
  <c r="AI136" i="1"/>
  <c r="AF136" i="1"/>
  <c r="AE136" i="1"/>
  <c r="AB136" i="1"/>
  <c r="AA136" i="1"/>
  <c r="X136" i="1"/>
  <c r="W136" i="1"/>
  <c r="T136" i="1"/>
  <c r="S136" i="1"/>
  <c r="P136" i="1"/>
  <c r="O136" i="1"/>
  <c r="L136" i="1"/>
  <c r="K136" i="1"/>
  <c r="H136" i="1"/>
  <c r="G136" i="1"/>
  <c r="D136" i="1"/>
  <c r="C136" i="1"/>
  <c r="CZ135" i="1"/>
  <c r="CY135" i="1"/>
  <c r="CV135" i="1"/>
  <c r="CU135" i="1"/>
  <c r="CR135" i="1"/>
  <c r="CQ135" i="1"/>
  <c r="CN135" i="1"/>
  <c r="CM135" i="1"/>
  <c r="CJ135" i="1"/>
  <c r="CI135" i="1"/>
  <c r="CF135" i="1"/>
  <c r="CE135" i="1"/>
  <c r="CB135" i="1"/>
  <c r="CA135" i="1"/>
  <c r="BX135" i="1"/>
  <c r="BW135" i="1"/>
  <c r="BT135" i="1"/>
  <c r="BS135" i="1"/>
  <c r="BP135" i="1"/>
  <c r="BO135" i="1"/>
  <c r="BL135" i="1"/>
  <c r="BK135" i="1"/>
  <c r="AZ135" i="1"/>
  <c r="AY135" i="1"/>
  <c r="AV135" i="1"/>
  <c r="AU135" i="1"/>
  <c r="AR135" i="1"/>
  <c r="AQ135" i="1"/>
  <c r="AN135" i="1"/>
  <c r="AM135" i="1"/>
  <c r="AJ135" i="1"/>
  <c r="AI135" i="1"/>
  <c r="AF135" i="1"/>
  <c r="AE135" i="1"/>
  <c r="AB135" i="1"/>
  <c r="AA135" i="1"/>
  <c r="X135" i="1"/>
  <c r="W135" i="1"/>
  <c r="T135" i="1"/>
  <c r="S135" i="1"/>
  <c r="P135" i="1"/>
  <c r="O135" i="1"/>
  <c r="L135" i="1"/>
  <c r="K135" i="1"/>
  <c r="H135" i="1"/>
  <c r="G135" i="1"/>
  <c r="D135" i="1"/>
  <c r="C135" i="1"/>
  <c r="CZ134" i="1"/>
  <c r="CY134" i="1"/>
  <c r="CV134" i="1"/>
  <c r="CU134" i="1"/>
  <c r="CR134" i="1"/>
  <c r="CQ134" i="1"/>
  <c r="CN134" i="1"/>
  <c r="CM134" i="1"/>
  <c r="CJ134" i="1"/>
  <c r="CI134" i="1"/>
  <c r="CF134" i="1"/>
  <c r="CE134" i="1"/>
  <c r="CB134" i="1"/>
  <c r="CA134" i="1"/>
  <c r="BX134" i="1"/>
  <c r="BW134" i="1"/>
  <c r="BT134" i="1"/>
  <c r="BS134" i="1"/>
  <c r="BP134" i="1"/>
  <c r="BO134" i="1"/>
  <c r="BL134" i="1"/>
  <c r="BK134" i="1"/>
  <c r="AZ134" i="1"/>
  <c r="AY134" i="1"/>
  <c r="AV134" i="1"/>
  <c r="AU134" i="1"/>
  <c r="AR134" i="1"/>
  <c r="AQ134" i="1"/>
  <c r="AN134" i="1"/>
  <c r="AM134" i="1"/>
  <c r="AJ134" i="1"/>
  <c r="AI134" i="1"/>
  <c r="AF134" i="1"/>
  <c r="AE134" i="1"/>
  <c r="AB134" i="1"/>
  <c r="AA134" i="1"/>
  <c r="X134" i="1"/>
  <c r="W134" i="1"/>
  <c r="T134" i="1"/>
  <c r="S134" i="1"/>
  <c r="P134" i="1"/>
  <c r="O134" i="1"/>
  <c r="L134" i="1"/>
  <c r="K134" i="1"/>
  <c r="H134" i="1"/>
  <c r="G134" i="1"/>
  <c r="D134" i="1"/>
  <c r="C134" i="1"/>
  <c r="CZ133" i="1"/>
  <c r="CY133" i="1"/>
  <c r="CV133" i="1"/>
  <c r="CU133" i="1"/>
  <c r="CR133" i="1"/>
  <c r="CQ133" i="1"/>
  <c r="CN133" i="1"/>
  <c r="CM133" i="1"/>
  <c r="CJ133" i="1"/>
  <c r="CI133" i="1"/>
  <c r="CF133" i="1"/>
  <c r="CE133" i="1"/>
  <c r="CB133" i="1"/>
  <c r="CA133" i="1"/>
  <c r="BX133" i="1"/>
  <c r="BW133" i="1"/>
  <c r="BT133" i="1"/>
  <c r="BS133" i="1"/>
  <c r="BP133" i="1"/>
  <c r="BO133" i="1"/>
  <c r="BL133" i="1"/>
  <c r="BK133" i="1"/>
  <c r="AZ133" i="1"/>
  <c r="AY133" i="1"/>
  <c r="AV133" i="1"/>
  <c r="AU133" i="1"/>
  <c r="AR133" i="1"/>
  <c r="AQ133" i="1"/>
  <c r="AN133" i="1"/>
  <c r="AM133" i="1"/>
  <c r="AJ133" i="1"/>
  <c r="AI133" i="1"/>
  <c r="AF133" i="1"/>
  <c r="AE133" i="1"/>
  <c r="AB133" i="1"/>
  <c r="AA133" i="1"/>
  <c r="X133" i="1"/>
  <c r="W133" i="1"/>
  <c r="T133" i="1"/>
  <c r="S133" i="1"/>
  <c r="P133" i="1"/>
  <c r="O133" i="1"/>
  <c r="L133" i="1"/>
  <c r="K133" i="1"/>
  <c r="H133" i="1"/>
  <c r="G133" i="1"/>
  <c r="D133" i="1"/>
  <c r="C133" i="1"/>
  <c r="CZ131" i="1"/>
  <c r="CY131" i="1"/>
  <c r="CV131" i="1"/>
  <c r="CU131" i="1"/>
  <c r="CR131" i="1"/>
  <c r="CQ131" i="1"/>
  <c r="CN131" i="1"/>
  <c r="CM131" i="1"/>
  <c r="CJ131" i="1"/>
  <c r="CI131" i="1"/>
  <c r="CF131" i="1"/>
  <c r="CE131" i="1"/>
  <c r="CB131" i="1"/>
  <c r="CA131" i="1"/>
  <c r="BX131" i="1"/>
  <c r="BW131" i="1"/>
  <c r="BT131" i="1"/>
  <c r="BS131" i="1"/>
  <c r="BP131" i="1"/>
  <c r="BO131" i="1"/>
  <c r="BL131" i="1"/>
  <c r="BK131" i="1"/>
  <c r="AZ131" i="1"/>
  <c r="AY131" i="1"/>
  <c r="AV131" i="1"/>
  <c r="AU131" i="1"/>
  <c r="AR131" i="1"/>
  <c r="AQ131" i="1"/>
  <c r="AN131" i="1"/>
  <c r="AM131" i="1"/>
  <c r="AJ131" i="1"/>
  <c r="AI131" i="1"/>
  <c r="AF131" i="1"/>
  <c r="AE131" i="1"/>
  <c r="AB131" i="1"/>
  <c r="AA131" i="1"/>
  <c r="X131" i="1"/>
  <c r="W131" i="1"/>
  <c r="T131" i="1"/>
  <c r="S131" i="1"/>
  <c r="P131" i="1"/>
  <c r="O131" i="1"/>
  <c r="L131" i="1"/>
  <c r="K131" i="1"/>
  <c r="H131" i="1"/>
  <c r="G131" i="1"/>
  <c r="D131" i="1"/>
  <c r="C131" i="1"/>
  <c r="CZ130" i="1"/>
  <c r="CY130" i="1"/>
  <c r="CV130" i="1"/>
  <c r="CU130" i="1"/>
  <c r="CR130" i="1"/>
  <c r="CQ130" i="1"/>
  <c r="CN130" i="1"/>
  <c r="CM130" i="1"/>
  <c r="CJ130" i="1"/>
  <c r="CI130" i="1"/>
  <c r="CF130" i="1"/>
  <c r="CE130" i="1"/>
  <c r="CB130" i="1"/>
  <c r="CA130" i="1"/>
  <c r="BX130" i="1"/>
  <c r="BW130" i="1"/>
  <c r="BT130" i="1"/>
  <c r="BS130" i="1"/>
  <c r="BP130" i="1"/>
  <c r="BO130" i="1"/>
  <c r="BL130" i="1"/>
  <c r="BK130" i="1"/>
  <c r="AZ130" i="1"/>
  <c r="AY130" i="1"/>
  <c r="AV130" i="1"/>
  <c r="AU130" i="1"/>
  <c r="AR130" i="1"/>
  <c r="AQ130" i="1"/>
  <c r="AN130" i="1"/>
  <c r="AM130" i="1"/>
  <c r="AJ130" i="1"/>
  <c r="AI130" i="1"/>
  <c r="AF130" i="1"/>
  <c r="AE130" i="1"/>
  <c r="AB130" i="1"/>
  <c r="AA130" i="1"/>
  <c r="X130" i="1"/>
  <c r="W130" i="1"/>
  <c r="T130" i="1"/>
  <c r="S130" i="1"/>
  <c r="P130" i="1"/>
  <c r="O130" i="1"/>
  <c r="L130" i="1"/>
  <c r="K130" i="1"/>
  <c r="H130" i="1"/>
  <c r="G130" i="1"/>
  <c r="D130" i="1"/>
  <c r="C130" i="1"/>
  <c r="CZ129" i="1"/>
  <c r="CY129" i="1"/>
  <c r="CV129" i="1"/>
  <c r="CU129" i="1"/>
  <c r="CR129" i="1"/>
  <c r="CQ129" i="1"/>
  <c r="CN129" i="1"/>
  <c r="CM129" i="1"/>
  <c r="CJ129" i="1"/>
  <c r="CI129" i="1"/>
  <c r="CF129" i="1"/>
  <c r="CE129" i="1"/>
  <c r="CB129" i="1"/>
  <c r="CA129" i="1"/>
  <c r="BX129" i="1"/>
  <c r="BW129" i="1"/>
  <c r="BT129" i="1"/>
  <c r="BS129" i="1"/>
  <c r="BP129" i="1"/>
  <c r="BO129" i="1"/>
  <c r="BL129" i="1"/>
  <c r="BK129" i="1"/>
  <c r="AZ129" i="1"/>
  <c r="AY129" i="1"/>
  <c r="AV129" i="1"/>
  <c r="AU129" i="1"/>
  <c r="AR129" i="1"/>
  <c r="AQ129" i="1"/>
  <c r="AN129" i="1"/>
  <c r="AM129" i="1"/>
  <c r="AJ129" i="1"/>
  <c r="AI129" i="1"/>
  <c r="AF129" i="1"/>
  <c r="AE129" i="1"/>
  <c r="AB129" i="1"/>
  <c r="AA129" i="1"/>
  <c r="X129" i="1"/>
  <c r="W129" i="1"/>
  <c r="T129" i="1"/>
  <c r="S129" i="1"/>
  <c r="P129" i="1"/>
  <c r="O129" i="1"/>
  <c r="L129" i="1"/>
  <c r="K129" i="1"/>
  <c r="H129" i="1"/>
  <c r="G129" i="1"/>
  <c r="D129" i="1"/>
  <c r="C129" i="1"/>
  <c r="CZ128" i="1"/>
  <c r="CY128" i="1"/>
  <c r="CV128" i="1"/>
  <c r="CU128" i="1"/>
  <c r="CR128" i="1"/>
  <c r="CQ128" i="1"/>
  <c r="CN128" i="1"/>
  <c r="CM128" i="1"/>
  <c r="CJ128" i="1"/>
  <c r="CI128" i="1"/>
  <c r="CF128" i="1"/>
  <c r="CE128" i="1"/>
  <c r="CB128" i="1"/>
  <c r="CA128" i="1"/>
  <c r="BX128" i="1"/>
  <c r="BW128" i="1"/>
  <c r="BT128" i="1"/>
  <c r="BS128" i="1"/>
  <c r="BP128" i="1"/>
  <c r="BO128" i="1"/>
  <c r="BL128" i="1"/>
  <c r="BK128" i="1"/>
  <c r="AZ128" i="1"/>
  <c r="AY128" i="1"/>
  <c r="AV128" i="1"/>
  <c r="AU128" i="1"/>
  <c r="AR128" i="1"/>
  <c r="AQ128" i="1"/>
  <c r="AN128" i="1"/>
  <c r="AM128" i="1"/>
  <c r="AJ128" i="1"/>
  <c r="AI128" i="1"/>
  <c r="AF128" i="1"/>
  <c r="AE128" i="1"/>
  <c r="AB128" i="1"/>
  <c r="AA128" i="1"/>
  <c r="X128" i="1"/>
  <c r="W128" i="1"/>
  <c r="T128" i="1"/>
  <c r="S128" i="1"/>
  <c r="P128" i="1"/>
  <c r="O128" i="1"/>
  <c r="L128" i="1"/>
  <c r="K128" i="1"/>
  <c r="H128" i="1"/>
  <c r="G128" i="1"/>
  <c r="D128" i="1"/>
  <c r="C128" i="1"/>
  <c r="CZ126" i="1"/>
  <c r="CY126" i="1"/>
  <c r="CV126" i="1"/>
  <c r="CU126" i="1"/>
  <c r="CR126" i="1"/>
  <c r="CQ126" i="1"/>
  <c r="CN126" i="1"/>
  <c r="CM126" i="1"/>
  <c r="CJ126" i="1"/>
  <c r="CI126" i="1"/>
  <c r="CF126" i="1"/>
  <c r="CE126" i="1"/>
  <c r="CB126" i="1"/>
  <c r="CA126" i="1"/>
  <c r="BX126" i="1"/>
  <c r="BW126" i="1"/>
  <c r="BT126" i="1"/>
  <c r="BS126" i="1"/>
  <c r="BP126" i="1"/>
  <c r="BO126" i="1"/>
  <c r="BL126" i="1"/>
  <c r="BK126" i="1"/>
  <c r="AZ126" i="1"/>
  <c r="AY126" i="1"/>
  <c r="AV126" i="1"/>
  <c r="AU126" i="1"/>
  <c r="AR126" i="1"/>
  <c r="AQ126" i="1"/>
  <c r="AN126" i="1"/>
  <c r="AM126" i="1"/>
  <c r="AJ126" i="1"/>
  <c r="AI126" i="1"/>
  <c r="AF126" i="1"/>
  <c r="AE126" i="1"/>
  <c r="AB126" i="1"/>
  <c r="AA126" i="1"/>
  <c r="X126" i="1"/>
  <c r="W126" i="1"/>
  <c r="T126" i="1"/>
  <c r="S126" i="1"/>
  <c r="P126" i="1"/>
  <c r="O126" i="1"/>
  <c r="L126" i="1"/>
  <c r="K126" i="1"/>
  <c r="H126" i="1"/>
  <c r="G126" i="1"/>
  <c r="D126" i="1"/>
  <c r="C126" i="1"/>
  <c r="CZ125" i="1"/>
  <c r="CY125" i="1"/>
  <c r="CV125" i="1"/>
  <c r="CU125" i="1"/>
  <c r="CR125" i="1"/>
  <c r="CQ125" i="1"/>
  <c r="CN125" i="1"/>
  <c r="CM125" i="1"/>
  <c r="CJ125" i="1"/>
  <c r="CI125" i="1"/>
  <c r="CF125" i="1"/>
  <c r="CE125" i="1"/>
  <c r="CB125" i="1"/>
  <c r="CA125" i="1"/>
  <c r="BX125" i="1"/>
  <c r="BW125" i="1"/>
  <c r="BT125" i="1"/>
  <c r="BS125" i="1"/>
  <c r="BP125" i="1"/>
  <c r="BO125" i="1"/>
  <c r="BL125" i="1"/>
  <c r="BK125" i="1"/>
  <c r="AZ125" i="1"/>
  <c r="AY125" i="1"/>
  <c r="AV125" i="1"/>
  <c r="AU125" i="1"/>
  <c r="AR125" i="1"/>
  <c r="AQ125" i="1"/>
  <c r="AN125" i="1"/>
  <c r="AM125" i="1"/>
  <c r="AJ125" i="1"/>
  <c r="AI125" i="1"/>
  <c r="AF125" i="1"/>
  <c r="AE125" i="1"/>
  <c r="AB125" i="1"/>
  <c r="AA125" i="1"/>
  <c r="X125" i="1"/>
  <c r="W125" i="1"/>
  <c r="T125" i="1"/>
  <c r="S125" i="1"/>
  <c r="P125" i="1"/>
  <c r="O125" i="1"/>
  <c r="L125" i="1"/>
  <c r="K125" i="1"/>
  <c r="H125" i="1"/>
  <c r="G125" i="1"/>
  <c r="D125" i="1"/>
  <c r="C125" i="1"/>
  <c r="CZ124" i="1"/>
  <c r="CY124" i="1"/>
  <c r="CV124" i="1"/>
  <c r="CU124" i="1"/>
  <c r="CR124" i="1"/>
  <c r="CQ124" i="1"/>
  <c r="CN124" i="1"/>
  <c r="CM124" i="1"/>
  <c r="CJ124" i="1"/>
  <c r="CI124" i="1"/>
  <c r="CF124" i="1"/>
  <c r="CE124" i="1"/>
  <c r="CB124" i="1"/>
  <c r="CA124" i="1"/>
  <c r="BX124" i="1"/>
  <c r="BW124" i="1"/>
  <c r="BT124" i="1"/>
  <c r="BS124" i="1"/>
  <c r="BP124" i="1"/>
  <c r="BO124" i="1"/>
  <c r="BL124" i="1"/>
  <c r="BK124" i="1"/>
  <c r="AZ124" i="1"/>
  <c r="AY124" i="1"/>
  <c r="AV124" i="1"/>
  <c r="AU124" i="1"/>
  <c r="AR124" i="1"/>
  <c r="AQ124" i="1"/>
  <c r="AN124" i="1"/>
  <c r="AM124" i="1"/>
  <c r="AJ124" i="1"/>
  <c r="AI124" i="1"/>
  <c r="AF124" i="1"/>
  <c r="AE124" i="1"/>
  <c r="AB124" i="1"/>
  <c r="AA124" i="1"/>
  <c r="X124" i="1"/>
  <c r="W124" i="1"/>
  <c r="T124" i="1"/>
  <c r="S124" i="1"/>
  <c r="P124" i="1"/>
  <c r="O124" i="1"/>
  <c r="L124" i="1"/>
  <c r="K124" i="1"/>
  <c r="H124" i="1"/>
  <c r="G124" i="1"/>
  <c r="D124" i="1"/>
  <c r="C124" i="1"/>
  <c r="CZ123" i="1"/>
  <c r="CY123" i="1"/>
  <c r="CV123" i="1"/>
  <c r="CU123" i="1"/>
  <c r="CR123" i="1"/>
  <c r="CQ123" i="1"/>
  <c r="CN123" i="1"/>
  <c r="CM123" i="1"/>
  <c r="CJ123" i="1"/>
  <c r="CI123" i="1"/>
  <c r="CF123" i="1"/>
  <c r="CE123" i="1"/>
  <c r="CB123" i="1"/>
  <c r="CA123" i="1"/>
  <c r="BX123" i="1"/>
  <c r="BW123" i="1"/>
  <c r="BT123" i="1"/>
  <c r="BS123" i="1"/>
  <c r="BP123" i="1"/>
  <c r="BO123" i="1"/>
  <c r="BL123" i="1"/>
  <c r="BK123" i="1"/>
  <c r="AZ123" i="1"/>
  <c r="AY123" i="1"/>
  <c r="AV123" i="1"/>
  <c r="AU123" i="1"/>
  <c r="AR123" i="1"/>
  <c r="AQ123" i="1"/>
  <c r="AN123" i="1"/>
  <c r="AM123" i="1"/>
  <c r="AJ123" i="1"/>
  <c r="AI123" i="1"/>
  <c r="AF123" i="1"/>
  <c r="AE123" i="1"/>
  <c r="AB123" i="1"/>
  <c r="AA123" i="1"/>
  <c r="X123" i="1"/>
  <c r="W123" i="1"/>
  <c r="T123" i="1"/>
  <c r="S123" i="1"/>
  <c r="P123" i="1"/>
  <c r="O123" i="1"/>
  <c r="L123" i="1"/>
  <c r="K123" i="1"/>
  <c r="H123" i="1"/>
  <c r="G123" i="1"/>
  <c r="D123" i="1"/>
  <c r="C123" i="1"/>
  <c r="CZ121" i="1"/>
  <c r="CY121" i="1"/>
  <c r="CV121" i="1"/>
  <c r="CU121" i="1"/>
  <c r="CR121" i="1"/>
  <c r="CQ121" i="1"/>
  <c r="CN121" i="1"/>
  <c r="CM121" i="1"/>
  <c r="CJ121" i="1"/>
  <c r="CI121" i="1"/>
  <c r="CF121" i="1"/>
  <c r="CE121" i="1"/>
  <c r="CB121" i="1"/>
  <c r="CA121" i="1"/>
  <c r="BX121" i="1"/>
  <c r="BW121" i="1"/>
  <c r="BT121" i="1"/>
  <c r="BS121" i="1"/>
  <c r="BP121" i="1"/>
  <c r="BO121" i="1"/>
  <c r="BL121" i="1"/>
  <c r="BK121" i="1"/>
  <c r="AZ121" i="1"/>
  <c r="AY121" i="1"/>
  <c r="AV121" i="1"/>
  <c r="AU121" i="1"/>
  <c r="AR121" i="1"/>
  <c r="AQ121" i="1"/>
  <c r="AN121" i="1"/>
  <c r="AM121" i="1"/>
  <c r="AJ121" i="1"/>
  <c r="AI121" i="1"/>
  <c r="AF121" i="1"/>
  <c r="AE121" i="1"/>
  <c r="AB121" i="1"/>
  <c r="AA121" i="1"/>
  <c r="X121" i="1"/>
  <c r="W121" i="1"/>
  <c r="T121" i="1"/>
  <c r="S121" i="1"/>
  <c r="P121" i="1"/>
  <c r="O121" i="1"/>
  <c r="L121" i="1"/>
  <c r="K121" i="1"/>
  <c r="H121" i="1"/>
  <c r="G121" i="1"/>
  <c r="D121" i="1"/>
  <c r="C121" i="1"/>
  <c r="CZ120" i="1"/>
  <c r="CY120" i="1"/>
  <c r="CV120" i="1"/>
  <c r="CU120" i="1"/>
  <c r="CR120" i="1"/>
  <c r="CQ120" i="1"/>
  <c r="CN120" i="1"/>
  <c r="CM120" i="1"/>
  <c r="CJ120" i="1"/>
  <c r="CI120" i="1"/>
  <c r="CF120" i="1"/>
  <c r="CE120" i="1"/>
  <c r="CB120" i="1"/>
  <c r="CA120" i="1"/>
  <c r="BX120" i="1"/>
  <c r="BW120" i="1"/>
  <c r="BT120" i="1"/>
  <c r="BS120" i="1"/>
  <c r="BP120" i="1"/>
  <c r="BO120" i="1"/>
  <c r="BL120" i="1"/>
  <c r="BK120" i="1"/>
  <c r="AZ120" i="1"/>
  <c r="AY120" i="1"/>
  <c r="AV120" i="1"/>
  <c r="AU120" i="1"/>
  <c r="AR120" i="1"/>
  <c r="AQ120" i="1"/>
  <c r="AN120" i="1"/>
  <c r="AM120" i="1"/>
  <c r="AJ120" i="1"/>
  <c r="AI120" i="1"/>
  <c r="AF120" i="1"/>
  <c r="AE120" i="1"/>
  <c r="AB120" i="1"/>
  <c r="AA120" i="1"/>
  <c r="X120" i="1"/>
  <c r="W120" i="1"/>
  <c r="T120" i="1"/>
  <c r="S120" i="1"/>
  <c r="P120" i="1"/>
  <c r="O120" i="1"/>
  <c r="L120" i="1"/>
  <c r="K120" i="1"/>
  <c r="H120" i="1"/>
  <c r="G120" i="1"/>
  <c r="D120" i="1"/>
  <c r="C120" i="1"/>
  <c r="CZ119" i="1"/>
  <c r="CY119" i="1"/>
  <c r="CV119" i="1"/>
  <c r="CU119" i="1"/>
  <c r="CR119" i="1"/>
  <c r="CQ119" i="1"/>
  <c r="CN119" i="1"/>
  <c r="CM119" i="1"/>
  <c r="CJ119" i="1"/>
  <c r="CI119" i="1"/>
  <c r="CF119" i="1"/>
  <c r="CE119" i="1"/>
  <c r="CB119" i="1"/>
  <c r="CA119" i="1"/>
  <c r="BX119" i="1"/>
  <c r="BW119" i="1"/>
  <c r="BT119" i="1"/>
  <c r="BS119" i="1"/>
  <c r="BP119" i="1"/>
  <c r="BO119" i="1"/>
  <c r="BL119" i="1"/>
  <c r="BK119" i="1"/>
  <c r="AZ119" i="1"/>
  <c r="AY119" i="1"/>
  <c r="AV119" i="1"/>
  <c r="AU119" i="1"/>
  <c r="AR119" i="1"/>
  <c r="AQ119" i="1"/>
  <c r="AN119" i="1"/>
  <c r="AM119" i="1"/>
  <c r="AJ119" i="1"/>
  <c r="AI119" i="1"/>
  <c r="AF119" i="1"/>
  <c r="AE119" i="1"/>
  <c r="AB119" i="1"/>
  <c r="AA119" i="1"/>
  <c r="X119" i="1"/>
  <c r="W119" i="1"/>
  <c r="T119" i="1"/>
  <c r="S119" i="1"/>
  <c r="P119" i="1"/>
  <c r="O119" i="1"/>
  <c r="L119" i="1"/>
  <c r="K119" i="1"/>
  <c r="H119" i="1"/>
  <c r="G119" i="1"/>
  <c r="D119" i="1"/>
  <c r="C119" i="1"/>
  <c r="CZ118" i="1"/>
  <c r="CY118" i="1"/>
  <c r="CV118" i="1"/>
  <c r="CU118" i="1"/>
  <c r="CR118" i="1"/>
  <c r="CQ118" i="1"/>
  <c r="CN118" i="1"/>
  <c r="CM118" i="1"/>
  <c r="CJ118" i="1"/>
  <c r="CI118" i="1"/>
  <c r="CF118" i="1"/>
  <c r="CE118" i="1"/>
  <c r="CB118" i="1"/>
  <c r="CA118" i="1"/>
  <c r="BX118" i="1"/>
  <c r="BW118" i="1"/>
  <c r="BT118" i="1"/>
  <c r="BS118" i="1"/>
  <c r="BP118" i="1"/>
  <c r="BO118" i="1"/>
  <c r="BL118" i="1"/>
  <c r="BK118" i="1"/>
  <c r="AZ118" i="1"/>
  <c r="AY118" i="1"/>
  <c r="AV118" i="1"/>
  <c r="AU118" i="1"/>
  <c r="AR118" i="1"/>
  <c r="AQ118" i="1"/>
  <c r="AN118" i="1"/>
  <c r="AM118" i="1"/>
  <c r="AJ118" i="1"/>
  <c r="AI118" i="1"/>
  <c r="AF118" i="1"/>
  <c r="AE118" i="1"/>
  <c r="AB118" i="1"/>
  <c r="AA118" i="1"/>
  <c r="X118" i="1"/>
  <c r="W118" i="1"/>
  <c r="T118" i="1"/>
  <c r="S118" i="1"/>
  <c r="P118" i="1"/>
  <c r="O118" i="1"/>
  <c r="L118" i="1"/>
  <c r="K118" i="1"/>
  <c r="H118" i="1"/>
  <c r="G118" i="1"/>
  <c r="D118" i="1"/>
  <c r="C118" i="1"/>
  <c r="CZ116" i="1"/>
  <c r="CY116" i="1"/>
  <c r="CV116" i="1"/>
  <c r="CU116" i="1"/>
  <c r="CR116" i="1"/>
  <c r="CQ116" i="1"/>
  <c r="CN116" i="1"/>
  <c r="CM116" i="1"/>
  <c r="CJ116" i="1"/>
  <c r="CI116" i="1"/>
  <c r="CF116" i="1"/>
  <c r="CE116" i="1"/>
  <c r="CB116" i="1"/>
  <c r="CA116" i="1"/>
  <c r="BX116" i="1"/>
  <c r="BW116" i="1"/>
  <c r="BT116" i="1"/>
  <c r="BS116" i="1"/>
  <c r="BP116" i="1"/>
  <c r="BO116" i="1"/>
  <c r="BL116" i="1"/>
  <c r="BK116" i="1"/>
  <c r="AZ116" i="1"/>
  <c r="AY116" i="1"/>
  <c r="AV116" i="1"/>
  <c r="AU116" i="1"/>
  <c r="AR116" i="1"/>
  <c r="AQ116" i="1"/>
  <c r="AN116" i="1"/>
  <c r="AM116" i="1"/>
  <c r="AJ116" i="1"/>
  <c r="AI116" i="1"/>
  <c r="AF116" i="1"/>
  <c r="AE116" i="1"/>
  <c r="AB116" i="1"/>
  <c r="AA116" i="1"/>
  <c r="X116" i="1"/>
  <c r="W116" i="1"/>
  <c r="T116" i="1"/>
  <c r="S116" i="1"/>
  <c r="P116" i="1"/>
  <c r="O116" i="1"/>
  <c r="L116" i="1"/>
  <c r="K116" i="1"/>
  <c r="H116" i="1"/>
  <c r="G116" i="1"/>
  <c r="D116" i="1"/>
  <c r="C116" i="1"/>
  <c r="CZ115" i="1"/>
  <c r="CY115" i="1"/>
  <c r="CV115" i="1"/>
  <c r="CU115" i="1"/>
  <c r="CR115" i="1"/>
  <c r="CQ115" i="1"/>
  <c r="CN115" i="1"/>
  <c r="CM115" i="1"/>
  <c r="CJ115" i="1"/>
  <c r="CI115" i="1"/>
  <c r="CF115" i="1"/>
  <c r="CE115" i="1"/>
  <c r="CB115" i="1"/>
  <c r="CA115" i="1"/>
  <c r="BX115" i="1"/>
  <c r="BW115" i="1"/>
  <c r="BT115" i="1"/>
  <c r="BS115" i="1"/>
  <c r="BP115" i="1"/>
  <c r="BO115" i="1"/>
  <c r="BL115" i="1"/>
  <c r="BK115" i="1"/>
  <c r="AZ115" i="1"/>
  <c r="AY115" i="1"/>
  <c r="AV115" i="1"/>
  <c r="AU115" i="1"/>
  <c r="AR115" i="1"/>
  <c r="AQ115" i="1"/>
  <c r="AN115" i="1"/>
  <c r="AM115" i="1"/>
  <c r="AJ115" i="1"/>
  <c r="AI115" i="1"/>
  <c r="AF115" i="1"/>
  <c r="AE115" i="1"/>
  <c r="AB115" i="1"/>
  <c r="AA115" i="1"/>
  <c r="X115" i="1"/>
  <c r="W115" i="1"/>
  <c r="T115" i="1"/>
  <c r="S115" i="1"/>
  <c r="P115" i="1"/>
  <c r="O115" i="1"/>
  <c r="L115" i="1"/>
  <c r="K115" i="1"/>
  <c r="H115" i="1"/>
  <c r="G115" i="1"/>
  <c r="D115" i="1"/>
  <c r="C115" i="1"/>
  <c r="CZ114" i="1"/>
  <c r="CY114" i="1"/>
  <c r="CV114" i="1"/>
  <c r="CU114" i="1"/>
  <c r="CR114" i="1"/>
  <c r="CQ114" i="1"/>
  <c r="CN114" i="1"/>
  <c r="CM114" i="1"/>
  <c r="CJ114" i="1"/>
  <c r="CI114" i="1"/>
  <c r="CF114" i="1"/>
  <c r="CE114" i="1"/>
  <c r="CB114" i="1"/>
  <c r="CA114" i="1"/>
  <c r="BX114" i="1"/>
  <c r="BW114" i="1"/>
  <c r="BT114" i="1"/>
  <c r="BS114" i="1"/>
  <c r="BP114" i="1"/>
  <c r="BO114" i="1"/>
  <c r="BL114" i="1"/>
  <c r="BK114" i="1"/>
  <c r="AZ114" i="1"/>
  <c r="AY114" i="1"/>
  <c r="AV114" i="1"/>
  <c r="AU114" i="1"/>
  <c r="AR114" i="1"/>
  <c r="AQ114" i="1"/>
  <c r="AN114" i="1"/>
  <c r="AM114" i="1"/>
  <c r="AJ114" i="1"/>
  <c r="AI114" i="1"/>
  <c r="AF114" i="1"/>
  <c r="AE114" i="1"/>
  <c r="AB114" i="1"/>
  <c r="AA114" i="1"/>
  <c r="X114" i="1"/>
  <c r="W114" i="1"/>
  <c r="T114" i="1"/>
  <c r="S114" i="1"/>
  <c r="P114" i="1"/>
  <c r="O114" i="1"/>
  <c r="L114" i="1"/>
  <c r="K114" i="1"/>
  <c r="H114" i="1"/>
  <c r="G114" i="1"/>
  <c r="D114" i="1"/>
  <c r="C114" i="1"/>
  <c r="CZ113" i="1"/>
  <c r="CY113" i="1"/>
  <c r="CV113" i="1"/>
  <c r="CU113" i="1"/>
  <c r="CR113" i="1"/>
  <c r="CQ113" i="1"/>
  <c r="CN113" i="1"/>
  <c r="CM113" i="1"/>
  <c r="CJ113" i="1"/>
  <c r="CI113" i="1"/>
  <c r="CF113" i="1"/>
  <c r="CE113" i="1"/>
  <c r="CB113" i="1"/>
  <c r="CA113" i="1"/>
  <c r="BX113" i="1"/>
  <c r="BW113" i="1"/>
  <c r="BT113" i="1"/>
  <c r="BS113" i="1"/>
  <c r="BP113" i="1"/>
  <c r="BO113" i="1"/>
  <c r="BL113" i="1"/>
  <c r="BK113" i="1"/>
  <c r="AZ113" i="1"/>
  <c r="AY113" i="1"/>
  <c r="AV113" i="1"/>
  <c r="AU113" i="1"/>
  <c r="AR113" i="1"/>
  <c r="AQ113" i="1"/>
  <c r="AN113" i="1"/>
  <c r="AM113" i="1"/>
  <c r="AJ113" i="1"/>
  <c r="AI113" i="1"/>
  <c r="AF113" i="1"/>
  <c r="AE113" i="1"/>
  <c r="AB113" i="1"/>
  <c r="AA113" i="1"/>
  <c r="X113" i="1"/>
  <c r="W113" i="1"/>
  <c r="T113" i="1"/>
  <c r="S113" i="1"/>
  <c r="P113" i="1"/>
  <c r="O113" i="1"/>
  <c r="L113" i="1"/>
  <c r="K113" i="1"/>
  <c r="H113" i="1"/>
  <c r="G113" i="1"/>
  <c r="D113" i="1"/>
  <c r="C113" i="1"/>
  <c r="CZ111" i="1"/>
  <c r="CY111" i="1"/>
  <c r="CV111" i="1"/>
  <c r="CU111" i="1"/>
  <c r="CR111" i="1"/>
  <c r="CQ111" i="1"/>
  <c r="CN111" i="1"/>
  <c r="CM111" i="1"/>
  <c r="CJ111" i="1"/>
  <c r="CI111" i="1"/>
  <c r="CF111" i="1"/>
  <c r="CE111" i="1"/>
  <c r="CB111" i="1"/>
  <c r="CA111" i="1"/>
  <c r="BX111" i="1"/>
  <c r="BW111" i="1"/>
  <c r="BT111" i="1"/>
  <c r="BS111" i="1"/>
  <c r="BP111" i="1"/>
  <c r="BO111" i="1"/>
  <c r="BL111" i="1"/>
  <c r="BK111" i="1"/>
  <c r="AZ111" i="1"/>
  <c r="AY111" i="1"/>
  <c r="AV111" i="1"/>
  <c r="AU111" i="1"/>
  <c r="AR111" i="1"/>
  <c r="AQ111" i="1"/>
  <c r="AN111" i="1"/>
  <c r="AM111" i="1"/>
  <c r="AJ111" i="1"/>
  <c r="AI111" i="1"/>
  <c r="AF111" i="1"/>
  <c r="AE111" i="1"/>
  <c r="AB111" i="1"/>
  <c r="AA111" i="1"/>
  <c r="X111" i="1"/>
  <c r="W111" i="1"/>
  <c r="T111" i="1"/>
  <c r="S111" i="1"/>
  <c r="P111" i="1"/>
  <c r="O111" i="1"/>
  <c r="L111" i="1"/>
  <c r="K111" i="1"/>
  <c r="H111" i="1"/>
  <c r="G111" i="1"/>
  <c r="D111" i="1"/>
  <c r="C111" i="1"/>
  <c r="CZ110" i="1"/>
  <c r="CY110" i="1"/>
  <c r="CV110" i="1"/>
  <c r="CU110" i="1"/>
  <c r="CR110" i="1"/>
  <c r="CQ110" i="1"/>
  <c r="CN110" i="1"/>
  <c r="CM110" i="1"/>
  <c r="CJ110" i="1"/>
  <c r="CI110" i="1"/>
  <c r="CF110" i="1"/>
  <c r="CE110" i="1"/>
  <c r="CB110" i="1"/>
  <c r="CA110" i="1"/>
  <c r="BX110" i="1"/>
  <c r="BW110" i="1"/>
  <c r="BT110" i="1"/>
  <c r="BS110" i="1"/>
  <c r="BP110" i="1"/>
  <c r="BO110" i="1"/>
  <c r="BL110" i="1"/>
  <c r="BK110" i="1"/>
  <c r="AZ110" i="1"/>
  <c r="AY110" i="1"/>
  <c r="AV110" i="1"/>
  <c r="AU110" i="1"/>
  <c r="AR110" i="1"/>
  <c r="AQ110" i="1"/>
  <c r="AN110" i="1"/>
  <c r="AM110" i="1"/>
  <c r="AJ110" i="1"/>
  <c r="AI110" i="1"/>
  <c r="AF110" i="1"/>
  <c r="AE110" i="1"/>
  <c r="AB110" i="1"/>
  <c r="AA110" i="1"/>
  <c r="X110" i="1"/>
  <c r="W110" i="1"/>
  <c r="T110" i="1"/>
  <c r="S110" i="1"/>
  <c r="P110" i="1"/>
  <c r="O110" i="1"/>
  <c r="L110" i="1"/>
  <c r="K110" i="1"/>
  <c r="H110" i="1"/>
  <c r="G110" i="1"/>
  <c r="D110" i="1"/>
  <c r="C110" i="1"/>
  <c r="CZ109" i="1"/>
  <c r="CY109" i="1"/>
  <c r="CV109" i="1"/>
  <c r="CU109" i="1"/>
  <c r="CR109" i="1"/>
  <c r="CQ109" i="1"/>
  <c r="CN109" i="1"/>
  <c r="CM109" i="1"/>
  <c r="CJ109" i="1"/>
  <c r="CI109" i="1"/>
  <c r="CF109" i="1"/>
  <c r="CE109" i="1"/>
  <c r="CB109" i="1"/>
  <c r="CA109" i="1"/>
  <c r="BX109" i="1"/>
  <c r="BW109" i="1"/>
  <c r="BT109" i="1"/>
  <c r="BS109" i="1"/>
  <c r="BP109" i="1"/>
  <c r="BO109" i="1"/>
  <c r="BL109" i="1"/>
  <c r="BK109" i="1"/>
  <c r="AZ109" i="1"/>
  <c r="AY109" i="1"/>
  <c r="AV109" i="1"/>
  <c r="AU109" i="1"/>
  <c r="AR109" i="1"/>
  <c r="AQ109" i="1"/>
  <c r="AN109" i="1"/>
  <c r="AM109" i="1"/>
  <c r="AJ109" i="1"/>
  <c r="AI109" i="1"/>
  <c r="AF109" i="1"/>
  <c r="AE109" i="1"/>
  <c r="AB109" i="1"/>
  <c r="AA109" i="1"/>
  <c r="X109" i="1"/>
  <c r="W109" i="1"/>
  <c r="T109" i="1"/>
  <c r="S109" i="1"/>
  <c r="P109" i="1"/>
  <c r="O109" i="1"/>
  <c r="L109" i="1"/>
  <c r="K109" i="1"/>
  <c r="H109" i="1"/>
  <c r="G109" i="1"/>
  <c r="D109" i="1"/>
  <c r="C109" i="1"/>
  <c r="CZ108" i="1"/>
  <c r="CY108" i="1"/>
  <c r="CV108" i="1"/>
  <c r="CU108" i="1"/>
  <c r="CR108" i="1"/>
  <c r="CQ108" i="1"/>
  <c r="CN108" i="1"/>
  <c r="CM108" i="1"/>
  <c r="CJ108" i="1"/>
  <c r="CI108" i="1"/>
  <c r="CF108" i="1"/>
  <c r="CE108" i="1"/>
  <c r="CB108" i="1"/>
  <c r="CA108" i="1"/>
  <c r="BX108" i="1"/>
  <c r="BW108" i="1"/>
  <c r="BT108" i="1"/>
  <c r="BS108" i="1"/>
  <c r="BP108" i="1"/>
  <c r="BO108" i="1"/>
  <c r="BL108" i="1"/>
  <c r="BK108" i="1"/>
  <c r="AZ108" i="1"/>
  <c r="AY108" i="1"/>
  <c r="AV108" i="1"/>
  <c r="AU108" i="1"/>
  <c r="AR108" i="1"/>
  <c r="AQ108" i="1"/>
  <c r="AN108" i="1"/>
  <c r="AM108" i="1"/>
  <c r="AJ108" i="1"/>
  <c r="AI108" i="1"/>
  <c r="AF108" i="1"/>
  <c r="AE108" i="1"/>
  <c r="AB108" i="1"/>
  <c r="AA108" i="1"/>
  <c r="X108" i="1"/>
  <c r="W108" i="1"/>
  <c r="T108" i="1"/>
  <c r="S108" i="1"/>
  <c r="P108" i="1"/>
  <c r="O108" i="1"/>
  <c r="L108" i="1"/>
  <c r="K108" i="1"/>
  <c r="H108" i="1"/>
  <c r="G108" i="1"/>
  <c r="D108" i="1"/>
  <c r="C108" i="1"/>
  <c r="CZ106" i="1"/>
  <c r="CY106" i="1"/>
  <c r="CV106" i="1"/>
  <c r="CU106" i="1"/>
  <c r="CR106" i="1"/>
  <c r="CQ106" i="1"/>
  <c r="CN106" i="1"/>
  <c r="CM106" i="1"/>
  <c r="CJ106" i="1"/>
  <c r="CI106" i="1"/>
  <c r="CF106" i="1"/>
  <c r="CE106" i="1"/>
  <c r="CB106" i="1"/>
  <c r="CA106" i="1"/>
  <c r="BX106" i="1"/>
  <c r="BW106" i="1"/>
  <c r="BT106" i="1"/>
  <c r="BS106" i="1"/>
  <c r="BP106" i="1"/>
  <c r="BO106" i="1"/>
  <c r="BL106" i="1"/>
  <c r="BK106" i="1"/>
  <c r="AZ106" i="1"/>
  <c r="AY106" i="1"/>
  <c r="AV106" i="1"/>
  <c r="AU106" i="1"/>
  <c r="AR106" i="1"/>
  <c r="AQ106" i="1"/>
  <c r="AN106" i="1"/>
  <c r="AM106" i="1"/>
  <c r="AJ106" i="1"/>
  <c r="AI106" i="1"/>
  <c r="AF106" i="1"/>
  <c r="AE106" i="1"/>
  <c r="AB106" i="1"/>
  <c r="AA106" i="1"/>
  <c r="X106" i="1"/>
  <c r="W106" i="1"/>
  <c r="T106" i="1"/>
  <c r="S106" i="1"/>
  <c r="P106" i="1"/>
  <c r="O106" i="1"/>
  <c r="L106" i="1"/>
  <c r="K106" i="1"/>
  <c r="H106" i="1"/>
  <c r="G106" i="1"/>
  <c r="D106" i="1"/>
  <c r="C106" i="1"/>
  <c r="CZ105" i="1"/>
  <c r="CY105" i="1"/>
  <c r="CV105" i="1"/>
  <c r="CU105" i="1"/>
  <c r="CR105" i="1"/>
  <c r="CQ105" i="1"/>
  <c r="CN105" i="1"/>
  <c r="CM105" i="1"/>
  <c r="CJ105" i="1"/>
  <c r="CI105" i="1"/>
  <c r="CF105" i="1"/>
  <c r="CE105" i="1"/>
  <c r="CB105" i="1"/>
  <c r="CA105" i="1"/>
  <c r="BX105" i="1"/>
  <c r="BW105" i="1"/>
  <c r="BT105" i="1"/>
  <c r="BS105" i="1"/>
  <c r="BP105" i="1"/>
  <c r="BO105" i="1"/>
  <c r="BL105" i="1"/>
  <c r="BK105" i="1"/>
  <c r="AZ105" i="1"/>
  <c r="AY105" i="1"/>
  <c r="AV105" i="1"/>
  <c r="AU105" i="1"/>
  <c r="AR105" i="1"/>
  <c r="AQ105" i="1"/>
  <c r="AN105" i="1"/>
  <c r="AM105" i="1"/>
  <c r="AJ105" i="1"/>
  <c r="AI105" i="1"/>
  <c r="AF105" i="1"/>
  <c r="AE105" i="1"/>
  <c r="AB105" i="1"/>
  <c r="AA105" i="1"/>
  <c r="X105" i="1"/>
  <c r="W105" i="1"/>
  <c r="T105" i="1"/>
  <c r="S105" i="1"/>
  <c r="P105" i="1"/>
  <c r="O105" i="1"/>
  <c r="L105" i="1"/>
  <c r="K105" i="1"/>
  <c r="H105" i="1"/>
  <c r="G105" i="1"/>
  <c r="D105" i="1"/>
  <c r="C105" i="1"/>
  <c r="CZ104" i="1"/>
  <c r="CY104" i="1"/>
  <c r="CV104" i="1"/>
  <c r="CU104" i="1"/>
  <c r="CR104" i="1"/>
  <c r="CQ104" i="1"/>
  <c r="CN104" i="1"/>
  <c r="CM104" i="1"/>
  <c r="CJ104" i="1"/>
  <c r="CI104" i="1"/>
  <c r="CF104" i="1"/>
  <c r="CE104" i="1"/>
  <c r="CB104" i="1"/>
  <c r="CA104" i="1"/>
  <c r="BX104" i="1"/>
  <c r="BW104" i="1"/>
  <c r="BT104" i="1"/>
  <c r="BS104" i="1"/>
  <c r="BP104" i="1"/>
  <c r="BO104" i="1"/>
  <c r="BL104" i="1"/>
  <c r="BK104" i="1"/>
  <c r="AZ104" i="1"/>
  <c r="AY104" i="1"/>
  <c r="AV104" i="1"/>
  <c r="AU104" i="1"/>
  <c r="AR104" i="1"/>
  <c r="AQ104" i="1"/>
  <c r="AN104" i="1"/>
  <c r="AM104" i="1"/>
  <c r="AJ104" i="1"/>
  <c r="AI104" i="1"/>
  <c r="AF104" i="1"/>
  <c r="AE104" i="1"/>
  <c r="AB104" i="1"/>
  <c r="AA104" i="1"/>
  <c r="X104" i="1"/>
  <c r="W104" i="1"/>
  <c r="T104" i="1"/>
  <c r="S104" i="1"/>
  <c r="P104" i="1"/>
  <c r="O104" i="1"/>
  <c r="L104" i="1"/>
  <c r="K104" i="1"/>
  <c r="H104" i="1"/>
  <c r="G104" i="1"/>
  <c r="D104" i="1"/>
  <c r="C104" i="1"/>
  <c r="CZ103" i="1"/>
  <c r="CY103" i="1"/>
  <c r="CV103" i="1"/>
  <c r="CU103" i="1"/>
  <c r="CR103" i="1"/>
  <c r="CQ103" i="1"/>
  <c r="CN103" i="1"/>
  <c r="CM103" i="1"/>
  <c r="CJ103" i="1"/>
  <c r="CI103" i="1"/>
  <c r="CF103" i="1"/>
  <c r="CE103" i="1"/>
  <c r="CB103" i="1"/>
  <c r="CA103" i="1"/>
  <c r="BX103" i="1"/>
  <c r="BW103" i="1"/>
  <c r="BT103" i="1"/>
  <c r="BS103" i="1"/>
  <c r="BP103" i="1"/>
  <c r="BO103" i="1"/>
  <c r="BL103" i="1"/>
  <c r="BK103" i="1"/>
  <c r="AZ103" i="1"/>
  <c r="AY103" i="1"/>
  <c r="AV103" i="1"/>
  <c r="AU103" i="1"/>
  <c r="AR103" i="1"/>
  <c r="AQ103" i="1"/>
  <c r="AN103" i="1"/>
  <c r="AM103" i="1"/>
  <c r="AJ103" i="1"/>
  <c r="AI103" i="1"/>
  <c r="AF103" i="1"/>
  <c r="AE103" i="1"/>
  <c r="AB103" i="1"/>
  <c r="AA103" i="1"/>
  <c r="X103" i="1"/>
  <c r="W103" i="1"/>
  <c r="T103" i="1"/>
  <c r="S103" i="1"/>
  <c r="P103" i="1"/>
  <c r="O103" i="1"/>
  <c r="L103" i="1"/>
  <c r="K103" i="1"/>
  <c r="H103" i="1"/>
  <c r="G103" i="1"/>
  <c r="D103" i="1"/>
  <c r="C103" i="1"/>
  <c r="CZ101" i="1"/>
  <c r="CY101" i="1"/>
  <c r="CV101" i="1"/>
  <c r="CU101" i="1"/>
  <c r="CR101" i="1"/>
  <c r="CQ101" i="1"/>
  <c r="CN101" i="1"/>
  <c r="CM101" i="1"/>
  <c r="CJ101" i="1"/>
  <c r="CI101" i="1"/>
  <c r="CF101" i="1"/>
  <c r="CE101" i="1"/>
  <c r="CB101" i="1"/>
  <c r="CA101" i="1"/>
  <c r="BX101" i="1"/>
  <c r="BW101" i="1"/>
  <c r="BT101" i="1"/>
  <c r="BS101" i="1"/>
  <c r="BP101" i="1"/>
  <c r="BO101" i="1"/>
  <c r="BL101" i="1"/>
  <c r="BK101" i="1"/>
  <c r="AZ101" i="1"/>
  <c r="AY101" i="1"/>
  <c r="AV101" i="1"/>
  <c r="AU101" i="1"/>
  <c r="AR101" i="1"/>
  <c r="AQ101" i="1"/>
  <c r="AN101" i="1"/>
  <c r="AM101" i="1"/>
  <c r="AJ101" i="1"/>
  <c r="AI101" i="1"/>
  <c r="AF101" i="1"/>
  <c r="AE101" i="1"/>
  <c r="AB101" i="1"/>
  <c r="AA101" i="1"/>
  <c r="X101" i="1"/>
  <c r="W101" i="1"/>
  <c r="T101" i="1"/>
  <c r="S101" i="1"/>
  <c r="P101" i="1"/>
  <c r="O101" i="1"/>
  <c r="L101" i="1"/>
  <c r="K101" i="1"/>
  <c r="H101" i="1"/>
  <c r="G101" i="1"/>
  <c r="D101" i="1"/>
  <c r="C101" i="1"/>
  <c r="CZ100" i="1"/>
  <c r="CY100" i="1"/>
  <c r="CV100" i="1"/>
  <c r="CU100" i="1"/>
  <c r="CR100" i="1"/>
  <c r="CQ100" i="1"/>
  <c r="CN100" i="1"/>
  <c r="CM100" i="1"/>
  <c r="CJ100" i="1"/>
  <c r="CI100" i="1"/>
  <c r="CF100" i="1"/>
  <c r="CE100" i="1"/>
  <c r="CB100" i="1"/>
  <c r="CA100" i="1"/>
  <c r="BX100" i="1"/>
  <c r="BW100" i="1"/>
  <c r="BT100" i="1"/>
  <c r="BS100" i="1"/>
  <c r="BP100" i="1"/>
  <c r="BO100" i="1"/>
  <c r="BL100" i="1"/>
  <c r="BK100" i="1"/>
  <c r="AZ100" i="1"/>
  <c r="AY100" i="1"/>
  <c r="AV100" i="1"/>
  <c r="AU100" i="1"/>
  <c r="AR100" i="1"/>
  <c r="AQ100" i="1"/>
  <c r="AN100" i="1"/>
  <c r="AM100" i="1"/>
  <c r="AJ100" i="1"/>
  <c r="AI100" i="1"/>
  <c r="AF100" i="1"/>
  <c r="AE100" i="1"/>
  <c r="AB100" i="1"/>
  <c r="AA100" i="1"/>
  <c r="X100" i="1"/>
  <c r="W100" i="1"/>
  <c r="T100" i="1"/>
  <c r="S100" i="1"/>
  <c r="P100" i="1"/>
  <c r="O100" i="1"/>
  <c r="L100" i="1"/>
  <c r="K100" i="1"/>
  <c r="H100" i="1"/>
  <c r="G100" i="1"/>
  <c r="D100" i="1"/>
  <c r="C100" i="1"/>
  <c r="CZ99" i="1"/>
  <c r="CY99" i="1"/>
  <c r="CV99" i="1"/>
  <c r="CU99" i="1"/>
  <c r="CR99" i="1"/>
  <c r="CQ99" i="1"/>
  <c r="CN99" i="1"/>
  <c r="CM99" i="1"/>
  <c r="CJ99" i="1"/>
  <c r="CI99" i="1"/>
  <c r="CF99" i="1"/>
  <c r="CE99" i="1"/>
  <c r="CB99" i="1"/>
  <c r="CA99" i="1"/>
  <c r="BX99" i="1"/>
  <c r="BW99" i="1"/>
  <c r="BT99" i="1"/>
  <c r="BS99" i="1"/>
  <c r="BP99" i="1"/>
  <c r="BO99" i="1"/>
  <c r="BL99" i="1"/>
  <c r="BK99" i="1"/>
  <c r="AZ99" i="1"/>
  <c r="AY99" i="1"/>
  <c r="AV99" i="1"/>
  <c r="AU99" i="1"/>
  <c r="AR99" i="1"/>
  <c r="AQ99" i="1"/>
  <c r="AN99" i="1"/>
  <c r="AM99" i="1"/>
  <c r="AJ99" i="1"/>
  <c r="AI99" i="1"/>
  <c r="AF99" i="1"/>
  <c r="AE99" i="1"/>
  <c r="AB99" i="1"/>
  <c r="AA99" i="1"/>
  <c r="X99" i="1"/>
  <c r="W99" i="1"/>
  <c r="T99" i="1"/>
  <c r="S99" i="1"/>
  <c r="P99" i="1"/>
  <c r="O99" i="1"/>
  <c r="L99" i="1"/>
  <c r="K99" i="1"/>
  <c r="H99" i="1"/>
  <c r="G99" i="1"/>
  <c r="D99" i="1"/>
  <c r="C99" i="1"/>
  <c r="CZ98" i="1"/>
  <c r="CY98" i="1"/>
  <c r="CV98" i="1"/>
  <c r="CU98" i="1"/>
  <c r="CR98" i="1"/>
  <c r="CQ98" i="1"/>
  <c r="CN98" i="1"/>
  <c r="CM98" i="1"/>
  <c r="CJ98" i="1"/>
  <c r="CI98" i="1"/>
  <c r="CF98" i="1"/>
  <c r="CE98" i="1"/>
  <c r="CB98" i="1"/>
  <c r="CA98" i="1"/>
  <c r="BX98" i="1"/>
  <c r="BW98" i="1"/>
  <c r="BT98" i="1"/>
  <c r="BS98" i="1"/>
  <c r="BP98" i="1"/>
  <c r="BO98" i="1"/>
  <c r="BL98" i="1"/>
  <c r="BK98" i="1"/>
  <c r="AZ98" i="1"/>
  <c r="AY98" i="1"/>
  <c r="AV98" i="1"/>
  <c r="AU98" i="1"/>
  <c r="AR98" i="1"/>
  <c r="AQ98" i="1"/>
  <c r="AN98" i="1"/>
  <c r="AM98" i="1"/>
  <c r="AJ98" i="1"/>
  <c r="AI98" i="1"/>
  <c r="AF98" i="1"/>
  <c r="AE98" i="1"/>
  <c r="AB98" i="1"/>
  <c r="AA98" i="1"/>
  <c r="X98" i="1"/>
  <c r="W98" i="1"/>
  <c r="T98" i="1"/>
  <c r="S98" i="1"/>
  <c r="P98" i="1"/>
  <c r="O98" i="1"/>
  <c r="L98" i="1"/>
  <c r="K98" i="1"/>
  <c r="H98" i="1"/>
  <c r="G98" i="1"/>
  <c r="D98" i="1"/>
  <c r="C98" i="1"/>
  <c r="CZ96" i="1"/>
  <c r="CY96" i="1"/>
  <c r="CV96" i="1"/>
  <c r="CU96" i="1"/>
  <c r="CR96" i="1"/>
  <c r="CQ96" i="1"/>
  <c r="CN96" i="1"/>
  <c r="CM96" i="1"/>
  <c r="CJ96" i="1"/>
  <c r="CI96" i="1"/>
  <c r="CF96" i="1"/>
  <c r="CE96" i="1"/>
  <c r="CB96" i="1"/>
  <c r="CA96" i="1"/>
  <c r="BX96" i="1"/>
  <c r="BW96" i="1"/>
  <c r="BT96" i="1"/>
  <c r="BS96" i="1"/>
  <c r="BP96" i="1"/>
  <c r="BO96" i="1"/>
  <c r="BL96" i="1"/>
  <c r="BK96" i="1"/>
  <c r="AZ96" i="1"/>
  <c r="AY96" i="1"/>
  <c r="AV96" i="1"/>
  <c r="AU96" i="1"/>
  <c r="AR96" i="1"/>
  <c r="AQ96" i="1"/>
  <c r="AN96" i="1"/>
  <c r="AM96" i="1"/>
  <c r="AJ96" i="1"/>
  <c r="AI96" i="1"/>
  <c r="AF96" i="1"/>
  <c r="AE96" i="1"/>
  <c r="AB96" i="1"/>
  <c r="AA96" i="1"/>
  <c r="X96" i="1"/>
  <c r="W96" i="1"/>
  <c r="T96" i="1"/>
  <c r="S96" i="1"/>
  <c r="P96" i="1"/>
  <c r="O96" i="1"/>
  <c r="L96" i="1"/>
  <c r="K96" i="1"/>
  <c r="H96" i="1"/>
  <c r="G96" i="1"/>
  <c r="D96" i="1"/>
  <c r="C96" i="1"/>
  <c r="CZ95" i="1"/>
  <c r="CY95" i="1"/>
  <c r="CV95" i="1"/>
  <c r="CU95" i="1"/>
  <c r="CR95" i="1"/>
  <c r="CQ95" i="1"/>
  <c r="CN95" i="1"/>
  <c r="CM95" i="1"/>
  <c r="CJ95" i="1"/>
  <c r="CI95" i="1"/>
  <c r="CF95" i="1"/>
  <c r="CE95" i="1"/>
  <c r="CB95" i="1"/>
  <c r="CA95" i="1"/>
  <c r="BX95" i="1"/>
  <c r="BW95" i="1"/>
  <c r="BT95" i="1"/>
  <c r="BS95" i="1"/>
  <c r="BP95" i="1"/>
  <c r="BO95" i="1"/>
  <c r="BL95" i="1"/>
  <c r="BK95" i="1"/>
  <c r="AZ95" i="1"/>
  <c r="AY95" i="1"/>
  <c r="AV95" i="1"/>
  <c r="AU95" i="1"/>
  <c r="AR95" i="1"/>
  <c r="AQ95" i="1"/>
  <c r="AN95" i="1"/>
  <c r="AM95" i="1"/>
  <c r="AJ95" i="1"/>
  <c r="AI95" i="1"/>
  <c r="AF95" i="1"/>
  <c r="AE95" i="1"/>
  <c r="AB95" i="1"/>
  <c r="AA95" i="1"/>
  <c r="X95" i="1"/>
  <c r="W95" i="1"/>
  <c r="T95" i="1"/>
  <c r="S95" i="1"/>
  <c r="P95" i="1"/>
  <c r="O95" i="1"/>
  <c r="L95" i="1"/>
  <c r="K95" i="1"/>
  <c r="H95" i="1"/>
  <c r="G95" i="1"/>
  <c r="D95" i="1"/>
  <c r="C95" i="1"/>
  <c r="CZ94" i="1"/>
  <c r="CY94" i="1"/>
  <c r="CV94" i="1"/>
  <c r="CU94" i="1"/>
  <c r="CR94" i="1"/>
  <c r="CQ94" i="1"/>
  <c r="CN94" i="1"/>
  <c r="CM94" i="1"/>
  <c r="CJ94" i="1"/>
  <c r="CI94" i="1"/>
  <c r="CF94" i="1"/>
  <c r="CE94" i="1"/>
  <c r="CB94" i="1"/>
  <c r="CA94" i="1"/>
  <c r="BX94" i="1"/>
  <c r="BW94" i="1"/>
  <c r="BT94" i="1"/>
  <c r="BS94" i="1"/>
  <c r="BP94" i="1"/>
  <c r="BO94" i="1"/>
  <c r="BL94" i="1"/>
  <c r="BK94" i="1"/>
  <c r="AZ94" i="1"/>
  <c r="AY94" i="1"/>
  <c r="AV94" i="1"/>
  <c r="AU94" i="1"/>
  <c r="AR94" i="1"/>
  <c r="AQ94" i="1"/>
  <c r="AN94" i="1"/>
  <c r="AM94" i="1"/>
  <c r="AJ94" i="1"/>
  <c r="AI94" i="1"/>
  <c r="AF94" i="1"/>
  <c r="AE94" i="1"/>
  <c r="AB94" i="1"/>
  <c r="AA94" i="1"/>
  <c r="X94" i="1"/>
  <c r="W94" i="1"/>
  <c r="T94" i="1"/>
  <c r="S94" i="1"/>
  <c r="P94" i="1"/>
  <c r="O94" i="1"/>
  <c r="L94" i="1"/>
  <c r="K94" i="1"/>
  <c r="H94" i="1"/>
  <c r="G94" i="1"/>
  <c r="D94" i="1"/>
  <c r="C94" i="1"/>
  <c r="CZ93" i="1"/>
  <c r="CY93" i="1"/>
  <c r="CV93" i="1"/>
  <c r="CU93" i="1"/>
  <c r="CR93" i="1"/>
  <c r="CQ93" i="1"/>
  <c r="CN93" i="1"/>
  <c r="CM93" i="1"/>
  <c r="CJ93" i="1"/>
  <c r="CI93" i="1"/>
  <c r="CF93" i="1"/>
  <c r="CE93" i="1"/>
  <c r="CB93" i="1"/>
  <c r="CA93" i="1"/>
  <c r="BX93" i="1"/>
  <c r="BW93" i="1"/>
  <c r="BT93" i="1"/>
  <c r="BS93" i="1"/>
  <c r="BP93" i="1"/>
  <c r="BO93" i="1"/>
  <c r="BL93" i="1"/>
  <c r="BK93" i="1"/>
  <c r="AZ93" i="1"/>
  <c r="AY93" i="1"/>
  <c r="AV93" i="1"/>
  <c r="AU93" i="1"/>
  <c r="AR93" i="1"/>
  <c r="AQ93" i="1"/>
  <c r="AN93" i="1"/>
  <c r="AM93" i="1"/>
  <c r="AJ93" i="1"/>
  <c r="AI93" i="1"/>
  <c r="AF93" i="1"/>
  <c r="AE93" i="1"/>
  <c r="AB93" i="1"/>
  <c r="AA93" i="1"/>
  <c r="X93" i="1"/>
  <c r="W93" i="1"/>
  <c r="T93" i="1"/>
  <c r="S93" i="1"/>
  <c r="P93" i="1"/>
  <c r="O93" i="1"/>
  <c r="L93" i="1"/>
  <c r="K93" i="1"/>
  <c r="H93" i="1"/>
  <c r="G93" i="1"/>
  <c r="D93" i="1"/>
  <c r="C93" i="1"/>
  <c r="CZ91" i="1"/>
  <c r="CY91" i="1"/>
  <c r="CV91" i="1"/>
  <c r="CU91" i="1"/>
  <c r="CR91" i="1"/>
  <c r="CQ91" i="1"/>
  <c r="CN91" i="1"/>
  <c r="CM91" i="1"/>
  <c r="CJ91" i="1"/>
  <c r="CI91" i="1"/>
  <c r="CF91" i="1"/>
  <c r="CE91" i="1"/>
  <c r="CB91" i="1"/>
  <c r="CA91" i="1"/>
  <c r="BX91" i="1"/>
  <c r="BW91" i="1"/>
  <c r="BT91" i="1"/>
  <c r="BS91" i="1"/>
  <c r="BP91" i="1"/>
  <c r="BO91" i="1"/>
  <c r="BL91" i="1"/>
  <c r="BK91" i="1"/>
  <c r="AZ91" i="1"/>
  <c r="AY91" i="1"/>
  <c r="AV91" i="1"/>
  <c r="AU91" i="1"/>
  <c r="AR91" i="1"/>
  <c r="AQ91" i="1"/>
  <c r="AN91" i="1"/>
  <c r="AM91" i="1"/>
  <c r="AJ91" i="1"/>
  <c r="AI91" i="1"/>
  <c r="AF91" i="1"/>
  <c r="AE91" i="1"/>
  <c r="AB91" i="1"/>
  <c r="AA91" i="1"/>
  <c r="X91" i="1"/>
  <c r="W91" i="1"/>
  <c r="T91" i="1"/>
  <c r="S91" i="1"/>
  <c r="P91" i="1"/>
  <c r="O91" i="1"/>
  <c r="L91" i="1"/>
  <c r="K91" i="1"/>
  <c r="H91" i="1"/>
  <c r="G91" i="1"/>
  <c r="D91" i="1"/>
  <c r="C91" i="1"/>
  <c r="CZ90" i="1"/>
  <c r="CY90" i="1"/>
  <c r="CV90" i="1"/>
  <c r="CU90" i="1"/>
  <c r="CR90" i="1"/>
  <c r="CQ90" i="1"/>
  <c r="CN90" i="1"/>
  <c r="CM90" i="1"/>
  <c r="CJ90" i="1"/>
  <c r="CI90" i="1"/>
  <c r="CF90" i="1"/>
  <c r="CE90" i="1"/>
  <c r="CB90" i="1"/>
  <c r="CA90" i="1"/>
  <c r="BX90" i="1"/>
  <c r="BW90" i="1"/>
  <c r="BT90" i="1"/>
  <c r="BS90" i="1"/>
  <c r="BP90" i="1"/>
  <c r="BO90" i="1"/>
  <c r="BL90" i="1"/>
  <c r="BK90" i="1"/>
  <c r="AZ90" i="1"/>
  <c r="AY90" i="1"/>
  <c r="AV90" i="1"/>
  <c r="AU90" i="1"/>
  <c r="AR90" i="1"/>
  <c r="AQ90" i="1"/>
  <c r="AN90" i="1"/>
  <c r="AM90" i="1"/>
  <c r="AJ90" i="1"/>
  <c r="AI90" i="1"/>
  <c r="AF90" i="1"/>
  <c r="AE90" i="1"/>
  <c r="AB90" i="1"/>
  <c r="AA90" i="1"/>
  <c r="X90" i="1"/>
  <c r="W90" i="1"/>
  <c r="T90" i="1"/>
  <c r="S90" i="1"/>
  <c r="P90" i="1"/>
  <c r="O90" i="1"/>
  <c r="L90" i="1"/>
  <c r="K90" i="1"/>
  <c r="H90" i="1"/>
  <c r="G90" i="1"/>
  <c r="D90" i="1"/>
  <c r="C90" i="1"/>
  <c r="CZ89" i="1"/>
  <c r="CY89" i="1"/>
  <c r="CV89" i="1"/>
  <c r="CU89" i="1"/>
  <c r="CR89" i="1"/>
  <c r="CQ89" i="1"/>
  <c r="CN89" i="1"/>
  <c r="CM89" i="1"/>
  <c r="CJ89" i="1"/>
  <c r="CI89" i="1"/>
  <c r="CF89" i="1"/>
  <c r="CE89" i="1"/>
  <c r="CB89" i="1"/>
  <c r="CA89" i="1"/>
  <c r="BX89" i="1"/>
  <c r="BW89" i="1"/>
  <c r="BT89" i="1"/>
  <c r="BS89" i="1"/>
  <c r="BP89" i="1"/>
  <c r="BO89" i="1"/>
  <c r="BL89" i="1"/>
  <c r="BK89" i="1"/>
  <c r="AZ89" i="1"/>
  <c r="AY89" i="1"/>
  <c r="AV89" i="1"/>
  <c r="AU89" i="1"/>
  <c r="AR89" i="1"/>
  <c r="AQ89" i="1"/>
  <c r="AN89" i="1"/>
  <c r="AM89" i="1"/>
  <c r="AJ89" i="1"/>
  <c r="AI89" i="1"/>
  <c r="AF89" i="1"/>
  <c r="AE89" i="1"/>
  <c r="AB89" i="1"/>
  <c r="AA89" i="1"/>
  <c r="X89" i="1"/>
  <c r="W89" i="1"/>
  <c r="T89" i="1"/>
  <c r="S89" i="1"/>
  <c r="P89" i="1"/>
  <c r="O89" i="1"/>
  <c r="L89" i="1"/>
  <c r="K89" i="1"/>
  <c r="H89" i="1"/>
  <c r="G89" i="1"/>
  <c r="D89" i="1"/>
  <c r="C89" i="1"/>
  <c r="CZ88" i="1"/>
  <c r="CY88" i="1"/>
  <c r="CV88" i="1"/>
  <c r="CU88" i="1"/>
  <c r="CR88" i="1"/>
  <c r="CQ88" i="1"/>
  <c r="CN88" i="1"/>
  <c r="CM88" i="1"/>
  <c r="CJ88" i="1"/>
  <c r="CI88" i="1"/>
  <c r="CF88" i="1"/>
  <c r="CE88" i="1"/>
  <c r="CB88" i="1"/>
  <c r="CA88" i="1"/>
  <c r="BX88" i="1"/>
  <c r="BW88" i="1"/>
  <c r="BT88" i="1"/>
  <c r="BS88" i="1"/>
  <c r="BP88" i="1"/>
  <c r="BO88" i="1"/>
  <c r="BL88" i="1"/>
  <c r="BK88" i="1"/>
  <c r="AZ88" i="1"/>
  <c r="AY88" i="1"/>
  <c r="AV88" i="1"/>
  <c r="AU88" i="1"/>
  <c r="AR88" i="1"/>
  <c r="AQ88" i="1"/>
  <c r="AN88" i="1"/>
  <c r="AM88" i="1"/>
  <c r="AJ88" i="1"/>
  <c r="AI88" i="1"/>
  <c r="AF88" i="1"/>
  <c r="AE88" i="1"/>
  <c r="AB88" i="1"/>
  <c r="AA88" i="1"/>
  <c r="X88" i="1"/>
  <c r="W88" i="1"/>
  <c r="T88" i="1"/>
  <c r="S88" i="1"/>
  <c r="P88" i="1"/>
  <c r="O88" i="1"/>
  <c r="L88" i="1"/>
  <c r="K88" i="1"/>
  <c r="H88" i="1"/>
  <c r="G88" i="1"/>
  <c r="D88" i="1"/>
  <c r="C88" i="1"/>
  <c r="CZ86" i="1"/>
  <c r="CY86" i="1"/>
  <c r="CV86" i="1"/>
  <c r="CU86" i="1"/>
  <c r="CR86" i="1"/>
  <c r="CQ86" i="1"/>
  <c r="CN86" i="1"/>
  <c r="CM86" i="1"/>
  <c r="CJ86" i="1"/>
  <c r="CI86" i="1"/>
  <c r="CF86" i="1"/>
  <c r="CE86" i="1"/>
  <c r="CB86" i="1"/>
  <c r="CA86" i="1"/>
  <c r="BX86" i="1"/>
  <c r="BW86" i="1"/>
  <c r="BT86" i="1"/>
  <c r="BS86" i="1"/>
  <c r="BP86" i="1"/>
  <c r="BO86" i="1"/>
  <c r="BL86" i="1"/>
  <c r="BK86" i="1"/>
  <c r="AZ86" i="1"/>
  <c r="AY86" i="1"/>
  <c r="AV86" i="1"/>
  <c r="AU86" i="1"/>
  <c r="AR86" i="1"/>
  <c r="AQ86" i="1"/>
  <c r="AN86" i="1"/>
  <c r="AM86" i="1"/>
  <c r="AJ86" i="1"/>
  <c r="AI86" i="1"/>
  <c r="AF86" i="1"/>
  <c r="AE86" i="1"/>
  <c r="AB86" i="1"/>
  <c r="AA86" i="1"/>
  <c r="X86" i="1"/>
  <c r="W86" i="1"/>
  <c r="T86" i="1"/>
  <c r="S86" i="1"/>
  <c r="P86" i="1"/>
  <c r="O86" i="1"/>
  <c r="L86" i="1"/>
  <c r="K86" i="1"/>
  <c r="H86" i="1"/>
  <c r="G86" i="1"/>
  <c r="D86" i="1"/>
  <c r="C86" i="1"/>
  <c r="CZ85" i="1"/>
  <c r="CY85" i="1"/>
  <c r="CV85" i="1"/>
  <c r="CU85" i="1"/>
  <c r="CR85" i="1"/>
  <c r="CQ85" i="1"/>
  <c r="CN85" i="1"/>
  <c r="CM85" i="1"/>
  <c r="CJ85" i="1"/>
  <c r="CI85" i="1"/>
  <c r="CF85" i="1"/>
  <c r="CE85" i="1"/>
  <c r="CB85" i="1"/>
  <c r="CA85" i="1"/>
  <c r="BX85" i="1"/>
  <c r="BW85" i="1"/>
  <c r="BT85" i="1"/>
  <c r="BS85" i="1"/>
  <c r="BP85" i="1"/>
  <c r="BO85" i="1"/>
  <c r="BL85" i="1"/>
  <c r="BK85" i="1"/>
  <c r="AZ85" i="1"/>
  <c r="AY85" i="1"/>
  <c r="AV85" i="1"/>
  <c r="AU85" i="1"/>
  <c r="AR85" i="1"/>
  <c r="AQ85" i="1"/>
  <c r="AN85" i="1"/>
  <c r="AM85" i="1"/>
  <c r="AJ85" i="1"/>
  <c r="AI85" i="1"/>
  <c r="AF85" i="1"/>
  <c r="AE85" i="1"/>
  <c r="AB85" i="1"/>
  <c r="AA85" i="1"/>
  <c r="X85" i="1"/>
  <c r="W85" i="1"/>
  <c r="T85" i="1"/>
  <c r="S85" i="1"/>
  <c r="P85" i="1"/>
  <c r="O85" i="1"/>
  <c r="L85" i="1"/>
  <c r="K85" i="1"/>
  <c r="H85" i="1"/>
  <c r="G85" i="1"/>
  <c r="D85" i="1"/>
  <c r="C85" i="1"/>
  <c r="CZ84" i="1"/>
  <c r="CY84" i="1"/>
  <c r="CV84" i="1"/>
  <c r="CU84" i="1"/>
  <c r="CR84" i="1"/>
  <c r="CQ84" i="1"/>
  <c r="CN84" i="1"/>
  <c r="CM84" i="1"/>
  <c r="CJ84" i="1"/>
  <c r="CI84" i="1"/>
  <c r="CF84" i="1"/>
  <c r="CE84" i="1"/>
  <c r="CB84" i="1"/>
  <c r="CA84" i="1"/>
  <c r="BX84" i="1"/>
  <c r="BW84" i="1"/>
  <c r="BT84" i="1"/>
  <c r="BS84" i="1"/>
  <c r="BP84" i="1"/>
  <c r="BO84" i="1"/>
  <c r="BL84" i="1"/>
  <c r="BK84" i="1"/>
  <c r="AZ84" i="1"/>
  <c r="AY84" i="1"/>
  <c r="AV84" i="1"/>
  <c r="AU84" i="1"/>
  <c r="AR84" i="1"/>
  <c r="AQ84" i="1"/>
  <c r="AN84" i="1"/>
  <c r="AM84" i="1"/>
  <c r="AJ84" i="1"/>
  <c r="AI84" i="1"/>
  <c r="AF84" i="1"/>
  <c r="AE84" i="1"/>
  <c r="AB84" i="1"/>
  <c r="AA84" i="1"/>
  <c r="X84" i="1"/>
  <c r="W84" i="1"/>
  <c r="T84" i="1"/>
  <c r="S84" i="1"/>
  <c r="P84" i="1"/>
  <c r="O84" i="1"/>
  <c r="L84" i="1"/>
  <c r="K84" i="1"/>
  <c r="H84" i="1"/>
  <c r="G84" i="1"/>
  <c r="D84" i="1"/>
  <c r="C84" i="1"/>
  <c r="CZ83" i="1"/>
  <c r="CY83" i="1"/>
  <c r="CV83" i="1"/>
  <c r="CU83" i="1"/>
  <c r="CR83" i="1"/>
  <c r="CQ83" i="1"/>
  <c r="CN83" i="1"/>
  <c r="CM83" i="1"/>
  <c r="CJ83" i="1"/>
  <c r="CI83" i="1"/>
  <c r="CF83" i="1"/>
  <c r="CE83" i="1"/>
  <c r="CB83" i="1"/>
  <c r="CA83" i="1"/>
  <c r="BX83" i="1"/>
  <c r="BW83" i="1"/>
  <c r="BT83" i="1"/>
  <c r="BS83" i="1"/>
  <c r="BP83" i="1"/>
  <c r="BO83" i="1"/>
  <c r="BL83" i="1"/>
  <c r="BK83" i="1"/>
  <c r="AZ83" i="1"/>
  <c r="AY83" i="1"/>
  <c r="AV83" i="1"/>
  <c r="AU83" i="1"/>
  <c r="AR83" i="1"/>
  <c r="AQ83" i="1"/>
  <c r="AN83" i="1"/>
  <c r="AM83" i="1"/>
  <c r="AJ83" i="1"/>
  <c r="AI83" i="1"/>
  <c r="AF83" i="1"/>
  <c r="AE83" i="1"/>
  <c r="AB83" i="1"/>
  <c r="AA83" i="1"/>
  <c r="X83" i="1"/>
  <c r="W83" i="1"/>
  <c r="T83" i="1"/>
  <c r="S83" i="1"/>
  <c r="P83" i="1"/>
  <c r="O83" i="1"/>
  <c r="L83" i="1"/>
  <c r="K83" i="1"/>
  <c r="H83" i="1"/>
  <c r="G83" i="1"/>
  <c r="D83" i="1"/>
  <c r="C83" i="1"/>
  <c r="CZ81" i="1"/>
  <c r="CY81" i="1"/>
  <c r="CV81" i="1"/>
  <c r="CU81" i="1"/>
  <c r="CR81" i="1"/>
  <c r="CQ81" i="1"/>
  <c r="CN81" i="1"/>
  <c r="CM81" i="1"/>
  <c r="CJ81" i="1"/>
  <c r="CI81" i="1"/>
  <c r="CF81" i="1"/>
  <c r="CE81" i="1"/>
  <c r="CB81" i="1"/>
  <c r="CA81" i="1"/>
  <c r="BX81" i="1"/>
  <c r="BW81" i="1"/>
  <c r="BT81" i="1"/>
  <c r="BS81" i="1"/>
  <c r="BP81" i="1"/>
  <c r="BO81" i="1"/>
  <c r="BL81" i="1"/>
  <c r="BK81" i="1"/>
  <c r="AZ81" i="1"/>
  <c r="AY81" i="1"/>
  <c r="AV81" i="1"/>
  <c r="AU81" i="1"/>
  <c r="AR81" i="1"/>
  <c r="AQ81" i="1"/>
  <c r="AN81" i="1"/>
  <c r="AM81" i="1"/>
  <c r="AJ81" i="1"/>
  <c r="AI81" i="1"/>
  <c r="AF81" i="1"/>
  <c r="AE81" i="1"/>
  <c r="AB81" i="1"/>
  <c r="AA81" i="1"/>
  <c r="X81" i="1"/>
  <c r="W81" i="1"/>
  <c r="T81" i="1"/>
  <c r="S81" i="1"/>
  <c r="P81" i="1"/>
  <c r="O81" i="1"/>
  <c r="L81" i="1"/>
  <c r="K81" i="1"/>
  <c r="H81" i="1"/>
  <c r="G81" i="1"/>
  <c r="D81" i="1"/>
  <c r="C81" i="1"/>
  <c r="CZ80" i="1"/>
  <c r="CY80" i="1"/>
  <c r="CV80" i="1"/>
  <c r="CU80" i="1"/>
  <c r="CR80" i="1"/>
  <c r="CQ80" i="1"/>
  <c r="CN80" i="1"/>
  <c r="CM80" i="1"/>
  <c r="CJ80" i="1"/>
  <c r="CI80" i="1"/>
  <c r="CF80" i="1"/>
  <c r="CE80" i="1"/>
  <c r="CB80" i="1"/>
  <c r="CA80" i="1"/>
  <c r="BX80" i="1"/>
  <c r="BW80" i="1"/>
  <c r="BT80" i="1"/>
  <c r="BS80" i="1"/>
  <c r="BP80" i="1"/>
  <c r="BO80" i="1"/>
  <c r="BL80" i="1"/>
  <c r="BK80" i="1"/>
  <c r="AZ80" i="1"/>
  <c r="AY80" i="1"/>
  <c r="AV80" i="1"/>
  <c r="AU80" i="1"/>
  <c r="AR80" i="1"/>
  <c r="AQ80" i="1"/>
  <c r="AN80" i="1"/>
  <c r="AM80" i="1"/>
  <c r="AJ80" i="1"/>
  <c r="AI80" i="1"/>
  <c r="AF80" i="1"/>
  <c r="AE80" i="1"/>
  <c r="AB80" i="1"/>
  <c r="AA80" i="1"/>
  <c r="X80" i="1"/>
  <c r="W80" i="1"/>
  <c r="T80" i="1"/>
  <c r="S80" i="1"/>
  <c r="P80" i="1"/>
  <c r="O80" i="1"/>
  <c r="L80" i="1"/>
  <c r="K80" i="1"/>
  <c r="H80" i="1"/>
  <c r="G80" i="1"/>
  <c r="D80" i="1"/>
  <c r="C80" i="1"/>
  <c r="CZ79" i="1"/>
  <c r="CY79" i="1"/>
  <c r="CV79" i="1"/>
  <c r="CU79" i="1"/>
  <c r="CR79" i="1"/>
  <c r="CQ79" i="1"/>
  <c r="CN79" i="1"/>
  <c r="CM79" i="1"/>
  <c r="CJ79" i="1"/>
  <c r="CI79" i="1"/>
  <c r="CF79" i="1"/>
  <c r="CE79" i="1"/>
  <c r="CB79" i="1"/>
  <c r="CA79" i="1"/>
  <c r="BX79" i="1"/>
  <c r="BW79" i="1"/>
  <c r="BT79" i="1"/>
  <c r="BS79" i="1"/>
  <c r="BP79" i="1"/>
  <c r="BO79" i="1"/>
  <c r="BL79" i="1"/>
  <c r="BK79" i="1"/>
  <c r="AZ79" i="1"/>
  <c r="AY79" i="1"/>
  <c r="AV79" i="1"/>
  <c r="AU79" i="1"/>
  <c r="AR79" i="1"/>
  <c r="AQ79" i="1"/>
  <c r="AN79" i="1"/>
  <c r="AM79" i="1"/>
  <c r="AJ79" i="1"/>
  <c r="AI79" i="1"/>
  <c r="AF79" i="1"/>
  <c r="AE79" i="1"/>
  <c r="AB79" i="1"/>
  <c r="AA79" i="1"/>
  <c r="X79" i="1"/>
  <c r="W79" i="1"/>
  <c r="T79" i="1"/>
  <c r="S79" i="1"/>
  <c r="P79" i="1"/>
  <c r="O79" i="1"/>
  <c r="L79" i="1"/>
  <c r="K79" i="1"/>
  <c r="H79" i="1"/>
  <c r="G79" i="1"/>
  <c r="D79" i="1"/>
  <c r="C79" i="1"/>
  <c r="CZ78" i="1"/>
  <c r="CY78" i="1"/>
  <c r="CV78" i="1"/>
  <c r="CU78" i="1"/>
  <c r="CR78" i="1"/>
  <c r="CQ78" i="1"/>
  <c r="CN78" i="1"/>
  <c r="CM78" i="1"/>
  <c r="CJ78" i="1"/>
  <c r="CI78" i="1"/>
  <c r="CF78" i="1"/>
  <c r="CE78" i="1"/>
  <c r="CB78" i="1"/>
  <c r="CA78" i="1"/>
  <c r="BX78" i="1"/>
  <c r="BW78" i="1"/>
  <c r="BT78" i="1"/>
  <c r="BS78" i="1"/>
  <c r="BP78" i="1"/>
  <c r="BO78" i="1"/>
  <c r="BL78" i="1"/>
  <c r="BK78" i="1"/>
  <c r="AZ78" i="1"/>
  <c r="AY78" i="1"/>
  <c r="AV78" i="1"/>
  <c r="AU78" i="1"/>
  <c r="AR78" i="1"/>
  <c r="AQ78" i="1"/>
  <c r="AN78" i="1"/>
  <c r="AM78" i="1"/>
  <c r="AJ78" i="1"/>
  <c r="AI78" i="1"/>
  <c r="AF78" i="1"/>
  <c r="AE78" i="1"/>
  <c r="AB78" i="1"/>
  <c r="AA78" i="1"/>
  <c r="X78" i="1"/>
  <c r="W78" i="1"/>
  <c r="T78" i="1"/>
  <c r="S78" i="1"/>
  <c r="P78" i="1"/>
  <c r="O78" i="1"/>
  <c r="L78" i="1"/>
  <c r="K78" i="1"/>
  <c r="H78" i="1"/>
  <c r="G78" i="1"/>
  <c r="D78" i="1"/>
  <c r="C78" i="1"/>
  <c r="CZ76" i="1"/>
  <c r="CY76" i="1"/>
  <c r="CV76" i="1"/>
  <c r="CU76" i="1"/>
  <c r="CR76" i="1"/>
  <c r="CQ76" i="1"/>
  <c r="CN76" i="1"/>
  <c r="CM76" i="1"/>
  <c r="CJ76" i="1"/>
  <c r="CI76" i="1"/>
  <c r="CF76" i="1"/>
  <c r="CE76" i="1"/>
  <c r="CB76" i="1"/>
  <c r="CA76" i="1"/>
  <c r="BX76" i="1"/>
  <c r="BW76" i="1"/>
  <c r="BT76" i="1"/>
  <c r="BS76" i="1"/>
  <c r="BP76" i="1"/>
  <c r="BO76" i="1"/>
  <c r="BL76" i="1"/>
  <c r="BK76" i="1"/>
  <c r="AZ76" i="1"/>
  <c r="AY76" i="1"/>
  <c r="AV76" i="1"/>
  <c r="AU76" i="1"/>
  <c r="AR76" i="1"/>
  <c r="AQ76" i="1"/>
  <c r="AN76" i="1"/>
  <c r="AM76" i="1"/>
  <c r="AJ76" i="1"/>
  <c r="AI76" i="1"/>
  <c r="AF76" i="1"/>
  <c r="AE76" i="1"/>
  <c r="AB76" i="1"/>
  <c r="AA76" i="1"/>
  <c r="X76" i="1"/>
  <c r="W76" i="1"/>
  <c r="T76" i="1"/>
  <c r="S76" i="1"/>
  <c r="P76" i="1"/>
  <c r="O76" i="1"/>
  <c r="L76" i="1"/>
  <c r="K76" i="1"/>
  <c r="H76" i="1"/>
  <c r="G76" i="1"/>
  <c r="D76" i="1"/>
  <c r="C76" i="1"/>
  <c r="CZ75" i="1"/>
  <c r="CY75" i="1"/>
  <c r="CV75" i="1"/>
  <c r="CU75" i="1"/>
  <c r="CR75" i="1"/>
  <c r="CQ75" i="1"/>
  <c r="CN75" i="1"/>
  <c r="CM75" i="1"/>
  <c r="CJ75" i="1"/>
  <c r="CI75" i="1"/>
  <c r="CF75" i="1"/>
  <c r="CE75" i="1"/>
  <c r="CB75" i="1"/>
  <c r="CA75" i="1"/>
  <c r="BX75" i="1"/>
  <c r="BW75" i="1"/>
  <c r="BT75" i="1"/>
  <c r="BS75" i="1"/>
  <c r="BP75" i="1"/>
  <c r="BO75" i="1"/>
  <c r="BL75" i="1"/>
  <c r="BK75" i="1"/>
  <c r="AZ75" i="1"/>
  <c r="AY75" i="1"/>
  <c r="AV75" i="1"/>
  <c r="AU75" i="1"/>
  <c r="AR75" i="1"/>
  <c r="AQ75" i="1"/>
  <c r="AN75" i="1"/>
  <c r="AM75" i="1"/>
  <c r="AJ75" i="1"/>
  <c r="AI75" i="1"/>
  <c r="AF75" i="1"/>
  <c r="AE75" i="1"/>
  <c r="AB75" i="1"/>
  <c r="AA75" i="1"/>
  <c r="X75" i="1"/>
  <c r="W75" i="1"/>
  <c r="T75" i="1"/>
  <c r="S75" i="1"/>
  <c r="P75" i="1"/>
  <c r="O75" i="1"/>
  <c r="L75" i="1"/>
  <c r="K75" i="1"/>
  <c r="H75" i="1"/>
  <c r="G75" i="1"/>
  <c r="D75" i="1"/>
  <c r="C75" i="1"/>
  <c r="CZ74" i="1"/>
  <c r="CY74" i="1"/>
  <c r="CV74" i="1"/>
  <c r="CU74" i="1"/>
  <c r="CR74" i="1"/>
  <c r="CQ74" i="1"/>
  <c r="CN74" i="1"/>
  <c r="CM74" i="1"/>
  <c r="CJ74" i="1"/>
  <c r="CI74" i="1"/>
  <c r="CF74" i="1"/>
  <c r="CE74" i="1"/>
  <c r="CB74" i="1"/>
  <c r="CA74" i="1"/>
  <c r="BX74" i="1"/>
  <c r="BW74" i="1"/>
  <c r="BT74" i="1"/>
  <c r="BS74" i="1"/>
  <c r="BP74" i="1"/>
  <c r="BO74" i="1"/>
  <c r="BL74" i="1"/>
  <c r="BK74" i="1"/>
  <c r="AZ74" i="1"/>
  <c r="AY74" i="1"/>
  <c r="AV74" i="1"/>
  <c r="AU74" i="1"/>
  <c r="AR74" i="1"/>
  <c r="AQ74" i="1"/>
  <c r="AN74" i="1"/>
  <c r="AM74" i="1"/>
  <c r="AJ74" i="1"/>
  <c r="AI74" i="1"/>
  <c r="AF74" i="1"/>
  <c r="AE74" i="1"/>
  <c r="AB74" i="1"/>
  <c r="AA74" i="1"/>
  <c r="X74" i="1"/>
  <c r="W74" i="1"/>
  <c r="T74" i="1"/>
  <c r="S74" i="1"/>
  <c r="P74" i="1"/>
  <c r="O74" i="1"/>
  <c r="L74" i="1"/>
  <c r="K74" i="1"/>
  <c r="H74" i="1"/>
  <c r="G74" i="1"/>
  <c r="D74" i="1"/>
  <c r="C74" i="1"/>
  <c r="CZ73" i="1"/>
  <c r="CY73" i="1"/>
  <c r="CV73" i="1"/>
  <c r="CU73" i="1"/>
  <c r="CR73" i="1"/>
  <c r="CQ73" i="1"/>
  <c r="CN73" i="1"/>
  <c r="CM73" i="1"/>
  <c r="CJ73" i="1"/>
  <c r="CI73" i="1"/>
  <c r="CF73" i="1"/>
  <c r="CE73" i="1"/>
  <c r="CB73" i="1"/>
  <c r="CA73" i="1"/>
  <c r="BX73" i="1"/>
  <c r="BW73" i="1"/>
  <c r="BT73" i="1"/>
  <c r="BS73" i="1"/>
  <c r="BP73" i="1"/>
  <c r="BO73" i="1"/>
  <c r="BL73" i="1"/>
  <c r="BK73" i="1"/>
  <c r="AZ73" i="1"/>
  <c r="AY73" i="1"/>
  <c r="AV73" i="1"/>
  <c r="AU73" i="1"/>
  <c r="AR73" i="1"/>
  <c r="AQ73" i="1"/>
  <c r="AN73" i="1"/>
  <c r="AM73" i="1"/>
  <c r="AJ73" i="1"/>
  <c r="AI73" i="1"/>
  <c r="AF73" i="1"/>
  <c r="AE73" i="1"/>
  <c r="AB73" i="1"/>
  <c r="AA73" i="1"/>
  <c r="X73" i="1"/>
  <c r="W73" i="1"/>
  <c r="T73" i="1"/>
  <c r="S73" i="1"/>
  <c r="P73" i="1"/>
  <c r="O73" i="1"/>
  <c r="L73" i="1"/>
  <c r="K73" i="1"/>
  <c r="H73" i="1"/>
  <c r="G73" i="1"/>
  <c r="D73" i="1"/>
  <c r="C73" i="1"/>
  <c r="CZ70" i="1"/>
  <c r="CV70" i="1"/>
  <c r="CR70" i="1"/>
  <c r="CN70" i="1"/>
  <c r="CJ70" i="1"/>
  <c r="CF70" i="1"/>
  <c r="CB70" i="1"/>
  <c r="BX70" i="1"/>
  <c r="BT70" i="1"/>
  <c r="BP70" i="1"/>
  <c r="BL70" i="1"/>
  <c r="AZ70" i="1"/>
  <c r="AV70" i="1"/>
  <c r="AR70" i="1"/>
  <c r="AN70" i="1"/>
  <c r="AJ70" i="1"/>
  <c r="AF70" i="1"/>
  <c r="AB70" i="1"/>
  <c r="X70" i="1"/>
  <c r="T70" i="1"/>
  <c r="P70" i="1"/>
  <c r="L70" i="1"/>
  <c r="H70" i="1"/>
  <c r="D70" i="1"/>
  <c r="CZ69" i="1"/>
  <c r="CV69" i="1"/>
  <c r="CR69" i="1"/>
  <c r="CN69" i="1"/>
  <c r="CJ69" i="1"/>
  <c r="CF69" i="1"/>
  <c r="CB69" i="1"/>
  <c r="BX69" i="1"/>
  <c r="BT69" i="1"/>
  <c r="BP69" i="1"/>
  <c r="BL69" i="1"/>
  <c r="AZ69" i="1"/>
  <c r="AV69" i="1"/>
  <c r="AR69" i="1"/>
  <c r="AN69" i="1"/>
  <c r="AJ69" i="1"/>
  <c r="AF69" i="1"/>
  <c r="AB69" i="1"/>
  <c r="X69" i="1"/>
  <c r="T69" i="1"/>
  <c r="P69" i="1"/>
  <c r="L69" i="1"/>
  <c r="H69" i="1"/>
  <c r="D69" i="1"/>
  <c r="CZ68" i="1"/>
  <c r="CV68" i="1"/>
  <c r="CR68" i="1"/>
  <c r="CN68" i="1"/>
  <c r="CJ68" i="1"/>
  <c r="CF68" i="1"/>
  <c r="CB68" i="1"/>
  <c r="BX68" i="1"/>
  <c r="BT68" i="1"/>
  <c r="BP68" i="1"/>
  <c r="BL68" i="1"/>
  <c r="AZ68" i="1"/>
  <c r="AV68" i="1"/>
  <c r="AR68" i="1"/>
  <c r="AN68" i="1"/>
  <c r="AJ68" i="1"/>
  <c r="AF68" i="1"/>
  <c r="AB68" i="1"/>
  <c r="X68" i="1"/>
  <c r="T68" i="1"/>
  <c r="P68" i="1"/>
  <c r="L68" i="1"/>
  <c r="H68" i="1"/>
  <c r="D68" i="1"/>
  <c r="CZ67" i="1"/>
  <c r="CY67" i="1"/>
  <c r="CV67" i="1"/>
  <c r="CU67" i="1"/>
  <c r="CR67" i="1"/>
  <c r="CQ67" i="1"/>
  <c r="CN67" i="1"/>
  <c r="CM67" i="1"/>
  <c r="CJ67" i="1"/>
  <c r="CI67" i="1"/>
  <c r="CF67" i="1"/>
  <c r="CE67" i="1"/>
  <c r="CB67" i="1"/>
  <c r="CA67" i="1"/>
  <c r="BX67" i="1"/>
  <c r="BW67" i="1"/>
  <c r="BT67" i="1"/>
  <c r="BS67" i="1"/>
  <c r="BP67" i="1"/>
  <c r="BO67" i="1"/>
  <c r="BL67" i="1"/>
  <c r="BK67" i="1"/>
  <c r="AZ67" i="1"/>
  <c r="AY67" i="1"/>
  <c r="AV67" i="1"/>
  <c r="AU67" i="1"/>
  <c r="AR67" i="1"/>
  <c r="AQ67" i="1"/>
  <c r="AN67" i="1"/>
  <c r="AM67" i="1"/>
  <c r="AJ67" i="1"/>
  <c r="AI67" i="1"/>
  <c r="AF67" i="1"/>
  <c r="AE67" i="1"/>
  <c r="AB67" i="1"/>
  <c r="AA67" i="1"/>
  <c r="X67" i="1"/>
  <c r="W67" i="1"/>
  <c r="T67" i="1"/>
  <c r="S67" i="1"/>
  <c r="P67" i="1"/>
  <c r="O67" i="1"/>
  <c r="L67" i="1"/>
  <c r="K67" i="1"/>
  <c r="H67" i="1"/>
  <c r="G67" i="1"/>
  <c r="D67" i="1"/>
  <c r="C67" i="1"/>
  <c r="CZ64" i="1"/>
  <c r="CV64" i="1"/>
  <c r="CR64" i="1"/>
  <c r="CN64" i="1"/>
  <c r="CJ64" i="1"/>
  <c r="CF64" i="1"/>
  <c r="CB64" i="1"/>
  <c r="BX64" i="1"/>
  <c r="BT64" i="1"/>
  <c r="BP64" i="1"/>
  <c r="BL64" i="1"/>
  <c r="AZ64" i="1"/>
  <c r="AV64" i="1"/>
  <c r="AR64" i="1"/>
  <c r="AN64" i="1"/>
  <c r="AJ64" i="1"/>
  <c r="AF64" i="1"/>
  <c r="AB64" i="1"/>
  <c r="X64" i="1"/>
  <c r="T64" i="1"/>
  <c r="P64" i="1"/>
  <c r="L64" i="1"/>
  <c r="H64" i="1"/>
  <c r="D64" i="1"/>
  <c r="CZ63" i="1"/>
  <c r="CV63" i="1"/>
  <c r="CR63" i="1"/>
  <c r="CN63" i="1"/>
  <c r="CJ63" i="1"/>
  <c r="CF63" i="1"/>
  <c r="CB63" i="1"/>
  <c r="BX63" i="1"/>
  <c r="BT63" i="1"/>
  <c r="BP63" i="1"/>
  <c r="BL63" i="1"/>
  <c r="AZ63" i="1"/>
  <c r="AV63" i="1"/>
  <c r="AR63" i="1"/>
  <c r="AN63" i="1"/>
  <c r="AJ63" i="1"/>
  <c r="AF63" i="1"/>
  <c r="AB63" i="1"/>
  <c r="X63" i="1"/>
  <c r="T63" i="1"/>
  <c r="P63" i="1"/>
  <c r="L63" i="1"/>
  <c r="H63" i="1"/>
  <c r="D63" i="1"/>
  <c r="CZ62" i="1"/>
  <c r="CV62" i="1"/>
  <c r="CR62" i="1"/>
  <c r="CN62" i="1"/>
  <c r="CJ62" i="1"/>
  <c r="CF62" i="1"/>
  <c r="CB62" i="1"/>
  <c r="BX62" i="1"/>
  <c r="BT62" i="1"/>
  <c r="BP62" i="1"/>
  <c r="BL62" i="1"/>
  <c r="AZ62" i="1"/>
  <c r="AV62" i="1"/>
  <c r="AR62" i="1"/>
  <c r="AN62" i="1"/>
  <c r="AJ62" i="1"/>
  <c r="AF62" i="1"/>
  <c r="AB62" i="1"/>
  <c r="X62" i="1"/>
  <c r="T62" i="1"/>
  <c r="P62" i="1"/>
  <c r="L62" i="1"/>
  <c r="H62" i="1"/>
  <c r="D62" i="1"/>
  <c r="CZ61" i="1"/>
  <c r="CY61" i="1"/>
  <c r="CV61" i="1"/>
  <c r="CU61" i="1"/>
  <c r="CR61" i="1"/>
  <c r="CQ61" i="1"/>
  <c r="CN61" i="1"/>
  <c r="CM61" i="1"/>
  <c r="CJ61" i="1"/>
  <c r="CI61" i="1"/>
  <c r="CF61" i="1"/>
  <c r="CE61" i="1"/>
  <c r="CB61" i="1"/>
  <c r="CA61" i="1"/>
  <c r="BX61" i="1"/>
  <c r="BW61" i="1"/>
  <c r="BT61" i="1"/>
  <c r="BS61" i="1"/>
  <c r="BP61" i="1"/>
  <c r="BO61" i="1"/>
  <c r="BL61" i="1"/>
  <c r="BK61" i="1"/>
  <c r="AZ61" i="1"/>
  <c r="AY61" i="1"/>
  <c r="AV61" i="1"/>
  <c r="AU61" i="1"/>
  <c r="AR61" i="1"/>
  <c r="AQ61" i="1"/>
  <c r="AN61" i="1"/>
  <c r="AM61" i="1"/>
  <c r="AJ61" i="1"/>
  <c r="AI61" i="1"/>
  <c r="AF61" i="1"/>
  <c r="AE61" i="1"/>
  <c r="AB61" i="1"/>
  <c r="AA61" i="1"/>
  <c r="X61" i="1"/>
  <c r="W61" i="1"/>
  <c r="T61" i="1"/>
  <c r="S61" i="1"/>
  <c r="P61" i="1"/>
  <c r="O61" i="1"/>
  <c r="L61" i="1"/>
  <c r="K61" i="1"/>
  <c r="H61" i="1"/>
  <c r="G61" i="1"/>
  <c r="D61" i="1"/>
  <c r="C61" i="1"/>
  <c r="CZ60" i="1"/>
  <c r="CY60" i="1"/>
  <c r="CV60" i="1"/>
  <c r="CU60" i="1"/>
  <c r="CR60" i="1"/>
  <c r="CQ60" i="1"/>
  <c r="CN60" i="1"/>
  <c r="CM60" i="1"/>
  <c r="CJ60" i="1"/>
  <c r="CI60" i="1"/>
  <c r="CF60" i="1"/>
  <c r="CE60" i="1"/>
  <c r="CB60" i="1"/>
  <c r="CA60" i="1"/>
  <c r="BX60" i="1"/>
  <c r="BW60" i="1"/>
  <c r="BT60" i="1"/>
  <c r="BS60" i="1"/>
  <c r="BP60" i="1"/>
  <c r="BO60" i="1"/>
  <c r="BL60" i="1"/>
  <c r="BK60" i="1"/>
  <c r="AZ60" i="1"/>
  <c r="AY60" i="1"/>
  <c r="AV60" i="1"/>
  <c r="AU60" i="1"/>
  <c r="AR60" i="1"/>
  <c r="AQ60" i="1"/>
  <c r="AN60" i="1"/>
  <c r="AM60" i="1"/>
  <c r="AJ60" i="1"/>
  <c r="AI60" i="1"/>
  <c r="AF60" i="1"/>
  <c r="AE60" i="1"/>
  <c r="AB60" i="1"/>
  <c r="AA60" i="1"/>
  <c r="X60" i="1"/>
  <c r="W60" i="1"/>
  <c r="T60" i="1"/>
  <c r="S60" i="1"/>
  <c r="P60" i="1"/>
  <c r="O60" i="1"/>
  <c r="L60" i="1"/>
  <c r="K60" i="1"/>
  <c r="H60" i="1"/>
  <c r="G60" i="1"/>
  <c r="D60" i="1"/>
  <c r="C60" i="1"/>
  <c r="CZ59" i="1"/>
  <c r="CY59" i="1"/>
  <c r="CV59" i="1"/>
  <c r="CU59" i="1"/>
  <c r="CR59" i="1"/>
  <c r="CQ59" i="1"/>
  <c r="CN59" i="1"/>
  <c r="CM59" i="1"/>
  <c r="CJ59" i="1"/>
  <c r="CI59" i="1"/>
  <c r="CF59" i="1"/>
  <c r="CE59" i="1"/>
  <c r="CB59" i="1"/>
  <c r="CA59" i="1"/>
  <c r="BX59" i="1"/>
  <c r="BW59" i="1"/>
  <c r="BT59" i="1"/>
  <c r="BS59" i="1"/>
  <c r="BP59" i="1"/>
  <c r="BO59" i="1"/>
  <c r="BL59" i="1"/>
  <c r="BK59" i="1"/>
  <c r="AZ59" i="1"/>
  <c r="AY59" i="1"/>
  <c r="AV59" i="1"/>
  <c r="AU59" i="1"/>
  <c r="AR59" i="1"/>
  <c r="AQ59" i="1"/>
  <c r="AN59" i="1"/>
  <c r="AM59" i="1"/>
  <c r="AJ59" i="1"/>
  <c r="AI59" i="1"/>
  <c r="AF59" i="1"/>
  <c r="AE59" i="1"/>
  <c r="AB59" i="1"/>
  <c r="AA59" i="1"/>
  <c r="X59" i="1"/>
  <c r="W59" i="1"/>
  <c r="T59" i="1"/>
  <c r="S59" i="1"/>
  <c r="P59" i="1"/>
  <c r="O59" i="1"/>
  <c r="L59" i="1"/>
  <c r="K59" i="1"/>
  <c r="H59" i="1"/>
  <c r="G59" i="1"/>
  <c r="D59" i="1"/>
  <c r="C59" i="1"/>
  <c r="CZ58" i="1"/>
  <c r="CY58" i="1"/>
  <c r="CV58" i="1"/>
  <c r="CU58" i="1"/>
  <c r="CR58" i="1"/>
  <c r="CQ58" i="1"/>
  <c r="CN58" i="1"/>
  <c r="CM58" i="1"/>
  <c r="CJ58" i="1"/>
  <c r="CI58" i="1"/>
  <c r="CF58" i="1"/>
  <c r="CE58" i="1"/>
  <c r="CB58" i="1"/>
  <c r="CA58" i="1"/>
  <c r="BX58" i="1"/>
  <c r="BW58" i="1"/>
  <c r="BT58" i="1"/>
  <c r="BS58" i="1"/>
  <c r="BP58" i="1"/>
  <c r="BO58" i="1"/>
  <c r="BL58" i="1"/>
  <c r="BK58" i="1"/>
  <c r="AZ58" i="1"/>
  <c r="AY58" i="1"/>
  <c r="AV58" i="1"/>
  <c r="AU58" i="1"/>
  <c r="AR58" i="1"/>
  <c r="AQ58" i="1"/>
  <c r="AN58" i="1"/>
  <c r="AM58" i="1"/>
  <c r="AJ58" i="1"/>
  <c r="AI58" i="1"/>
  <c r="AF58" i="1"/>
  <c r="AE58" i="1"/>
  <c r="AB58" i="1"/>
  <c r="AA58" i="1"/>
  <c r="X58" i="1"/>
  <c r="W58" i="1"/>
  <c r="T58" i="1"/>
  <c r="S58" i="1"/>
  <c r="P58" i="1"/>
  <c r="O58" i="1"/>
  <c r="L58" i="1"/>
  <c r="K58" i="1"/>
  <c r="H58" i="1"/>
  <c r="G58" i="1"/>
  <c r="D58" i="1"/>
  <c r="C58" i="1"/>
  <c r="CZ55" i="1"/>
  <c r="CV55" i="1"/>
  <c r="CR55" i="1"/>
  <c r="CN55" i="1"/>
  <c r="CJ55" i="1"/>
  <c r="CF55" i="1"/>
  <c r="CB55" i="1"/>
  <c r="BX55" i="1"/>
  <c r="BT55" i="1"/>
  <c r="BP55" i="1"/>
  <c r="BL55" i="1"/>
  <c r="AZ55" i="1"/>
  <c r="AV55" i="1"/>
  <c r="AR55" i="1"/>
  <c r="AN55" i="1"/>
  <c r="AJ55" i="1"/>
  <c r="AF55" i="1"/>
  <c r="AB55" i="1"/>
  <c r="X55" i="1"/>
  <c r="T55" i="1"/>
  <c r="P55" i="1"/>
  <c r="L55" i="1"/>
  <c r="H55" i="1"/>
  <c r="D55" i="1"/>
  <c r="CZ54" i="1"/>
  <c r="CV54" i="1"/>
  <c r="CR54" i="1"/>
  <c r="CN54" i="1"/>
  <c r="CJ54" i="1"/>
  <c r="CF54" i="1"/>
  <c r="CB54" i="1"/>
  <c r="BX54" i="1"/>
  <c r="BT54" i="1"/>
  <c r="BP54" i="1"/>
  <c r="BL54" i="1"/>
  <c r="AZ54" i="1"/>
  <c r="AV54" i="1"/>
  <c r="AR54" i="1"/>
  <c r="AN54" i="1"/>
  <c r="AJ54" i="1"/>
  <c r="AF54" i="1"/>
  <c r="AB54" i="1"/>
  <c r="X54" i="1"/>
  <c r="T54" i="1"/>
  <c r="P54" i="1"/>
  <c r="L54" i="1"/>
  <c r="H54" i="1"/>
  <c r="D54" i="1"/>
  <c r="CZ53" i="1"/>
  <c r="CV53" i="1"/>
  <c r="CR53" i="1"/>
  <c r="CN53" i="1"/>
  <c r="CJ53" i="1"/>
  <c r="CF53" i="1"/>
  <c r="CB53" i="1"/>
  <c r="BX53" i="1"/>
  <c r="BT53" i="1"/>
  <c r="BP53" i="1"/>
  <c r="BL53" i="1"/>
  <c r="AZ53" i="1"/>
  <c r="AV53" i="1"/>
  <c r="AR53" i="1"/>
  <c r="AN53" i="1"/>
  <c r="AJ53" i="1"/>
  <c r="AF53" i="1"/>
  <c r="AB53" i="1"/>
  <c r="X53" i="1"/>
  <c r="T53" i="1"/>
  <c r="P53" i="1"/>
  <c r="L53" i="1"/>
  <c r="H53" i="1"/>
  <c r="D53" i="1"/>
  <c r="CZ52" i="1"/>
  <c r="CY52" i="1"/>
  <c r="CV52" i="1"/>
  <c r="CU52" i="1"/>
  <c r="CR52" i="1"/>
  <c r="CQ52" i="1"/>
  <c r="CN52" i="1"/>
  <c r="CM52" i="1"/>
  <c r="CJ52" i="1"/>
  <c r="CI52" i="1"/>
  <c r="CF52" i="1"/>
  <c r="CE52" i="1"/>
  <c r="CB52" i="1"/>
  <c r="CA52" i="1"/>
  <c r="BX52" i="1"/>
  <c r="BW52" i="1"/>
  <c r="BT52" i="1"/>
  <c r="BS52" i="1"/>
  <c r="BP52" i="1"/>
  <c r="BO52" i="1"/>
  <c r="BL52" i="1"/>
  <c r="BK52" i="1"/>
  <c r="AZ52" i="1"/>
  <c r="AY52" i="1"/>
  <c r="AV52" i="1"/>
  <c r="AU52" i="1"/>
  <c r="AR52" i="1"/>
  <c r="AQ52" i="1"/>
  <c r="AN52" i="1"/>
  <c r="AM52" i="1"/>
  <c r="AJ52" i="1"/>
  <c r="AI52" i="1"/>
  <c r="AF52" i="1"/>
  <c r="AE52" i="1"/>
  <c r="AB52" i="1"/>
  <c r="AA52" i="1"/>
  <c r="X52" i="1"/>
  <c r="W52" i="1"/>
  <c r="T52" i="1"/>
  <c r="S52" i="1"/>
  <c r="P52" i="1"/>
  <c r="O52" i="1"/>
  <c r="L52" i="1"/>
  <c r="K52" i="1"/>
  <c r="H52" i="1"/>
  <c r="G52" i="1"/>
  <c r="D52" i="1"/>
  <c r="C52" i="1"/>
  <c r="CZ51" i="1"/>
  <c r="CY51" i="1"/>
  <c r="CV51" i="1"/>
  <c r="CU51" i="1"/>
  <c r="CR51" i="1"/>
  <c r="CQ51" i="1"/>
  <c r="CN51" i="1"/>
  <c r="CM51" i="1"/>
  <c r="CJ51" i="1"/>
  <c r="CI51" i="1"/>
  <c r="CF51" i="1"/>
  <c r="CE51" i="1"/>
  <c r="CB51" i="1"/>
  <c r="CA51" i="1"/>
  <c r="BX51" i="1"/>
  <c r="BW51" i="1"/>
  <c r="BT51" i="1"/>
  <c r="BS51" i="1"/>
  <c r="BP51" i="1"/>
  <c r="BO51" i="1"/>
  <c r="BL51" i="1"/>
  <c r="BK51" i="1"/>
  <c r="AZ51" i="1"/>
  <c r="AY51" i="1"/>
  <c r="AV51" i="1"/>
  <c r="AU51" i="1"/>
  <c r="AR51" i="1"/>
  <c r="AQ51" i="1"/>
  <c r="AN51" i="1"/>
  <c r="AM51" i="1"/>
  <c r="AJ51" i="1"/>
  <c r="AI51" i="1"/>
  <c r="AF51" i="1"/>
  <c r="AE51" i="1"/>
  <c r="AB51" i="1"/>
  <c r="AA51" i="1"/>
  <c r="X51" i="1"/>
  <c r="W51" i="1"/>
  <c r="T51" i="1"/>
  <c r="S51" i="1"/>
  <c r="P51" i="1"/>
  <c r="O51" i="1"/>
  <c r="L51" i="1"/>
  <c r="K51" i="1"/>
  <c r="H51" i="1"/>
  <c r="G51" i="1"/>
  <c r="D51" i="1"/>
  <c r="C51" i="1"/>
  <c r="CZ50" i="1"/>
  <c r="CY50" i="1"/>
  <c r="CV50" i="1"/>
  <c r="CU50" i="1"/>
  <c r="CR50" i="1"/>
  <c r="CQ50" i="1"/>
  <c r="CN50" i="1"/>
  <c r="CM50" i="1"/>
  <c r="CJ50" i="1"/>
  <c r="CI50" i="1"/>
  <c r="CF50" i="1"/>
  <c r="CE50" i="1"/>
  <c r="CB50" i="1"/>
  <c r="CA50" i="1"/>
  <c r="BX50" i="1"/>
  <c r="BW50" i="1"/>
  <c r="BT50" i="1"/>
  <c r="BS50" i="1"/>
  <c r="BP50" i="1"/>
  <c r="BO50" i="1"/>
  <c r="BL50" i="1"/>
  <c r="BK50" i="1"/>
  <c r="AZ50" i="1"/>
  <c r="AY50" i="1"/>
  <c r="AV50" i="1"/>
  <c r="AU50" i="1"/>
  <c r="AR50" i="1"/>
  <c r="AQ50" i="1"/>
  <c r="AN50" i="1"/>
  <c r="AM50" i="1"/>
  <c r="AJ50" i="1"/>
  <c r="AI50" i="1"/>
  <c r="AF50" i="1"/>
  <c r="AE50" i="1"/>
  <c r="AB50" i="1"/>
  <c r="AA50" i="1"/>
  <c r="X50" i="1"/>
  <c r="W50" i="1"/>
  <c r="T50" i="1"/>
  <c r="S50" i="1"/>
  <c r="P50" i="1"/>
  <c r="O50" i="1"/>
  <c r="L50" i="1"/>
  <c r="K50" i="1"/>
  <c r="H50" i="1"/>
  <c r="G50" i="1"/>
  <c r="D50" i="1"/>
  <c r="C50" i="1"/>
  <c r="CZ49" i="1"/>
  <c r="CY49" i="1"/>
  <c r="CV49" i="1"/>
  <c r="CU49" i="1"/>
  <c r="CR49" i="1"/>
  <c r="CQ49" i="1"/>
  <c r="CN49" i="1"/>
  <c r="CM49" i="1"/>
  <c r="CJ49" i="1"/>
  <c r="CI49" i="1"/>
  <c r="CF49" i="1"/>
  <c r="CE49" i="1"/>
  <c r="CB49" i="1"/>
  <c r="CA49" i="1"/>
  <c r="BX49" i="1"/>
  <c r="BW49" i="1"/>
  <c r="BT49" i="1"/>
  <c r="BS49" i="1"/>
  <c r="BP49" i="1"/>
  <c r="BO49" i="1"/>
  <c r="BL49" i="1"/>
  <c r="BK49" i="1"/>
  <c r="AZ49" i="1"/>
  <c r="AY49" i="1"/>
  <c r="AV49" i="1"/>
  <c r="AU49" i="1"/>
  <c r="AR49" i="1"/>
  <c r="AQ49" i="1"/>
  <c r="AN49" i="1"/>
  <c r="AM49" i="1"/>
  <c r="AJ49" i="1"/>
  <c r="AI49" i="1"/>
  <c r="AF49" i="1"/>
  <c r="AE49" i="1"/>
  <c r="AB49" i="1"/>
  <c r="AA49" i="1"/>
  <c r="X49" i="1"/>
  <c r="W49" i="1"/>
  <c r="T49" i="1"/>
  <c r="S49" i="1"/>
  <c r="P49" i="1"/>
  <c r="O49" i="1"/>
  <c r="L49" i="1"/>
  <c r="K49" i="1"/>
  <c r="H49" i="1"/>
  <c r="G49" i="1"/>
  <c r="D49" i="1"/>
  <c r="C49" i="1"/>
  <c r="CZ46" i="1"/>
  <c r="CV46" i="1"/>
  <c r="CR46" i="1"/>
  <c r="CN46" i="1"/>
  <c r="CJ46" i="1"/>
  <c r="CF46" i="1"/>
  <c r="CB46" i="1"/>
  <c r="BX46" i="1"/>
  <c r="BT46" i="1"/>
  <c r="BP46" i="1"/>
  <c r="BL46" i="1"/>
  <c r="AZ46" i="1"/>
  <c r="AV46" i="1"/>
  <c r="AR46" i="1"/>
  <c r="AN46" i="1"/>
  <c r="AJ46" i="1"/>
  <c r="AF46" i="1"/>
  <c r="AB46" i="1"/>
  <c r="X46" i="1"/>
  <c r="T46" i="1"/>
  <c r="P46" i="1"/>
  <c r="L46" i="1"/>
  <c r="H46" i="1"/>
  <c r="D46" i="1"/>
  <c r="CZ45" i="1"/>
  <c r="CV45" i="1"/>
  <c r="CR45" i="1"/>
  <c r="CN45" i="1"/>
  <c r="CJ45" i="1"/>
  <c r="CF45" i="1"/>
  <c r="CB45" i="1"/>
  <c r="BX45" i="1"/>
  <c r="BT45" i="1"/>
  <c r="BP45" i="1"/>
  <c r="BL45" i="1"/>
  <c r="AZ45" i="1"/>
  <c r="AV45" i="1"/>
  <c r="AR45" i="1"/>
  <c r="AN45" i="1"/>
  <c r="AJ45" i="1"/>
  <c r="AF45" i="1"/>
  <c r="AB45" i="1"/>
  <c r="X45" i="1"/>
  <c r="T45" i="1"/>
  <c r="P45" i="1"/>
  <c r="L45" i="1"/>
  <c r="H45" i="1"/>
  <c r="D45" i="1"/>
  <c r="CZ44" i="1"/>
  <c r="CV44" i="1"/>
  <c r="CR44" i="1"/>
  <c r="CN44" i="1"/>
  <c r="CJ44" i="1"/>
  <c r="CF44" i="1"/>
  <c r="CB44" i="1"/>
  <c r="BX44" i="1"/>
  <c r="BT44" i="1"/>
  <c r="BP44" i="1"/>
  <c r="BL44" i="1"/>
  <c r="AZ44" i="1"/>
  <c r="AV44" i="1"/>
  <c r="AR44" i="1"/>
  <c r="AN44" i="1"/>
  <c r="AJ44" i="1"/>
  <c r="AF44" i="1"/>
  <c r="AB44" i="1"/>
  <c r="X44" i="1"/>
  <c r="T44" i="1"/>
  <c r="P44" i="1"/>
  <c r="L44" i="1"/>
  <c r="H44" i="1"/>
  <c r="D44" i="1"/>
  <c r="CZ43" i="1"/>
  <c r="CY43" i="1"/>
  <c r="CV43" i="1"/>
  <c r="CU43" i="1"/>
  <c r="CR43" i="1"/>
  <c r="CQ43" i="1"/>
  <c r="CN43" i="1"/>
  <c r="CM43" i="1"/>
  <c r="CJ43" i="1"/>
  <c r="CI43" i="1"/>
  <c r="CF43" i="1"/>
  <c r="CE43" i="1"/>
  <c r="CB43" i="1"/>
  <c r="CA43" i="1"/>
  <c r="BX43" i="1"/>
  <c r="BW43" i="1"/>
  <c r="BT43" i="1"/>
  <c r="BS43" i="1"/>
  <c r="BP43" i="1"/>
  <c r="BO43" i="1"/>
  <c r="BL43" i="1"/>
  <c r="BK43" i="1"/>
  <c r="AZ43" i="1"/>
  <c r="AY43" i="1"/>
  <c r="AV43" i="1"/>
  <c r="AU43" i="1"/>
  <c r="AR43" i="1"/>
  <c r="AQ43" i="1"/>
  <c r="AN43" i="1"/>
  <c r="AM43" i="1"/>
  <c r="AJ43" i="1"/>
  <c r="AI43" i="1"/>
  <c r="AF43" i="1"/>
  <c r="AE43" i="1"/>
  <c r="AB43" i="1"/>
  <c r="AA43" i="1"/>
  <c r="X43" i="1"/>
  <c r="W43" i="1"/>
  <c r="T43" i="1"/>
  <c r="S43" i="1"/>
  <c r="P43" i="1"/>
  <c r="O43" i="1"/>
  <c r="L43" i="1"/>
  <c r="K43" i="1"/>
  <c r="H43" i="1"/>
  <c r="G43" i="1"/>
  <c r="D43" i="1"/>
  <c r="C43" i="1"/>
  <c r="CZ42" i="1"/>
  <c r="CY42" i="1"/>
  <c r="CV42" i="1"/>
  <c r="CU42" i="1"/>
  <c r="CR42" i="1"/>
  <c r="CQ42" i="1"/>
  <c r="CN42" i="1"/>
  <c r="CM42" i="1"/>
  <c r="CJ42" i="1"/>
  <c r="CI42" i="1"/>
  <c r="CF42" i="1"/>
  <c r="CE42" i="1"/>
  <c r="CB42" i="1"/>
  <c r="CA42" i="1"/>
  <c r="BX42" i="1"/>
  <c r="BW42" i="1"/>
  <c r="BT42" i="1"/>
  <c r="BS42" i="1"/>
  <c r="BP42" i="1"/>
  <c r="BO42" i="1"/>
  <c r="BL42" i="1"/>
  <c r="BK42" i="1"/>
  <c r="AZ42" i="1"/>
  <c r="AY42" i="1"/>
  <c r="AV42" i="1"/>
  <c r="AU42" i="1"/>
  <c r="AR42" i="1"/>
  <c r="AQ42" i="1"/>
  <c r="AN42" i="1"/>
  <c r="AM42" i="1"/>
  <c r="AJ42" i="1"/>
  <c r="AI42" i="1"/>
  <c r="AF42" i="1"/>
  <c r="AE42" i="1"/>
  <c r="AB42" i="1"/>
  <c r="AA42" i="1"/>
  <c r="X42" i="1"/>
  <c r="W42" i="1"/>
  <c r="T42" i="1"/>
  <c r="S42" i="1"/>
  <c r="P42" i="1"/>
  <c r="O42" i="1"/>
  <c r="L42" i="1"/>
  <c r="K42" i="1"/>
  <c r="H42" i="1"/>
  <c r="G42" i="1"/>
  <c r="D42" i="1"/>
  <c r="C42" i="1"/>
  <c r="CZ41" i="1"/>
  <c r="CY41" i="1"/>
  <c r="CV41" i="1"/>
  <c r="CU41" i="1"/>
  <c r="CR41" i="1"/>
  <c r="CQ41" i="1"/>
  <c r="CN41" i="1"/>
  <c r="CM41" i="1"/>
  <c r="CJ41" i="1"/>
  <c r="CI41" i="1"/>
  <c r="CF41" i="1"/>
  <c r="CE41" i="1"/>
  <c r="CB41" i="1"/>
  <c r="CA41" i="1"/>
  <c r="BX41" i="1"/>
  <c r="BW41" i="1"/>
  <c r="BT41" i="1"/>
  <c r="BS41" i="1"/>
  <c r="BP41" i="1"/>
  <c r="BO41" i="1"/>
  <c r="BL41" i="1"/>
  <c r="BK41" i="1"/>
  <c r="AZ41" i="1"/>
  <c r="AY41" i="1"/>
  <c r="AV41" i="1"/>
  <c r="AU41" i="1"/>
  <c r="AR41" i="1"/>
  <c r="AQ41" i="1"/>
  <c r="AN41" i="1"/>
  <c r="AM41" i="1"/>
  <c r="AJ41" i="1"/>
  <c r="AI41" i="1"/>
  <c r="AF41" i="1"/>
  <c r="AE41" i="1"/>
  <c r="AB41" i="1"/>
  <c r="AA41" i="1"/>
  <c r="X41" i="1"/>
  <c r="W41" i="1"/>
  <c r="T41" i="1"/>
  <c r="S41" i="1"/>
  <c r="P41" i="1"/>
  <c r="O41" i="1"/>
  <c r="L41" i="1"/>
  <c r="K41" i="1"/>
  <c r="H41" i="1"/>
  <c r="G41" i="1"/>
  <c r="D41" i="1"/>
  <c r="C41" i="1"/>
  <c r="CZ38" i="1"/>
  <c r="CV38" i="1"/>
  <c r="CR38" i="1"/>
  <c r="CN38" i="1"/>
  <c r="CJ38" i="1"/>
  <c r="CF38" i="1"/>
  <c r="CB38" i="1"/>
  <c r="BX38" i="1"/>
  <c r="BT38" i="1"/>
  <c r="BP38" i="1"/>
  <c r="BL38" i="1"/>
  <c r="AZ38" i="1"/>
  <c r="AV38" i="1"/>
  <c r="AR38" i="1"/>
  <c r="AN38" i="1"/>
  <c r="AJ38" i="1"/>
  <c r="AF38" i="1"/>
  <c r="AB38" i="1"/>
  <c r="X38" i="1"/>
  <c r="T38" i="1"/>
  <c r="P38" i="1"/>
  <c r="L38" i="1"/>
  <c r="H38" i="1"/>
  <c r="D38" i="1"/>
  <c r="CZ37" i="1"/>
  <c r="CV37" i="1"/>
  <c r="CR37" i="1"/>
  <c r="CN37" i="1"/>
  <c r="CJ37" i="1"/>
  <c r="CF37" i="1"/>
  <c r="CB37" i="1"/>
  <c r="BX37" i="1"/>
  <c r="BT37" i="1"/>
  <c r="BP37" i="1"/>
  <c r="BL37" i="1"/>
  <c r="AZ37" i="1"/>
  <c r="AV37" i="1"/>
  <c r="AR37" i="1"/>
  <c r="AN37" i="1"/>
  <c r="AJ37" i="1"/>
  <c r="AF37" i="1"/>
  <c r="AB37" i="1"/>
  <c r="X37" i="1"/>
  <c r="T37" i="1"/>
  <c r="P37" i="1"/>
  <c r="L37" i="1"/>
  <c r="H37" i="1"/>
  <c r="D37" i="1"/>
  <c r="CZ36" i="1"/>
  <c r="CV36" i="1"/>
  <c r="CR36" i="1"/>
  <c r="CN36" i="1"/>
  <c r="CJ36" i="1"/>
  <c r="CF36" i="1"/>
  <c r="CB36" i="1"/>
  <c r="BX36" i="1"/>
  <c r="BT36" i="1"/>
  <c r="BP36" i="1"/>
  <c r="BL36" i="1"/>
  <c r="AZ36" i="1"/>
  <c r="AV36" i="1"/>
  <c r="AR36" i="1"/>
  <c r="AN36" i="1"/>
  <c r="AJ36" i="1"/>
  <c r="AF36" i="1"/>
  <c r="AB36" i="1"/>
  <c r="X36" i="1"/>
  <c r="T36" i="1"/>
  <c r="P36" i="1"/>
  <c r="L36" i="1"/>
  <c r="H36" i="1"/>
  <c r="D36" i="1"/>
  <c r="CZ35" i="1"/>
  <c r="CY35" i="1"/>
  <c r="CV35" i="1"/>
  <c r="CU35" i="1"/>
  <c r="CR35" i="1"/>
  <c r="CQ35" i="1"/>
  <c r="CN35" i="1"/>
  <c r="CM35" i="1"/>
  <c r="CJ35" i="1"/>
  <c r="CF35" i="1"/>
  <c r="CE35" i="1"/>
  <c r="CB35" i="1"/>
  <c r="CA35" i="1"/>
  <c r="BX35" i="1"/>
  <c r="BW35" i="1"/>
  <c r="BT35" i="1"/>
  <c r="BS35" i="1"/>
  <c r="BP35" i="1"/>
  <c r="BO35" i="1"/>
  <c r="BL35" i="1"/>
  <c r="BK35" i="1"/>
  <c r="AZ35" i="1"/>
  <c r="AY35" i="1"/>
  <c r="AV35" i="1"/>
  <c r="AU35" i="1"/>
  <c r="AR35" i="1"/>
  <c r="AQ35" i="1"/>
  <c r="AN35" i="1"/>
  <c r="AM35" i="1"/>
  <c r="AJ35" i="1"/>
  <c r="AI35" i="1"/>
  <c r="AF35" i="1"/>
  <c r="AE35" i="1"/>
  <c r="AB35" i="1"/>
  <c r="AA35" i="1"/>
  <c r="X35" i="1"/>
  <c r="W35" i="1"/>
  <c r="T35" i="1"/>
  <c r="S35" i="1"/>
  <c r="P35" i="1"/>
  <c r="O35" i="1"/>
  <c r="L35" i="1"/>
  <c r="K35" i="1"/>
  <c r="H35" i="1"/>
  <c r="G35" i="1"/>
  <c r="D35" i="1"/>
  <c r="C35" i="1"/>
  <c r="CZ34" i="1"/>
  <c r="CY34" i="1"/>
  <c r="CV34" i="1"/>
  <c r="CU34" i="1"/>
  <c r="CR34" i="1"/>
  <c r="CQ34" i="1"/>
  <c r="CN34" i="1"/>
  <c r="CM34" i="1"/>
  <c r="CJ34" i="1"/>
  <c r="CF34" i="1"/>
  <c r="CE34" i="1"/>
  <c r="CB34" i="1"/>
  <c r="CA34" i="1"/>
  <c r="BX34" i="1"/>
  <c r="BW34" i="1"/>
  <c r="BT34" i="1"/>
  <c r="BS34" i="1"/>
  <c r="BP34" i="1"/>
  <c r="BO34" i="1"/>
  <c r="BL34" i="1"/>
  <c r="BK34" i="1"/>
  <c r="AZ34" i="1"/>
  <c r="AY34" i="1"/>
  <c r="AV34" i="1"/>
  <c r="AU34" i="1"/>
  <c r="AR34" i="1"/>
  <c r="AQ34" i="1"/>
  <c r="AN34" i="1"/>
  <c r="AM34" i="1"/>
  <c r="AJ34" i="1"/>
  <c r="AI34" i="1"/>
  <c r="AF34" i="1"/>
  <c r="AE34" i="1"/>
  <c r="AB34" i="1"/>
  <c r="AA34" i="1"/>
  <c r="X34" i="1"/>
  <c r="W34" i="1"/>
  <c r="T34" i="1"/>
  <c r="S34" i="1"/>
  <c r="P34" i="1"/>
  <c r="O34" i="1"/>
  <c r="L34" i="1"/>
  <c r="K34" i="1"/>
  <c r="H34" i="1"/>
  <c r="G34" i="1"/>
  <c r="D34" i="1"/>
  <c r="C34" i="1"/>
  <c r="A33" i="1"/>
  <c r="CZ31" i="1"/>
  <c r="CV31" i="1"/>
  <c r="CR31" i="1"/>
  <c r="CN31" i="1"/>
  <c r="CJ31" i="1"/>
  <c r="CF31" i="1"/>
  <c r="CB31" i="1"/>
  <c r="BX31" i="1"/>
  <c r="BT31" i="1"/>
  <c r="BP31" i="1"/>
  <c r="BL31" i="1"/>
  <c r="AZ31" i="1"/>
  <c r="AV31" i="1"/>
  <c r="AR31" i="1"/>
  <c r="AN31" i="1"/>
  <c r="AJ31" i="1"/>
  <c r="AF31" i="1"/>
  <c r="AB31" i="1"/>
  <c r="X31" i="1"/>
  <c r="T31" i="1"/>
  <c r="P31" i="1"/>
  <c r="L31" i="1"/>
  <c r="H31" i="1"/>
  <c r="D31" i="1"/>
  <c r="CZ30" i="1"/>
  <c r="CV30" i="1"/>
  <c r="CR30" i="1"/>
  <c r="CN30" i="1"/>
  <c r="CJ30" i="1"/>
  <c r="CF30" i="1"/>
  <c r="CB30" i="1"/>
  <c r="BX30" i="1"/>
  <c r="BT30" i="1"/>
  <c r="BP30" i="1"/>
  <c r="BL30" i="1"/>
  <c r="AZ30" i="1"/>
  <c r="AV30" i="1"/>
  <c r="AR30" i="1"/>
  <c r="AN30" i="1"/>
  <c r="AJ30" i="1"/>
  <c r="AF30" i="1"/>
  <c r="AB30" i="1"/>
  <c r="X30" i="1"/>
  <c r="T30" i="1"/>
  <c r="P30" i="1"/>
  <c r="L30" i="1"/>
  <c r="H30" i="1"/>
  <c r="D30" i="1"/>
  <c r="CZ29" i="1"/>
  <c r="CV29" i="1"/>
  <c r="CR29" i="1"/>
  <c r="CN29" i="1"/>
  <c r="CJ29" i="1"/>
  <c r="CF29" i="1"/>
  <c r="CB29" i="1"/>
  <c r="BX29" i="1"/>
  <c r="BT29" i="1"/>
  <c r="BP29" i="1"/>
  <c r="BL29" i="1"/>
  <c r="AZ29" i="1"/>
  <c r="AV29" i="1"/>
  <c r="AR29" i="1"/>
  <c r="AN29" i="1"/>
  <c r="AJ29" i="1"/>
  <c r="AF29" i="1"/>
  <c r="AB29" i="1"/>
  <c r="X29" i="1"/>
  <c r="T29" i="1"/>
  <c r="P29" i="1"/>
  <c r="L29" i="1"/>
  <c r="H29" i="1"/>
  <c r="D29" i="1"/>
  <c r="CZ28" i="1"/>
  <c r="CY28" i="1"/>
  <c r="CV28" i="1"/>
  <c r="CU28" i="1"/>
  <c r="CR28" i="1"/>
  <c r="CQ28" i="1"/>
  <c r="CN28" i="1"/>
  <c r="CM28" i="1"/>
  <c r="CJ28" i="1"/>
  <c r="CI28" i="1"/>
  <c r="CF28" i="1"/>
  <c r="CB28" i="1"/>
  <c r="CA28" i="1"/>
  <c r="BX28" i="1"/>
  <c r="BW28" i="1"/>
  <c r="BT28" i="1"/>
  <c r="BS28" i="1"/>
  <c r="BP28" i="1"/>
  <c r="BO28" i="1"/>
  <c r="BL28" i="1"/>
  <c r="BK28" i="1"/>
  <c r="AZ28" i="1"/>
  <c r="AY28" i="1"/>
  <c r="AV28" i="1"/>
  <c r="AU28" i="1"/>
  <c r="AR28" i="1"/>
  <c r="AQ28" i="1"/>
  <c r="AN28" i="1"/>
  <c r="AM28" i="1"/>
  <c r="AJ28" i="1"/>
  <c r="AI28" i="1"/>
  <c r="AF28" i="1"/>
  <c r="AE28" i="1"/>
  <c r="AB28" i="1"/>
  <c r="AA28" i="1"/>
  <c r="X28" i="1"/>
  <c r="W28" i="1"/>
  <c r="T28" i="1"/>
  <c r="S28" i="1"/>
  <c r="P28" i="1"/>
  <c r="O28" i="1"/>
  <c r="L28" i="1"/>
  <c r="K28" i="1"/>
  <c r="H28" i="1"/>
  <c r="G28" i="1"/>
  <c r="D28" i="1"/>
  <c r="C28" i="1"/>
  <c r="CZ27" i="1"/>
  <c r="CY27" i="1"/>
  <c r="CV27" i="1"/>
  <c r="CU27" i="1"/>
  <c r="CR27" i="1"/>
  <c r="CQ27" i="1"/>
  <c r="CN27" i="1"/>
  <c r="CM27" i="1"/>
  <c r="CJ27" i="1"/>
  <c r="CI27" i="1"/>
  <c r="CF27" i="1"/>
  <c r="CB27" i="1"/>
  <c r="CA27" i="1"/>
  <c r="BX27" i="1"/>
  <c r="BW27" i="1"/>
  <c r="BT27" i="1"/>
  <c r="BS27" i="1"/>
  <c r="BP27" i="1"/>
  <c r="BO27" i="1"/>
  <c r="BL27" i="1"/>
  <c r="BK27" i="1"/>
  <c r="AZ27" i="1"/>
  <c r="AY27" i="1"/>
  <c r="AV27" i="1"/>
  <c r="AU27" i="1"/>
  <c r="AR27" i="1"/>
  <c r="AQ27" i="1"/>
  <c r="AN27" i="1"/>
  <c r="AM27" i="1"/>
  <c r="AJ27" i="1"/>
  <c r="AI27" i="1"/>
  <c r="AF27" i="1"/>
  <c r="AE27" i="1"/>
  <c r="AB27" i="1"/>
  <c r="AA27" i="1"/>
  <c r="X27" i="1"/>
  <c r="W27" i="1"/>
  <c r="T27" i="1"/>
  <c r="S27" i="1"/>
  <c r="P27" i="1"/>
  <c r="O27" i="1"/>
  <c r="L27" i="1"/>
  <c r="K27" i="1"/>
  <c r="H27" i="1"/>
  <c r="G27" i="1"/>
  <c r="D27" i="1"/>
  <c r="C27" i="1"/>
  <c r="A26" i="1"/>
  <c r="CZ24" i="1"/>
  <c r="CV24" i="1"/>
  <c r="CR24" i="1"/>
  <c r="CN24" i="1"/>
  <c r="CJ24" i="1"/>
  <c r="CF24" i="1"/>
  <c r="CB24" i="1"/>
  <c r="BX24" i="1"/>
  <c r="BT24" i="1"/>
  <c r="BP24" i="1"/>
  <c r="BL24" i="1"/>
  <c r="AZ24" i="1"/>
  <c r="AV24" i="1"/>
  <c r="AR24" i="1"/>
  <c r="AN24" i="1"/>
  <c r="AJ24" i="1"/>
  <c r="AF24" i="1"/>
  <c r="AB24" i="1"/>
  <c r="X24" i="1"/>
  <c r="T24" i="1"/>
  <c r="P24" i="1"/>
  <c r="L24" i="1"/>
  <c r="H24" i="1"/>
  <c r="D24" i="1"/>
  <c r="CZ23" i="1"/>
  <c r="CV23" i="1"/>
  <c r="CR23" i="1"/>
  <c r="CN23" i="1"/>
  <c r="CJ23" i="1"/>
  <c r="CF23" i="1"/>
  <c r="CB23" i="1"/>
  <c r="BX23" i="1"/>
  <c r="BT23" i="1"/>
  <c r="BP23" i="1"/>
  <c r="BL23" i="1"/>
  <c r="AZ23" i="1"/>
  <c r="AV23" i="1"/>
  <c r="AR23" i="1"/>
  <c r="AN23" i="1"/>
  <c r="AJ23" i="1"/>
  <c r="AF23" i="1"/>
  <c r="AB23" i="1"/>
  <c r="X23" i="1"/>
  <c r="T23" i="1"/>
  <c r="P23" i="1"/>
  <c r="L23" i="1"/>
  <c r="H23" i="1"/>
  <c r="D23" i="1"/>
  <c r="CZ22" i="1"/>
  <c r="CV22" i="1"/>
  <c r="CR22" i="1"/>
  <c r="CN22" i="1"/>
  <c r="CJ22" i="1"/>
  <c r="CF22" i="1"/>
  <c r="CB22" i="1"/>
  <c r="BX22" i="1"/>
  <c r="BT22" i="1"/>
  <c r="BP22" i="1"/>
  <c r="BL22" i="1"/>
  <c r="AZ22" i="1"/>
  <c r="AV22" i="1"/>
  <c r="AR22" i="1"/>
  <c r="AN22" i="1"/>
  <c r="AJ22" i="1"/>
  <c r="AF22" i="1"/>
  <c r="AB22" i="1"/>
  <c r="X22" i="1"/>
  <c r="T22" i="1"/>
  <c r="P22" i="1"/>
  <c r="L22" i="1"/>
  <c r="H22" i="1"/>
  <c r="D22" i="1"/>
  <c r="CZ21" i="1"/>
  <c r="CY21" i="1"/>
  <c r="CV21" i="1"/>
  <c r="CU21" i="1"/>
  <c r="CR21" i="1"/>
  <c r="CQ21" i="1"/>
  <c r="CN21" i="1"/>
  <c r="CM21" i="1"/>
  <c r="CJ21" i="1"/>
  <c r="CI21" i="1"/>
  <c r="CF21" i="1"/>
  <c r="CE21" i="1"/>
  <c r="CB21" i="1"/>
  <c r="CA21" i="1"/>
  <c r="BX21" i="1"/>
  <c r="BW21" i="1"/>
  <c r="BT21" i="1"/>
  <c r="BS21" i="1"/>
  <c r="BP21" i="1"/>
  <c r="BO21" i="1"/>
  <c r="BL21" i="1"/>
  <c r="BK21" i="1"/>
  <c r="AZ21" i="1"/>
  <c r="AY21" i="1"/>
  <c r="AV21" i="1"/>
  <c r="AU21" i="1"/>
  <c r="AR21" i="1"/>
  <c r="AQ21" i="1"/>
  <c r="AN21" i="1"/>
  <c r="AM21" i="1"/>
  <c r="AJ21" i="1"/>
  <c r="AI21" i="1"/>
  <c r="AF21" i="1"/>
  <c r="AE21" i="1"/>
  <c r="AB21" i="1"/>
  <c r="AA21" i="1"/>
  <c r="X21" i="1"/>
  <c r="W21" i="1"/>
  <c r="T21" i="1"/>
  <c r="S21" i="1"/>
  <c r="P21" i="1"/>
  <c r="O21" i="1"/>
  <c r="L21" i="1"/>
  <c r="K21" i="1"/>
  <c r="H21" i="1"/>
  <c r="G21" i="1"/>
  <c r="D21" i="1"/>
  <c r="C21" i="1"/>
  <c r="CZ20" i="1"/>
  <c r="CY20" i="1"/>
  <c r="CV20" i="1"/>
  <c r="CU20" i="1"/>
  <c r="CR20" i="1"/>
  <c r="CQ20" i="1"/>
  <c r="CN20" i="1"/>
  <c r="CM20" i="1"/>
  <c r="CJ20" i="1"/>
  <c r="CI20" i="1"/>
  <c r="CF20" i="1"/>
  <c r="CE20" i="1"/>
  <c r="CB20" i="1"/>
  <c r="CA20" i="1"/>
  <c r="BX20" i="1"/>
  <c r="BW20" i="1"/>
  <c r="BT20" i="1"/>
  <c r="BS20" i="1"/>
  <c r="BP20" i="1"/>
  <c r="BO20" i="1"/>
  <c r="BL20" i="1"/>
  <c r="BK20" i="1"/>
  <c r="AZ20" i="1"/>
  <c r="AY20" i="1"/>
  <c r="AV20" i="1"/>
  <c r="AU20" i="1"/>
  <c r="AR20" i="1"/>
  <c r="AQ20" i="1"/>
  <c r="AN20" i="1"/>
  <c r="AM20" i="1"/>
  <c r="AJ20" i="1"/>
  <c r="AI20" i="1"/>
  <c r="AF20" i="1"/>
  <c r="AE20" i="1"/>
  <c r="AB20" i="1"/>
  <c r="AA20" i="1"/>
  <c r="X20" i="1"/>
  <c r="W20" i="1"/>
  <c r="T20" i="1"/>
  <c r="S20" i="1"/>
  <c r="P20" i="1"/>
  <c r="O20" i="1"/>
  <c r="L20" i="1"/>
  <c r="K20" i="1"/>
  <c r="H20" i="1"/>
  <c r="G20" i="1"/>
  <c r="D20" i="1"/>
  <c r="C20" i="1"/>
  <c r="CZ19" i="1"/>
  <c r="CY19" i="1"/>
  <c r="CV19" i="1"/>
  <c r="CU19" i="1"/>
  <c r="CR19" i="1"/>
  <c r="CQ19" i="1"/>
  <c r="CN19" i="1"/>
  <c r="CM19" i="1"/>
  <c r="CJ19" i="1"/>
  <c r="CI19" i="1"/>
  <c r="CF19" i="1"/>
  <c r="CE19" i="1"/>
  <c r="CB19" i="1"/>
  <c r="CA19" i="1"/>
  <c r="BX19" i="1"/>
  <c r="BW19" i="1"/>
  <c r="BT19" i="1"/>
  <c r="BS19" i="1"/>
  <c r="BP19" i="1"/>
  <c r="BO19" i="1"/>
  <c r="BL19" i="1"/>
  <c r="BK19" i="1"/>
  <c r="AZ19" i="1"/>
  <c r="AY19" i="1"/>
  <c r="AV19" i="1"/>
  <c r="AU19" i="1"/>
  <c r="AR19" i="1"/>
  <c r="AQ19" i="1"/>
  <c r="AN19" i="1"/>
  <c r="AM19" i="1"/>
  <c r="AJ19" i="1"/>
  <c r="AI19" i="1"/>
  <c r="AF19" i="1"/>
  <c r="AE19" i="1"/>
  <c r="AB19" i="1"/>
  <c r="AA19" i="1"/>
  <c r="X19" i="1"/>
  <c r="W19" i="1"/>
  <c r="T19" i="1"/>
  <c r="S19" i="1"/>
  <c r="P19" i="1"/>
  <c r="O19" i="1"/>
  <c r="L19" i="1"/>
  <c r="K19" i="1"/>
  <c r="H19" i="1"/>
  <c r="G19" i="1"/>
  <c r="D19" i="1"/>
  <c r="C19" i="1"/>
  <c r="CZ18" i="1"/>
  <c r="CY18" i="1"/>
  <c r="CV18" i="1"/>
  <c r="CU18" i="1"/>
  <c r="CR18" i="1"/>
  <c r="CQ18" i="1"/>
  <c r="CN18" i="1"/>
  <c r="CM18" i="1"/>
  <c r="CJ18" i="1"/>
  <c r="CI18" i="1"/>
  <c r="CF18" i="1"/>
  <c r="CE18" i="1"/>
  <c r="CB18" i="1"/>
  <c r="CA18" i="1"/>
  <c r="BX18" i="1"/>
  <c r="BW18" i="1"/>
  <c r="BT18" i="1"/>
  <c r="BS18" i="1"/>
  <c r="BP18" i="1"/>
  <c r="BO18" i="1"/>
  <c r="BL18" i="1"/>
  <c r="BK18" i="1"/>
  <c r="AZ18" i="1"/>
  <c r="AY18" i="1"/>
  <c r="AV18" i="1"/>
  <c r="AU18" i="1"/>
  <c r="AR18" i="1"/>
  <c r="AQ18" i="1"/>
  <c r="AN18" i="1"/>
  <c r="AM18" i="1"/>
  <c r="AJ18" i="1"/>
  <c r="AI18" i="1"/>
  <c r="AF18" i="1"/>
  <c r="AE18" i="1"/>
  <c r="AB18" i="1"/>
  <c r="AA18" i="1"/>
  <c r="X18" i="1"/>
  <c r="W18" i="1"/>
  <c r="T18" i="1"/>
  <c r="S18" i="1"/>
  <c r="P18" i="1"/>
  <c r="O18" i="1"/>
  <c r="L18" i="1"/>
  <c r="K18" i="1"/>
  <c r="H18" i="1"/>
  <c r="G18" i="1"/>
  <c r="D18" i="1"/>
  <c r="C18" i="1"/>
  <c r="CZ17" i="1"/>
  <c r="CY17" i="1"/>
  <c r="CV17" i="1"/>
  <c r="CU17" i="1"/>
  <c r="CR17" i="1"/>
  <c r="CQ17" i="1"/>
  <c r="CN17" i="1"/>
  <c r="CM17" i="1"/>
  <c r="CJ17" i="1"/>
  <c r="CI17" i="1"/>
  <c r="CF17" i="1"/>
  <c r="CE17" i="1"/>
  <c r="CB17" i="1"/>
  <c r="CA17" i="1"/>
  <c r="BX17" i="1"/>
  <c r="BW17" i="1"/>
  <c r="BT17" i="1"/>
  <c r="BS17" i="1"/>
  <c r="BP17" i="1"/>
  <c r="BO17" i="1"/>
  <c r="BL17" i="1"/>
  <c r="BK17" i="1"/>
  <c r="AZ17" i="1"/>
  <c r="AY17" i="1"/>
  <c r="AV17" i="1"/>
  <c r="AU17" i="1"/>
  <c r="AR17" i="1"/>
  <c r="AQ17" i="1"/>
  <c r="AN17" i="1"/>
  <c r="AM17" i="1"/>
  <c r="AJ17" i="1"/>
  <c r="AI17" i="1"/>
  <c r="AF17" i="1"/>
  <c r="AE17" i="1"/>
  <c r="AB17" i="1"/>
  <c r="AA17" i="1"/>
  <c r="X17" i="1"/>
  <c r="W17" i="1"/>
  <c r="T17" i="1"/>
  <c r="S17" i="1"/>
  <c r="P17" i="1"/>
  <c r="O17" i="1"/>
  <c r="L17" i="1"/>
  <c r="K17" i="1"/>
  <c r="H17" i="1"/>
  <c r="G17" i="1"/>
  <c r="D17" i="1"/>
  <c r="C17" i="1"/>
  <c r="CZ14" i="1"/>
  <c r="CV14" i="1"/>
  <c r="CR14" i="1"/>
  <c r="CN14" i="1"/>
  <c r="CJ14" i="1"/>
  <c r="CF14" i="1"/>
  <c r="CB14" i="1"/>
  <c r="BX14" i="1"/>
  <c r="BT14" i="1"/>
  <c r="BP14" i="1"/>
  <c r="BL14" i="1"/>
  <c r="AZ14" i="1"/>
  <c r="AV14" i="1"/>
  <c r="AR14" i="1"/>
  <c r="AN14" i="1"/>
  <c r="AJ14" i="1"/>
  <c r="AF14" i="1"/>
  <c r="AB14" i="1"/>
  <c r="X14" i="1"/>
  <c r="T14" i="1"/>
  <c r="P14" i="1"/>
  <c r="L14" i="1"/>
  <c r="H14" i="1"/>
  <c r="D14" i="1"/>
  <c r="CZ13" i="1"/>
  <c r="CV13" i="1"/>
  <c r="CR13" i="1"/>
  <c r="CN13" i="1"/>
  <c r="CJ13" i="1"/>
  <c r="CF13" i="1"/>
  <c r="CB13" i="1"/>
  <c r="BX13" i="1"/>
  <c r="BT13" i="1"/>
  <c r="BP13" i="1"/>
  <c r="BL13" i="1"/>
  <c r="AZ13" i="1"/>
  <c r="AV13" i="1"/>
  <c r="AR13" i="1"/>
  <c r="AN13" i="1"/>
  <c r="AJ13" i="1"/>
  <c r="AF13" i="1"/>
  <c r="AB13" i="1"/>
  <c r="X13" i="1"/>
  <c r="T13" i="1"/>
  <c r="P13" i="1"/>
  <c r="L13" i="1"/>
  <c r="H13" i="1"/>
  <c r="D13" i="1"/>
  <c r="CZ12" i="1"/>
  <c r="CV12" i="1"/>
  <c r="CR12" i="1"/>
  <c r="CN12" i="1"/>
  <c r="CJ12" i="1"/>
  <c r="CF12" i="1"/>
  <c r="CB12" i="1"/>
  <c r="BX12" i="1"/>
  <c r="BT12" i="1"/>
  <c r="BP12" i="1"/>
  <c r="BL12" i="1"/>
  <c r="AZ12" i="1"/>
  <c r="AV12" i="1"/>
  <c r="AR12" i="1"/>
  <c r="AN12" i="1"/>
  <c r="AJ12" i="1"/>
  <c r="AF12" i="1"/>
  <c r="AB12" i="1"/>
  <c r="X12" i="1"/>
  <c r="T12" i="1"/>
  <c r="P12" i="1"/>
  <c r="L12" i="1"/>
  <c r="H12" i="1"/>
  <c r="D12" i="1"/>
  <c r="CZ8" i="1"/>
  <c r="CY8" i="1"/>
  <c r="CV8" i="1"/>
  <c r="CU8" i="1"/>
  <c r="CR8" i="1"/>
  <c r="CQ8" i="1"/>
  <c r="CN8" i="1"/>
  <c r="CM8" i="1"/>
  <c r="CJ8" i="1"/>
  <c r="CI8" i="1"/>
  <c r="CF8" i="1"/>
  <c r="CE8" i="1"/>
  <c r="CB8" i="1"/>
  <c r="CA8" i="1"/>
  <c r="BX8" i="1"/>
  <c r="BW8" i="1"/>
  <c r="BT8" i="1"/>
  <c r="BS8" i="1"/>
  <c r="BP8" i="1"/>
  <c r="BO8" i="1"/>
  <c r="BL8" i="1"/>
  <c r="BK8" i="1"/>
  <c r="AZ8" i="1"/>
  <c r="AY8" i="1"/>
  <c r="AV8" i="1"/>
  <c r="AU8" i="1"/>
  <c r="AR8" i="1"/>
  <c r="AQ8" i="1"/>
  <c r="AN8" i="1"/>
  <c r="AM8" i="1"/>
  <c r="AJ8" i="1"/>
  <c r="AI8" i="1"/>
  <c r="AF8" i="1"/>
  <c r="AE8" i="1"/>
  <c r="AB8" i="1"/>
  <c r="AA8" i="1"/>
  <c r="X8" i="1"/>
  <c r="W8" i="1"/>
  <c r="T8" i="1"/>
  <c r="S8" i="1"/>
  <c r="P8" i="1"/>
  <c r="O8" i="1"/>
  <c r="L8" i="1"/>
  <c r="K8" i="1"/>
  <c r="H8" i="1"/>
  <c r="CZ7" i="1"/>
  <c r="CY7" i="1"/>
  <c r="CV7" i="1"/>
  <c r="CU7" i="1"/>
  <c r="CR7" i="1"/>
  <c r="CQ7" i="1"/>
  <c r="CN7" i="1"/>
  <c r="CM7" i="1"/>
  <c r="CJ7" i="1"/>
  <c r="CI7" i="1"/>
  <c r="CF7" i="1"/>
  <c r="CE7" i="1"/>
  <c r="CB7" i="1"/>
  <c r="CA7" i="1"/>
  <c r="BX7" i="1"/>
  <c r="BW7" i="1"/>
  <c r="BT7" i="1"/>
  <c r="BS7" i="1"/>
  <c r="BP7" i="1"/>
  <c r="BO7" i="1"/>
  <c r="BL7" i="1"/>
  <c r="BK7" i="1"/>
  <c r="AZ7" i="1"/>
  <c r="AY7" i="1"/>
  <c r="AV7" i="1"/>
  <c r="AU7" i="1"/>
  <c r="AR7" i="1"/>
  <c r="AQ7" i="1"/>
  <c r="AN7" i="1"/>
  <c r="AM7" i="1"/>
  <c r="AJ7" i="1"/>
  <c r="AI7" i="1"/>
  <c r="AF7" i="1"/>
  <c r="AE7" i="1"/>
  <c r="AB7" i="1"/>
  <c r="AA7" i="1"/>
  <c r="X7" i="1"/>
  <c r="W7" i="1"/>
  <c r="T7" i="1"/>
  <c r="S7" i="1"/>
  <c r="P7" i="1"/>
  <c r="O7" i="1"/>
  <c r="L7" i="1"/>
  <c r="K7" i="1"/>
  <c r="H7" i="1"/>
  <c r="CZ6" i="1"/>
  <c r="CY6" i="1"/>
  <c r="CV6" i="1"/>
  <c r="CU6" i="1"/>
  <c r="CR6" i="1"/>
  <c r="CQ6" i="1"/>
  <c r="CN6" i="1"/>
  <c r="CM6" i="1"/>
  <c r="CJ6" i="1"/>
  <c r="CI6" i="1"/>
  <c r="CF6" i="1"/>
  <c r="CE6" i="1"/>
  <c r="CB6" i="1"/>
  <c r="CA6" i="1"/>
  <c r="BX6" i="1"/>
  <c r="BW6" i="1"/>
  <c r="BT6" i="1"/>
  <c r="BS6" i="1"/>
  <c r="BP6" i="1"/>
  <c r="BO6" i="1"/>
  <c r="BL6" i="1"/>
  <c r="BK6" i="1"/>
  <c r="AZ6" i="1"/>
  <c r="AY6" i="1"/>
  <c r="AV6" i="1"/>
  <c r="AU6" i="1"/>
  <c r="AR6" i="1"/>
  <c r="AQ6" i="1"/>
  <c r="AN6" i="1"/>
  <c r="AM6" i="1"/>
  <c r="AJ6" i="1"/>
  <c r="AI6" i="1"/>
  <c r="AF6" i="1"/>
  <c r="AE6" i="1"/>
  <c r="AB6" i="1"/>
  <c r="AA6" i="1"/>
  <c r="X6" i="1"/>
  <c r="W6" i="1"/>
  <c r="T6" i="1"/>
  <c r="S6" i="1"/>
  <c r="P6" i="1"/>
  <c r="O6" i="1"/>
  <c r="L6" i="1"/>
  <c r="K6" i="1"/>
  <c r="H6" i="1"/>
</calcChain>
</file>

<file path=xl/sharedStrings.xml><?xml version="1.0" encoding="utf-8"?>
<sst xmlns="http://schemas.openxmlformats.org/spreadsheetml/2006/main" count="5535" uniqueCount="3855">
  <si>
    <t>Velikost celkové báze:</t>
  </si>
  <si>
    <t>Příroda a budoucnost</t>
  </si>
  <si>
    <t>kvota</t>
  </si>
  <si>
    <t>muzi</t>
  </si>
  <si>
    <t>zeny</t>
  </si>
  <si>
    <t>18_24</t>
  </si>
  <si>
    <t>25_34</t>
  </si>
  <si>
    <t>35_44</t>
  </si>
  <si>
    <t>45_54</t>
  </si>
  <si>
    <t>55_64</t>
  </si>
  <si>
    <t>65+</t>
  </si>
  <si>
    <t>income_level-low</t>
  </si>
  <si>
    <t>income_level-middle</t>
  </si>
  <si>
    <t>income_level-high</t>
  </si>
  <si>
    <t>city_size_0_2</t>
  </si>
  <si>
    <t>city_size_10_50</t>
  </si>
  <si>
    <t>city_size_2_10</t>
  </si>
  <si>
    <t>city_size_over50</t>
  </si>
  <si>
    <t>education_level_basic</t>
  </si>
  <si>
    <t>education_level_high_bezmat</t>
  </si>
  <si>
    <t>education_level_high_smat</t>
  </si>
  <si>
    <t>education_level_university</t>
  </si>
  <si>
    <t>budoucnost_lepsi</t>
  </si>
  <si>
    <t>budoucnost_obtizna</t>
  </si>
  <si>
    <t>mohou_ovlivnit</t>
  </si>
  <si>
    <t>nemohou_ovlivnit</t>
  </si>
  <si>
    <t>Jaký máte pocit z **budoucnosti planety**?</t>
  </si>
  <si>
    <t>z celku</t>
  </si>
  <si>
    <t>love</t>
  </si>
  <si>
    <t>smile</t>
  </si>
  <si>
    <t>neutral</t>
  </si>
  <si>
    <t>anger</t>
  </si>
  <si>
    <t>Bez odpovědi</t>
  </si>
  <si>
    <t>Otázku vidělo</t>
  </si>
  <si>
    <t>Nevyplněný dotazník</t>
  </si>
  <si>
    <t>Otázka nevidělo</t>
  </si>
  <si>
    <t>Jak se bude podle vás žít lidem na Zemi v roce 2050?</t>
  </si>
  <si>
    <t>Bude to lepší.</t>
  </si>
  <si>
    <t>Stejně jako dneska.</t>
  </si>
  <si>
    <t>Bude to obtížnější.</t>
  </si>
  <si>
    <t>Lidský život na Zemi už nebude.</t>
  </si>
  <si>
    <t>priroda nam vse vrati</t>
  </si>
  <si>
    <t>Smog</t>
  </si>
  <si>
    <t>Lidska zavist a neucta</t>
  </si>
  <si>
    <t>Moreni jedy</t>
  </si>
  <si>
    <t>valky,priroda spatna,chudoba,nemoci</t>
  </si>
  <si>
    <t>Ekologická katastrofa</t>
  </si>
  <si>
    <t>Zivotni prostredi je na tom spatne</t>
  </si>
  <si>
    <t>více neshod</t>
  </si>
  <si>
    <t>špatné řízení</t>
  </si>
  <si>
    <t>Ještě nerovnoměrnější rozdělení bohatství</t>
  </si>
  <si>
    <t>Klimatické změny</t>
  </si>
  <si>
    <t>nebude voda, lesy</t>
  </si>
  <si>
    <t>bude nas moc</t>
  </si>
  <si>
    <t>výkyvy počasí</t>
  </si>
  <si>
    <t>nedostatek potravin</t>
  </si>
  <si>
    <t>přelidnění</t>
  </si>
  <si>
    <t>přelidněnost</t>
  </si>
  <si>
    <t>migrace</t>
  </si>
  <si>
    <t>znečištění planety</t>
  </si>
  <si>
    <t>špatné ovzduší</t>
  </si>
  <si>
    <t>nedostatek vody</t>
  </si>
  <si>
    <t>horko</t>
  </si>
  <si>
    <t>Změna klimatu</t>
  </si>
  <si>
    <t>Nárůst anarchie</t>
  </si>
  <si>
    <t>Neschopnost EU řešit migranty a s tím spojené problémy</t>
  </si>
  <si>
    <t>horsi klima pro ziti</t>
  </si>
  <si>
    <t>pocasi zacina mit vetsi extremy</t>
  </si>
  <si>
    <t>lide hroti rasismus, feminismus atd. vyvolává to dalsi spory</t>
  </si>
  <si>
    <t>ekologie se stává neekologickou např.baterie do aut...co bude az se stanou odpadem?atd.</t>
  </si>
  <si>
    <t>hamižnost nás zničí</t>
  </si>
  <si>
    <t>lidé ničí planetu</t>
  </si>
  <si>
    <t>planeta bude plná plastů</t>
  </si>
  <si>
    <t>vše budou dělat stroje</t>
  </si>
  <si>
    <t>lidi nebudou mít žádnou svobodu pokud si ji nyní nechají vzít</t>
  </si>
  <si>
    <t>lidi jsou na sebe zlí</t>
  </si>
  <si>
    <t>planeta je hodně zničená</t>
  </si>
  <si>
    <t>Moc lidí</t>
  </si>
  <si>
    <t>málo jídla</t>
  </si>
  <si>
    <t>Budou docházet přírodní zdroje</t>
  </si>
  <si>
    <t>Horší ovzduší</t>
  </si>
  <si>
    <t>Vyšší teploty</t>
  </si>
  <si>
    <t>Málo vody</t>
  </si>
  <si>
    <t>Lidé budou na sebe víc zlí než ted</t>
  </si>
  <si>
    <t>Bude větší chudoba než teď</t>
  </si>
  <si>
    <t>málo vody</t>
  </si>
  <si>
    <t>moc teplo</t>
  </si>
  <si>
    <t>hodně lidí</t>
  </si>
  <si>
    <t>Vyčerpají se suroviny</t>
  </si>
  <si>
    <t>Bude postupně docházet pitná voda</t>
  </si>
  <si>
    <t>Budou nás ohrožovat mimozemské planety a civilizace</t>
  </si>
  <si>
    <t>Bude docházet kyslík</t>
  </si>
  <si>
    <t>bude velká chudoba</t>
  </si>
  <si>
    <t>budou války</t>
  </si>
  <si>
    <t>budou nové neléčitelné choroby</t>
  </si>
  <si>
    <t>kvuli chybejicim zdrojum</t>
  </si>
  <si>
    <t>změny klimatu, méně místa pro život a obživu víc lidí</t>
  </si>
  <si>
    <t>Prelidnenost</t>
  </si>
  <si>
    <t>Nedostatek vody ropy atp.</t>
  </si>
  <si>
    <t>Stale se horsici klimatické podmínky</t>
  </si>
  <si>
    <t>Špatné životní prostředí</t>
  </si>
  <si>
    <t>Lidská hloupost a netolerance</t>
  </si>
  <si>
    <t>chemi</t>
  </si>
  <si>
    <t>všude plasty</t>
  </si>
  <si>
    <t>nebude ropa</t>
  </si>
  <si>
    <t>nebude uhlí</t>
  </si>
  <si>
    <t>živtni prostředí bude horší</t>
  </si>
  <si>
    <t>devastace planety ve jménu zisků</t>
  </si>
  <si>
    <t>lidi se k sobě chovají hůř a hůř</t>
  </si>
  <si>
    <t>Energie bude chybět</t>
  </si>
  <si>
    <t>Voda nebude</t>
  </si>
  <si>
    <t>Migrace změní Evropu</t>
  </si>
  <si>
    <t>Globalni oteplovani</t>
  </si>
  <si>
    <t>Katastrofy</t>
  </si>
  <si>
    <t>Prelidneni</t>
  </si>
  <si>
    <t>sucho</t>
  </si>
  <si>
    <t>devastovana priroda</t>
  </si>
  <si>
    <t>nestabilni pocasi</t>
  </si>
  <si>
    <t>zmena klimatu</t>
  </si>
  <si>
    <t>politicka nestabilita</t>
  </si>
  <si>
    <t>migracni problemy</t>
  </si>
  <si>
    <t>vykåcené pralesy</t>
  </si>
  <si>
    <t>ozonova díra</t>
  </si>
  <si>
    <t>znečištěné ovzduší</t>
  </si>
  <si>
    <t>ekologie</t>
  </si>
  <si>
    <t>horší životní prostředí</t>
  </si>
  <si>
    <t>vše moc přetechnizováno</t>
  </si>
  <si>
    <t>čerpáme neobnovitelné zdroje a budeme se muset naučit fungovat bez nich</t>
  </si>
  <si>
    <t>malo vody</t>
  </si>
  <si>
    <t>zamořený vzduch</t>
  </si>
  <si>
    <t>Nesnesitelná vedra a sucho</t>
  </si>
  <si>
    <t>přírodní katastrofy</t>
  </si>
  <si>
    <t>nedostatek vody a potravin</t>
  </si>
  <si>
    <t>migrace a boj o zdroje</t>
  </si>
  <si>
    <t>zaplavení přímořských oblastí</t>
  </si>
  <si>
    <t>pandemie obrovských rozsahů</t>
  </si>
  <si>
    <t>bude teplo</t>
  </si>
  <si>
    <t>vyhynie mnoho živočíchov</t>
  </si>
  <si>
    <t>bude obtížnejší splodit potomka</t>
  </si>
  <si>
    <t>budou jinakší úrody</t>
  </si>
  <si>
    <t>bude malo pitne vody</t>
  </si>
  <si>
    <t>Moc netuším, asi si to tu trochu kazíme</t>
  </si>
  <si>
    <t>žádná voda</t>
  </si>
  <si>
    <t>znečištění všeho druhu</t>
  </si>
  <si>
    <t>rostoucí lidská blbost</t>
  </si>
  <si>
    <t>bude hořší podnebí</t>
  </si>
  <si>
    <t>emise z aut</t>
  </si>
  <si>
    <t>plasty</t>
  </si>
  <si>
    <t>problem jsou lidi a jejich chovni k sobe samemu a prirode</t>
  </si>
  <si>
    <t>špatne ovzduší</t>
  </si>
  <si>
    <t>zdevastovana přiroda</t>
  </si>
  <si>
    <t>Nebude voda</t>
  </si>
  <si>
    <t>Problémy s počasím</t>
  </si>
  <si>
    <t>Zahlcená planeta</t>
  </si>
  <si>
    <t>obava o životní prostředí</t>
  </si>
  <si>
    <t>stálé oteplování planety</t>
  </si>
  <si>
    <t>ztráta tradičních evropských hodnot</t>
  </si>
  <si>
    <t>globalni problemy</t>
  </si>
  <si>
    <t>ekologie vs. falesna opatreni *fotovoltaika, elektromobily, ...</t>
  </si>
  <si>
    <t>vysoké teploty</t>
  </si>
  <si>
    <t>povodně</t>
  </si>
  <si>
    <t>globalni otepleni</t>
  </si>
  <si>
    <t>energie</t>
  </si>
  <si>
    <t>Nebudou strom</t>
  </si>
  <si>
    <t>Ne čištění vody</t>
  </si>
  <si>
    <t>Příroda zahyne</t>
  </si>
  <si>
    <t>více nemoci a viry</t>
  </si>
  <si>
    <t>nezamestnanost</t>
  </si>
  <si>
    <t>pokud se lide nebudou už ted chovat jinak bude to obtížné</t>
  </si>
  <si>
    <t>Stále z ní čerpáme všechny energie.</t>
  </si>
  <si>
    <t>Je stále víc výkyvů počasí.</t>
  </si>
  <si>
    <t>Hodně letů letadel.</t>
  </si>
  <si>
    <t>ekologie !</t>
  </si>
  <si>
    <t>neúroda</t>
  </si>
  <si>
    <t>stres</t>
  </si>
  <si>
    <t>Globální změny klimatu</t>
  </si>
  <si>
    <t>větší znečištění</t>
  </si>
  <si>
    <t>ovzdusi</t>
  </si>
  <si>
    <t>sucha</t>
  </si>
  <si>
    <t>Omezení dostupných potravin</t>
  </si>
  <si>
    <t>Horší dostupnost vody (nejen pitné, ale obecně sladké)</t>
  </si>
  <si>
    <t>Environmentální katastrofy</t>
  </si>
  <si>
    <t>Obecné zvýšení cen</t>
  </si>
  <si>
    <t>Omezení cestování a poznávání krajiny</t>
  </si>
  <si>
    <t>moc lidi</t>
  </si>
  <si>
    <t>nebude úroda</t>
  </si>
  <si>
    <t>všechno drahé</t>
  </si>
  <si>
    <t>voda</t>
  </si>
  <si>
    <t>malo prirody</t>
  </si>
  <si>
    <t>spatne zivotni podminky</t>
  </si>
  <si>
    <t>bude hrozny svet</t>
  </si>
  <si>
    <t>Větší výkyvy počasí</t>
  </si>
  <si>
    <t>vyšší teplita</t>
  </si>
  <si>
    <t>Změny klimatu</t>
  </si>
  <si>
    <t>Příliš technologie škodlivé pro lidské vztahy</t>
  </si>
  <si>
    <t>prelidneni</t>
  </si>
  <si>
    <t>fosilni palivo</t>
  </si>
  <si>
    <t>klimatické změny</t>
  </si>
  <si>
    <t>politická situace</t>
  </si>
  <si>
    <t>nicime prirodu</t>
  </si>
  <si>
    <t>mnoho lidí</t>
  </si>
  <si>
    <t>mnoho znečištění</t>
  </si>
  <si>
    <t>lide si vseobecne nevazi prostredi ve krerem ziji</t>
  </si>
  <si>
    <t>více lidí</t>
  </si>
  <si>
    <t>více nemocí ze špatného živ. prostředí</t>
  </si>
  <si>
    <t>bude potřeba změnit návyky</t>
  </si>
  <si>
    <t>životní prostředí</t>
  </si>
  <si>
    <t>Vše bude jen o elektronice</t>
  </si>
  <si>
    <t>víc blbců ve společnosti</t>
  </si>
  <si>
    <t>BUDE NAS MOC</t>
  </si>
  <si>
    <t>VODA</t>
  </si>
  <si>
    <t>Přelidněnost planety</t>
  </si>
  <si>
    <t>Velké znečištění</t>
  </si>
  <si>
    <t>Teplota</t>
  </si>
  <si>
    <t>Voda</t>
  </si>
  <si>
    <t>infekce</t>
  </si>
  <si>
    <t>nedostatek ropy</t>
  </si>
  <si>
    <t>příroda se bude bouřit</t>
  </si>
  <si>
    <t>chovaní migrantů</t>
  </si>
  <si>
    <t>přírodní zdroje</t>
  </si>
  <si>
    <t>ubývající zeleň</t>
  </si>
  <si>
    <t>Klimatická změna</t>
  </si>
  <si>
    <t>nebude svoboda</t>
  </si>
  <si>
    <t>Budou se stále zvětšovat teplotní rozdíly</t>
  </si>
  <si>
    <t>Budou narůstat přírodní katastrofy</t>
  </si>
  <si>
    <t>Bude více virů</t>
  </si>
  <si>
    <t>. Podnebí se hodně mění</t>
  </si>
  <si>
    <t>vse rizene roboty</t>
  </si>
  <si>
    <t>zadna prace pro lidi</t>
  </si>
  <si>
    <t>hlad</t>
  </si>
  <si>
    <t>klimatická změna</t>
  </si>
  <si>
    <t>vymírání druhů - diverzity</t>
  </si>
  <si>
    <t>dehumanizace</t>
  </si>
  <si>
    <t>málo pitné vody</t>
  </si>
  <si>
    <t>nemoci</t>
  </si>
  <si>
    <t>protože lidi magoří</t>
  </si>
  <si>
    <t>žvelné pohromy</t>
  </si>
  <si>
    <t>málo zeleně</t>
  </si>
  <si>
    <t>nevážíme si přírody, ta je silnější než my</t>
  </si>
  <si>
    <t>Ničíme ostatní druhy, které k životu potřebujeme</t>
  </si>
  <si>
    <t>Nebude voda, bude tvrdé počasí</t>
  </si>
  <si>
    <t>technika moc vepředu, bez elektriky nebudeme fungovat</t>
  </si>
  <si>
    <t>nedostatek jídla, vody</t>
  </si>
  <si>
    <t>oteplování</t>
  </si>
  <si>
    <t>problémy s vodou</t>
  </si>
  <si>
    <t>války kvuli vodě</t>
  </si>
  <si>
    <t>Země bude hodně znečištěná</t>
  </si>
  <si>
    <t>nevím</t>
  </si>
  <si>
    <t>zivotni prostredi</t>
  </si>
  <si>
    <t>horší vzduch</t>
  </si>
  <si>
    <t>přeplněná města</t>
  </si>
  <si>
    <t>Změna klima</t>
  </si>
  <si>
    <t>Více technologií,se kterými souvisí zdraví nás všech.</t>
  </si>
  <si>
    <t>Úbytek zeleně</t>
  </si>
  <si>
    <t>migrace z oblastí zasažených klimatickými změnami</t>
  </si>
  <si>
    <t>přelidnění planety</t>
  </si>
  <si>
    <t>nedostatek potravin a surovin</t>
  </si>
  <si>
    <t>Planeta bude mít více lidí tudíž bude muset být vědči produkce jídla energetyky</t>
  </si>
  <si>
    <t>Více suchá klimatické změny</t>
  </si>
  <si>
    <t>lidi se neváží země</t>
  </si>
  <si>
    <t>lidi jsou hloupí</t>
  </si>
  <si>
    <t>zničí nás nenažranost</t>
  </si>
  <si>
    <t>globální oteplování</t>
  </si>
  <si>
    <t>Zdevastovaná příroda</t>
  </si>
  <si>
    <t>ničení přírodních zdrojů</t>
  </si>
  <si>
    <t>Vse se cim dal vic komplikuje</t>
  </si>
  <si>
    <t>Stále více informací</t>
  </si>
  <si>
    <t>Procesy i byrokracie stále více znemožňují uskutecneni veci</t>
  </si>
  <si>
    <t>Lidi jsou idioti</t>
  </si>
  <si>
    <t>Klimatické změny, hlavně sucho</t>
  </si>
  <si>
    <t>Ekonomické problémy</t>
  </si>
  <si>
    <t>Stárnutí obyvatelstva</t>
  </si>
  <si>
    <t>ekonomika bude v háji</t>
  </si>
  <si>
    <t>čím více se budou kácet stromy tím všechen život a příroda zmizí</t>
  </si>
  <si>
    <t>Nechováme se zodpovědně v mnoha směrech</t>
  </si>
  <si>
    <t>Ekonomická krize</t>
  </si>
  <si>
    <t>Materiální krize</t>
  </si>
  <si>
    <t>Ekologická krize</t>
  </si>
  <si>
    <t>nebude voda</t>
  </si>
  <si>
    <t>bude málo jídla</t>
  </si>
  <si>
    <t>bude horko</t>
  </si>
  <si>
    <t>budou problemy s migraci</t>
  </si>
  <si>
    <t>bude hodne násilností</t>
  </si>
  <si>
    <t>Války</t>
  </si>
  <si>
    <t>sociální rozdíly</t>
  </si>
  <si>
    <t>bida</t>
  </si>
  <si>
    <t>nemoc</t>
  </si>
  <si>
    <t>smog a sklenikove plyny</t>
  </si>
  <si>
    <t>nedostatek surovin</t>
  </si>
  <si>
    <t>spatny vzduch</t>
  </si>
  <si>
    <t>prehlcenost vsech vyrobku</t>
  </si>
  <si>
    <t>Bezpečí</t>
  </si>
  <si>
    <t>totalita</t>
  </si>
  <si>
    <t>Sucha a vykyvy podnebi</t>
  </si>
  <si>
    <t>kdo vi</t>
  </si>
  <si>
    <t>lidem zakrni nohy</t>
  </si>
  <si>
    <t>lidem zakeni mozek</t>
  </si>
  <si>
    <t>lidem porostou jen palce na mobilovani</t>
  </si>
  <si>
    <t>horsi ozvdusi</t>
  </si>
  <si>
    <t>vice nemoci</t>
  </si>
  <si>
    <t>přelidněná planeta</t>
  </si>
  <si>
    <t>v důsledku toho války o jídlo a hlavně o vodu</t>
  </si>
  <si>
    <t>Nedostatek vody</t>
  </si>
  <si>
    <t>Část planety hure obyvatelna, migrace do zbylých částí.</t>
  </si>
  <si>
    <t>Náročnější zemedelstvi</t>
  </si>
  <si>
    <t>velice špatné ovzduší</t>
  </si>
  <si>
    <t>Budou docházet zdroje</t>
  </si>
  <si>
    <t>Velké oteplení</t>
  </si>
  <si>
    <t>Ekonomie</t>
  </si>
  <si>
    <t>Klimata</t>
  </si>
  <si>
    <t>Ekologie, obnovitelné zdroje</t>
  </si>
  <si>
    <t>odpadky všude kam se podíváš</t>
  </si>
  <si>
    <t>kácení lesů</t>
  </si>
  <si>
    <t>války</t>
  </si>
  <si>
    <t>Více přírodních katastrov</t>
  </si>
  <si>
    <t>Získání peněz</t>
  </si>
  <si>
    <t>Kvalita ovzduší</t>
  </si>
  <si>
    <t>příliš mnoho lidí</t>
  </si>
  <si>
    <t>méně vody</t>
  </si>
  <si>
    <t>Postupné ničení naší planety</t>
  </si>
  <si>
    <t>Zaplavy</t>
  </si>
  <si>
    <t>Špatný vzduch</t>
  </si>
  <si>
    <t>korona vir , roušky atd</t>
  </si>
  <si>
    <t>Vzduch</t>
  </si>
  <si>
    <t>Příroda</t>
  </si>
  <si>
    <t>nove nemoce</t>
  </si>
  <si>
    <t>zničené ovzduší</t>
  </si>
  <si>
    <t>chudoba</t>
  </si>
  <si>
    <t>PROTOŽE NEBUDE NA DŮCHODY</t>
  </si>
  <si>
    <t>Méně životního prostřed - lesy, parky, louky (budou samé mrkakodrapy a betonové planiny)</t>
  </si>
  <si>
    <t>méně pitné vody</t>
  </si>
  <si>
    <t>vtěší průměrná teplota</t>
  </si>
  <si>
    <t>inflace</t>
  </si>
  <si>
    <t>znečištění</t>
  </si>
  <si>
    <t>bude daleko tepleji</t>
  </si>
  <si>
    <t>ničíme přírodu</t>
  </si>
  <si>
    <t>Ekonomická situace</t>
  </si>
  <si>
    <t>Neplodná, vyčerpaná půda -nedostatek potravy</t>
  </si>
  <si>
    <t>Hrozba válek, pandemií</t>
  </si>
  <si>
    <t>Rozdííl bohatí x chudí</t>
  </si>
  <si>
    <t>Neúcta vůči sobě, závist</t>
  </si>
  <si>
    <t>Nezaměstnanost, bezdomovci</t>
  </si>
  <si>
    <t>vnucované zákony proti přirozenosti života .</t>
  </si>
  <si>
    <t>ničí se příroda, klima, atd.</t>
  </si>
  <si>
    <t>zhoršují se vztahy mezi lidmi</t>
  </si>
  <si>
    <t>Pokud se nezačne více dbát na životní prostředí a obnovitelné zdroje</t>
  </si>
  <si>
    <t>špatné ovzduší bude</t>
  </si>
  <si>
    <t>příroda a životní prostředí</t>
  </si>
  <si>
    <t>Nedostatek pitné vody</t>
  </si>
  <si>
    <t>Přelidnění</t>
  </si>
  <si>
    <t>Malo vody</t>
  </si>
  <si>
    <t>Nutna migrace z duvodu nedostatku vody</t>
  </si>
  <si>
    <t>nedostatek pitne vody</t>
  </si>
  <si>
    <t>znecistene ovzdusi</t>
  </si>
  <si>
    <t>vymizeni spoustu druhu zvirat i rostlin</t>
  </si>
  <si>
    <t>malo lesu</t>
  </si>
  <si>
    <t>nedostatek pitné vody</t>
  </si>
  <si>
    <t>špatný vzduch</t>
  </si>
  <si>
    <t>nekvalitní půda, která bude bez živin</t>
  </si>
  <si>
    <t>odpad v mořích</t>
  </si>
  <si>
    <t>kontaminované jídlo</t>
  </si>
  <si>
    <t>moc lidí</t>
  </si>
  <si>
    <t>vse je horsi</t>
  </si>
  <si>
    <t>Lidstvo je bezohledné k přírodě.</t>
  </si>
  <si>
    <t>bude vic nemoci</t>
  </si>
  <si>
    <t>nepořádek</t>
  </si>
  <si>
    <t>bude málo vody</t>
  </si>
  <si>
    <t>Značné přelidnění</t>
  </si>
  <si>
    <t>Dojdou zdroje</t>
  </si>
  <si>
    <t>Globální oteplení</t>
  </si>
  <si>
    <t>technika a pokrok nezastavis</t>
  </si>
  <si>
    <t>znicime se sami</t>
  </si>
  <si>
    <t>bude více lidí</t>
  </si>
  <si>
    <t>tím pádem horší podmínky</t>
  </si>
  <si>
    <t>možná i jiné klima...</t>
  </si>
  <si>
    <t>Protože si bez dohledu ani neprdnete.</t>
  </si>
  <si>
    <t>Nástup nových totalit</t>
  </si>
  <si>
    <t>Svoboda už nebude taková jaká dnes</t>
  </si>
  <si>
    <t>přelidněno</t>
  </si>
  <si>
    <t>zhroucení ekonomiky</t>
  </si>
  <si>
    <t>Kontrola, zotročení na kterém se už dávno pracuje</t>
  </si>
  <si>
    <t>Více lidí bude větší zátěž pro naši planetu</t>
  </si>
  <si>
    <t>Lidé jsou čím dál tím méně tolerantní což povede k napjatější atmosféře</t>
  </si>
  <si>
    <t>Začnou docházet přírodní zdroje</t>
  </si>
  <si>
    <t>Lidé nebudou dělat nic jiného než protestovat</t>
  </si>
  <si>
    <t>Rozdíl mezi chudými a bohatými bude už neudržitelný</t>
  </si>
  <si>
    <t>agresivita, nenávist mezi lidmi</t>
  </si>
  <si>
    <t>zabíjení, vraždění lidí islamisty, zvýšená kriminalita</t>
  </si>
  <si>
    <t>drahota!</t>
  </si>
  <si>
    <t>sucho, hlad, bída</t>
  </si>
  <si>
    <t>hrozba atomových zbraní, zničená příroda: fauna i flóra</t>
  </si>
  <si>
    <t>a jiná nebezpečí ...</t>
  </si>
  <si>
    <t>Znečištění ovzduší atd</t>
  </si>
  <si>
    <t>horší klimatické podmínky</t>
  </si>
  <si>
    <t>válka</t>
  </si>
  <si>
    <t>vsechno bude drahe a vseho bude malo nedostatek</t>
  </si>
  <si>
    <t>Bude nedostatek některých surovin</t>
  </si>
  <si>
    <t>Dochází zdroje</t>
  </si>
  <si>
    <t>Lidé se nemají rádi</t>
  </si>
  <si>
    <t>Potraviny</t>
  </si>
  <si>
    <t>Migrace</t>
  </si>
  <si>
    <t>Peníze jsou vše, morálka žádná</t>
  </si>
  <si>
    <t>Málo jídla</t>
  </si>
  <si>
    <t>Horko</t>
  </si>
  <si>
    <t>svet jde do haje svinskym krokem</t>
  </si>
  <si>
    <t>smog</t>
  </si>
  <si>
    <t>povodne</t>
  </si>
  <si>
    <t>valka</t>
  </si>
  <si>
    <t>Monopolozace bude ještě větší a nasaje ještě více vlastnictví do několika soukromých ruk</t>
  </si>
  <si>
    <t>špatné životní prostředí</t>
  </si>
  <si>
    <t>Počasí</t>
  </si>
  <si>
    <t>zničení přírody</t>
  </si>
  <si>
    <t>ekonomika</t>
  </si>
  <si>
    <t>krize</t>
  </si>
  <si>
    <t>pandemie</t>
  </si>
  <si>
    <t>boj o moc</t>
  </si>
  <si>
    <t>Nevím</t>
  </si>
  <si>
    <t>Ekologicka krize</t>
  </si>
  <si>
    <t>klimaticke zmeny</t>
  </si>
  <si>
    <t>Budou se potýkat s důsledky jednání nebo spíše nejednání současných politiků.</t>
  </si>
  <si>
    <t>Nezodpovědní politici budou ohrožovat život na planetě asi ještě dlouho. Je to chyba všech kdo je volí.</t>
  </si>
  <si>
    <t>vyčerpaná příroda</t>
  </si>
  <si>
    <t>vzduch</t>
  </si>
  <si>
    <t>zmizí hodně pevnin</t>
  </si>
  <si>
    <t>horší ovzduší</t>
  </si>
  <si>
    <t>lidské tělo bude vystaveno neustálému záření</t>
  </si>
  <si>
    <t>objeví se nové nemoci</t>
  </si>
  <si>
    <t>lidstvo se bude zotavovat ze zničujících válek</t>
  </si>
  <si>
    <t>už ani Čína ty odpadky nechce</t>
  </si>
  <si>
    <t>bída z lidí lotry činí a vlky z lesa žene hlad</t>
  </si>
  <si>
    <t>jsme jako lidstvo líní bojovat za svobodu</t>
  </si>
  <si>
    <t>jsme hlupáci a egoisti</t>
  </si>
  <si>
    <t>Války, hlad, nemoce</t>
  </si>
  <si>
    <t>příroda bude více zatížena</t>
  </si>
  <si>
    <t>lidé si o dost znečiští ovzduší</t>
  </si>
  <si>
    <t>omezená svoboda</t>
  </si>
  <si>
    <t>zdevastovaná krajina</t>
  </si>
  <si>
    <t>Globální změna klimatu</t>
  </si>
  <si>
    <t>Častější válečné konflikty</t>
  </si>
  <si>
    <t>nepokoje</t>
  </si>
  <si>
    <t>méně přírodních zdrojů</t>
  </si>
  <si>
    <t>více konfliktů</t>
  </si>
  <si>
    <t>více nemocí</t>
  </si>
  <si>
    <t>Nedostatek vody,  kolísavé teploty, vymírání živočichů</t>
  </si>
  <si>
    <t>Nástup autoritářství</t>
  </si>
  <si>
    <t>Nárůst klimatické migrace</t>
  </si>
  <si>
    <t>Nárůst populismu a konfliktů.</t>
  </si>
  <si>
    <t>málo vody, hodně tepls</t>
  </si>
  <si>
    <t>vse se vyvíjí k horšími</t>
  </si>
  <si>
    <t>globalni oteplování</t>
  </si>
  <si>
    <t>bude horší životní prostředí, sucho</t>
  </si>
  <si>
    <t>invaze přistěhovalců</t>
  </si>
  <si>
    <t>bezohledné čerpání zdrojů</t>
  </si>
  <si>
    <t>špatné hospodaření s půdou a vodou</t>
  </si>
  <si>
    <t>lidská agresivita a bezohlednost obecně</t>
  </si>
  <si>
    <t>Přemíra plastu</t>
  </si>
  <si>
    <t>Znečištěné ovzdusi</t>
  </si>
  <si>
    <t>globalní oteplovaní</t>
  </si>
  <si>
    <t>potrava</t>
  </si>
  <si>
    <t>nevhodné podmínky</t>
  </si>
  <si>
    <t>prelidneno</t>
  </si>
  <si>
    <t>kvůli změně počasí</t>
  </si>
  <si>
    <t>Moc lidí a málo zdrojů, o které se bude bojovat.</t>
  </si>
  <si>
    <t>pár sobců ji totál zničí</t>
  </si>
  <si>
    <t>vetsi globalni oteplování</t>
  </si>
  <si>
    <t>vic nemoci</t>
  </si>
  <si>
    <t>vic katastrof</t>
  </si>
  <si>
    <t>Pokud se nezačne hospodařit, tak jak se má bude obtížné cokoli vypěstovat.</t>
  </si>
  <si>
    <t>Velké naklady na získání potravy</t>
  </si>
  <si>
    <t>politická a finanční nestabylita , která se v konečném důsledku i na zdravý planety</t>
  </si>
  <si>
    <t>politická nestabilita</t>
  </si>
  <si>
    <t>nové choroby</t>
  </si>
  <si>
    <t>Bude větší sucho</t>
  </si>
  <si>
    <t>Bude víc odpadků</t>
  </si>
  <si>
    <t>znečistěná priroda</t>
  </si>
  <si>
    <t>horší klima</t>
  </si>
  <si>
    <t>méně zelené přírody</t>
  </si>
  <si>
    <t>příval imigrantů</t>
  </si>
  <si>
    <t>větší meteorologické sucho</t>
  </si>
  <si>
    <t>nepodaří se zcela zadržovat vodu v krajině</t>
  </si>
  <si>
    <t>Globální oteplování</t>
  </si>
  <si>
    <t>Znečištění přírody</t>
  </si>
  <si>
    <t>Planeta bude zničená lidmi</t>
  </si>
  <si>
    <t>Lidi jsou na sebe zlí</t>
  </si>
  <si>
    <t>ve všem vítězí peníze</t>
  </si>
  <si>
    <t>příroda bude zničená</t>
  </si>
  <si>
    <t>Oteplovaní</t>
  </si>
  <si>
    <t>oteplování planety ztíží život</t>
  </si>
  <si>
    <t>příroda bude více zničená</t>
  </si>
  <si>
    <t>podnebí méně přívětivé</t>
  </si>
  <si>
    <t>Bude sucho</t>
  </si>
  <si>
    <t>Bude horko</t>
  </si>
  <si>
    <t>Něco dnes běžného nebude - dojde to</t>
  </si>
  <si>
    <t>moc nařízení</t>
  </si>
  <si>
    <t>nenápadně ořezaná svoboda</t>
  </si>
  <si>
    <t>zničené životní prostředí</t>
  </si>
  <si>
    <t>protože už jenom lesy vypadají děsně</t>
  </si>
  <si>
    <t>voda je nekvalitní</t>
  </si>
  <si>
    <t>nedostatek zdrojů</t>
  </si>
  <si>
    <t>znečistění</t>
  </si>
  <si>
    <t>moc techniky</t>
  </si>
  <si>
    <t>lidi bude pribyvat</t>
  </si>
  <si>
    <t>planeta to neuzivy</t>
  </si>
  <si>
    <t>dochází zdroje</t>
  </si>
  <si>
    <t>lidé planetu ničí</t>
  </si>
  <si>
    <t>sama elektronika</t>
  </si>
  <si>
    <t>Sucho</t>
  </si>
  <si>
    <t>extrémy v počasí</t>
  </si>
  <si>
    <t>málo čisté vody</t>
  </si>
  <si>
    <t>protoze bude vetsi teplo a nebude dostatek potravy a Vody</t>
  </si>
  <si>
    <t>klima</t>
  </si>
  <si>
    <t>znečištěné prostředí</t>
  </si>
  <si>
    <t>odpad</t>
  </si>
  <si>
    <t>Velke přelidnění</t>
  </si>
  <si>
    <t>Nedostatek zdrojů</t>
  </si>
  <si>
    <t>zalidněná planeta</t>
  </si>
  <si>
    <t>oteplení</t>
  </si>
  <si>
    <t>Oteplení vlivem pomalého snižování produkce CO2 do ovzduší</t>
  </si>
  <si>
    <t>Střídající se sucha a povodně</t>
  </si>
  <si>
    <t>PŘELIDNĚNÍ</t>
  </si>
  <si>
    <t>sluníčkařští idioti nas vedou do pekla</t>
  </si>
  <si>
    <t>rozdíly mezi chudými a bohatými</t>
  </si>
  <si>
    <t>drogy</t>
  </si>
  <si>
    <t>protoze se lide neumi chovat k zemi</t>
  </si>
  <si>
    <t>nerovnost</t>
  </si>
  <si>
    <t>chybět potraviny</t>
  </si>
  <si>
    <t>úpadek přírody a klima</t>
  </si>
  <si>
    <t>nesnášenlivost lidí mezi sebou</t>
  </si>
  <si>
    <t>žádna kázeň ,slušnost a tolerance</t>
  </si>
  <si>
    <t>zhoršení podmínek</t>
  </si>
  <si>
    <t>Klima</t>
  </si>
  <si>
    <t>Nedostatek potravin</t>
  </si>
  <si>
    <t>znecisteni</t>
  </si>
  <si>
    <t>Neumime se chovat s respektem ke svemu okoli</t>
  </si>
  <si>
    <t>Protože pořád jsou lidi,kteří chtějí hrabat jen pro sebe.</t>
  </si>
  <si>
    <t>Nejsou schopni rozdělovat peníze spravedlivě</t>
  </si>
  <si>
    <t>Problémy s pitnou vodou</t>
  </si>
  <si>
    <t>Kácení pralesů</t>
  </si>
  <si>
    <t>Tání ledovců</t>
  </si>
  <si>
    <t>Migrace nepřizpůsobivé muslimské populace</t>
  </si>
  <si>
    <t>Mezinárodní konflikty</t>
  </si>
  <si>
    <t>Přetechnizováno</t>
  </si>
  <si>
    <t>Zničená příroda</t>
  </si>
  <si>
    <t>Obsadí ji migranti</t>
  </si>
  <si>
    <t>Ceny pujdou rapidne nahoru</t>
  </si>
  <si>
    <t>Bude problem  praci</t>
  </si>
  <si>
    <t>Obtížnost najít pravdu</t>
  </si>
  <si>
    <t>Technologicky sice vyspělejší společnost - pravděpodobně i ekonomicky - ale lidé postupně více a více zapomínají jeden na druhého a společnost je čím dál více individualistická</t>
  </si>
  <si>
    <t>Už dnes nemáme zjem řešit přírodu raději se řeší cca 14 pohlaví</t>
  </si>
  <si>
    <t>peníze</t>
  </si>
  <si>
    <t>neobnovitelne zdroje</t>
  </si>
  <si>
    <t>málo vody a jídla</t>
  </si>
  <si>
    <t>Životní prostředí bude na velmi špatné urovni</t>
  </si>
  <si>
    <t>Myslím si,že vše jde do záhuby</t>
  </si>
  <si>
    <t>protože se lidé o planetu nestarají a ona jim to vrátí</t>
  </si>
  <si>
    <t>zdroje potravin</t>
  </si>
  <si>
    <t>zdroje vody</t>
  </si>
  <si>
    <t>Znečištěné ovzduší</t>
  </si>
  <si>
    <t>Oteplování planety</t>
  </si>
  <si>
    <t>sklenikove plyny</t>
  </si>
  <si>
    <t>budou dochazet zasoby nerostnych surovin, vody apod</t>
  </si>
  <si>
    <t>populace lidi bude nad limit</t>
  </si>
  <si>
    <t>Oteplení</t>
  </si>
  <si>
    <t>změny klimatu</t>
  </si>
  <si>
    <t>bude horší ekologie</t>
  </si>
  <si>
    <t>jdeme jako civilizce do zahuby.</t>
  </si>
  <si>
    <t>Krize v ekonomice</t>
  </si>
  <si>
    <t>všechno se zničí</t>
  </si>
  <si>
    <t>Nebude voda nebo ji bude méně</t>
  </si>
  <si>
    <t>všichni toho chtějí moc</t>
  </si>
  <si>
    <t>rabujeme přírodu</t>
  </si>
  <si>
    <t>porucha počasí</t>
  </si>
  <si>
    <t>Pokud se neprobereme nebude žádný život</t>
  </si>
  <si>
    <t>Nové nemoce</t>
  </si>
  <si>
    <t>Lhostejnost lidí k sobě</t>
  </si>
  <si>
    <t>Na Zemi bude žít příliš lidí</t>
  </si>
  <si>
    <t>bude sucho</t>
  </si>
  <si>
    <t>Muslimové</t>
  </si>
  <si>
    <t>Už teď se lidstvo nechává ovládat poblázněnými skupinami.</t>
  </si>
  <si>
    <t>islámizace</t>
  </si>
  <si>
    <t>Nedostatek místa</t>
  </si>
  <si>
    <t>Nedostatek neobnovitelných zdrojů</t>
  </si>
  <si>
    <t>Ovzduší</t>
  </si>
  <si>
    <t>Práce</t>
  </si>
  <si>
    <t>málo přírody</t>
  </si>
  <si>
    <t>spoustu nemoci</t>
  </si>
  <si>
    <t>Neustálá devastace přírodního bohatství díky neuváženému přístupu lidí</t>
  </si>
  <si>
    <t>Mé děti, chtějí vidět jak vypadá les, prales, deštné pralesy - budou ještě někde?</t>
  </si>
  <si>
    <t>Znečištěné ovzduší. Bude dostatek kyslíku - bude co dýchat?</t>
  </si>
  <si>
    <t>Lidé nešetří a neuváženě nakládají s odpady</t>
  </si>
  <si>
    <t>Obrovská těžba a planýrování planety</t>
  </si>
  <si>
    <t>zničili jsme si životní prostředí, proto bude postupovat globální oteplování, bude nedostatekvody a lidí bude na planetě neustále přibývat</t>
  </si>
  <si>
    <t>Drahé jídlo</t>
  </si>
  <si>
    <t>Nedostatek bydlení</t>
  </si>
  <si>
    <t>Málo jidla</t>
  </si>
  <si>
    <t>problém s vodou</t>
  </si>
  <si>
    <t>šparné ovzduší</t>
  </si>
  <si>
    <t>málo zvířat</t>
  </si>
  <si>
    <t>vše se zdražuje</t>
  </si>
  <si>
    <t>nestale počasí</t>
  </si>
  <si>
    <t>Příliš velká globalizace</t>
  </si>
  <si>
    <t>Tím pádem horší mezilidské vztahy</t>
  </si>
  <si>
    <t>Málo potravy</t>
  </si>
  <si>
    <t>dluh státu</t>
  </si>
  <si>
    <t>degenerace pudy</t>
  </si>
  <si>
    <t>devastace přírody</t>
  </si>
  <si>
    <t>plasty v potravinách</t>
  </si>
  <si>
    <t>vysoka teplota</t>
  </si>
  <si>
    <t>Bude nedostatek vody</t>
  </si>
  <si>
    <t>..</t>
  </si>
  <si>
    <t>dnešní generace se málo stará o přírodu a čistotu ovzduší</t>
  </si>
  <si>
    <t>zemske nepokoje</t>
  </si>
  <si>
    <t>málo potravin</t>
  </si>
  <si>
    <t>Stále více ničená příroda</t>
  </si>
  <si>
    <t>bude zničená</t>
  </si>
  <si>
    <t>protože společnost je stale vice závislé na elektronice</t>
  </si>
  <si>
    <t>oteplování planety</t>
  </si>
  <si>
    <t>Ubývající potrava</t>
  </si>
  <si>
    <t>Ubývající materiály</t>
  </si>
  <si>
    <t>Změna ovzduší</t>
  </si>
  <si>
    <t>Levice se dostává opět do popředí.</t>
  </si>
  <si>
    <t>malo pitné vody</t>
  </si>
  <si>
    <t>zvyšování venkovní teploty</t>
  </si>
  <si>
    <t>zdražování většiny věcí a služeb</t>
  </si>
  <si>
    <t>nezaměstnanost</t>
  </si>
  <si>
    <t>špinavé ovzduší</t>
  </si>
  <si>
    <t>nové nemoci</t>
  </si>
  <si>
    <t>Tak stačí se podívat kolem sebe</t>
  </si>
  <si>
    <t>nwn</t>
  </si>
  <si>
    <t>bude přelidněno</t>
  </si>
  <si>
    <t>Méně vody</t>
  </si>
  <si>
    <t>Méně zvířat</t>
  </si>
  <si>
    <t>rasové problémy</t>
  </si>
  <si>
    <t>bude méně živočichů</t>
  </si>
  <si>
    <t>méně rostlin</t>
  </si>
  <si>
    <t>mezilidské vztahy (zhroucení tradičních civilizačních hodnot, jako je rodina, manželství, věrnost)</t>
  </si>
  <si>
    <t>zničený ekosystém</t>
  </si>
  <si>
    <t>civilizace bude v troskách</t>
  </si>
  <si>
    <t>nebude vida, vzduch</t>
  </si>
  <si>
    <t>větší teploty</t>
  </si>
  <si>
    <t>extrémnější sucho</t>
  </si>
  <si>
    <t>neschopnost se uživit (jídlo i pití) -&gt; hladomor</t>
  </si>
  <si>
    <t>menší biodiverzita-&gt;obecně ekologické problémy</t>
  </si>
  <si>
    <t>budeme menšina</t>
  </si>
  <si>
    <t>vylidníme se sami</t>
  </si>
  <si>
    <t>napadne nás vir</t>
  </si>
  <si>
    <t>málo vody a přírody</t>
  </si>
  <si>
    <t>chybí pokora</t>
  </si>
  <si>
    <t>budou nemoci</t>
  </si>
  <si>
    <t>bude hůř</t>
  </si>
  <si>
    <t>Budeme všude hlidany</t>
  </si>
  <si>
    <t>Co se děje dnes mi stačí sama nasilnost</t>
  </si>
  <si>
    <t>Protože brzy zkolabuje pocasi</t>
  </si>
  <si>
    <t>Valka</t>
  </si>
  <si>
    <t>Jak se k přírodě chováme</t>
  </si>
  <si>
    <t>bude víc lidí</t>
  </si>
  <si>
    <t>smysluplná ochrana přírody jsou spíš jen výkřiky do tmy a má malý účinek</t>
  </si>
  <si>
    <t>příliš mnoho technologií a lidstvo v zajetí tzv. HUMANITY a ekologie</t>
  </si>
  <si>
    <t>Obtížné bude vyčistit a udržet jestli se to vůbec podaří od nepořádku a odpadků na zemi.</t>
  </si>
  <si>
    <t>přehlcení odpady</t>
  </si>
  <si>
    <t>počasí</t>
  </si>
  <si>
    <t>to je složité</t>
  </si>
  <si>
    <t>nebue na duchody</t>
  </si>
  <si>
    <t>Zhoršuje se bezpečnost</t>
  </si>
  <si>
    <t>Začíná problém s nedostatkem vody</t>
  </si>
  <si>
    <t>zničena planeta od lidi</t>
  </si>
  <si>
    <t>špatné zacházení s naším bohatstvím</t>
  </si>
  <si>
    <t>lhostejnost</t>
  </si>
  <si>
    <t>drancování</t>
  </si>
  <si>
    <t>vysoká populace</t>
  </si>
  <si>
    <t>protože ptiroda je h háji,</t>
  </si>
  <si>
    <t>politika země spěje k záhubě</t>
  </si>
  <si>
    <t>lide nebudou mit penize</t>
  </si>
  <si>
    <t>islam nas zničí</t>
  </si>
  <si>
    <t>neumime setrit planetu</t>
  </si>
  <si>
    <t>Nemoci</t>
  </si>
  <si>
    <t>invaze z cizích zemí</t>
  </si>
  <si>
    <t>Sobectví lidí</t>
  </si>
  <si>
    <t>Znečištěné životní prostředí</t>
  </si>
  <si>
    <t>zdroje</t>
  </si>
  <si>
    <t>politici chteji svet zničit</t>
  </si>
  <si>
    <t>podnebí</t>
  </si>
  <si>
    <t>hladomor</t>
  </si>
  <si>
    <t>málo jídla a vody, příliš mnoho lidí, USA začne válku s Ruskem</t>
  </si>
  <si>
    <t>nevazime si planety</t>
  </si>
  <si>
    <t>bída</t>
  </si>
  <si>
    <t>nesvoboda</t>
  </si>
  <si>
    <t>diktát</t>
  </si>
  <si>
    <t>nesmyslné plýtvání vs. hlad se prohloubí</t>
  </si>
  <si>
    <t>životní zdroje se tenčí (čistý vzduch/čistá voda/ledovce)</t>
  </si>
  <si>
    <t>mohutnější zástavba = menší plocha pro pěstování</t>
  </si>
  <si>
    <t>žádné louky/paseky=hmyz</t>
  </si>
  <si>
    <t>přírodní pohromy jako reakce na lidský vliv (odlesňování, těžba, ekologické katasttofy...)</t>
  </si>
  <si>
    <t>Nebude dostatek vody a dalších zdrojů</t>
  </si>
  <si>
    <t>Lidstvo blbne</t>
  </si>
  <si>
    <t>nedostatek jídla</t>
  </si>
  <si>
    <t>spatne podnebi</t>
  </si>
  <si>
    <t>Populiste</t>
  </si>
  <si>
    <t>honba za penezmi,slavou,uspechem,</t>
  </si>
  <si>
    <t>automatizace</t>
  </si>
  <si>
    <t>bez sikovnych lidi</t>
  </si>
  <si>
    <t>budou nemoci a velké války</t>
  </si>
  <si>
    <t>Všechno se to nějak borti.</t>
  </si>
  <si>
    <t>Nové nemoci</t>
  </si>
  <si>
    <t>Pristehovalci</t>
  </si>
  <si>
    <t>Budou docházet strategické suroviny</t>
  </si>
  <si>
    <t>Sociální nepokoje</t>
  </si>
  <si>
    <t>katastrofy - přírodní</t>
  </si>
  <si>
    <t>kvalita potravin</t>
  </si>
  <si>
    <t>finance</t>
  </si>
  <si>
    <t>zničená krajina</t>
  </si>
  <si>
    <t>klimaticke podminky</t>
  </si>
  <si>
    <t>migrace lidi</t>
  </si>
  <si>
    <t>nabozenstvi</t>
  </si>
  <si>
    <t>malo potravin</t>
  </si>
  <si>
    <t>přírodní zdroje omezeny</t>
  </si>
  <si>
    <t>migranti</t>
  </si>
  <si>
    <t>Mnoho lidí</t>
  </si>
  <si>
    <t>Málo místa</t>
  </si>
  <si>
    <t>Mizí lesy</t>
  </si>
  <si>
    <t>Mizí ledové plochy</t>
  </si>
  <si>
    <t>více smogu</t>
  </si>
  <si>
    <t>lidi znici vsechno</t>
  </si>
  <si>
    <t>Příroda bude více zničená.</t>
  </si>
  <si>
    <t>protože lidstvo blbne</t>
  </si>
  <si>
    <t>ekonomika jde do háje</t>
  </si>
  <si>
    <t>Problémy s klimatem</t>
  </si>
  <si>
    <t>Málo jídla a vody</t>
  </si>
  <si>
    <t>Ničí se příroda</t>
  </si>
  <si>
    <t>Protože se Islám roztahuje</t>
  </si>
  <si>
    <t>Protože je moc nenávisti.</t>
  </si>
  <si>
    <t>Kvalita ovzduší, vody</t>
  </si>
  <si>
    <t>Moc lidí, málo jidla</t>
  </si>
  <si>
    <t>Vytezene lesy</t>
  </si>
  <si>
    <t>moc lidí na zemi</t>
  </si>
  <si>
    <t>hodně chudých lidí</t>
  </si>
  <si>
    <t>stále "bojujeme" s přírodou a drancujeme ji</t>
  </si>
  <si>
    <t>Globální oteplování planety</t>
  </si>
  <si>
    <t>ekonomíka</t>
  </si>
  <si>
    <t>Extrémy a výkyvy v počasí</t>
  </si>
  <si>
    <t>Znečištění vzduchu, vody a planety</t>
  </si>
  <si>
    <t>Nadbytek plastů</t>
  </si>
  <si>
    <t>Politická nestabilita, vzestup extrémního populismu a extrémismu</t>
  </si>
  <si>
    <t>Málo přírody</t>
  </si>
  <si>
    <t>Za vše se více platí</t>
  </si>
  <si>
    <t>bude lidí jako psů</t>
  </si>
  <si>
    <t>charakter se dost křiví</t>
  </si>
  <si>
    <t>kdo má moc, chce víc - velké rozdíly mezi chudými a bohatými</t>
  </si>
  <si>
    <t>Prelidnena planeta</t>
  </si>
  <si>
    <t>Špatné klima</t>
  </si>
  <si>
    <t>v budoucnu si budou nesmrtelnost uzurpovat bohatí</t>
  </si>
  <si>
    <t>pro mnoho lidí bude velmi obtížné se na nové možnosti adaptovat</t>
  </si>
  <si>
    <t>ekologicke problemy</t>
  </si>
  <si>
    <t>zničená příroda</t>
  </si>
  <si>
    <t>Boj o vodu</t>
  </si>
  <si>
    <t>Matka Příroda nám vrací s úroky naše chování</t>
  </si>
  <si>
    <t>bude hodně lidí</t>
  </si>
  <si>
    <t>spatne zivotni prostredi</t>
  </si>
  <si>
    <t>podnebi</t>
  </si>
  <si>
    <t>EU</t>
  </si>
  <si>
    <t>nedostatek vody a jidla</t>
  </si>
  <si>
    <t>znicene životní prostředí</t>
  </si>
  <si>
    <t>znicene zivotni prostredi</t>
  </si>
  <si>
    <t>boj o preziti</t>
  </si>
  <si>
    <t>vedro</t>
  </si>
  <si>
    <t>draho</t>
  </si>
  <si>
    <t>neuprimno</t>
  </si>
  <si>
    <t>noc techniky</t>
  </si>
  <si>
    <t>protože bílých pracujících bude stále míň a barevní pracovat nebudou</t>
  </si>
  <si>
    <t>jídlo a voda</t>
  </si>
  <si>
    <t>s politikama</t>
  </si>
  <si>
    <t>s muslimama</t>
  </si>
  <si>
    <t>lidi se nezajimaji o prirodu a pritom díky ni, zijeme</t>
  </si>
  <si>
    <t>hodně odpadků</t>
  </si>
  <si>
    <t>jestli se lidstvo nebude chovat prizniveji k nasi planete, ona nam to bude bude vracet</t>
  </si>
  <si>
    <t>dojde ropa</t>
  </si>
  <si>
    <t>ničí se stromy daleko rychleji než zase vyrostou</t>
  </si>
  <si>
    <t>některé odpady nepůjdou rozložit</t>
  </si>
  <si>
    <t>menici se klima</t>
  </si>
  <si>
    <t>Více lidí</t>
  </si>
  <si>
    <t>méně zemědělské půdy</t>
  </si>
  <si>
    <t>emise</t>
  </si>
  <si>
    <t>zavislodt na rope</t>
  </si>
  <si>
    <t>sucho.. nebo povodně... malá uroda</t>
  </si>
  <si>
    <t>lidstvo</t>
  </si>
  <si>
    <t>Více stresu</t>
  </si>
  <si>
    <t>Méně potravin, vody na osobu</t>
  </si>
  <si>
    <t>tak celkově</t>
  </si>
  <si>
    <t>ztráta přírodních zdrojů</t>
  </si>
  <si>
    <t>přemnožení</t>
  </si>
  <si>
    <t>ekologické hrozby</t>
  </si>
  <si>
    <t>pokud to tady ta vláda všechno posere, tak není zbytí</t>
  </si>
  <si>
    <t>rostoucí zalidnění</t>
  </si>
  <si>
    <t>ubyvani osobni svobody a pohybu krajinou</t>
  </si>
  <si>
    <t>zamoreni plasty</t>
  </si>
  <si>
    <t>oteplování klimatu</t>
  </si>
  <si>
    <t>Multikulti a liberální demagogie znemožní klidný život.</t>
  </si>
  <si>
    <t>bude boj o vodu</t>
  </si>
  <si>
    <t>bude moc lidí na planetě</t>
  </si>
  <si>
    <t>příroda trpí</t>
  </si>
  <si>
    <t>nemoce</t>
  </si>
  <si>
    <t>moc regulací</t>
  </si>
  <si>
    <t>velké rozdíly mezi chudými a bohatými</t>
  </si>
  <si>
    <t>Ničíme si vlastní planetu</t>
  </si>
  <si>
    <t>lidstvo planetu pomalu ničí</t>
  </si>
  <si>
    <t>bude chybět kyslík</t>
  </si>
  <si>
    <t>Velké teplotní změny</t>
  </si>
  <si>
    <t>Málo pitné vody</t>
  </si>
  <si>
    <t>Zdevastovana a neurodna puda</t>
  </si>
  <si>
    <t>protože planeta a příroda bude zničenější</t>
  </si>
  <si>
    <t>Kapitalismus vysaje Zemi</t>
  </si>
  <si>
    <t>lidé si neváží přírody</t>
  </si>
  <si>
    <t>kvůli byznysu jde zdravý rozum stranou</t>
  </si>
  <si>
    <t>vzhledem k neslučitelnosti některých kultur bude stále obtížnější udržet udržet bezpečnost v rozumných mezích.</t>
  </si>
  <si>
    <t>planeta se plní lidmi, kteří spotřebovávají zdroje a nic nepřináší.</t>
  </si>
  <si>
    <t>změna klimatu</t>
  </si>
  <si>
    <t>mnoho odpadu</t>
  </si>
  <si>
    <t>no vse drahy</t>
  </si>
  <si>
    <t>lide si dost ubližují</t>
  </si>
  <si>
    <t>znečištění ovzduší</t>
  </si>
  <si>
    <t>ekonomická situace</t>
  </si>
  <si>
    <t>potíže s vodou</t>
  </si>
  <si>
    <t>moc ekektroniky</t>
  </si>
  <si>
    <t>špatného ovzduší</t>
  </si>
  <si>
    <t>Destruktivní vývoj společnosti</t>
  </si>
  <si>
    <t>sílící extrémnosti ve společnosti, diktatura menšin vůči mlčící většině</t>
  </si>
  <si>
    <t>globalizace - neustálé špehování lidí elektronickými systémy</t>
  </si>
  <si>
    <t>ztráta přirozenosti, selského rozumu</t>
  </si>
  <si>
    <t>složitější</t>
  </si>
  <si>
    <t>horsi pocasi</t>
  </si>
  <si>
    <t>kalamity</t>
  </si>
  <si>
    <t>globalni oteplovani</t>
  </si>
  <si>
    <t>kriminalita</t>
  </si>
  <si>
    <t>vice smogu</t>
  </si>
  <si>
    <t>mene zeleně</t>
  </si>
  <si>
    <t>oteplování, změna klimatu</t>
  </si>
  <si>
    <t>blahobyt za každou cenu</t>
  </si>
  <si>
    <t>nic nesetrime, chceme mit vše a hned</t>
  </si>
  <si>
    <t>Tovarny,chemicky, proste prumysl.</t>
  </si>
  <si>
    <t>Nemoce, viry</t>
  </si>
  <si>
    <t>Oteplovani</t>
  </si>
  <si>
    <t>ubude vody</t>
  </si>
  <si>
    <t>nastanou studené války</t>
  </si>
  <si>
    <t>no. lidu</t>
  </si>
  <si>
    <t>budou těžší podmínky</t>
  </si>
  <si>
    <t>drastické klimatické změny</t>
  </si>
  <si>
    <t>Protože si neuvědomujeme jak zemi ničíme</t>
  </si>
  <si>
    <t>Na prvním místě jsou peníze</t>
  </si>
  <si>
    <t>ničíme životní prostředí</t>
  </si>
  <si>
    <t>teplo</t>
  </si>
  <si>
    <t>lidé nebudou spolupracovat</t>
  </si>
  <si>
    <t>Lidé budou hloupěiší</t>
  </si>
  <si>
    <t>Životní prostředí</t>
  </si>
  <si>
    <t>Možnost konfliktů</t>
  </si>
  <si>
    <t>lidí bude moc</t>
  </si>
  <si>
    <t>Děláme vše proto, abychom přírodu co nejvíce zdevastovali.</t>
  </si>
  <si>
    <t>Morálka</t>
  </si>
  <si>
    <t>Nemoce</t>
  </si>
  <si>
    <t>špatné životni prostředí</t>
  </si>
  <si>
    <t>předimenzované prostředí</t>
  </si>
  <si>
    <t>Ekologické problémy</t>
  </si>
  <si>
    <t>Migrace nepřizpůsových, taky změní vše</t>
  </si>
  <si>
    <t>moc lidí málo jídla</t>
  </si>
  <si>
    <t>lidi se nemají rádi</t>
  </si>
  <si>
    <t>nedostatek jidla</t>
  </si>
  <si>
    <t>lidé se budou topit v odpadcích</t>
  </si>
  <si>
    <t>změní se klimatické podmínky</t>
  </si>
  <si>
    <t>nedostatek přírody</t>
  </si>
  <si>
    <t>Přelidněno</t>
  </si>
  <si>
    <t>BLM</t>
  </si>
  <si>
    <t>Země bude víc znečištěná</t>
  </si>
  <si>
    <t>Bude vyšší průměrná teplota</t>
  </si>
  <si>
    <t>klimaticke podmínky špatne</t>
  </si>
  <si>
    <t>Moc se toho ničí</t>
  </si>
  <si>
    <t>bude méně vody</t>
  </si>
  <si>
    <t>počasie</t>
  </si>
  <si>
    <t>priroda</t>
  </si>
  <si>
    <t>živočichy</t>
  </si>
  <si>
    <t>Veliký nárust obyvatel.</t>
  </si>
  <si>
    <t>Nedostatek pitné vody.</t>
  </si>
  <si>
    <t>Špatné složení obyvatel.</t>
  </si>
  <si>
    <t>zničená příroda,</t>
  </si>
  <si>
    <t>neúcta lidí ke všemu živému</t>
  </si>
  <si>
    <t>babiš pomůže k rozpadu a rozkladu země</t>
  </si>
  <si>
    <t>nove a nove viry</t>
  </si>
  <si>
    <t>oteplovani, zemetreseni atd</t>
  </si>
  <si>
    <t>Ekologie</t>
  </si>
  <si>
    <t>Energetické zdroje</t>
  </si>
  <si>
    <t>Nízká inteligence lidi</t>
  </si>
  <si>
    <t>Agresivita</t>
  </si>
  <si>
    <t>Terorismus</t>
  </si>
  <si>
    <t>Příroda bude zlikvidovaná</t>
  </si>
  <si>
    <t>horší se životní prostředí</t>
  </si>
  <si>
    <t>mnoho plastů</t>
  </si>
  <si>
    <t>biodiverzita</t>
  </si>
  <si>
    <t>příroda</t>
  </si>
  <si>
    <t>bude práce?</t>
  </si>
  <si>
    <t>lidstvo je nepoučitelné</t>
  </si>
  <si>
    <t>sami lidi si pod sebou podřezávají větev</t>
  </si>
  <si>
    <t>budou vichřice</t>
  </si>
  <si>
    <t>lidé si přírody neváží</t>
  </si>
  <si>
    <t>jen se množí</t>
  </si>
  <si>
    <t>priroda v haji a ekonomika taky</t>
  </si>
  <si>
    <t>Ekonomika bude klesat</t>
  </si>
  <si>
    <t>Ekologie půjde do háje</t>
  </si>
  <si>
    <t>Zatopování planety díky globálnímu oteplování</t>
  </si>
  <si>
    <t>škodlivé prostředí</t>
  </si>
  <si>
    <t>vzduuch</t>
  </si>
  <si>
    <t>vecny pandemie</t>
  </si>
  <si>
    <t>Otevřená odpověď</t>
  </si>
  <si>
    <t>životní úroveň</t>
  </si>
  <si>
    <t>Bude lepsi zivotni uroven i v chudsich zemich</t>
  </si>
  <si>
    <t>Bude zdravejsi zivotni prostredi</t>
  </si>
  <si>
    <t>Bude dostupnejsi zdravotni pece</t>
  </si>
  <si>
    <t>Zdraví</t>
  </si>
  <si>
    <t>Možnosti a příležitosti</t>
  </si>
  <si>
    <t>Ekonomická rovnost</t>
  </si>
  <si>
    <t>Pohodlí</t>
  </si>
  <si>
    <t>zdraví</t>
  </si>
  <si>
    <t>snad konečně lidi dostanou rozum a přestanou blbnout s oteplováním...</t>
  </si>
  <si>
    <t>nové možnosti</t>
  </si>
  <si>
    <t>nové technologie</t>
  </si>
  <si>
    <t>účinnější léky</t>
  </si>
  <si>
    <t>Životní úroveň</t>
  </si>
  <si>
    <t>Pristup k ekologii</t>
  </si>
  <si>
    <t>Technologie</t>
  </si>
  <si>
    <t>Životní úroveň více lidí.</t>
  </si>
  <si>
    <t>technologie</t>
  </si>
  <si>
    <t>Babiš bude po smrti</t>
  </si>
  <si>
    <t>všechno</t>
  </si>
  <si>
    <t>všichni chcípneme</t>
  </si>
  <si>
    <t>nebude kovid</t>
  </si>
  <si>
    <t>nebude války</t>
  </si>
  <si>
    <t>Více technologických vymožeností</t>
  </si>
  <si>
    <t>Pokročilejší zdravotnictví</t>
  </si>
  <si>
    <t>lidské vztahy</t>
  </si>
  <si>
    <t>Vše ;)</t>
  </si>
  <si>
    <t>lepší ovzduší</t>
  </si>
  <si>
    <t>nebude tady elita</t>
  </si>
  <si>
    <t>nebude tady vlada</t>
  </si>
  <si>
    <t>DOufám, že všechno:)</t>
  </si>
  <si>
    <t>Vztahy mezi lidmi</t>
  </si>
  <si>
    <t>lidska odpovednost</t>
  </si>
  <si>
    <t>méně chudoby</t>
  </si>
  <si>
    <t>klidní stát</t>
  </si>
  <si>
    <t>málo kriminality</t>
  </si>
  <si>
    <t>život bude pohodlnější</t>
  </si>
  <si>
    <t>méně hladovějících lidí (pokud ti zelení šílenci nezatrhnou GMO)</t>
  </si>
  <si>
    <t>zmizí migrace</t>
  </si>
  <si>
    <t>veda bude dal</t>
  </si>
  <si>
    <t>auta na elektřinu</t>
  </si>
  <si>
    <t>ovzduší</t>
  </si>
  <si>
    <t>technika</t>
  </si>
  <si>
    <t>vse</t>
  </si>
  <si>
    <t>ovzduší, klima</t>
  </si>
  <si>
    <t>slevy</t>
  </si>
  <si>
    <t>Lidé začínají býti více ohleduplní na okolí a přírodu</t>
  </si>
  <si>
    <t>Všechno</t>
  </si>
  <si>
    <t>bude míň lidī</t>
  </si>
  <si>
    <t>Lidi</t>
  </si>
  <si>
    <t>Příroda bude zdravější</t>
  </si>
  <si>
    <t>Všechno, ale později.</t>
  </si>
  <si>
    <t>Klima, voda, uspořádání lidské společnosti.</t>
  </si>
  <si>
    <t>Zpočátku ale budou vážné problémy.</t>
  </si>
  <si>
    <t>čistota prostředí</t>
  </si>
  <si>
    <t>zdravotnictvi</t>
  </si>
  <si>
    <t>Lidé</t>
  </si>
  <si>
    <t>vztahy</t>
  </si>
  <si>
    <t>zpracování odpadů</t>
  </si>
  <si>
    <t>energie z obnovitelných zdrojů</t>
  </si>
  <si>
    <t>lepší přístup k životnímu prostředí</t>
  </si>
  <si>
    <t>vše</t>
  </si>
  <si>
    <t>náhled na život</t>
  </si>
  <si>
    <t>technologie umozni snadnejsi zivot</t>
  </si>
  <si>
    <t>Nebudou muset tolik pracovat.</t>
  </si>
  <si>
    <t>Bude méně smrtelných nemocí.</t>
  </si>
  <si>
    <t>elektronika</t>
  </si>
  <si>
    <t>digitalizace</t>
  </si>
  <si>
    <t>svoboda slova</t>
  </si>
  <si>
    <t>vzdělanost</t>
  </si>
  <si>
    <t>svoboda obecně</t>
  </si>
  <si>
    <t>efektivita hospodářství</t>
  </si>
  <si>
    <t>lekarska pece</t>
  </si>
  <si>
    <t>Společnost</t>
  </si>
  <si>
    <t>Zaměstnání</t>
  </si>
  <si>
    <t>Ekonomika</t>
  </si>
  <si>
    <t>služby</t>
  </si>
  <si>
    <t>pracovni podminyk</t>
  </si>
  <si>
    <t>větší možnosti</t>
  </si>
  <si>
    <t>Bude se žít snáze</t>
  </si>
  <si>
    <t>Lidé budou více chránit přírodu</t>
  </si>
  <si>
    <t>vsechno</t>
  </si>
  <si>
    <t>zdravi</t>
  </si>
  <si>
    <t>Lidé, pokud budou chtít přežít, budou muset vymyslet jiné zdroje energie.</t>
  </si>
  <si>
    <t>Budou se muset víc a efektivněji věnovat zemědělství.</t>
  </si>
  <si>
    <t>více moznosti napr. v cestovani</t>
  </si>
  <si>
    <t>pokrok ve vědě</t>
  </si>
  <si>
    <t>všechno, život je stále snadnější</t>
  </si>
  <si>
    <t>medicína</t>
  </si>
  <si>
    <t>bude čistější</t>
  </si>
  <si>
    <t>lidstvo bude zredukováno</t>
  </si>
  <si>
    <t>lepsi zivot</t>
  </si>
  <si>
    <t>Uplně fšecko :-D</t>
  </si>
  <si>
    <t>Fšecko fšecičko!!! ;-)</t>
  </si>
  <si>
    <t>A třešnička on the TOP!!! :-D</t>
  </si>
  <si>
    <t>nové objevy</t>
  </si>
  <si>
    <t>zjednodušení běžných potřeb</t>
  </si>
  <si>
    <t>Bude min lidi</t>
  </si>
  <si>
    <t>Budou mit k sobe bliz, navrat ke "klanovym" jednotkam</t>
  </si>
  <si>
    <t>lepší klima</t>
  </si>
  <si>
    <t>dopravní infrastruktura</t>
  </si>
  <si>
    <t>možnosti vzdělávání</t>
  </si>
  <si>
    <t>kariérní růst</t>
  </si>
  <si>
    <t>zkusenost</t>
  </si>
  <si>
    <t>příroda se obnoví</t>
  </si>
  <si>
    <t>lidé začnou jinak myslet</t>
  </si>
  <si>
    <t>všechno- i lidi</t>
  </si>
  <si>
    <t>lidé si budou více rozumět</t>
  </si>
  <si>
    <t>lidé budou více chápat, jak ovlivňují svým jednáním kvalitu života, jak zasahují svými činy do fungování světa</t>
  </si>
  <si>
    <t>lidé budou mít větší úctu k životu</t>
  </si>
  <si>
    <t>**Změna klimatu** je spíš:</t>
  </si>
  <si>
    <t>velký problém dneška</t>
  </si>
  <si>
    <t>nafouklá bublina</t>
  </si>
  <si>
    <t>Změna klimatu je převážně  **důsledkem**: &lt;br&gt;&lt;br&gt;*Pokud nevíte, otázku přeskočte.*</t>
  </si>
  <si>
    <t>lidské činnosti</t>
  </si>
  <si>
    <t>přirozených procesů</t>
  </si>
  <si>
    <t>ještě něčeho jiného</t>
  </si>
  <si>
    <t>V jakém stavu je podle vás **krajina v naší zemi**?</t>
  </si>
  <si>
    <t>Je na tom skvěle.</t>
  </si>
  <si>
    <t>Mohlo by to být lepší.</t>
  </si>
  <si>
    <t>Je to hodně špatné.</t>
  </si>
  <si>
    <t>Jak na další otázku? &lt;br&gt;&lt;br&gt;Níže vidíte ukázku ovládání, jak štítky s odpověďmi roztřídit.&lt;br&gt;Štítky můžete **přetahovat, anebo postupně kliknout** nejdřív na štítek a pak na políčko, kam podle vás sedí.</t>
  </si>
  <si>
    <t>Co z toho jsou hlavní **problémy** české krajiny?</t>
  </si>
  <si>
    <t>hromadění odpadů (skládky..) - velký problém</t>
  </si>
  <si>
    <t>hromadění odpadů (skládky..) - tak trochu</t>
  </si>
  <si>
    <t>hromadění odpadů (skládky..) - není to problém</t>
  </si>
  <si>
    <t>hromadění odpadů (skládky..) - nevím</t>
  </si>
  <si>
    <t>nedostatek pitné vody - velký problém</t>
  </si>
  <si>
    <t>nedostatek pitné vody - tak trochu</t>
  </si>
  <si>
    <t>nedostatek pitné vody - není to problém</t>
  </si>
  <si>
    <t>nedostatek pitné vody - nevím</t>
  </si>
  <si>
    <t>vymírání včel - velký problém</t>
  </si>
  <si>
    <t>vymírání včel - tak trochu</t>
  </si>
  <si>
    <t>vymírání včel - není to problém</t>
  </si>
  <si>
    <t>vymírání včel - nevím</t>
  </si>
  <si>
    <t>vyčerpání zemědělské půdy - velký problém</t>
  </si>
  <si>
    <t>vyčerpání zemědělské půdy - tak trochu</t>
  </si>
  <si>
    <t>vyčerpání zemědělské půdy - není to problém</t>
  </si>
  <si>
    <t>vyčerpání zemědělské půdy - nevím</t>
  </si>
  <si>
    <t>znečištění vod (řeky, jezera..) - velký problém</t>
  </si>
  <si>
    <t>znečištění vod (řeky, jezera..) - tak trochu</t>
  </si>
  <si>
    <t>znečištění vod (řeky, jezera..) - není to problém</t>
  </si>
  <si>
    <t>znečištění vod (řeky, jezera..) - nevím</t>
  </si>
  <si>
    <t>znečištěné ovzduší - velký problém</t>
  </si>
  <si>
    <t>znečištěné ovzduší - tak trochu</t>
  </si>
  <si>
    <t>znečištěné ovzduší - není to problém</t>
  </si>
  <si>
    <t>znečištěné ovzduší - nevím</t>
  </si>
  <si>
    <t>zástavba zemědělské půdy - velký problém</t>
  </si>
  <si>
    <t>zástavba zemědělské půdy - tak trochu</t>
  </si>
  <si>
    <t>zástavba zemědělské půdy - není to problém</t>
  </si>
  <si>
    <t>zástavba zemědělské půdy - nevím</t>
  </si>
  <si>
    <t>těžba uhlí - velký problém</t>
  </si>
  <si>
    <t>těžba uhlí - tak trochu</t>
  </si>
  <si>
    <t>těžba uhlí - není to problém</t>
  </si>
  <si>
    <t>těžba uhlí - nevím</t>
  </si>
  <si>
    <t>sucho - velký problém</t>
  </si>
  <si>
    <t>sucho - tak trochu</t>
  </si>
  <si>
    <t>sucho - není to problém</t>
  </si>
  <si>
    <t>sucho - nevím</t>
  </si>
  <si>
    <t>kůrovec - velký problém</t>
  </si>
  <si>
    <t>kůrovec - tak trochu</t>
  </si>
  <si>
    <t>kůrovec - není to problém</t>
  </si>
  <si>
    <t>kůrovec - nevím</t>
  </si>
  <si>
    <t>plošné kácení lesů - velký problém</t>
  </si>
  <si>
    <t>plošné kácení lesů - tak trochu</t>
  </si>
  <si>
    <t>plošné kácení lesů - není to problém</t>
  </si>
  <si>
    <t>plošné kácení lesů - nevím</t>
  </si>
  <si>
    <t>škodlivé látky v prostředí (pesticidy, chemikálie..) - velký problém</t>
  </si>
  <si>
    <t>škodlivé látky v prostředí (pesticidy, chemikálie..) - tak trochu</t>
  </si>
  <si>
    <t>škodlivé látky v prostředí (pesticidy, chemikálie..) - není to problém</t>
  </si>
  <si>
    <t>škodlivé látky v prostředí (pesticidy, chemikálie..) - nevím</t>
  </si>
  <si>
    <t>velký problém - hromadění odpadů (skládky..)</t>
  </si>
  <si>
    <t>velký problém - nedostatek pitné vody</t>
  </si>
  <si>
    <t>velký problém - vymírání včel</t>
  </si>
  <si>
    <t>velký problém - vyčerpání zemědělské půdy</t>
  </si>
  <si>
    <t>velký problém - znečištění vod (řeky, jezera..)</t>
  </si>
  <si>
    <t>velký problém - znečištěné ovzduší</t>
  </si>
  <si>
    <t>velký problém - zástavba zemědělské půdy</t>
  </si>
  <si>
    <t>velký problém - těžba uhlí</t>
  </si>
  <si>
    <t>velký problém - sucho</t>
  </si>
  <si>
    <t>velký problém - kůrovec</t>
  </si>
  <si>
    <t>velký problém - plošné kácení lesů</t>
  </si>
  <si>
    <t>velký problém - škodlivé látky v prostředí (pesticidy, chemikálie..)</t>
  </si>
  <si>
    <t>tak trochu - hromadění odpadů (skládky..)</t>
  </si>
  <si>
    <t>tak trochu - nedostatek pitné vody</t>
  </si>
  <si>
    <t>tak trochu - vymírání včel</t>
  </si>
  <si>
    <t>tak trochu - vyčerpání zemědělské půdy</t>
  </si>
  <si>
    <t>tak trochu - znečištění vod (řeky, jezera..)</t>
  </si>
  <si>
    <t>tak trochu - znečištěné ovzduší</t>
  </si>
  <si>
    <t>tak trochu - zástavba zemědělské půdy</t>
  </si>
  <si>
    <t>tak trochu - těžba uhlí</t>
  </si>
  <si>
    <t>tak trochu - sucho</t>
  </si>
  <si>
    <t>tak trochu - kůrovec</t>
  </si>
  <si>
    <t>tak trochu - plošné kácení lesů</t>
  </si>
  <si>
    <t>tak trochu - škodlivé látky v prostředí (pesticidy, chemikálie..)</t>
  </si>
  <si>
    <t>není to problém - hromadění odpadů (skládky..)</t>
  </si>
  <si>
    <t>není to problém - nedostatek pitné vody</t>
  </si>
  <si>
    <t>není to problém - vymírání včel</t>
  </si>
  <si>
    <t>není to problém - vyčerpání zemědělské půdy</t>
  </si>
  <si>
    <t>není to problém - znečištění vod (řeky, jezera..)</t>
  </si>
  <si>
    <t>není to problém - znečištěné ovzduší</t>
  </si>
  <si>
    <t>není to problém - zástavba zemědělské půdy</t>
  </si>
  <si>
    <t>není to problém - těžba uhlí</t>
  </si>
  <si>
    <t>není to problém - sucho</t>
  </si>
  <si>
    <t>není to problém - kůrovec</t>
  </si>
  <si>
    <t>není to problém - plošné kácení lesů</t>
  </si>
  <si>
    <t>není to problém - škodlivé látky v prostředí (pesticidy, chemikálie..)</t>
  </si>
  <si>
    <t>nevím - hromadění odpadů (skládky..)</t>
  </si>
  <si>
    <t>nevím - nedostatek pitné vody</t>
  </si>
  <si>
    <t>nevím - vymírání včel</t>
  </si>
  <si>
    <t>nevím - vyčerpání zemědělské půdy</t>
  </si>
  <si>
    <t>nevím - znečištění vod (řeky, jezera..)</t>
  </si>
  <si>
    <t>nevím - znečištěné ovzduší</t>
  </si>
  <si>
    <t>nevím - zástavba zemědělské půdy</t>
  </si>
  <si>
    <t>nevím - těžba uhlí</t>
  </si>
  <si>
    <t>nevím - sucho</t>
  </si>
  <si>
    <t>nevím - kůrovec</t>
  </si>
  <si>
    <t>nevím - plošné kácení lesů</t>
  </si>
  <si>
    <t>nevím - škodlivé látky v prostředí (pesticidy, chemikálie..)</t>
  </si>
  <si>
    <t>chovat se s uctou</t>
  </si>
  <si>
    <t>Myslet</t>
  </si>
  <si>
    <t>Dostat rozum</t>
  </si>
  <si>
    <t>lepší vláda</t>
  </si>
  <si>
    <t>Dodržovat polní postupy, vyřadit vyčerpávající plodiny</t>
  </si>
  <si>
    <t>Stavět přehrady</t>
  </si>
  <si>
    <t>Neustale se ucit, jak ji pomoci.</t>
  </si>
  <si>
    <t>Omezit spotrebu energii, vody, plastu</t>
  </si>
  <si>
    <t>vrátit se k hospodaření našich dědečků</t>
  </si>
  <si>
    <t>remízky, stromy, keře</t>
  </si>
  <si>
    <t>zadržení vody tam kde spadne</t>
  </si>
  <si>
    <t>chránit víc přírodu</t>
  </si>
  <si>
    <t>šetřit vodou</t>
  </si>
  <si>
    <t>netopit uhlím</t>
  </si>
  <si>
    <t>omezit plasty</t>
  </si>
  <si>
    <t>šetřit, neplýtvat, třídit</t>
  </si>
  <si>
    <t>naucit se poslouchat prirodu</t>
  </si>
  <si>
    <t>zmenit zpusob zemedelstvi- mensi pole, remizky,jine plodiny(mene repky),</t>
  </si>
  <si>
    <t>mene kacet lesy s kurovcem, les se obnovuje rychleji,pokud clovek neudela holou planinu</t>
  </si>
  <si>
    <t>lide by mohli pouzivat misto aut kola, jenze to musi mesta vytvorit stezky a ne hnat kola mezi auta</t>
  </si>
  <si>
    <t>rychle se vzpamatovat!!!</t>
  </si>
  <si>
    <t>prestat zastavovat volnou krajinu, přestat sypat jedy vsude v přírodě, nechat přírodu volně zregenerovat, nezabíjet divoká zvířata,</t>
  </si>
  <si>
    <t>Lépe likvidovat odpady. Velké drtičky, které vše semelou na malé části. Možná to už tak funguje, ale určitě by se tim ušetřilo mnoho místa místo obrovských skládek. Možná by se nadrcené odpady daly využít dále. Jen můj názor...</t>
  </si>
  <si>
    <t>chránit ovzduší</t>
  </si>
  <si>
    <t>Omezit konzumni zpusob zivota</t>
  </si>
  <si>
    <t>Davat vice penez do modernich technologii jez prirodu chrani (OZE, hospodareni s vodou)</t>
  </si>
  <si>
    <t>Vymenit Tomana na postu ministra zemedelstvi, je to stara struktura</t>
  </si>
  <si>
    <t>Zajimat se o deni kolem sebe, kandidovat do volenych funkci a menit veci k lepsimu</t>
  </si>
  <si>
    <t>Revertovat socialistický přístup k hospodaření s krajinou</t>
  </si>
  <si>
    <t>Omezit stavby jednopatrových hal na aktivní půdě</t>
  </si>
  <si>
    <t>Rozumně omezit individuální bydlení (novostavby rodinných domů v satelitních obcích))</t>
  </si>
  <si>
    <t>méně odpadů</t>
  </si>
  <si>
    <t>přestat zastavovat zemědělskou půdu</t>
  </si>
  <si>
    <t>Nelikvidovat lesy</t>
  </si>
  <si>
    <t>Šetřit vodou</t>
  </si>
  <si>
    <t>Produkovat méně odpadu</t>
  </si>
  <si>
    <t>Uvažovat selským rozumem a podívat se zpět na naše předky</t>
  </si>
  <si>
    <t>lépe hospodařit s vodou</t>
  </si>
  <si>
    <t>Třidit odpad</t>
  </si>
  <si>
    <t>Chránit vodní toky</t>
  </si>
  <si>
    <t>Chránit zemědělskou půdu a efektivně ji využívat</t>
  </si>
  <si>
    <t>Vysazovat stromy</t>
  </si>
  <si>
    <t>Nevypouštět do ovzduší škodliviny</t>
  </si>
  <si>
    <t>radeji uz nic</t>
  </si>
  <si>
    <t>začít u sebe a jít příkladem druhým</t>
  </si>
  <si>
    <t>zodpovědně volit v každodenním životě i ve volbách</t>
  </si>
  <si>
    <t>přemýšlet o dopadech své činnosti a snažit se je minimalizovat</t>
  </si>
  <si>
    <t>podporovat neziskové organizace</t>
  </si>
  <si>
    <t>dílčích konkrétních věcí je hrozně moc</t>
  </si>
  <si>
    <t>Více si uvědomovat, že to co do ní dáváme od ní dostáváme i zpět. viz např pesticidy a umlá hnojiva, která v půdě zůstávají a my je pak dostáváme do těla potravinami.</t>
  </si>
  <si>
    <t>Nevim</t>
  </si>
  <si>
    <t>používat vice prirod ich materialu</t>
  </si>
  <si>
    <t>Začít šetřit se vším co se dá. Nevyrábět nadbytek.</t>
  </si>
  <si>
    <t>udělat remizky</t>
  </si>
  <si>
    <t>méně hnojit a méně pesticidů</t>
  </si>
  <si>
    <t>protierozní opatření</t>
  </si>
  <si>
    <t>vysazovat stromořadí</t>
  </si>
  <si>
    <t>správně hospodařit v zemědělství</t>
  </si>
  <si>
    <t>zadržovat vodu v krajině</t>
  </si>
  <si>
    <t>starat se o lesy</t>
  </si>
  <si>
    <t>vytvářet biokoridory</t>
  </si>
  <si>
    <t>Chránit ji, zvelebovat, omezit kamiony</t>
  </si>
  <si>
    <t>Od zakladu zmenit system - od zakladniho vzdelani vstepovat dulezitost udrzeni vody v krajine, podporovat lidi, kteri investuji a zalezi jim na stav krajiny</t>
  </si>
  <si>
    <t>byt ohleduplni</t>
  </si>
  <si>
    <t>lepe zadrzovat vodu</t>
  </si>
  <si>
    <t>vice vyuzivat brownfieldu</t>
  </si>
  <si>
    <t>nepoužívat chemii</t>
  </si>
  <si>
    <t>vysazovat nové lesy</t>
  </si>
  <si>
    <t>myslet</t>
  </si>
  <si>
    <t>být skromnější</t>
  </si>
  <si>
    <t>neplýtvat</t>
  </si>
  <si>
    <t>uvažovat systémově, ne jen z pohledu peněz</t>
  </si>
  <si>
    <t>přestat naslouchat ekoteroristům</t>
  </si>
  <si>
    <t>čistší ovzduší</t>
  </si>
  <si>
    <t>lépe se chovat k životnímu prostředí, chránit ho</t>
  </si>
  <si>
    <t>byt k ni ohleduplni</t>
  </si>
  <si>
    <t>nepovolovat stavby velkých skladů</t>
  </si>
  <si>
    <t>Nejprve si to uvědomit a pak začít systematicky pracovat na zlepšení - přechod k ekologičtější energii (odstavení uhelných elektráren), zmenšení polí (remízky) a přechod k ekologickému hospodaření (zakázání jedovatých pesticidů apod.), snížení množství odpadu (ne recyklace, ale směřovat k zero waste), rapidně snížit živočišnou výrobu, motivovat lidi k používání ekologičtější dopravy (levnější MHD, vlaky, budování cyklostezek), sázet smíšené a listnaté lesy, šetřit s vodou a dalšími zdroji, přejít od konzumu k minimalistickému životu, decentralizace (menší soběstačné celky - obce, komunity).</t>
  </si>
  <si>
    <t>hlavně vytvářet méně odpadu</t>
  </si>
  <si>
    <t>neznečišťovat přírodu</t>
  </si>
  <si>
    <t>Více se o ni zajímat, chránit ji a pomáhat ji v obnově</t>
  </si>
  <si>
    <t>predovšetkým sa vo všetkom krotiť-uskromniť</t>
  </si>
  <si>
    <t>urcite by se mohli lidi prestat chovat jak prasata a vyhazovat odpadky u cest apod.</t>
  </si>
  <si>
    <t>vetsi kontrola na hranicich aby se sem nedovazel odpad</t>
  </si>
  <si>
    <t>Nevolit ANO</t>
  </si>
  <si>
    <t>ne velké lány</t>
  </si>
  <si>
    <t>střídání plodin</t>
  </si>
  <si>
    <t>ne řepka</t>
  </si>
  <si>
    <t>ne chemie</t>
  </si>
  <si>
    <t>nekácet</t>
  </si>
  <si>
    <t>šetřit</t>
  </si>
  <si>
    <t>nestavět</t>
  </si>
  <si>
    <t>Nehospodařit na kolchozních lánech, ale na menších plochách -&gt; větší členitost krajiny.</t>
  </si>
  <si>
    <t>snízít emise aut</t>
  </si>
  <si>
    <t>třídit odpad</t>
  </si>
  <si>
    <t>vazit si prirody a nevyuzivat ke svemu prospechu</t>
  </si>
  <si>
    <t>uprava vodnic toku</t>
  </si>
  <si>
    <t>sadba lesu</t>
  </si>
  <si>
    <t>trideni a recyklace odpadu</t>
  </si>
  <si>
    <t>tlacit na korporaty, aby reagovali na potreby planety</t>
  </si>
  <si>
    <t>vykašlat se na alternativní zdroje energie</t>
  </si>
  <si>
    <t>žít v souladu s přírodou</t>
  </si>
  <si>
    <t>umřít</t>
  </si>
  <si>
    <t>nezatěžovaat ŽP odpady</t>
  </si>
  <si>
    <t>učit jednotlivce k šetrnosti</t>
  </si>
  <si>
    <t>omezit plýtvání potravin apod.</t>
  </si>
  <si>
    <t>ekologické zemědělství</t>
  </si>
  <si>
    <t>hospodaření s vodou</t>
  </si>
  <si>
    <t>Vymřít</t>
  </si>
  <si>
    <t>Snížit emise</t>
  </si>
  <si>
    <t>Třídit odpad</t>
  </si>
  <si>
    <t>Inovace v odpadech</t>
  </si>
  <si>
    <t>zastavit zábor zemědělské půdy</t>
  </si>
  <si>
    <t>vytvářet prostor pro zadržení vody na celém území</t>
  </si>
  <si>
    <t>komplexní řešení recyklace odpadů</t>
  </si>
  <si>
    <t>zadrzovani vody v krajine</t>
  </si>
  <si>
    <t>Volit politiky, kteří nebudou hledět jen na svůj byznys!</t>
  </si>
  <si>
    <t>vysazovat listnaté lesy</t>
  </si>
  <si>
    <t>používat více organických hnojiv</t>
  </si>
  <si>
    <t>zmenšit pole</t>
  </si>
  <si>
    <t>lidi by se měli nad sebou zamyslet a víc se starat  o naší přírodu</t>
  </si>
  <si>
    <t>starat se o vodu</t>
  </si>
  <si>
    <t>starat se o pudu</t>
  </si>
  <si>
    <t>Tolik nestavít</t>
  </si>
  <si>
    <t>účinněji hospodařit s půdou a vodou</t>
  </si>
  <si>
    <t>dát hlavy dokupy</t>
  </si>
  <si>
    <t>my toho moc nenaděláme</t>
  </si>
  <si>
    <t>příroda zvítězí</t>
  </si>
  <si>
    <t>vysadit více zeleně</t>
  </si>
  <si>
    <t>neznecistovat</t>
  </si>
  <si>
    <t>zjemnit industrialni zemedelstvi s vetsim ohledem k prirode</t>
  </si>
  <si>
    <t>vybrat nejvetsi prumyslove znecistovatele a ty resit</t>
  </si>
  <si>
    <t>Začít používat hlavu a změnit chování a více zapojit děti</t>
  </si>
  <si>
    <t>Těžká otázka, chovat se citlivě ke krajině.</t>
  </si>
  <si>
    <t>sázet mix stromů převážně listnatých</t>
  </si>
  <si>
    <t>obnova remízku pro retenci vody a zeminy v krajině</t>
  </si>
  <si>
    <t>premylet nad vsim co delame a starat se o prirodu a vazit si ji</t>
  </si>
  <si>
    <t>vytvářet remízky, více recyklovat</t>
  </si>
  <si>
    <t>používat přírodní prostředky</t>
  </si>
  <si>
    <t>učinit kroky k lepšímu zadržování vody v krajiněně</t>
  </si>
  <si>
    <t>produkovat méně odpadu</t>
  </si>
  <si>
    <t>snížit závislost na dovozu</t>
  </si>
  <si>
    <t>Vysazovat remízky, zadržovat vodu v krajině</t>
  </si>
  <si>
    <t>Omezit chemii</t>
  </si>
  <si>
    <t>více se o ni starat</t>
  </si>
  <si>
    <t>starat se o prirodu</t>
  </si>
  <si>
    <t>vic se o ni starat</t>
  </si>
  <si>
    <t>nezatezovat planetu odpadem,chemikaliemi</t>
  </si>
  <si>
    <t>zit lepe</t>
  </si>
  <si>
    <t>Omezit výfukové plyny</t>
  </si>
  <si>
    <t>Používat obnovitelné zdroje</t>
  </si>
  <si>
    <t>neznečišťovat ovzduší</t>
  </si>
  <si>
    <t>mene tezby</t>
  </si>
  <si>
    <t>vice lesu</t>
  </si>
  <si>
    <t>Poslouchat rady odborníků</t>
  </si>
  <si>
    <t>neházet odpadky v přírodě</t>
  </si>
  <si>
    <t>nemyslet jen na to jak co nejvíce zbohatnout, ale přemýšlet o tom jak se chovat lépe k naší planetě Zemi</t>
  </si>
  <si>
    <t>neměli bychom ji drancovat a vytěžit z ní co se dá.</t>
  </si>
  <si>
    <t>byla by na místě ohleduplnost a fundovaná péče</t>
  </si>
  <si>
    <t>sazet stromy</t>
  </si>
  <si>
    <t>uklizet odpad</t>
  </si>
  <si>
    <t>tridit odpad</t>
  </si>
  <si>
    <t>omezit znečišťování ovzduší</t>
  </si>
  <si>
    <t>ochrana vodních zdrojů</t>
  </si>
  <si>
    <t>zlikvidovat skládky odpadů</t>
  </si>
  <si>
    <t>Recyklovat</t>
  </si>
  <si>
    <t>Sázet zeleň</t>
  </si>
  <si>
    <t>Méně užívat vozidel na pohonné hmoty</t>
  </si>
  <si>
    <t>Užívat obnovitelných zdrojů energie</t>
  </si>
  <si>
    <t>Nedrancovat přírodu</t>
  </si>
  <si>
    <t>starat se o ni</t>
  </si>
  <si>
    <t>víc vnímat přirozené procesy krajiny a řídit se podke nich</t>
  </si>
  <si>
    <t>změny v krajině přizpůsobovat i přírodě a jejím potřebám</t>
  </si>
  <si>
    <t>chovat se ekologicky</t>
  </si>
  <si>
    <t>systelaticky na tom zacit pracovat</t>
  </si>
  <si>
    <t>zamyslet se nad svým pohodlím a trošku to změnit</t>
  </si>
  <si>
    <t>jíst méně živočišných výrobků</t>
  </si>
  <si>
    <t>jezdit méně autem</t>
  </si>
  <si>
    <t>více veřejnou dopravou</t>
  </si>
  <si>
    <t>neplýtvat potravinami</t>
  </si>
  <si>
    <t>chovat se zodpovedneji</t>
  </si>
  <si>
    <t>Chovat se k přírodě lépe</t>
  </si>
  <si>
    <t>Omezit masovou produkci a zaměřit se na reciklaci.</t>
  </si>
  <si>
    <t>starat se o ni. ne ji vyuzivat.</t>
  </si>
  <si>
    <t>ochrana zemědělské půdy</t>
  </si>
  <si>
    <t>sázení stromů</t>
  </si>
  <si>
    <t>Myslim, ze nez bych tu vse vypsala, tak by to bylo vážně hodně věcí, ale minimalne by stačilo vzit si predchozi otazku a nedelat tyto veci, např. nekacet zdrave stromy, nevyhazovat smeti vsude a nedelat skladky na nepovolenych mistech, snazit se vic kontrolovat, co se vypousti do vod, ovzdusi atd., a to je jen minimum z veci, ktere by se pro nasi krajinu daly delat</t>
  </si>
  <si>
    <t>pouzivat selsky rozum</t>
  </si>
  <si>
    <t>neuprednostnit finance nad ekologii</t>
  </si>
  <si>
    <t>Odkaz dětem, uzdravení planety, záchrana fauny a flory</t>
  </si>
  <si>
    <t>sazet stromy,  nepouzivat postřiky, vytvářet louky  pro včely,</t>
  </si>
  <si>
    <t>pro včely,  obnovovat louky,  nesekat trávníky</t>
  </si>
  <si>
    <t>Snížit CO zátěž</t>
  </si>
  <si>
    <t>Zlepšit hospodaření</t>
  </si>
  <si>
    <t>Lepsi skladba lesu</t>
  </si>
  <si>
    <t>Lepsi zuzitkovani destove vody.</t>
  </si>
  <si>
    <t>Být ohleduplnější. Ke všemu!</t>
  </si>
  <si>
    <t>Zrušit velké lány polí</t>
  </si>
  <si>
    <t>Obnovit remízky</t>
  </si>
  <si>
    <t>Zrušit regulace vodních toků</t>
  </si>
  <si>
    <t>hospodařit v souladu s přírodou</t>
  </si>
  <si>
    <t>více peněz věnovat na ochranu životního prostředí</t>
  </si>
  <si>
    <t>lépe využít přírodní energie</t>
  </si>
  <si>
    <t>lépe využívat přírodní zdroje</t>
  </si>
  <si>
    <t>neničit ekosystém</t>
  </si>
  <si>
    <t>Než icily pudu</t>
  </si>
  <si>
    <t>Vic zasazovat stromy, aby se vlaha drzela v zemi.</t>
  </si>
  <si>
    <t>být zodpovědní a ohleduplní</t>
  </si>
  <si>
    <t>Lépe se k ní chovat.</t>
  </si>
  <si>
    <t>vazit jsi jí</t>
  </si>
  <si>
    <t>srozumem se starat</t>
  </si>
  <si>
    <t>vystoupit z EU a začít zas normálně hospodařit</t>
  </si>
  <si>
    <t>nechat ji na pokoji</t>
  </si>
  <si>
    <t>uzkromnit se,neni potreba jahody v lednu a pod..</t>
  </si>
  <si>
    <t>Méně pesticidů a návrat k původnímu pěstování</t>
  </si>
  <si>
    <t>Zaryvani plodin místo chemického hnojení</t>
  </si>
  <si>
    <t>Podpora zadržování vody v krajině</t>
  </si>
  <si>
    <t>Nestavět silnice a další domy. Nechat přírodu tak jak byla vytvorenaj</t>
  </si>
  <si>
    <t>prestat kourit a pouštět dym z kominu netopit nevyrábět v továrnách</t>
  </si>
  <si>
    <t>odstranit meliorace, lepší zádržnost vody</t>
  </si>
  <si>
    <t>konec masivnímu zemědělství, sanace půdy</t>
  </si>
  <si>
    <t>ochrana zemědělské půdy, regulace výstavby</t>
  </si>
  <si>
    <t>myslím že už je na všechno pozdě</t>
  </si>
  <si>
    <t>ale</t>
  </si>
  <si>
    <t>nekácet, nezastavovat půdu, šetřit surovinami, starat se o faunu a floru,zakázat všechny jedovaté látky</t>
  </si>
  <si>
    <t>chovat se vsichni zodpovedne</t>
  </si>
  <si>
    <t>recyklace</t>
  </si>
  <si>
    <t>zadržování vody v přírodě</t>
  </si>
  <si>
    <t>menší spotřeba</t>
  </si>
  <si>
    <t>menší výroba</t>
  </si>
  <si>
    <t>opravovat spotřebiče</t>
  </si>
  <si>
    <t>více zemědělství</t>
  </si>
  <si>
    <t>pečovat oni</t>
  </si>
  <si>
    <t>vytvářet menší pole</t>
  </si>
  <si>
    <t>omezit globální oteplování</t>
  </si>
  <si>
    <t>výsadba lesů</t>
  </si>
  <si>
    <t>čištění řek a potoků</t>
  </si>
  <si>
    <t>přestat ovládat přírodu</t>
  </si>
  <si>
    <t>nechat přírodu žít</t>
  </si>
  <si>
    <t>snížit celosvětově počet obyvatel</t>
  </si>
  <si>
    <t>chovat se k ní lépe</t>
  </si>
  <si>
    <t>vysazovat nové stromy</t>
  </si>
  <si>
    <t>zadržování vody - mokřady</t>
  </si>
  <si>
    <t>méně pesticidů</t>
  </si>
  <si>
    <t>lepší orba</t>
  </si>
  <si>
    <t>remízky</t>
  </si>
  <si>
    <t>víc třídit odpad</t>
  </si>
  <si>
    <t>vice dbát na životní prostředí</t>
  </si>
  <si>
    <t>Chovat se podle zdravého selského rozumu</t>
  </si>
  <si>
    <t>zrušit státní financování politických "neziskovek"</t>
  </si>
  <si>
    <t>uvolnit stavění</t>
  </si>
  <si>
    <t>vyčíslit, kolik mrtvých mají na svědomí zelené "neziskovky" - vlastně výpalnicklé organizace - tím, že blokují liniové stavby</t>
  </si>
  <si>
    <t>podporovat zadržování vody v krajině</t>
  </si>
  <si>
    <t>rozprášit viníky uschnutí Šumavy</t>
  </si>
  <si>
    <t>pozavírat viníky nesmyslných zákonných dotací solárníkům (Bursík a spol) = státní loupež za bílého dne</t>
  </si>
  <si>
    <t>zamyslet se a především konat</t>
  </si>
  <si>
    <t>Využívat staré domy a paneláky,na místo stavby nových.</t>
  </si>
  <si>
    <t>Střídat zemědělské plodiny,doodržovat řádné zorání půdy,zaorávání živin.</t>
  </si>
  <si>
    <t>nestavět vše jen na penězích a zisku</t>
  </si>
  <si>
    <t>prosazovat ekologickou politiku</t>
  </si>
  <si>
    <t>investovat do zelené energetiky</t>
  </si>
  <si>
    <t>omezit automobilovou dopravu</t>
  </si>
  <si>
    <t>zvýšit záchyt vody v krajině</t>
  </si>
  <si>
    <t>Více jezdit mhd</t>
  </si>
  <si>
    <t>Více uklízet prostranství</t>
  </si>
  <si>
    <t>Více vysazovat stromu</t>
  </si>
  <si>
    <t>Nestavět na zelené louce</t>
  </si>
  <si>
    <t>chovat se k ni lepe</t>
  </si>
  <si>
    <t>Nejet kvantitu, ale kvalitu.</t>
  </si>
  <si>
    <t>chránit lesy vodu louky a nejen drancovat</t>
  </si>
  <si>
    <t>začít se změnou sami u sebe a pak tlačit na velké společnosti</t>
  </si>
  <si>
    <t>Nepovolovat a zastavit lomy v českém stredohori</t>
  </si>
  <si>
    <t>Zastavit kurovce</t>
  </si>
  <si>
    <t>Vice vysazovat stromy</t>
  </si>
  <si>
    <t>Přimět Čínu a Indii alespoň o polovinu snížit emise</t>
  </si>
  <si>
    <t>sadit stromy keře vytvořit remízky</t>
  </si>
  <si>
    <t>obnovit a budovat nové nahony a tůňky a další opatření pro zachycení vody v krajině</t>
  </si>
  <si>
    <t>pestovat rozmanité plodiny a střídat je</t>
  </si>
  <si>
    <t>omezovat vypouštění CO2 do ovzduší</t>
  </si>
  <si>
    <t>vytvářet krajinu</t>
  </si>
  <si>
    <t>Snažit se všichni</t>
  </si>
  <si>
    <t>chodit pěšky</t>
  </si>
  <si>
    <t>vyuzivat mhd</t>
  </si>
  <si>
    <t>efektivnější využití pitné vody</t>
  </si>
  <si>
    <t>revitalizace krajin</t>
  </si>
  <si>
    <t>lepe se stsrat</t>
  </si>
  <si>
    <t>nevyrabet a nekupovat zdravi skodlive vyrobky</t>
  </si>
  <si>
    <t>vic se prizpusobit prirode ve strave a kosmetice</t>
  </si>
  <si>
    <t>používat méně chemie v zemědělství</t>
  </si>
  <si>
    <t>nesekat neustále trávu</t>
  </si>
  <si>
    <t>nepěstovat v lese a na polích monokultury</t>
  </si>
  <si>
    <t>Neznecistovat ovzdusi</t>
  </si>
  <si>
    <t>skoda</t>
  </si>
  <si>
    <t>Pěstovat něco jiného než řepku a skladové haly. Zaměřit se na zavlažování a podporu zemědělců.</t>
  </si>
  <si>
    <t>repka/ pesticidy</t>
  </si>
  <si>
    <t>elektroauta</t>
  </si>
  <si>
    <t>lidi by meli chodit</t>
  </si>
  <si>
    <t>neznečišťovat ji</t>
  </si>
  <si>
    <t>přemýšlet</t>
  </si>
  <si>
    <t>vyslyšet odborníky ohledně koloběhu vody</t>
  </si>
  <si>
    <t>myslet a jednat víc v zájmu životního prostředí než v zájmu ekonomiky</t>
  </si>
  <si>
    <t>Mene intenzivní zemedelstvi</t>
  </si>
  <si>
    <t>Mene repky</t>
  </si>
  <si>
    <t>zadržování vody v krajině</t>
  </si>
  <si>
    <t>sázení druhove rozmanitých lesu</t>
  </si>
  <si>
    <t>chovat se k přírodě jak sama to potřebuje</t>
  </si>
  <si>
    <t>Vrátit vše do původního stavu. Obnova a vybudování rybníků, tůní. Všude kde to jde.Zapojit vsechny lidi.</t>
  </si>
  <si>
    <t>Umět zadržovat vodu v krajině.</t>
  </si>
  <si>
    <t>Neorat lány polí v takovém měřítku, více pastvin pro dobytek.</t>
  </si>
  <si>
    <t>Zalesňovat a zalesňovat.</t>
  </si>
  <si>
    <t>Děkovat za dary Matky Země.</t>
  </si>
  <si>
    <t>Volit "zeleny"</t>
  </si>
  <si>
    <t>být ohleduplnější</t>
  </si>
  <si>
    <t>nekácet lesy</t>
  </si>
  <si>
    <t>vic se starat o prirodu</t>
  </si>
  <si>
    <t>vsichni bychom meli chcipnout,aby se nase planeta dala doporadku</t>
  </si>
  <si>
    <t>vše co je potřeba</t>
  </si>
  <si>
    <t>Omezit cesty auty a letadly</t>
  </si>
  <si>
    <t>upravovat okolní přírodu tak, aby byla schopná zadržovat vodu</t>
  </si>
  <si>
    <t>být zodpovědní</t>
  </si>
  <si>
    <t>vice koukat kolem sebe</t>
  </si>
  <si>
    <t>Být šetrnější k naší přírodě</t>
  </si>
  <si>
    <t>nechat vic zelene</t>
  </si>
  <si>
    <t>kazdy by si ji mel vazit.</t>
  </si>
  <si>
    <t>Třídit odpadky</t>
  </si>
  <si>
    <t>Být zodpovědní</t>
  </si>
  <si>
    <t>recyklovat</t>
  </si>
  <si>
    <t>nepěstovat tolik řepky</t>
  </si>
  <si>
    <t>meně  firem které znečištujou ovzduši,zákaz aut v centru.</t>
  </si>
  <si>
    <t>nepohazovat odpadky tam, kde se nám zrovna zachce</t>
  </si>
  <si>
    <t>Vážit si toho, co máme.</t>
  </si>
  <si>
    <t>POdporovat růst a výstavbu stromů</t>
  </si>
  <si>
    <t>nenakupovat</t>
  </si>
  <si>
    <t>více se o ní starat</t>
  </si>
  <si>
    <t>více se přiblížit k přírodě</t>
  </si>
  <si>
    <t>Dodržovat třídění odpadu, neplýtvat jídlem ani vodou, vrátit řeky do jejich původních toků,</t>
  </si>
  <si>
    <t>Snížit počet letů, kéžby i aut, chránit včely a užitečný hmyz, ptáky</t>
  </si>
  <si>
    <t>Naprosto přehodnotit priority.</t>
  </si>
  <si>
    <t>udržovat zemědělskou půdu v dobrém stavu</t>
  </si>
  <si>
    <t>vysazovat více stromy</t>
  </si>
  <si>
    <t>neskodit ji tolik</t>
  </si>
  <si>
    <t>chovat se k ni slusne. tridit odpad a vse co k tomu patri</t>
  </si>
  <si>
    <t>Využít nové technologie</t>
  </si>
  <si>
    <t>Zastavit kácení lesů</t>
  </si>
  <si>
    <t>obnova krajiny a zeleně</t>
  </si>
  <si>
    <t>Zodpovedne hospodařit s vodou</t>
  </si>
  <si>
    <t>Být více ohleduplní a využívat nízkoenergetické energie</t>
  </si>
  <si>
    <t>prestat se chovat jako velitel Všehomira a uvedomit si, ze nic z toho co nam dava priroda neni bezedne</t>
  </si>
  <si>
    <t>podpora bio produkce potravin</t>
  </si>
  <si>
    <t>stop velkým šírým lánům</t>
  </si>
  <si>
    <t>ochrana divokých zvířat</t>
  </si>
  <si>
    <t>obnovit narovnané řeky do původní podoby</t>
  </si>
  <si>
    <t>nestavět megalomanské vodní nádrže</t>
  </si>
  <si>
    <t>vyčištění černých skládek</t>
  </si>
  <si>
    <t>respektovat její podstatu a zákonitosti</t>
  </si>
  <si>
    <t>méně používat auto</t>
  </si>
  <si>
    <t>nepoužívat pesticidy</t>
  </si>
  <si>
    <t>setrit ji</t>
  </si>
  <si>
    <t>Neznečišťovat ji, být ohleduplný a vytvářet zeleň.</t>
  </si>
  <si>
    <t>meli by se zavezt plosna ekologicka opatreni</t>
  </si>
  <si>
    <t>vice zadrzovat vodu v retencnich nadrzich</t>
  </si>
  <si>
    <t>neplytvat vodou a jidlem</t>
  </si>
  <si>
    <t>mensi pouziti plastu</t>
  </si>
  <si>
    <t>vyuzit energii z obnovitelnych zdroju vsude kde je to mozne</t>
  </si>
  <si>
    <t>šetřit přírodní zdroje</t>
  </si>
  <si>
    <t>Uskromnit svoje nároky</t>
  </si>
  <si>
    <t>Chovat se ekologicky</t>
  </si>
  <si>
    <t>hlidat sami sebe</t>
  </si>
  <si>
    <t>brzdit emise a být ohleduplní</t>
  </si>
  <si>
    <t>byt ohleduplní</t>
  </si>
  <si>
    <t>upravit zemědělství na méně intenzivní</t>
  </si>
  <si>
    <t>dávat více prostoru přírodě</t>
  </si>
  <si>
    <t>zbytečně nezastavovat volnou půdu halami</t>
  </si>
  <si>
    <t>nepoužívat jedy v krajině</t>
  </si>
  <si>
    <t>eliminovat nástrahy, které zvěři děláme</t>
  </si>
  <si>
    <t>zlepšit kvalitu krajin</t>
  </si>
  <si>
    <t>minimálně třídit odpad</t>
  </si>
  <si>
    <t>je to složité téma na dlouhou debatu. Nestačí jen říct, chovat se s úctou.</t>
  </si>
  <si>
    <t>starat se o ni. Nezakládat černé skládky.</t>
  </si>
  <si>
    <t>spáchat hromadnou sebevraždu</t>
  </si>
  <si>
    <t>Zamyslet se nad sebou</t>
  </si>
  <si>
    <t>starat se o ni, tzn. chce to činy, né jenom o tom mluvit</t>
  </si>
  <si>
    <t>Nechat ji dýchat</t>
  </si>
  <si>
    <t>Tvořit meandry a jezírka namísto přehrad a jiných blbostí</t>
  </si>
  <si>
    <t>Omezit dopravu</t>
  </si>
  <si>
    <t>Musí každý chtít. To je první krok.</t>
  </si>
  <si>
    <t>udržovat přírodu /faunu i floru/</t>
  </si>
  <si>
    <t>zlepšit zemědělství v naší zemi</t>
  </si>
  <si>
    <t>zrušit "lány" řepky!!!</t>
  </si>
  <si>
    <t>a j.</t>
  </si>
  <si>
    <t>vždy při každé činnosti na krajinu myslet a chránit ji</t>
  </si>
  <si>
    <t>vice po sobe uklizet</t>
  </si>
  <si>
    <t>Zklidnit se a začít myslet na přírodu víc, než na sebe</t>
  </si>
  <si>
    <t>Dodržovat stávající zákony</t>
  </si>
  <si>
    <t>Zrušit mezinárodní společnosti</t>
  </si>
  <si>
    <t>Méně odpadu</t>
  </si>
  <si>
    <t>neznecistovat ji</t>
  </si>
  <si>
    <t>Plánování životního prostředí by mělo být ve společném vlastnictví lidí a nikoli v zájmech oligarchů</t>
  </si>
  <si>
    <t>starat se o ní a ne budovat jen tovarny...</t>
  </si>
  <si>
    <t>probudit se konečně!!!</t>
  </si>
  <si>
    <t>vysazovat stromy</t>
  </si>
  <si>
    <t>hlubokou orbu</t>
  </si>
  <si>
    <t>hnojit organicky</t>
  </si>
  <si>
    <t>nejíst maso</t>
  </si>
  <si>
    <t>Více podporovat zemědělství a né Burešovu řepku</t>
  </si>
  <si>
    <t>lepe se chovat</t>
  </si>
  <si>
    <t>Zmensit pole - sazet stromy, budovat zelene střechy , prestat likvidovat přirozenou prirodu, snizit co2 na minimum</t>
  </si>
  <si>
    <t>Eko energie</t>
  </si>
  <si>
    <t>Plneni emisí</t>
  </si>
  <si>
    <t>trideni odpadu</t>
  </si>
  <si>
    <t>vratne obaly</t>
  </si>
  <si>
    <t>Volit zodpovědné politiky. Mluvit o tom a diskutovat. Změnit své životní návyky.</t>
  </si>
  <si>
    <t>Uprava zemedelstvi (mensi plochy, pestrejsi plodiny, remizky, mene chemie)</t>
  </si>
  <si>
    <t>Prace s vodou v krajine (mokrady, rybniky...)</t>
  </si>
  <si>
    <t>Pestrejsi skladba lesu</t>
  </si>
  <si>
    <t>vyčistit od odpadků</t>
  </si>
  <si>
    <t>zajistit čistotu vod</t>
  </si>
  <si>
    <t>chránit půdní fond před zástavbou</t>
  </si>
  <si>
    <t>významně omezit hnojení průmyslovými hnojivy</t>
  </si>
  <si>
    <t>významně snížit vliv aut na prostředí,omezit jejich počet</t>
  </si>
  <si>
    <t>dodržovat osevní postupy</t>
  </si>
  <si>
    <t>zvýšit stavy dobytka</t>
  </si>
  <si>
    <t>nehromadit odpad jakýkoli</t>
  </si>
  <si>
    <t>udělat remízky mezi poli ev.vysadit topoly</t>
  </si>
  <si>
    <t>nevpouštět jakýkoli chemické odpad do vodních toků</t>
  </si>
  <si>
    <t>zastavit používání šílených plastů okamžitě</t>
  </si>
  <si>
    <t>kamionovou dopravu přenést na železnice</t>
  </si>
  <si>
    <t>zakázat dětské plenkové kalhotky používat látkové jako dříve a přeprat</t>
  </si>
  <si>
    <t>Zboží stačí v jednom papírovém obalu,nikoli ještě v igelitu uvnitř</t>
  </si>
  <si>
    <t>nevyhazovat, ale opravovat, minimalizovat touhu po luxusu a hmotných statků, nevytvářet odpad,</t>
  </si>
  <si>
    <t>Rekultivace zpět - remízky, malé vodní plochy</t>
  </si>
  <si>
    <t>zákaz nového zabírání půdy pro výstavbu - ať se zbourají staré továrny a staví tam</t>
  </si>
  <si>
    <t>výrazné omezení prodeje zboží v plastových obalech</t>
  </si>
  <si>
    <t>vzdělávat již malé děti v dané problematice</t>
  </si>
  <si>
    <t>mokřady</t>
  </si>
  <si>
    <t>lesy</t>
  </si>
  <si>
    <t>celkově snížit spotřebu všeho. naučit se věci opravovat.</t>
  </si>
  <si>
    <t>Zlepšit ovzduší</t>
  </si>
  <si>
    <t>vysadit listnaté stromy</t>
  </si>
  <si>
    <t>Obnovovat přirozené přírodní ekosystémy (meandry řek, listnaté lesy atd.)</t>
  </si>
  <si>
    <t>Sladit péči o krajinu mezi Ministerstvem zemědělství a životního prostředí (popř. MMR)</t>
  </si>
  <si>
    <t>produkovat méně chemie do přírody</t>
  </si>
  <si>
    <t>podporovat ochranu krajiny</t>
  </si>
  <si>
    <t>osvěta</t>
  </si>
  <si>
    <t>místo výzkumu směřujícímu k tvorbě chemických látek - výzkum, jak přírodě ulevit, ochránit jí</t>
  </si>
  <si>
    <t>Tak to nevím :-(</t>
  </si>
  <si>
    <t>více využívat recyklaci</t>
  </si>
  <si>
    <t>zlepšit přístup vlády, krajských zastupitelstev obecně k přístupu  a chování k přírodě. drlat vše pro max. omezení plastů zálohovat veškeré plastové obaly , plechovky apod. v obchodě dát zákazníkovy na výběr buď zboží do papírového sáčku  nebo zboží v plastovém sacku za poplazfk 1kc</t>
  </si>
  <si>
    <t>Dotace podmíněné způsobem hospodaření</t>
  </si>
  <si>
    <t>Konec velkých lánů.</t>
  </si>
  <si>
    <t>Obecně se starat o prirodu a aspon nevyhazovat odpadky jen tak nekam</t>
  </si>
  <si>
    <t>chovat se k přírodě hezky</t>
  </si>
  <si>
    <t>Začít žít přirozeně.</t>
  </si>
  <si>
    <t>více třídit</t>
  </si>
  <si>
    <t>sázet s smíšené lesy</t>
  </si>
  <si>
    <t>využívat dešťovou vodu ve mestech</t>
  </si>
  <si>
    <t>víc jezdit na kole</t>
  </si>
  <si>
    <t>respektovat zachování podmínek pro užívání krajiny</t>
  </si>
  <si>
    <t>rozdělit zemědělské plochy na menší díly s různými produkty</t>
  </si>
  <si>
    <t>starat se o čistotu vod a ovzduší</t>
  </si>
  <si>
    <t>hospodařit lépe se všemi zdroji</t>
  </si>
  <si>
    <t>osveta</t>
  </si>
  <si>
    <t>Podporovat hmyz</t>
  </si>
  <si>
    <t>hlavne nepouživat plast</t>
  </si>
  <si>
    <t>zavirat vsechny co hazeji odpadky do prirody</t>
  </si>
  <si>
    <t>vyhodit všechny zmetky z důležitých postů, co hrabou jen do své kapsy</t>
  </si>
  <si>
    <t>přírodní zemědělství</t>
  </si>
  <si>
    <t>odpovědnost za znečištění</t>
  </si>
  <si>
    <t>Neřídit se jen výdělkem</t>
  </si>
  <si>
    <t>více ji chránit</t>
  </si>
  <si>
    <t>Lépe hospodařit se zemědělskou půdou</t>
  </si>
  <si>
    <t>Činit systémové kroky, ne nahodilé věci, které mají dobré PR.</t>
  </si>
  <si>
    <t>obnovovat lesy po kůrovci</t>
  </si>
  <si>
    <t>eliminovat jednorázové plasty</t>
  </si>
  <si>
    <t>přestat zatěžovat pole monokulturami</t>
  </si>
  <si>
    <t>"recyklovat" staré opuštěné budovy místo stavby nových na zemědělské půdě</t>
  </si>
  <si>
    <t>přestat používat pesticidy</t>
  </si>
  <si>
    <t>starat se o užitečný hmyz, podpořit včelaře</t>
  </si>
  <si>
    <t>pěstovat vše jako dříve,abychom byli soběstační ve všem</t>
  </si>
  <si>
    <t>Lépe hospodařit s půdou a vodou</t>
  </si>
  <si>
    <t>Zamyslet se nad tím co děláme</t>
  </si>
  <si>
    <t>Nebýt čuňata</t>
  </si>
  <si>
    <t>snažit se omezit jízdy autem</t>
  </si>
  <si>
    <t>netopit svinstvem</t>
  </si>
  <si>
    <t>nepouživat uhlí</t>
  </si>
  <si>
    <t>šetřit vodou a používat čističky na nové použití</t>
  </si>
  <si>
    <t>zajistit zadržování vody v krajině</t>
  </si>
  <si>
    <t>pokusit se omezit odpad např. recyklací</t>
  </si>
  <si>
    <t>nestavět betonové džungle na úkor zemědělské půdy</t>
  </si>
  <si>
    <t>lepší práce s vodou</t>
  </si>
  <si>
    <t>Nelétat letadlem</t>
  </si>
  <si>
    <t>Jíst více lokálního, zdražit dovážené</t>
  </si>
  <si>
    <t>Vyvíjet zdravější alternativy a dávat jim šanci</t>
  </si>
  <si>
    <t>Nejíst maso</t>
  </si>
  <si>
    <t>dávat více prostoru ideám</t>
  </si>
  <si>
    <t>Být připraven na změnu, akceptovat ji</t>
  </si>
  <si>
    <t>podívat se jak to dělali naši pradědové</t>
  </si>
  <si>
    <t>používat selský rozum</t>
  </si>
  <si>
    <t>vyčistit lesy</t>
  </si>
  <si>
    <t>nic</t>
  </si>
  <si>
    <t>lepe se starat o ziv. prostredi</t>
  </si>
  <si>
    <t>vrátit se k přírodě</t>
  </si>
  <si>
    <t>prijmout patricne zakony</t>
  </si>
  <si>
    <t>prestat podporovat velke zemedelce</t>
  </si>
  <si>
    <t>omezit hnojiva a repku</t>
  </si>
  <si>
    <t>podporovat ekologicke projekty</t>
  </si>
  <si>
    <t>vymenit vladu</t>
  </si>
  <si>
    <t>Rozdělit lány</t>
  </si>
  <si>
    <t>Stavět tůně</t>
  </si>
  <si>
    <t>správně třídit odpady a pak je také správně zpracovat!</t>
  </si>
  <si>
    <t>uvolnit půdu pro vodní plochy a meandry potoků a řek</t>
  </si>
  <si>
    <t>správné hospodaření na poli, střídání plodin, zmenšení polí, zrušit odvodňování polí</t>
  </si>
  <si>
    <t>chovat se zodpovědně</t>
  </si>
  <si>
    <t>Zrušit meliorace</t>
  </si>
  <si>
    <t>Obnovit meze, zmenšit pole</t>
  </si>
  <si>
    <t>Obnovovat tůně, rybničky kde dříve byly</t>
  </si>
  <si>
    <t>Podporovat návrat lidí k zahrádkaření</t>
  </si>
  <si>
    <t>Obnovit a podporovat zemědělskou tradici</t>
  </si>
  <si>
    <t>měli bychom se chovat ohleduplněji a ekologičtěji</t>
  </si>
  <si>
    <t>Třídit řádně odpad</t>
  </si>
  <si>
    <t>Čerpat přírodní zdroje, např. dešťovou vodu</t>
  </si>
  <si>
    <t>Ničím neplýtvat</t>
  </si>
  <si>
    <t>Lepší skladba lesů</t>
  </si>
  <si>
    <t>Hospodaření s vodou</t>
  </si>
  <si>
    <t>Nechat lidi bohatnout. Pak se budou moci starat o své okolí.</t>
  </si>
  <si>
    <t>vice se na ni soustředit</t>
  </si>
  <si>
    <t>zadržet vodu v půdě</t>
  </si>
  <si>
    <t>změnit skladbu lesů</t>
  </si>
  <si>
    <t>využít dopravní prostředky na el. provoz</t>
  </si>
  <si>
    <t>Nezatěžovat přírodu</t>
  </si>
  <si>
    <t>Uzavřít největší znečišťovatele - uhelné elektrárny ve vlastnictví státu</t>
  </si>
  <si>
    <t>Snažit se o návrat vody do krajiny formou tisíců malých projektů</t>
  </si>
  <si>
    <t>Výrazněji zdanit vypuštění emisí / regulace obchodování s povolenkami</t>
  </si>
  <si>
    <t>Podpora obnovitelných zdrojů energie</t>
  </si>
  <si>
    <t>Podpora zateplování objektů</t>
  </si>
  <si>
    <t>Podpora eklologických způsobů dopravy (hromadná, sdílená auta, ekologické spalování, či elektroauta, ...)</t>
  </si>
  <si>
    <t>Lepší hospodaření na polích - obnova remízků, mezí, větší různorodost výsadby, mozaikové kosení, ...</t>
  </si>
  <si>
    <t>Nepřijímát uprchlíky, být vic sobestacni</t>
  </si>
  <si>
    <t>více dbát na čistotu</t>
  </si>
  <si>
    <t>chovat se vice ohleduplne, nebyt konzumentem, setrit</t>
  </si>
  <si>
    <t>přestat žít tenhle finanční styl života žít kromě a vrátit se o 500 let zpět!!</t>
  </si>
  <si>
    <t>Neustále se staví nové a nové domy, ale obyvatel je přitom plus minus stejně:(</t>
  </si>
  <si>
    <t>proč musí mít každý všechno?</t>
  </si>
  <si>
    <t>Zrusit zemedelske dotace na produkci, pokud uz vubec dotace tak na peci o krajinu. Toto prosazovat v EU</t>
  </si>
  <si>
    <t>Dodrzovat zaplavova uzemi nechapu ze v zaplavovych uzemich je dovoleno stavet, Kde to pujde obnovit luzni lesy.</t>
  </si>
  <si>
    <t>Mene sekat travu to uz se nastesti na mnoha mistech dela.</t>
  </si>
  <si>
    <t>Snizit tepelne ostrovy mest ktere odpuzuji srazky.</t>
  </si>
  <si>
    <t>Snizit svetelne znecisteni, napriklad zakazem osvetlovani bilboordu od 22:00 do 6:00, zakaz osvetlovacich teles na verejnych prostranstvich o barve svetla presahujici 3000 kelvinu, a teles osvetlujicich vice nebe nez silnici ci chodnik.</t>
  </si>
  <si>
    <t>Stavet s rozumem, je tendence zastavet kazdy volny kousicek bytovimi domy pritom je spousta budov ktere nechavaji majitele zchatrat kvuli vynosnemu pozemku. Zvysit dan z vlastnictvi nemovitosti aby se toto nevyplatilo delat.</t>
  </si>
  <si>
    <t>přemýšlet.....</t>
  </si>
  <si>
    <t>Lépe využívat zemědělskou pudu</t>
  </si>
  <si>
    <t>Vytvářet více vodních ploch pro její udrzeni</t>
  </si>
  <si>
    <t>Nezastavovat kvalitní pudu</t>
  </si>
  <si>
    <t>Chce to systémovou změnu. Drobná pomoc od jednotlivců sice svojí váhu má, nikdy však ke změně nedojde pokud se nenastaví systém jinak.</t>
  </si>
  <si>
    <t>lépe tridit odpad</t>
  </si>
  <si>
    <t>Nepouzivat chemii</t>
  </si>
  <si>
    <t>Vratit se k prirozenemu zadrzovani vody v prirode</t>
  </si>
  <si>
    <t>Politice by neměli hrabat pro sebe,ale jít příkladem.</t>
  </si>
  <si>
    <t>Větší ohleduplnost</t>
  </si>
  <si>
    <t>Spolupráce</t>
  </si>
  <si>
    <t>Omezit průmyslovou výrobu</t>
  </si>
  <si>
    <t>Omezit provoz automobilové a letecké dopravy</t>
  </si>
  <si>
    <t>udržovat čistou</t>
  </si>
  <si>
    <t>lépe se k ní chovat</t>
  </si>
  <si>
    <t>věnovat krajině více času a více zalesňovat at se má kde držet voda</t>
  </si>
  <si>
    <t>Zajistit hospodaření s vodou</t>
  </si>
  <si>
    <t>Používat méně chemie</t>
  </si>
  <si>
    <t>Starat se o včely</t>
  </si>
  <si>
    <t>Pěstovat plodiny, které méně vyčerpávají půdu</t>
  </si>
  <si>
    <t>zpracovani odpadu</t>
  </si>
  <si>
    <t>lepsi ovzdusi</t>
  </si>
  <si>
    <t>nebyt tak konzumni spolecnost</t>
  </si>
  <si>
    <t>Chovat se zodpovědně</t>
  </si>
  <si>
    <t>SÁZET STROMY</t>
  </si>
  <si>
    <t>chovat se šetrně</t>
  </si>
  <si>
    <t>opravovat věci</t>
  </si>
  <si>
    <t>lépe se o ni starat</t>
  </si>
  <si>
    <t>snížit hnojiva</t>
  </si>
  <si>
    <t>starat se o ní</t>
  </si>
  <si>
    <t>nelít peníze do Agrofertů a podobných bezohledných korporací</t>
  </si>
  <si>
    <t>směřovat k obhospodařování půdy vlastníky, nikoliv nájemci</t>
  </si>
  <si>
    <t>sázet aleje, budovat meze</t>
  </si>
  <si>
    <t>Chránit ji</t>
  </si>
  <si>
    <t>Nesnažit se jí celou zastavět</t>
  </si>
  <si>
    <t>odpady</t>
  </si>
  <si>
    <t>pitná voda</t>
  </si>
  <si>
    <t>budování remízků</t>
  </si>
  <si>
    <t>výsadba zeleně</t>
  </si>
  <si>
    <t>omezit celkove vyfukove plyny</t>
  </si>
  <si>
    <t>udrzet vodu v krajine (prehrady, rybniky, močaly...)</t>
  </si>
  <si>
    <t>omezit plasty na minimum</t>
  </si>
  <si>
    <t>vice tridit odpad</t>
  </si>
  <si>
    <t>chovat se normálně</t>
  </si>
  <si>
    <t>zbytečně neplýtvat a nevyrabet nadmerne mnozstvi veci</t>
  </si>
  <si>
    <t>neznečišťovat prirodu</t>
  </si>
  <si>
    <t>nechovat je jako hovada</t>
  </si>
  <si>
    <t>Nekácet lesy, ale ošetřovat je</t>
  </si>
  <si>
    <t>Chovat se zodpovědněji</t>
  </si>
  <si>
    <t>učit ve školkách a školách</t>
  </si>
  <si>
    <t>trochu se uskromnit</t>
  </si>
  <si>
    <t>nevyužívat, al epomáhat  a opatrovat</t>
  </si>
  <si>
    <t>Sázet stromy,auta přehodit na solární pohon,dělat mokřady,</t>
  </si>
  <si>
    <t>přestat topit fosilními palivy,</t>
  </si>
  <si>
    <t>Starat se víc o přírodu</t>
  </si>
  <si>
    <t>Ekologické zermědělství</t>
  </si>
  <si>
    <t>Hospodaření s vodními zdroji</t>
  </si>
  <si>
    <t>Omezení exhalací</t>
  </si>
  <si>
    <t>mene produkovat odpad</t>
  </si>
  <si>
    <t>pravidelne uklizet prirodu</t>
  </si>
  <si>
    <t>chovatz se s rozumem</t>
  </si>
  <si>
    <t>Méně plýtvání</t>
  </si>
  <si>
    <t>Neznečišťovat přírodu</t>
  </si>
  <si>
    <t>Ochrana zeleně</t>
  </si>
  <si>
    <t>Více lesů</t>
  </si>
  <si>
    <t>hlavně se zamyslet</t>
  </si>
  <si>
    <t>setrit vodou</t>
  </si>
  <si>
    <t>Ponechat přírodu, aby se rozvíjela dle svých potřeb a možností - nedevastovat ji.</t>
  </si>
  <si>
    <t>Uvážit spotřebu a vyprodukovaný spotřební materiál.</t>
  </si>
  <si>
    <t>Nepoužívat plastové nádoby</t>
  </si>
  <si>
    <t>Nezakládat, ale likvidovat černé skládky.</t>
  </si>
  <si>
    <t>Nevypouštět do přírody zplodiny a jiné odpady.</t>
  </si>
  <si>
    <t>Ponechat pole polím, lesy lesům, řeky a ostatní toky bez nevhodného zásahu člověka.</t>
  </si>
  <si>
    <t>Dodržovat třídění odpadků, používat užitkovou vodu na vše co se netýká vaření a pití</t>
  </si>
  <si>
    <t>naučit se správně hospodařit, zacházet s půdou</t>
  </si>
  <si>
    <t>Chovat se slušně a ohleduplně</t>
  </si>
  <si>
    <t>nestavet haly na urodnych polich</t>
  </si>
  <si>
    <t>neuzivat pesticidy co zabiji vcely</t>
  </si>
  <si>
    <t>nekupovat zbytečnosti, nove veci, pujcovat si, nechavat si dle potreby, chodit pesky kdykoli to jde</t>
  </si>
  <si>
    <t>Začít u sebe-třídit odpad, snažit se co nejméně zatěžovat životní prostredi</t>
  </si>
  <si>
    <t>odluzit</t>
  </si>
  <si>
    <t>zelená zona</t>
  </si>
  <si>
    <t>větší domy</t>
  </si>
  <si>
    <t>lepsí hospodaření s jídlem</t>
  </si>
  <si>
    <t>vážit si jí</t>
  </si>
  <si>
    <t>chránit ji</t>
  </si>
  <si>
    <t>jezdit mene auty</t>
  </si>
  <si>
    <t>jinak hospodarit, obnova remizku a vodnich ploch</t>
  </si>
  <si>
    <t>Neničit životní prostředí</t>
  </si>
  <si>
    <t>Vytvářet méně odpadu, používat energii z obnovitelných zdrojů</t>
  </si>
  <si>
    <t>Chovat se jako lidi, snizovat produkci odpadků.</t>
  </si>
  <si>
    <t>používat řešení prospěšné pro přírodu, ne jen pro nás</t>
  </si>
  <si>
    <t>Chránit a vážit si přírody</t>
  </si>
  <si>
    <t>neznečištovat ji</t>
  </si>
  <si>
    <t>zmirnit odpad</t>
  </si>
  <si>
    <t>prejit na jadro</t>
  </si>
  <si>
    <t>zadrzet vodu v krajine</t>
  </si>
  <si>
    <t>začít se chovat k přírodě lepa a setrit vodou</t>
  </si>
  <si>
    <t>Více vysazovat stromy.</t>
  </si>
  <si>
    <t>Zařadit systém trojpolí - jedno pole si vždy 1 rok ,,odpočine".</t>
  </si>
  <si>
    <t>Vrátit krajinu do stavu než na ni šáhli komunisti a divoké '90.</t>
  </si>
  <si>
    <t>chranit ji</t>
  </si>
  <si>
    <t>Nepoužívat chemii na polích</t>
  </si>
  <si>
    <t>vytváření větší zásoby vody</t>
  </si>
  <si>
    <t>vysazování nových stromů</t>
  </si>
  <si>
    <t>uklízení odpadků a větší ochrana životního prostředí</t>
  </si>
  <si>
    <t>nehamonit</t>
  </si>
  <si>
    <t>Uskrovnit se..</t>
  </si>
  <si>
    <t>být ohleduplnější k přírodě</t>
  </si>
  <si>
    <t>zachycovat vodu</t>
  </si>
  <si>
    <t>vrátit se o 100 let zpátky</t>
  </si>
  <si>
    <t>trochuse uskromnit a nehnat se jen tak za mamonem moderní doby</t>
  </si>
  <si>
    <t>nwm</t>
  </si>
  <si>
    <t>Dodoržovat osevní postupy.</t>
  </si>
  <si>
    <t>Neplýtvat vodou.</t>
  </si>
  <si>
    <t>Minimalizovat potřebu jednorázovych plastů.</t>
  </si>
  <si>
    <t>Snažit se neprodukovat moc odpadu.</t>
  </si>
  <si>
    <t>zmenit zpusob chovani</t>
  </si>
  <si>
    <t>uklizet</t>
  </si>
  <si>
    <t>Hospodařit s rozumem.</t>
  </si>
  <si>
    <t>Chovat se ohleduplně k zeleni.</t>
  </si>
  <si>
    <t>Chránit vodu a lesy.</t>
  </si>
  <si>
    <t>jjk</t>
  </si>
  <si>
    <t>měli bychom používat víc rozum</t>
  </si>
  <si>
    <t>chovat se vúči krajině ohleduplně, dodržovat ekologická pravidla, nacházet řešení výhodná pro přírodu, nikoliv pro zisk civilizace</t>
  </si>
  <si>
    <t>zkrátka chránit přírodu, ne civilizaci</t>
  </si>
  <si>
    <t>osvěta, učit lidstvo chovat se ohleduplně k přírodě jako entitě, která ho přesahuje a je důležitější než lidstvo samo</t>
  </si>
  <si>
    <t>starat se líp o ni</t>
  </si>
  <si>
    <t>neprodukovat tolik odpadu</t>
  </si>
  <si>
    <t>Niv</t>
  </si>
  <si>
    <t>udržovat vodu v krajině- mokřady (ne tolik přehrad)</t>
  </si>
  <si>
    <t>začít ekologické zemědělství, bez pesticidů</t>
  </si>
  <si>
    <t>žádně lány polí</t>
  </si>
  <si>
    <t>remízky v polích</t>
  </si>
  <si>
    <t>méně řepky olejné</t>
  </si>
  <si>
    <t>Vyměnit ministry</t>
  </si>
  <si>
    <t>nezastavovat zemědělská pole</t>
  </si>
  <si>
    <t>nestavět hodně továren</t>
  </si>
  <si>
    <t>chovat se ohleduplně k životnímu prostředí</t>
  </si>
  <si>
    <t>neumožnit stavby v chráněném území</t>
  </si>
  <si>
    <t>vrátit zpátky remízky a dřívější způsob zemědělství</t>
  </si>
  <si>
    <t>chovat se rozumne</t>
  </si>
  <si>
    <t>chovat se k ní lépe, neházet odpadky do lesů, vysazovat nové stromy, neznečišťovat vody</t>
  </si>
  <si>
    <t>mít na mysli následky našich činů</t>
  </si>
  <si>
    <t>žít lépe</t>
  </si>
  <si>
    <t>udržitelné zemědělství</t>
  </si>
  <si>
    <t>Zacit se u sebe omezovat</t>
  </si>
  <si>
    <t>Ne kácet stromy a chovat se k přírodě slusne</t>
  </si>
  <si>
    <t>Jist méně masa, více recyklovat, jist zdravěji</t>
  </si>
  <si>
    <t>Chovat se</t>
  </si>
  <si>
    <t>rozhodně naplánovat aktivní držení vody v krajině</t>
  </si>
  <si>
    <t>více třídit odpad a lépe ho zpracovávat</t>
  </si>
  <si>
    <t>zalesnovat,přehrady</t>
  </si>
  <si>
    <t>neposlouchat ekoteroristy</t>
  </si>
  <si>
    <t>Dělat uváženě všechny zásahy do krajiny!</t>
  </si>
  <si>
    <t>více třídit odpad</t>
  </si>
  <si>
    <t>nesekat v létě trávu každý týden</t>
  </si>
  <si>
    <t>nezakládat černé skládky</t>
  </si>
  <si>
    <t>lepší chování ke zvířatům</t>
  </si>
  <si>
    <t>myslet více ekologicky</t>
  </si>
  <si>
    <t>neplýtvat jídlem a vodou</t>
  </si>
  <si>
    <t>dát prostor zdravému rozumu před byrokratickými výmysly</t>
  </si>
  <si>
    <t>odpadky tridit</t>
  </si>
  <si>
    <t>Lépe hospodařit na polích, aby lépe vsakovala vodu</t>
  </si>
  <si>
    <t>Lépe hospodařit v lesích</t>
  </si>
  <si>
    <t>Dodržovat řádně již platné předpisy a normy</t>
  </si>
  <si>
    <t>šetřit les</t>
  </si>
  <si>
    <t>celostátní zájem</t>
  </si>
  <si>
    <t>líde ohleduplnější</t>
  </si>
  <si>
    <t>více zájmu nás všech</t>
  </si>
  <si>
    <t>Zz</t>
  </si>
  <si>
    <t>začít si vážit Země</t>
  </si>
  <si>
    <t>Vysazovat ve velkém smíšené lesy,neobdělávat</t>
  </si>
  <si>
    <t>monotonně velké plochy polí,v krajině udržovat více vody,</t>
  </si>
  <si>
    <t>omezovat odpad, recyklovat</t>
  </si>
  <si>
    <t>Neničit lesy</t>
  </si>
  <si>
    <t>Nevyhazovat do přírody odpad</t>
  </si>
  <si>
    <t>Neničit přírodu celkově</t>
  </si>
  <si>
    <t>Neznečišťivat vodu</t>
  </si>
  <si>
    <t>měli bychom dosat rozum a nechat se poučit lidmi, kteří tomu rozumí</t>
  </si>
  <si>
    <t>začít více o krajinu pečovat</t>
  </si>
  <si>
    <t>poctivě třídit odpad</t>
  </si>
  <si>
    <t>omezit používání plastů</t>
  </si>
  <si>
    <t>pokud možno nepoužívat chemická hnojiva</t>
  </si>
  <si>
    <t>omezit na nejvyšší míru zplodiny</t>
  </si>
  <si>
    <t>je toho mnoho co můžeme udělat, ale momentálně si nevzpomenu co ještě</t>
  </si>
  <si>
    <t>Pěstovat plodiny které sem patří,změnit hospodaření s vodou v přírodě,používat minimum obalů</t>
  </si>
  <si>
    <t>měli bysme se starat o to co máme a nezabírat další půdu</t>
  </si>
  <si>
    <t>pole by měla být obhospodařována beze zbytku</t>
  </si>
  <si>
    <t>vznik pastvin a luk</t>
  </si>
  <si>
    <t>zemědělství by mělo být řízeno centrálně, aby byla zemina využívána ne přetěžována</t>
  </si>
  <si>
    <t>staraz se o ni</t>
  </si>
  <si>
    <t>třídění odpadu</t>
  </si>
  <si>
    <t>zajímání se o své okolí</t>
  </si>
  <si>
    <t>vrátit řeky do původních toků (místo jejich regulace)</t>
  </si>
  <si>
    <t>Omezit dotace na řepku a podobná svinstva</t>
  </si>
  <si>
    <t>Zřídit remízky mezi poli</t>
  </si>
  <si>
    <t>Vybudovat nové mokřady</t>
  </si>
  <si>
    <t>Případně vytvořit nová vodní díla (nádrže)</t>
  </si>
  <si>
    <t>omezit novu výstavbu průmyslu</t>
  </si>
  <si>
    <t>recykolavat</t>
  </si>
  <si>
    <t>lépe hospodařit s půdou a vodou</t>
  </si>
  <si>
    <t>hospodařit s odpady</t>
  </si>
  <si>
    <t>setrit prirodu</t>
  </si>
  <si>
    <t>prizpusobit nase chovani prirode</t>
  </si>
  <si>
    <t>Zadrzet vodu</t>
  </si>
  <si>
    <t>Zmenit zemefelstvi</t>
  </si>
  <si>
    <t>Ftv z poli na strechy, zastresit vsechny parkoviste</t>
  </si>
  <si>
    <t>starat se o zeleň</t>
  </si>
  <si>
    <t>ochranu zvířat</t>
  </si>
  <si>
    <t>spásání trav bez sekání</t>
  </si>
  <si>
    <t>zakládání lesů</t>
  </si>
  <si>
    <t>nové parky</t>
  </si>
  <si>
    <t>zazelenění domú</t>
  </si>
  <si>
    <t>pecovat o ni</t>
  </si>
  <si>
    <t>pouzivat recyklovatelne obaly</t>
  </si>
  <si>
    <t>tovarny</t>
  </si>
  <si>
    <t>chovat se ekologicky,ale všichni i celý svět.Tam to bohužel nedopadá dobře</t>
  </si>
  <si>
    <t>Všichni třídit odpad</t>
  </si>
  <si>
    <t>Šetřit energiemi</t>
  </si>
  <si>
    <t>Etat min letadel</t>
  </si>
  <si>
    <t>Nepoužívat tolik chemikalie</t>
  </si>
  <si>
    <t>chovat se šetrně k přírodě</t>
  </si>
  <si>
    <t>Více vnímat, co nám chce říct svými projevy. Naslouchat!!!</t>
  </si>
  <si>
    <t>třídit odpadky, méně cestovat, víc zalesňovat.</t>
  </si>
  <si>
    <t>krajinotvorba</t>
  </si>
  <si>
    <t>meze a remízky</t>
  </si>
  <si>
    <t>zadržovat vodu v rybníkách a mokřadech</t>
  </si>
  <si>
    <t>hluboká orba</t>
  </si>
  <si>
    <t>abby si z nás EU nedělalo smetiště</t>
  </si>
  <si>
    <t>tvrdé tresty za únik odpadu z továren</t>
  </si>
  <si>
    <t>přestat chtít čím dál víc věcí, vrátot se do jisté míry k přírodnímu stylu života - proč si pořizovat pořád nová auta, nové televize - jsme pak š´TASTNĚJŠÍ?</t>
  </si>
  <si>
    <t>budovat čističky odpadních vod</t>
  </si>
  <si>
    <t>nezastavovat zemědělskou půdu</t>
  </si>
  <si>
    <t>snižovat skládkování</t>
  </si>
  <si>
    <t>používat míň plastů</t>
  </si>
  <si>
    <t>lépe hospodařit s půdou</t>
  </si>
  <si>
    <t>Nekácet lesy</t>
  </si>
  <si>
    <t>vracet se k původním plodinám a původnímu způsobu pěstování</t>
  </si>
  <si>
    <t>zavést povinně hlubokou orbu</t>
  </si>
  <si>
    <t>více se starat o přírodu</t>
  </si>
  <si>
    <t>nemluvit a konat</t>
  </si>
  <si>
    <t>Nevyhazovat odpad v přírodě.</t>
  </si>
  <si>
    <t>Recyklovat.</t>
  </si>
  <si>
    <t>Jezdit více MHD.</t>
  </si>
  <si>
    <t>raději nic, příroda si poradí</t>
  </si>
  <si>
    <t>šetřit ji</t>
  </si>
  <si>
    <t>Nezastavovat zemědělskou půdu</t>
  </si>
  <si>
    <t>Omezit plasty</t>
  </si>
  <si>
    <t>Sadit stromy a ne sekat trávníky tak často</t>
  </si>
  <si>
    <t>ZALESŇOVAT</t>
  </si>
  <si>
    <t>NEZABÍRAT PŮDU NA STAVBY OBŘÍCH SKLADŮ</t>
  </si>
  <si>
    <t>cokoliv, ale systematicky</t>
  </si>
  <si>
    <t>přestat prodávat naši zemi cizincům</t>
  </si>
  <si>
    <t>vice podporovat zemědělství</t>
  </si>
  <si>
    <t>Přestat prodávat zemědělskou půdu developerům</t>
  </si>
  <si>
    <t>Začít hospodařit jinak, starat se o půdu</t>
  </si>
  <si>
    <t>Vrátit remízky, cesty</t>
  </si>
  <si>
    <t>Méně plastu</t>
  </si>
  <si>
    <t>rozdělit pole na menší díly</t>
  </si>
  <si>
    <t>víc pěstovat včely</t>
  </si>
  <si>
    <t>vyčistit vodní toky</t>
  </si>
  <si>
    <t>chránit ornou půdu a přirozené biotopy</t>
  </si>
  <si>
    <t>uklízet po sobě, hlavně plasty</t>
  </si>
  <si>
    <t>chránit přírodu,hlavně stromy</t>
  </si>
  <si>
    <t>přejít na jadernou energii</t>
  </si>
  <si>
    <t>vymyslet čistý pohon aut - ne elektro</t>
  </si>
  <si>
    <t>více studovat krajinu a přírodu</t>
  </si>
  <si>
    <t>nezabírat zemědělskou půdu, nebetonovat....</t>
  </si>
  <si>
    <t>Zapojení více odborníků, nejen aktivistů a politiků</t>
  </si>
  <si>
    <t>Změna vnímání využívání pitné vody - na WC, zalévání veřejných míst apod.</t>
  </si>
  <si>
    <t>Zohledňování ekoopatření v domě při výši úroku hypotéky</t>
  </si>
  <si>
    <t>Skutečná podpora zelených projektů - ne zlodějina typu slunečních baronů</t>
  </si>
  <si>
    <t>Dotace podle skutečné potřeby ne podle lobbistů</t>
  </si>
  <si>
    <t>Řešení toho, že od nás všechna voda odtéká</t>
  </si>
  <si>
    <t>Řešení přemíry aut, i když elektroauta asi nejsou správná cesta</t>
  </si>
  <si>
    <t>Více se starat</t>
  </si>
  <si>
    <t>Zpomalit</t>
  </si>
  <si>
    <t>Více se o ní starat</t>
  </si>
  <si>
    <t>nechat řeky téct jak chtějí - uměle neupravovat toky</t>
  </si>
  <si>
    <t>přestat pěstovat řepku a kukuřici</t>
  </si>
  <si>
    <t>používat postřiky a když, tak v době, kdy nejsou včely aktivní</t>
  </si>
  <si>
    <t>nechat kvést louky</t>
  </si>
  <si>
    <t>Ekologické zemědělství</t>
  </si>
  <si>
    <t>Omezovat nákup plastů atd.</t>
  </si>
  <si>
    <t>Neplýtvat vodou</t>
  </si>
  <si>
    <t>Recyklovat vodu v rámci domácnosti</t>
  </si>
  <si>
    <t>Budovat tůně a mokřady</t>
  </si>
  <si>
    <t>Hospodařit s dešťovou vodou na svém vlastním pozemku</t>
  </si>
  <si>
    <t>Opravdu podporit ty nejmensi zemedelce. A ne koncerny.</t>
  </si>
  <si>
    <t>remizky</t>
  </si>
  <si>
    <t>Šetrné hospodaření</t>
  </si>
  <si>
    <t>Návrat k péči o krajinu</t>
  </si>
  <si>
    <t>nehnat se za penězi, ale za lepším stavem přírody</t>
  </si>
  <si>
    <t>přestat vyrábět nesmysly jako je tisíc různých značek automobilů, tím pádem zrušit spoustu továren, které znečišťují ovzduší, tím pádem se omezí i automobilová doprava, která taky znečišˇuje prostředí, hluk, zabírá spoustu prostoru kvůli betonu a asfaltu a lidi hlavně pohnou zadkem, nebudou tlustí a rozežraní a budou chtít chodit po hezkém přírodním prostředí a budou zdravější</t>
  </si>
  <si>
    <t>žít ekologicky</t>
  </si>
  <si>
    <t>pomáhat by měl každý</t>
  </si>
  <si>
    <t>.</t>
  </si>
  <si>
    <t>zadrzovat vodu</t>
  </si>
  <si>
    <t>urychlit stavbu dalnic</t>
  </si>
  <si>
    <t>stavet na jiz zastavenych,ale nevyuzitych mistech(bourat opustene tovarny a tam stavet)</t>
  </si>
  <si>
    <t>Chovat se šetrněji a rozumě</t>
  </si>
  <si>
    <t>ochrana vod</t>
  </si>
  <si>
    <t>aby se i lidé k přírodě chovali lépe</t>
  </si>
  <si>
    <t>ukazovat problemy v hlavnim vysilacim case</t>
  </si>
  <si>
    <t>zrusit dotace do zemedelstvi</t>
  </si>
  <si>
    <t>ptestat tezit hnede uhli</t>
  </si>
  <si>
    <t>vůbec nikde není zmínka o tom základním - duchovním základu toho všeho - vibracích. Schumannova frekvence planety roste již skoro 40 let a postupně převibrovává do vyšší dimenze bytí. Je tu však střet zájmů - negativní síly to nechtějí dopustit, 95 procent lidí má nízké vubrace  a má ovládanou mysl, blíží se čipová totalita a tím vrchol negativního stavu.</t>
  </si>
  <si>
    <t>Většina lidí bude pravděpodobně očipována a objeví se tu entity horší než Hitler, planetě hrozí totální zánik a vyhnou se tomu pouze lidé srdeční, s otevřeným srdcem, láskyplní, a to buď formou přirozeného převibrování, nebo evakuací. Očipování lidí je dnes již téměř za dveřmi, nemá smysl se tu příliš zabývat ekologií, ale větší prioritu má práce na sobě samém - zvyšování vlastních vibrací, aby bylo možnmo odtud zmizet a neprožít na vlastní kůži genocidu totality - závěru negativního stavu. Vice na vesmirni-lide.cz, proticipove petice, zvysovani vlastniho vedomi, cesta k sobe</t>
  </si>
  <si>
    <t>začít si přírody více vážit</t>
  </si>
  <si>
    <t>nesadit řepku</t>
  </si>
  <si>
    <t>starat se vice o prirodu a ekologii</t>
  </si>
  <si>
    <t>všímat si všeho</t>
  </si>
  <si>
    <t>neznecistovat prostredi</t>
  </si>
  <si>
    <t>neplýtvat jidlem</t>
  </si>
  <si>
    <t>Nestavět stále nové haly na zemědělské půdě</t>
  </si>
  <si>
    <t>neodhazovat všude odpad</t>
  </si>
  <si>
    <t>Mene ji regulovat</t>
  </si>
  <si>
    <t>kdyz bych to vedel, asi bych nevyplnoval tento dotaznik za 6 korun</t>
  </si>
  <si>
    <t>šetřit vodou a energie</t>
  </si>
  <si>
    <t>začít sami u sebe</t>
  </si>
  <si>
    <t>změnit chování k ní</t>
  </si>
  <si>
    <t>Neničit ji</t>
  </si>
  <si>
    <t>Umožnit jí být sama sebou</t>
  </si>
  <si>
    <t>chivat se zodpovědně ve vsech ohledech lidské činnosti</t>
  </si>
  <si>
    <t>třídit odpad, start se o přírodu, pěstovat si všechno sám</t>
  </si>
  <si>
    <t>premyslet dlouhodobě</t>
  </si>
  <si>
    <t>naslouchat odbornikum</t>
  </si>
  <si>
    <t>zacit u sebe</t>
  </si>
  <si>
    <t>odmitat populismus</t>
  </si>
  <si>
    <t>Zakázat chemii na polích</t>
  </si>
  <si>
    <t>Zrušit podporu velkozemědělcům</t>
  </si>
  <si>
    <t>Rozdělit velké lány, osevní pestrost</t>
  </si>
  <si>
    <t>Zadržení vody v krajině: podpora mokřadů</t>
  </si>
  <si>
    <t>chránit ji, neznečištovat</t>
  </si>
  <si>
    <t>omezit pěstování řepky</t>
  </si>
  <si>
    <t>odpady reciklovat</t>
  </si>
  <si>
    <t>postupně vylepšovat technologie</t>
  </si>
  <si>
    <t>přísné tresty za nelegální skládky</t>
  </si>
  <si>
    <t>starat se o své okolí (tu a tam uklidit nějaký nepořádek)</t>
  </si>
  <si>
    <t>Starat se o ní</t>
  </si>
  <si>
    <t>starat se o přírodu</t>
  </si>
  <si>
    <t>Vrátit krajině schopnost zadrzovat vodu</t>
  </si>
  <si>
    <t>Hloubkova orba</t>
  </si>
  <si>
    <t>Hnojení přirozeně</t>
  </si>
  <si>
    <t>Omezit chemii - pesticidy, rundap....</t>
  </si>
  <si>
    <t>Lepší filtry v průmyslu</t>
  </si>
  <si>
    <t>Zdržovat vodu v krajině</t>
  </si>
  <si>
    <t>Chránit hmyz</t>
  </si>
  <si>
    <t>nezastavovat přírodní krajinu, nepoužívat chemikálie, žít v souladu s přírodou</t>
  </si>
  <si>
    <t>Změnit společenský systém</t>
  </si>
  <si>
    <t>ucine zadrzovat a vyuzivat vodu</t>
  </si>
  <si>
    <t>vrátit se nejméně o 100 let zpět</t>
  </si>
  <si>
    <t>V první řadě by měl začít každý v sebe. Třídění odpadků, udržování věcí na hranici jejich životnosti, neplýtvat surovinami a zdroji.</t>
  </si>
  <si>
    <t>boj se suchem</t>
  </si>
  <si>
    <t>urcite nekacet vsechny stromy co potkame</t>
  </si>
  <si>
    <t>nekoukat jen hmotně neboli peněžně a výdělečně</t>
  </si>
  <si>
    <t>přesta kácet lesy</t>
  </si>
  <si>
    <t>nekácet a nesekat krajinu kolem řek i když protéká městem</t>
  </si>
  <si>
    <t>Nevybetonovávat řeky a potoky ale spíše dělat zpátky mokřany</t>
  </si>
  <si>
    <t>nechat říční toky aby se vrátily do svých koryt a nestavět v těsné blízkosti</t>
  </si>
  <si>
    <t>nesekat moc často travnaté plochy ve městech přispívá to k většímu suchu a vymícení některých prospěšných rostlin</t>
  </si>
  <si>
    <t>méně používat chemii v zemědělství a ošetřování lesního porostu.</t>
  </si>
  <si>
    <t>cisticky</t>
  </si>
  <si>
    <t>vice pece o přírodu</t>
  </si>
  <si>
    <t>nekecat a dělat co se slíbí</t>
  </si>
  <si>
    <t>lépe ji chránit</t>
  </si>
  <si>
    <t>nezatěžovat přírodu odpadky</t>
  </si>
  <si>
    <t>chovat se hospodárně a ekologicky</t>
  </si>
  <si>
    <t>šetřit s vodou</t>
  </si>
  <si>
    <t>celkově se lépe starat o krajinu, pečovat o ni</t>
  </si>
  <si>
    <t>méně odpadků a vysadit raději stromy</t>
  </si>
  <si>
    <t>Návrat k přirozenému životu a prostředí.</t>
  </si>
  <si>
    <t>Omezení velkých zemědělských korporací, podpora farmářů.</t>
  </si>
  <si>
    <t>Výchova k zodpovědnosti k životnímu prostředí</t>
  </si>
  <si>
    <t>Podpora krajinotvorných prvků - remízky, tůně, rybníky, stanovení přechodových tras pro zvěř mezi lesem a polem</t>
  </si>
  <si>
    <t>aktivní podpora ptactva, líhně ohrožených druhů typu bažantnice</t>
  </si>
  <si>
    <t>omezení chemie na poli, volba rostlinných přípravků</t>
  </si>
  <si>
    <t>používat mozek</t>
  </si>
  <si>
    <t>tezko rict</t>
  </si>
  <si>
    <t>nejezdit naftovymi auty</t>
  </si>
  <si>
    <t>neplitvat</t>
  </si>
  <si>
    <t>nepouzivat chemii</t>
  </si>
  <si>
    <t>zachycovat destovku</t>
  </si>
  <si>
    <t>přistupovat k přírodě s respektem</t>
  </si>
  <si>
    <t>méně chtít, vice se omezovat</t>
  </si>
  <si>
    <t>vymenit vladu 😀</t>
  </si>
  <si>
    <t>Podporovat ceske zemedelce,zalesnovat atd.</t>
  </si>
  <si>
    <t>věnovat tomu energii čas a peníze</t>
  </si>
  <si>
    <t>větší ohleduplnost</t>
  </si>
  <si>
    <t>nelétat</t>
  </si>
  <si>
    <t>snížit počet obyvatel a tím pádem nároků na spotřebu</t>
  </si>
  <si>
    <t>žít jako naši předci</t>
  </si>
  <si>
    <t>vrátit se ke starým osvědčeným systémům - např. remízky, přirozená koryta řek atd.</t>
  </si>
  <si>
    <t>Třídit, nepoužívat jednorázové plasty, recyklovat</t>
  </si>
  <si>
    <t>všichni dle možností začít u sebe</t>
  </si>
  <si>
    <t>Obnovit malý vodní cyklus</t>
  </si>
  <si>
    <t>Zdržovat jemnými změnami vodu v krajině</t>
  </si>
  <si>
    <t>Nestavet přehrady ale podporovat tunky, potůčky a jezírka</t>
  </si>
  <si>
    <t>Voda v krajině musí téct jako krev v těle</t>
  </si>
  <si>
    <t>Vše co přežilo má fraktalni strukturu (krev, města), aby krajina přežila musí tok vody replikovat fraktal, jako dřív, než jsme se do toho začali montovat</t>
  </si>
  <si>
    <t>Žít v souladu s přírodou.</t>
  </si>
  <si>
    <t>Vysadit tradiční plodiny,ne řepku</t>
  </si>
  <si>
    <t>třídit a zpracovavat odpad</t>
  </si>
  <si>
    <t>stavet na nevyužité zastavěné půdě</t>
  </si>
  <si>
    <t>nestavět sklady pro zahraniční fabriky a firmy</t>
  </si>
  <si>
    <t>zřizovat remízky</t>
  </si>
  <si>
    <t>hnojit zemědělské pudy chlevskou mrvou a ne chemii</t>
  </si>
  <si>
    <t>přestat likvidovat půdu, lesy</t>
  </si>
  <si>
    <t>myslet hlavou  selský rozum</t>
  </si>
  <si>
    <t>víc se starat</t>
  </si>
  <si>
    <t>být šetrný k přírodě</t>
  </si>
  <si>
    <t>produkovat minimum odpadů, třídit a recyklovat</t>
  </si>
  <si>
    <t>starat se o svůj kousek krajiny v souladu s přírodou</t>
  </si>
  <si>
    <t>zajímat se, vzdělávat se, aktivně se podílet na péči o krajinu</t>
  </si>
  <si>
    <t>žádné skládky</t>
  </si>
  <si>
    <t>nebetonovat plochy</t>
  </si>
  <si>
    <t>třídění odpadů</t>
  </si>
  <si>
    <t>šetření vodou</t>
  </si>
  <si>
    <t>podporovat alternativní zdroje energie</t>
  </si>
  <si>
    <t>podporovat ekologické zemědělství</t>
  </si>
  <si>
    <t>chrániť lesy</t>
  </si>
  <si>
    <t>chránit řeky</t>
  </si>
  <si>
    <t>chránit prírodu</t>
  </si>
  <si>
    <t>řádně se o ni starat</t>
  </si>
  <si>
    <t>obnovit dobre sedliacke postupy</t>
  </si>
  <si>
    <t>Chovat se maximálně ekologicky.</t>
  </si>
  <si>
    <t>začít každý sám u sbe, změnit životní styl, nároky na přírodu...nelze vyjádřit jednou větou</t>
  </si>
  <si>
    <t>Začít ekologicky myslet a chovat se tak</t>
  </si>
  <si>
    <t>přestat kácet lesy</t>
  </si>
  <si>
    <t>vážit i toho co máme a neničit vědomě přírodu</t>
  </si>
  <si>
    <t>poučit se od předků a vrátit se zase k používání starých osvědčených technologií , které velice dobře fungovaly</t>
  </si>
  <si>
    <t>Chovat se lépe k přírodě</t>
  </si>
  <si>
    <t>chovat se přirozeně ekologicky, mít ekologii ve svém srdci</t>
  </si>
  <si>
    <t>věřit v Boha Stvořitele světa, všeho viditelného i neviditelného</t>
  </si>
  <si>
    <t>navracet se k technklogiím, které dříve nezatěžovaly přírodu</t>
  </si>
  <si>
    <t>omezit se ve spotřebě</t>
  </si>
  <si>
    <t>neprodukova plasty</t>
  </si>
  <si>
    <t>být ohleduplný k přírodě</t>
  </si>
  <si>
    <t>přemyslet,nez na pudu dame neco jineho,vratit se k tomu co delali nasi dedove</t>
  </si>
  <si>
    <t>Omezit dotace v zemědělství v EU (a tedy i v ČR)</t>
  </si>
  <si>
    <t>Vytvářet podmínky pro malé zemědělce a zejména pro ty ekologické</t>
  </si>
  <si>
    <t>Zrušit pokud možno veškeré dotace</t>
  </si>
  <si>
    <t>Rozdělit velká pole</t>
  </si>
  <si>
    <t>Provádět osvětu mezi zemědělci a lesníky, jak hospodařit správně a ohleduplně ke krajině, jak zlepšit zadržování vody atd.</t>
  </si>
  <si>
    <t>sazet smisene lesy</t>
  </si>
  <si>
    <t>nechovat se jako hovada a odpad nehazet kam nepatri</t>
  </si>
  <si>
    <t>Teď se zaměříme na **sucho**. Projevilo se nějak ve vašem životě?</t>
  </si>
  <si>
    <t>hodně</t>
  </si>
  <si>
    <t>trochu</t>
  </si>
  <si>
    <t>neprojevilo se</t>
  </si>
  <si>
    <t>musim vic myslet dopredu pri zalevani</t>
  </si>
  <si>
    <t>Zvýšení ceny některých potravin</t>
  </si>
  <si>
    <t>Nemame vodu na pozemku, cerpame pitnou, mestskou.</t>
  </si>
  <si>
    <t>nedostatek vody ve studni</t>
  </si>
  <si>
    <t>došla nám voda ve studni</t>
  </si>
  <si>
    <t>sucha puda-malo plodin</t>
  </si>
  <si>
    <t>někdy vyschla studna</t>
  </si>
  <si>
    <t>ovoce, zahrada, lesy,...</t>
  </si>
  <si>
    <t>vidím jak planeta Země umírá</t>
  </si>
  <si>
    <t>bylo malo vody</t>
  </si>
  <si>
    <t>nerostla tráva</t>
  </si>
  <si>
    <t>Málo vody na zalévání na zahradě</t>
  </si>
  <si>
    <t>nebyla voda v řece</t>
  </si>
  <si>
    <t>Potýkali jsme se s nedostatkem vody ve studni.</t>
  </si>
  <si>
    <t>Několikrát za loňské léto jsme byli úplně bez vody.</t>
  </si>
  <si>
    <t>To se projevilo na úrodě ovoce a zeleniny , kterou pěstujeme.</t>
  </si>
  <si>
    <t>Nebyla ani dešťová voda na zalévání.</t>
  </si>
  <si>
    <t>nedostatek vody na chalupě, pitná vůbec, zalevání trochu</t>
  </si>
  <si>
    <t>malo vody v půdě</t>
  </si>
  <si>
    <t>špatná úroda</t>
  </si>
  <si>
    <t>velké vedro, hodně se potím</t>
  </si>
  <si>
    <t>nerostou houby</t>
  </si>
  <si>
    <t>zdražuje se zemědělská produkce</t>
  </si>
  <si>
    <t>zemědělci pláčou čím dál víc, moc sucho, moc mokro, a všechno jim vždycky zmrzne</t>
  </si>
  <si>
    <t>nedostatek vody na zahradě</t>
  </si>
  <si>
    <t>prašnost cest</t>
  </si>
  <si>
    <t>Zemědělství, ovocnarstvi, spodní vody</t>
  </si>
  <si>
    <t>Rodinni prislusnici maji malo vody ve studni, v mem okoli usychaji stromy</t>
  </si>
  <si>
    <t>nedostatek vlahy na zahrade a poli</t>
  </si>
  <si>
    <t>nedostatek vody na chalupě</t>
  </si>
  <si>
    <t>omezení venkovních aktivit - grilování</t>
  </si>
  <si>
    <t>bazény atp. zákaz</t>
  </si>
  <si>
    <t>plodiny na zahrádce nerostou</t>
  </si>
  <si>
    <t>málo vody ve studni</t>
  </si>
  <si>
    <t>málo vody na zalévání</t>
  </si>
  <si>
    <t>Vidím změny na zahradě. Rok od roku je spotřeba vody vyšší a půda rychleji vysychá do větší hloubky. Rostliny nezvládají vedra a prudké slunce.</t>
  </si>
  <si>
    <t>málo vody v řekách</t>
  </si>
  <si>
    <t>Došla Plzeň</t>
  </si>
  <si>
    <t>musím vytvárať zásobu vodočky mám niekoľko 1000l  nádrží na zachytávanie dešťovky</t>
  </si>
  <si>
    <t>Na poli, brambory velikosti broku</t>
  </si>
  <si>
    <t>došla voda ve studni</t>
  </si>
  <si>
    <t>není srážková voda na zalévání zahrady</t>
  </si>
  <si>
    <t>sucha zahrada</t>
  </si>
  <si>
    <t>kupuji si mene ovoce a zeleniny, protoze vyrostla na cene</t>
  </si>
  <si>
    <t>Obava o zivotni prostredí</t>
  </si>
  <si>
    <t>nedostatek závlahy na zahradě</t>
  </si>
  <si>
    <t>Vše umírá</t>
  </si>
  <si>
    <t>Sucho ničí lesy</t>
  </si>
  <si>
    <t>nedostatek vody na zalévání zahrady</t>
  </si>
  <si>
    <t>omezení dodávek pitné vody</t>
  </si>
  <si>
    <t>Snažím se šetřit vodou. Na táboře vyschla studna. Méně vody v rybníku a řekách na koupání.</t>
  </si>
  <si>
    <t>nemám vodu na zalévání zahrady</t>
  </si>
  <si>
    <t>vnimam ho</t>
  </si>
  <si>
    <t>leto vypada jinak</t>
  </si>
  <si>
    <t>plánovaná přehrada na pitnou vodu na místě rekreační chaty</t>
  </si>
  <si>
    <t>na zahradce</t>
  </si>
  <si>
    <t>nedostatek vody na zalevani musel jsem zlepsit zachyt dešťovky</t>
  </si>
  <si>
    <t>malo vody ve studni</t>
  </si>
  <si>
    <t>Horší pěstování na zahrádce.</t>
  </si>
  <si>
    <t>pokles hladiny spodní vody ve studni</t>
  </si>
  <si>
    <t>vysychání hlubokých vrstev půdy a sesedání základů u domu</t>
  </si>
  <si>
    <t>sucha puda, vysychani travy, stromku</t>
  </si>
  <si>
    <t>nižší úroda</t>
  </si>
  <si>
    <t>úroda na zahradě</t>
  </si>
  <si>
    <t>vzhled krajiny v mém okolí</t>
  </si>
  <si>
    <t>Na chalupě se musí s vodou velmi opatrně hospodařit</t>
  </si>
  <si>
    <t>málo vody ve studní</t>
  </si>
  <si>
    <t>mam sucho na zahrade</t>
  </si>
  <si>
    <t>Nedostatek vody ve studni</t>
  </si>
  <si>
    <t>mene vody</t>
  </si>
  <si>
    <t>Málo hub</t>
  </si>
  <si>
    <t>uschlé rostliny a trávník na zahradě</t>
  </si>
  <si>
    <t>v roce 2018 jsme měli zcela suchou zahradu u chalupy v severních Čechách.</t>
  </si>
  <si>
    <t>následně kvůli suchu a kůrovci zahynula odhadem čtvrtina okolních lesů</t>
  </si>
  <si>
    <t>hůř se zahradničí</t>
  </si>
  <si>
    <t>Suchá půda, málo dešťů</t>
  </si>
  <si>
    <t>Úbytek lesů, problém u zvířat</t>
  </si>
  <si>
    <t>změnila se krajina kolem chaty</t>
  </si>
  <si>
    <t>některé plodiny nelze vypěstovat</t>
  </si>
  <si>
    <t>vyschla studna</t>
  </si>
  <si>
    <t>menší úroda</t>
  </si>
  <si>
    <t>nerostla trava pro nase zvirata</t>
  </si>
  <si>
    <t>usychání stromů v lese</t>
  </si>
  <si>
    <t>Ztráta spodních vod</t>
  </si>
  <si>
    <t>zahrade chybí voda</t>
  </si>
  <si>
    <t>Neúroda na zahrádce.</t>
  </si>
  <si>
    <t>Nebylo cim zalevat</t>
  </si>
  <si>
    <t>Zdrazeni komodit kvuli neurode</t>
  </si>
  <si>
    <t>pěstování</t>
  </si>
  <si>
    <t>méně vody ve studni</t>
  </si>
  <si>
    <t>problém se zaléváním na zahrádce</t>
  </si>
  <si>
    <t>sucho na sadě</t>
  </si>
  <si>
    <t>velmi nízká hladina místního toku</t>
  </si>
  <si>
    <t>nedostatkem vody ve studni.</t>
  </si>
  <si>
    <t>bleskove povodne</t>
  </si>
  <si>
    <t>Musím častěji zalévat</t>
  </si>
  <si>
    <t>V době sucha vymiraji v lese keře borůvek</t>
  </si>
  <si>
    <t>zahrada - nedostatek vláhy</t>
  </si>
  <si>
    <t>šetření pitnou vodou, odmítání bazénů s pitnou apod.</t>
  </si>
  <si>
    <t>nutnost zalevani na zahrade destovou vodou</t>
  </si>
  <si>
    <t>na zahradě</t>
  </si>
  <si>
    <t>padání stromů v lese</t>
  </si>
  <si>
    <t>není voda v řekách</t>
  </si>
  <si>
    <t>vyschlé studánky</t>
  </si>
  <si>
    <t>vedro v krajině</t>
  </si>
  <si>
    <t>hynou lesy</t>
  </si>
  <si>
    <t>malo vody ve studni a vodovodu</t>
  </si>
  <si>
    <t>spatny růst rostlin</t>
  </si>
  <si>
    <t>méně vypěstované plodiny</t>
  </si>
  <si>
    <t>ve studni</t>
  </si>
  <si>
    <t>platim vice za vodu</t>
  </si>
  <si>
    <t>malá úroda</t>
  </si>
  <si>
    <t>suchá zahrada</t>
  </si>
  <si>
    <t>Vyschla nám studna</t>
  </si>
  <si>
    <t>zákaz napouštění bazénů</t>
  </si>
  <si>
    <t>stoupla cena vody</t>
  </si>
  <si>
    <t>omezení její spotřeby v práci i domácnosti</t>
  </si>
  <si>
    <t>Uschle stromy v okolik</t>
  </si>
  <si>
    <t>vypálená tráva na zahradě</t>
  </si>
  <si>
    <t>nemohu pěstovat na zahrádce tolik plodin jako dřívve pro vlastní potřebu</t>
  </si>
  <si>
    <t>nebylo čím zalévat úrodu na zahrádce</t>
  </si>
  <si>
    <t>mám malou zahrádku a vidím na úrodě jaké je sucho</t>
  </si>
  <si>
    <t>Na rodinné zahradce plodiny nemaji dost vody</t>
  </si>
  <si>
    <t>Úbytek úrody</t>
  </si>
  <si>
    <t>pořídil jsem nádrž na dešťovou vodu</t>
  </si>
  <si>
    <t>na chalupe vysxcha studna ke tam méně vofy než dříve</t>
  </si>
  <si>
    <t>Bojíme se zda nám nedojde voda ve studni - náš jediný zdroj vody</t>
  </si>
  <si>
    <t>Sucho ve studni</t>
  </si>
  <si>
    <t>vyschlá studna</t>
  </si>
  <si>
    <t>musim vic zalevat zahradku</t>
  </si>
  <si>
    <t>pěstovat některé rostliny bylo obtížné kvůli větší spotřebě vody</t>
  </si>
  <si>
    <t>Rozpraskana zem  sucha trava a malo vody ve studni</t>
  </si>
  <si>
    <t>hodne</t>
  </si>
  <si>
    <t>plodiny na zahradě</t>
  </si>
  <si>
    <t>nedostatek vlastní vody</t>
  </si>
  <si>
    <t>neni dostatek na zalevani</t>
  </si>
  <si>
    <t>v předchozí otázce chybí odpověď prostě "projevilo". u mne ani hodně, ale taky ne jen trochu. pociťuji a vidím kolem sebe prostě obecné projevy nedostatku vody.</t>
  </si>
  <si>
    <t>špatná vlhkost a nedostatek vláhy</t>
  </si>
  <si>
    <t>Špatná úroda na zahrádce, nedostatek vody.Poloprázdná studna...</t>
  </si>
  <si>
    <t>Sekáním trávy sekačkami (v našem okolí) vyprahla půda a stala se takřka neživou.</t>
  </si>
  <si>
    <t>Zákazy braní vody z řek pro zahradu</t>
  </si>
  <si>
    <t>zavlažovali jsme i ovocné stromy a byli bez bazenu</t>
  </si>
  <si>
    <t>rostliny</t>
  </si>
  <si>
    <t>neni voda ve studni a kdyz neni voda, zvířata nemaji co pit a pak umírají</t>
  </si>
  <si>
    <t>Málo potravin z naší zahrady</t>
  </si>
  <si>
    <t>malá úroda zeleniny a ovoce</t>
  </si>
  <si>
    <t>Musela jsem používat pitnou vodu místo dešťové na zalévání</t>
  </si>
  <si>
    <t>spatna sklizen, uschle stromy</t>
  </si>
  <si>
    <t>Zahrada je suchá</t>
  </si>
  <si>
    <t>že se neurodila zelenina a ovoce a potom se zdražovalo.</t>
  </si>
  <si>
    <t>barva zahrady je místo zelené žlutá, al ejinak nic víc</t>
  </si>
  <si>
    <t>na chatě málo vody</t>
  </si>
  <si>
    <t>psychicky</t>
  </si>
  <si>
    <t>zahrada</t>
  </si>
  <si>
    <t>Nedostatek vláhy na zahrádce apod.</t>
  </si>
  <si>
    <t>Je málo vody v řece</t>
  </si>
  <si>
    <t>vsechno se bude zdrazovat</t>
  </si>
  <si>
    <t>úbytek vody ve studni</t>
  </si>
  <si>
    <t>Zvýšení cen vody</t>
  </si>
  <si>
    <t>Vyšší odběr na zalévání</t>
  </si>
  <si>
    <t>V zahradě</t>
  </si>
  <si>
    <t>Suchá tráva na zahradě</t>
  </si>
  <si>
    <t>Málo zálivky pro ovocné stromy a zeleninu</t>
  </si>
  <si>
    <t>viditelné změny v půdě - praskliny v zemi, usychající stromy</t>
  </si>
  <si>
    <t>nutnost zadržovat vodu pro další použití</t>
  </si>
  <si>
    <t>na Slovensku jsem málem umřel v horách na nedostatek vody</t>
  </si>
  <si>
    <t>v rodine dosla voda ve studni</t>
  </si>
  <si>
    <t>spaleny travnik</t>
  </si>
  <si>
    <t>malo vody v prehrade</t>
  </si>
  <si>
    <t>nemohli jsme zalévat zahradu</t>
  </si>
  <si>
    <t>spatna voda</t>
  </si>
  <si>
    <t>rostou nám špatně rostliny na zahradě</t>
  </si>
  <si>
    <t>spotřebou městské vody, nedostetk vody ve</t>
  </si>
  <si>
    <t>studni</t>
  </si>
  <si>
    <t>například zalévání zahrady vodou z potoka, je v letních měsících když je sucho zakázané. Proto jsmw zakoupili nádrže na dešťovku.</t>
  </si>
  <si>
    <t>vyschla mi studna, kde byla 70 let vždycky voda</t>
  </si>
  <si>
    <t>Stouply ceny některých zemědělských produktů.</t>
  </si>
  <si>
    <t>šetření vodou /a přesto je 1000x dražší!!!/</t>
  </si>
  <si>
    <t>neroste nic vsechno zhyne</t>
  </si>
  <si>
    <t>Musím šetřit pitnou vodou</t>
  </si>
  <si>
    <t>Zahrádka</t>
  </si>
  <si>
    <t>nedostatkem vody</t>
  </si>
  <si>
    <t>požáry (les, pole)</t>
  </si>
  <si>
    <t>uvědomila jsem si, co by se stalo při nedostatku vody</t>
  </si>
  <si>
    <t>nebyla dešťovka na zalívání</t>
  </si>
  <si>
    <t>setrime vodu</t>
  </si>
  <si>
    <t>Málo</t>
  </si>
  <si>
    <t>Na základě</t>
  </si>
  <si>
    <t>Mala uroda na zahrade</t>
  </si>
  <si>
    <t>Zahrádka, řeka.</t>
  </si>
  <si>
    <t>dosla voda ve studni</t>
  </si>
  <si>
    <t>hodně jsme hospodařili s vodou</t>
  </si>
  <si>
    <t>nezalévali jsme pokud to nebylo nezbytné</t>
  </si>
  <si>
    <t>zahrada uz nám tolik nedává</t>
  </si>
  <si>
    <t>na jaře se musela užitková zahrada zalévat z vodovodu, do sudů nic nenapršelo</t>
  </si>
  <si>
    <t>snížila se hladina vody ve studni</t>
  </si>
  <si>
    <t>usychají smrky</t>
  </si>
  <si>
    <t>Ve studni dochází voda dříve</t>
  </si>
  <si>
    <t>např. v nejbližší rodině - málo vody ve studni, která je zdrojem pitné vody</t>
  </si>
  <si>
    <t>horší úroda -&gt; dražší potraviny</t>
  </si>
  <si>
    <t>omezení zalévání</t>
  </si>
  <si>
    <t>ve studni bylo velmi málo vody</t>
  </si>
  <si>
    <t>vysychání jílovitého podloží způsobuje trhliny na domě</t>
  </si>
  <si>
    <t>ceny plodin</t>
  </si>
  <si>
    <t>Míváme suchou zahradu</t>
  </si>
  <si>
    <t>nedostatek vody v půdě, špatně rostly plodiny na zahradě</t>
  </si>
  <si>
    <t>usychající stromy</t>
  </si>
  <si>
    <t>Horší úroda na chatě</t>
  </si>
  <si>
    <t>Vyschla mi studna</t>
  </si>
  <si>
    <t>Máme zahrádku, tak usychaly stromy</t>
  </si>
  <si>
    <t>cENY POTRAVÍN</t>
  </si>
  <si>
    <t>půda na zahradě je vyprahlá a hůř se používá na pěstování zeleniny</t>
  </si>
  <si>
    <t>mám obavy, že vyschne studna, kterou používáme na vaření a mytí- ubývá v ní vody</t>
  </si>
  <si>
    <t>Dražší některé potraviny</t>
  </si>
  <si>
    <t>nemáme žádnou úrodu na zahrádce a vodu na zalívání</t>
  </si>
  <si>
    <t>mene vody ve studni</t>
  </si>
  <si>
    <t>vysychani potoku a rek v okoli</t>
  </si>
  <si>
    <t>zničena úroda</t>
  </si>
  <si>
    <t>zákaz používání pitné vody na zalévání a napouštění bazénů</t>
  </si>
  <si>
    <t>nemohli se zalivat kytky</t>
  </si>
  <si>
    <t>sucha trava</t>
  </si>
  <si>
    <t>odchazely stromy</t>
  </si>
  <si>
    <t>pokles vodni hladiny</t>
  </si>
  <si>
    <t>praskliny v půdě, nedostatek podzemní vody</t>
  </si>
  <si>
    <t>nedostatek vláhy pro pěstování na zahrádce</t>
  </si>
  <si>
    <t>v zaměstnání</t>
  </si>
  <si>
    <t>při pěstování zeleniny - zalévání</t>
  </si>
  <si>
    <t>Problémy se zaléváním úrody, vyschlá studna na několik měsíců.</t>
  </si>
  <si>
    <t>na zahrade</t>
  </si>
  <si>
    <t>méně zalévám</t>
  </si>
  <si>
    <t>ceny vody</t>
  </si>
  <si>
    <t>po pobytu v JAR jsem pochopila lepe jak se chovat, tam se s vodou chovaji lidi hodne jinak, zadne plytvani</t>
  </si>
  <si>
    <t>tezsi pestovani vlastnich plodin</t>
  </si>
  <si>
    <t>Na zahradě, sucho, tráva, kytky, pěstování atd.</t>
  </si>
  <si>
    <t>zákaz zalévání zahrad</t>
  </si>
  <si>
    <t>nedostattek vody</t>
  </si>
  <si>
    <t>zalévání zahrady</t>
  </si>
  <si>
    <t>Vnímám okolní přírodu</t>
  </si>
  <si>
    <t>Méně vody ve studně</t>
  </si>
  <si>
    <t>Divam se z okna na vyschlou reku</t>
  </si>
  <si>
    <t>Víc zalévání.</t>
  </si>
  <si>
    <t>My nemáme do domu zavedený vodovod</t>
  </si>
  <si>
    <t>Jsme odkázáni na hodné lidi, kteří nám vodu dají</t>
  </si>
  <si>
    <t>Potřebujeme zalévat rostliny, ale je to náročné na práci</t>
  </si>
  <si>
    <t>suchá půda</t>
  </si>
  <si>
    <t>suchá zahrada a větší ppotřeba zálivky</t>
  </si>
  <si>
    <t>Vyschla studna</t>
  </si>
  <si>
    <t>nemáme ve vrtu dost vody</t>
  </si>
  <si>
    <t>napuštění bazénu nelze</t>
  </si>
  <si>
    <t>vyschla studna na užitkovou vodu</t>
  </si>
  <si>
    <t>uschly stromy</t>
  </si>
  <si>
    <t>kůrovec</t>
  </si>
  <si>
    <t>úroda</t>
  </si>
  <si>
    <t>Snížila se o dost hladina vody ve studni</t>
  </si>
  <si>
    <t>suchý vzduch</t>
  </si>
  <si>
    <t>sklizeň úrody</t>
  </si>
  <si>
    <t>pěstování květin</t>
  </si>
  <si>
    <t>vyschle reky, a studny</t>
  </si>
  <si>
    <t>málo vody v řece</t>
  </si>
  <si>
    <t>jsou drazsi potraviny</t>
  </si>
  <si>
    <t>Usychala příroda kolem nás</t>
  </si>
  <si>
    <t>nelze nic pěstovat, není voda na zalívání</t>
  </si>
  <si>
    <t>malo vody na zalevani.</t>
  </si>
  <si>
    <t>poničení zahrady a menší úroda vlastně pěstovaných plodin</t>
  </si>
  <si>
    <t>mám studnu</t>
  </si>
  <si>
    <t>zahrádka</t>
  </si>
  <si>
    <t>Zahrada byla suchá na troud</t>
  </si>
  <si>
    <t>Ne úroda na zahradě</t>
  </si>
  <si>
    <t>Uhynuly mé ovocné stromy</t>
  </si>
  <si>
    <t>nsní čím zalévat</t>
  </si>
  <si>
    <t>Loňské léto bylo velmi suché, 6 týdnů nepršelo zvýšení prašnosti, nedýchatelnost, nedostatek vláhy pro přírodu</t>
  </si>
  <si>
    <t>Usychání zeleně</t>
  </si>
  <si>
    <t>Obří prašnost</t>
  </si>
  <si>
    <t>Živočichům i rostlinstvu voda velmi chyběla</t>
  </si>
  <si>
    <t>Úbytek živočichů následkem sucha</t>
  </si>
  <si>
    <t>nedosttkem vody ve studni</t>
  </si>
  <si>
    <t>usycháním lesů - kůrovec</t>
  </si>
  <si>
    <t>Neprselo</t>
  </si>
  <si>
    <t>Vyprahlé okolí, umorná vedra, snížená hladina vody</t>
  </si>
  <si>
    <t>při zalévání zahrady jsme používali vodu z řadu</t>
  </si>
  <si>
    <t>uroda umírala</t>
  </si>
  <si>
    <t>malo vody, nebo zadna ve studni</t>
  </si>
  <si>
    <t>jina haved</t>
  </si>
  <si>
    <t>vyssi ucty za zalevani zahrady</t>
  </si>
  <si>
    <t>sucho na zahrade, studna malo vody,</t>
  </si>
  <si>
    <t>zahrada,uroda</t>
  </si>
  <si>
    <t>nepršelo</t>
  </si>
  <si>
    <t>byli jsme bez vody</t>
  </si>
  <si>
    <t>chyběla voda v sudu</t>
  </si>
  <si>
    <t>málo vody ve studně</t>
  </si>
  <si>
    <t>Klesly řeky</t>
  </si>
  <si>
    <t>Větší nutnost zalévat na zahradě</t>
  </si>
  <si>
    <t>nedostatek vody v létě ve studni, málo vody na zalévání zahrady</t>
  </si>
  <si>
    <t>suchá zahrada, suché lesy v okolí</t>
  </si>
  <si>
    <t>častější zalévání zahrady</t>
  </si>
  <si>
    <t>ubytek vody ve studni,zalévání rostlin</t>
  </si>
  <si>
    <t>tak není voda ve studně</t>
  </si>
  <si>
    <t>Viděla jsem vysychající krajinu a umím si představit následky.</t>
  </si>
  <si>
    <t>vysychání studně</t>
  </si>
  <si>
    <t>zkáza v NP České Švýcarsko</t>
  </si>
  <si>
    <t>výživa pro volně žijící faunu (ptáci nemají co pít ve městech ...)</t>
  </si>
  <si>
    <t>prázdná studna</t>
  </si>
  <si>
    <t>Ni</t>
  </si>
  <si>
    <t>hodně zalévaní na chalupě</t>
  </si>
  <si>
    <t>vyschlá studna, dlouho trvalo než se dopustí</t>
  </si>
  <si>
    <t>málo dešťové vody k zalévání</t>
  </si>
  <si>
    <t>uschlé rostliny</t>
  </si>
  <si>
    <t>před panelákem vyschlé trávníky</t>
  </si>
  <si>
    <t>několik uschlých velkých stromů- méně stínu ve velkém městě</t>
  </si>
  <si>
    <t>špatně to rostlo</t>
  </si>
  <si>
    <t>bylo např regulované zalévaní zahrad</t>
  </si>
  <si>
    <t>málo vody na zahrádce</t>
  </si>
  <si>
    <t>Něco málo zaschla zahrada,když nebyla voda ve studni.</t>
  </si>
  <si>
    <t>rodinná firma je zaměřená na zemědělství a zde poklesl výnos kvůli suchu</t>
  </si>
  <si>
    <t>na chate malo vody</t>
  </si>
  <si>
    <t>Nedostatek vody ve vrtané studni</t>
  </si>
  <si>
    <t>nebyla voda ve studni na chate u znamich</t>
  </si>
  <si>
    <t>nedostatek vláhy pro pěstované plodiny</t>
  </si>
  <si>
    <t>nižší hladina vody ve studni</t>
  </si>
  <si>
    <t>šetřím</t>
  </si>
  <si>
    <t>vysychání studny,která dříve měla dostatek vody,srážková činnost je tak malá,že bez neustálého přídavného zavlažování nic na své zahradě nevypěstuji</t>
  </si>
  <si>
    <t>nemám vodu na zahrádce</t>
  </si>
  <si>
    <t>došla voda</t>
  </si>
  <si>
    <t>vyprahlá půda</t>
  </si>
  <si>
    <t>zdražení komodit</t>
  </si>
  <si>
    <t>Sucho snad zavlažování zahrady a úrody</t>
  </si>
  <si>
    <t>Kvalita vody</t>
  </si>
  <si>
    <t>zdražení</t>
  </si>
  <si>
    <t>pokles vody ve studni</t>
  </si>
  <si>
    <t>zahrada - zálivka/málo ovoce na stromech</t>
  </si>
  <si>
    <t>celkové sucho na sídlišti</t>
  </si>
  <si>
    <t>vidím to na úrodě na polích</t>
  </si>
  <si>
    <t>cena potravin</t>
  </si>
  <si>
    <t>vyschl potok a nebylo z čeho zalévat zahrádku</t>
  </si>
  <si>
    <t>spatne rostou rostliny</t>
  </si>
  <si>
    <t>zemedelstvi</t>
  </si>
  <si>
    <t>Ve studni neni voda</t>
  </si>
  <si>
    <t>málo vody ve studni.</t>
  </si>
  <si>
    <t>v HORÁCH NA bUBLAVĚ MÁME STAROU CHALUPU A U NÍ 18 METRŮ HLUBOKOU, KOPANOUI STUDNU - JE PRAKTICKY BEZ VODY</t>
  </si>
  <si>
    <t>Na zahrádce, půda byla velmi suchá, letos je to lepší</t>
  </si>
  <si>
    <t>Žlutá tráva, nebylo krmení pro zvířata, drahé seno</t>
  </si>
  <si>
    <t>vyschla nám studna</t>
  </si>
  <si>
    <t>neroste tráva  a jablka  opadávají</t>
  </si>
  <si>
    <t>Vyšší účet za spotřebu vody</t>
  </si>
  <si>
    <t>malá závlaha na zahradě</t>
  </si>
  <si>
    <t>Musíme v domě na vsi u mamky více chytat dešťovou vodu, do budoucna to asi ovlivní i výběr rostlin na pěstování.</t>
  </si>
  <si>
    <t>Větší šetření vodou v domácnosti v bytě v Praze i domě na vesnici.</t>
  </si>
  <si>
    <t>Neni voda</t>
  </si>
  <si>
    <t>Neteče voda, vysycha</t>
  </si>
  <si>
    <t>nemáme vodu ve studni</t>
  </si>
  <si>
    <t>Zákaz zalévání</t>
  </si>
  <si>
    <t>nebyla voda</t>
  </si>
  <si>
    <t>spatna zem nic neroste</t>
  </si>
  <si>
    <t>nutnost denne zalevat zahradu</t>
  </si>
  <si>
    <t>nesnesitelne horko</t>
  </si>
  <si>
    <t>obcas nebyla voda ve studni</t>
  </si>
  <si>
    <t>nedostatek venkovní vody</t>
  </si>
  <si>
    <t>nemame vodu ve studni</t>
  </si>
  <si>
    <t>momentalne prsi, tedy si priroda na stesti jeste poradila sama</t>
  </si>
  <si>
    <t>ubytek prirodnich koupalist</t>
  </si>
  <si>
    <t>omezení zavlažování na zahrádkách</t>
  </si>
  <si>
    <t>zahrada zežloutla</t>
  </si>
  <si>
    <t>zalíváním ze sudu</t>
  </si>
  <si>
    <t>nedostatek pitne vody ve studnach</t>
  </si>
  <si>
    <t>Většina lidí dostávala úpaly a denně byli dehydrovaní, i když vypili několik litrů vody.</t>
  </si>
  <si>
    <t>Tráva a jiná okolní vegetace byla suchem žlutá</t>
  </si>
  <si>
    <t>rozvážím několikrát týdně vodu do osad kde není vodovod</t>
  </si>
  <si>
    <t>Nedostatek vody pro plodiny na zahradě</t>
  </si>
  <si>
    <t>stav zahrady</t>
  </si>
  <si>
    <t>zalevani</t>
  </si>
  <si>
    <t>není velká úroda</t>
  </si>
  <si>
    <t>Málo vody v řece</t>
  </si>
  <si>
    <t>šetření vodou nedobrovolně</t>
  </si>
  <si>
    <t>nedistatek vody v studni</t>
  </si>
  <si>
    <t>napriklad uschlou zahradou</t>
  </si>
  <si>
    <t>degradaci pud a lesu</t>
  </si>
  <si>
    <t>poklesem průtoku řek</t>
  </si>
  <si>
    <t>Ovoce nemělo dostečnou velikost</t>
  </si>
  <si>
    <t>loni jsme na chatě zůstali bez vody</t>
  </si>
  <si>
    <t>Ve Stodůlkách než jsme měli vodovod jsme  často měli suchou studnu</t>
  </si>
  <si>
    <t>sucho na zahradě</t>
  </si>
  <si>
    <t>nebyla voda v Orlíku</t>
  </si>
  <si>
    <t>málo vláhy na zahradě a veřejné zeleni</t>
  </si>
  <si>
    <t>kopce okolo našeho města jsou úplně holé.</t>
  </si>
  <si>
    <t>Schne nám zahrada</t>
  </si>
  <si>
    <t>Nutno zalevat</t>
  </si>
  <si>
    <t>Schraňovat každou kapku v nádražích</t>
  </si>
  <si>
    <t>nemožnost zalévání zahrádky</t>
  </si>
  <si>
    <t>musi se vic zalevat</t>
  </si>
  <si>
    <t>nevysazuji větší množství květin a zeleniny</t>
  </si>
  <si>
    <t>MALO VODY</t>
  </si>
  <si>
    <t>no je malo vody</t>
  </si>
  <si>
    <t>A ve stdni malo vody</t>
  </si>
  <si>
    <t>musím šetřit vodou</t>
  </si>
  <si>
    <t>neměli jsme dostatek vody ve studni</t>
  </si>
  <si>
    <t>zdrazeni pitné vody a vlastní zdroje vysychaji</t>
  </si>
  <si>
    <t>méně vody ve studni, horší vegetace rostlin</t>
  </si>
  <si>
    <t>mame statek,tudiz malo krmeni</t>
  </si>
  <si>
    <t>vyschly potok</t>
  </si>
  <si>
    <t>trpela zahrada, nedostatek dešťové vody</t>
  </si>
  <si>
    <t>Šetření s vodou</t>
  </si>
  <si>
    <t>stromy ovoce</t>
  </si>
  <si>
    <t>nedostatek vody ve studni a nutnost napojit se na vodovod</t>
  </si>
  <si>
    <t>málo prší, tak mi zahrádka vadne, když odjedu</t>
  </si>
  <si>
    <t>vysychání půdy</t>
  </si>
  <si>
    <t>Omezila jsem zalévání zahrady, snažím se vodou maximálně šetřit</t>
  </si>
  <si>
    <t>špatně rostoucí rostliny</t>
  </si>
  <si>
    <t>nedostatek vody pro vše !!!</t>
  </si>
  <si>
    <t>po několika suchých letech nám praská dům</t>
  </si>
  <si>
    <t>zahradkari maju málo vody</t>
  </si>
  <si>
    <t>Více šetřím vodou</t>
  </si>
  <si>
    <t>na okolní přírodě na místě kde žiji, vysychání lesních potůčků atd</t>
  </si>
  <si>
    <t>znicene trávníky,suchy porost</t>
  </si>
  <si>
    <t>Hospodaření</t>
  </si>
  <si>
    <t>Okolní krajina</t>
  </si>
  <si>
    <t>Globálně</t>
  </si>
  <si>
    <t>málo úrody</t>
  </si>
  <si>
    <t>mame prazdnou studnu</t>
  </si>
  <si>
    <t>při pěstování ovoce a zeleniny</t>
  </si>
  <si>
    <t>je málo vody na zalévání zahrady, když neprší, žádná se nenachytá a není pak čím zalévat</t>
  </si>
  <si>
    <t>Špatná úroda na zahradce</t>
  </si>
  <si>
    <t>málo vody na zalévá zahrady</t>
  </si>
  <si>
    <t>zveda ceny ovoce a zeleniny,</t>
  </si>
  <si>
    <t>Nedostatek podzemních vod</t>
  </si>
  <si>
    <t>nebylo čím zalévat záhony</t>
  </si>
  <si>
    <t>ryby měly málo vody</t>
  </si>
  <si>
    <t>A co **znečištěné ovzduší**? Dotýká se vás nějak?</t>
  </si>
  <si>
    <t>nedotýká se mě</t>
  </si>
  <si>
    <t>Dychani</t>
  </si>
  <si>
    <t>Špatně se dýchá</t>
  </si>
  <si>
    <t>zimní smog vadí při běhání</t>
  </si>
  <si>
    <t>Žiju v Praze, což mi pravděpodobně zkracuje život o několik let</t>
  </si>
  <si>
    <t>prašnost ve městě</t>
  </si>
  <si>
    <t>dýcháme v Praze nečistý vzduch</t>
  </si>
  <si>
    <t>špatně se dýchá</t>
  </si>
  <si>
    <t>osobni problem</t>
  </si>
  <si>
    <t>v urcitych lokalitach mesta se mi huř dychá</t>
  </si>
  <si>
    <t>musím to dýchat</t>
  </si>
  <si>
    <t>dýchám to !</t>
  </si>
  <si>
    <t>Jsem astmatik, občas se mi hůř dýchá.</t>
  </si>
  <si>
    <t>Ziji ve velkomeste, kde dycham znecisteny vzduch z IAD</t>
  </si>
  <si>
    <t>problémy s dýcháním</t>
  </si>
  <si>
    <t>Alergie dětí</t>
  </si>
  <si>
    <t>Hůře se dýchá,nevím co dýchám apod.</t>
  </si>
  <si>
    <t>alergie</t>
  </si>
  <si>
    <t>hodně splodin z výfuku a topení v zimě</t>
  </si>
  <si>
    <t>Ve městech se v době invezre hůře dýchá.</t>
  </si>
  <si>
    <t>poškozené plíce</t>
  </si>
  <si>
    <t>špinavý vzduch, zdravotní riziko</t>
  </si>
  <si>
    <t>těžba dřeva</t>
  </si>
  <si>
    <t>chemicka</t>
  </si>
  <si>
    <t>Alergie</t>
  </si>
  <si>
    <t>Bydlím u frenventované silnice</t>
  </si>
  <si>
    <t>vždyť to dýchám já, moje rodina a všichni ostatní, ne?</t>
  </si>
  <si>
    <t>při cestě do města -  zplodiny z dopravy</t>
  </si>
  <si>
    <t>v zimě kouř z komínů a inverze</t>
  </si>
  <si>
    <t>ozonová díra</t>
  </si>
  <si>
    <t>Škodlivé ovzduší</t>
  </si>
  <si>
    <t>V Praze není zcela čistý vzduch.</t>
  </si>
  <si>
    <t>Zvlast v obdobi smogu se neda ve meste dychat</t>
  </si>
  <si>
    <t>zplodiny výfukū</t>
  </si>
  <si>
    <t>úbytek přírody</t>
  </si>
  <si>
    <t>malá pestrost osázení polí</t>
  </si>
  <si>
    <t>zdravotní riziko</t>
  </si>
  <si>
    <t>dýchám znečištěný vzduch</t>
  </si>
  <si>
    <t>jsem astmatik</t>
  </si>
  <si>
    <t>Žila jsem předtím na vesnici a teď ve městě a vnímám zhoršenou kvalitu vzduchu.</t>
  </si>
  <si>
    <t>mávam žluté auto hoci jeho barva je bordová</t>
  </si>
  <si>
    <t>v praze neni moc dobry vzduch</t>
  </si>
  <si>
    <t>Těžko říct, na horách se dýchá líp</t>
  </si>
  <si>
    <t>smog ze silnice u bydliště</t>
  </si>
  <si>
    <t>chemtrails , z nebe padají viry, težké kovy</t>
  </si>
  <si>
    <t>infikovaná klíštata</t>
  </si>
  <si>
    <t>větší nebezpeč íinfekce</t>
  </si>
  <si>
    <t>necitim se ve meste dobre</t>
  </si>
  <si>
    <t>Dusim se</t>
  </si>
  <si>
    <t>chrchlu</t>
  </si>
  <si>
    <t>žijí na Karvinsku kde ovzduší je znečištěné hodně. diky dolům a továrnam</t>
  </si>
  <si>
    <t>neznatelne ale je to tu</t>
  </si>
  <si>
    <t>hůř se mi dýchá</t>
  </si>
  <si>
    <t>topím dřevoplynem, sousedům vadí kouř pri zatápění,i když je to biopalivo</t>
  </si>
  <si>
    <t>nemocí</t>
  </si>
  <si>
    <t>dýchací problémy</t>
  </si>
  <si>
    <t>Špatně se mi dýchá - smog</t>
  </si>
  <si>
    <t>Občas se nám obtížně dýchá při inverzi</t>
  </si>
  <si>
    <t>špatně se mi dýchá</t>
  </si>
  <si>
    <t>spatne se dycha</t>
  </si>
  <si>
    <t>průmyslová zona chrlí do vzduchu moc odpadů</t>
  </si>
  <si>
    <t>hure se dycha</t>
  </si>
  <si>
    <t>automobilový provoz ve městě, kde bydlím</t>
  </si>
  <si>
    <t>bydlím ve znečištěné oblasti s častým smogem</t>
  </si>
  <si>
    <t>není dobře vidět noční obloha</t>
  </si>
  <si>
    <t>horší dýchání</t>
  </si>
  <si>
    <t>Vyfukové plyny aut,kouření továren</t>
  </si>
  <si>
    <t>Občas se hůře dýchá.</t>
  </si>
  <si>
    <t>asi tak jak všech</t>
  </si>
  <si>
    <t>ASTMA</t>
  </si>
  <si>
    <t>Zhoršené ovzduší v zimě</t>
  </si>
  <si>
    <t>alergie,  špatně dychani</t>
  </si>
  <si>
    <t>Dotýká se každého, aniž bychom si to uvědomovali, dýcháme škodliviny, které nám škodí na zdraví, a to se dříve či později projeví.</t>
  </si>
  <si>
    <t>Kysele srazky</t>
  </si>
  <si>
    <t>Poletavy prach</t>
  </si>
  <si>
    <t>dýchání</t>
  </si>
  <si>
    <t>Potřebuji dýchat čistší vzduch.</t>
  </si>
  <si>
    <t>astma</t>
  </si>
  <si>
    <t>nepřeji si aby tu prováděli chemtrails</t>
  </si>
  <si>
    <t>moravskoslezský kraj občas trápí smog</t>
  </si>
  <si>
    <t>Cítím to na dýchání, kašel atd</t>
  </si>
  <si>
    <t>zdravotně</t>
  </si>
  <si>
    <t>dýchám jedy které způsobují nemoce o kterých mi je říkáno že si za ně mohu sama protože   nepečuji o své zdraví a proto jsem nemocná</t>
  </si>
  <si>
    <t>mnohde se špatně dýchá</t>
  </si>
  <si>
    <t>není vidět v krajině</t>
  </si>
  <si>
    <t>všude je spousta prachu</t>
  </si>
  <si>
    <t>doma větrání</t>
  </si>
  <si>
    <t>prach a smrad</t>
  </si>
  <si>
    <t>zhoršené dýchání u dětí</t>
  </si>
  <si>
    <t>Astma</t>
  </si>
  <si>
    <t>hur se dycha</t>
  </si>
  <si>
    <t>znečištěné ovzduší (auta)</t>
  </si>
  <si>
    <t>špatně se mi dýchá ve městě, když je vedro</t>
  </si>
  <si>
    <t>nebo za špatných rozptylových podmínek</t>
  </si>
  <si>
    <t>Hůře se mi dýcha</t>
  </si>
  <si>
    <t>Hůře se mi dýchá.</t>
  </si>
  <si>
    <t>bydlíme cca 10km od chemického závodu</t>
  </si>
  <si>
    <t>kašlu</t>
  </si>
  <si>
    <t>lépe se mi dýchá jen v přírodě, ve městě je to obtížné</t>
  </si>
  <si>
    <t>Vzhledem k tomu, že bydlím pár kilometrů od fabriky, která v uvozovkách se snaží šetřit životní prostředí, ale stěny paneláku si o tom myslí něco jiného, tak mohu, říct, že kdybych od malička si na to nevybudoval imunitu, asi bych už tady nebyl, a nepsal Vám to.</t>
  </si>
  <si>
    <t>Horší podmínky pro život ve městě.</t>
  </si>
  <si>
    <t>Často smog, ve kterém se nedá dýchat</t>
  </si>
  <si>
    <t>v zime behem inverze smog hůře de dýchá</t>
  </si>
  <si>
    <t>dýchám</t>
  </si>
  <si>
    <t>Všichni mají větší zdravotní (dýchací) potíže</t>
  </si>
  <si>
    <t>Ve městě se nedá dýchat</t>
  </si>
  <si>
    <t>Hůře se dýchá</t>
  </si>
  <si>
    <t>budu muset pak kupovat čističku do domacnosti</t>
  </si>
  <si>
    <t>špatné ovzduší mi škodí</t>
  </si>
  <si>
    <t>Hůř se dýchá, hodně astmatiků,smrad ve městech</t>
  </si>
  <si>
    <t>Velká prašnost spojená s častějším prouděním větrů.</t>
  </si>
  <si>
    <t>Moc aut, špatně se dycha</t>
  </si>
  <si>
    <t>decka jsou nemocné</t>
  </si>
  <si>
    <t>více dni v roce kdyje venku smog</t>
  </si>
  <si>
    <t>moc...</t>
  </si>
  <si>
    <t>špúatné dýchání</t>
  </si>
  <si>
    <t>Někdy se hůře dýchá.</t>
  </si>
  <si>
    <t>Hůř se mi dycha</t>
  </si>
  <si>
    <t>citim spatny vzduch kdyz jsem venku</t>
  </si>
  <si>
    <t>Trpím alergií</t>
  </si>
  <si>
    <t>spatne dychani</t>
  </si>
  <si>
    <t>špiní mi to okna</t>
  </si>
  <si>
    <t>žiju v Ostravě, smog</t>
  </si>
  <si>
    <t>Bydlíme u hlavní silnice č.13, takže ano, dotýká</t>
  </si>
  <si>
    <t>bydlím v místě s největší koncentrací kadmia v ovzduší v ČR</t>
  </si>
  <si>
    <t>Bydlím v centru města a cítím rozdíl, když jedu pryč</t>
  </si>
  <si>
    <t>špatný zdravot. stav, aj. dýchací problémy</t>
  </si>
  <si>
    <t>Více alergií, nemocí</t>
  </si>
  <si>
    <t>Otevřeli uhelný lom 100 m od mého domu, mám stále horší zdravotní problémy</t>
  </si>
  <si>
    <t>Kašlu-smog</t>
  </si>
  <si>
    <t>Prach všude</t>
  </si>
  <si>
    <t>Odpad kolem nás</t>
  </si>
  <si>
    <t>neni voda ve studne</t>
  </si>
  <si>
    <t>Jsem si toho vědom a všímám si, kdy je vzduch čistý nebo znečištěný kolem mě.</t>
  </si>
  <si>
    <t>časté respirační nemoci</t>
  </si>
  <si>
    <t>alergie, nemoci</t>
  </si>
  <si>
    <t>PRACH</t>
  </si>
  <si>
    <t>Né teď, ale v globálu se to dotýká i mě. Planeta je naše loď, která se může potopit.</t>
  </si>
  <si>
    <t>vím,že to,co dýchám,není kvalitní ovzduší</t>
  </si>
  <si>
    <t>respirační potíže mých dětí</t>
  </si>
  <si>
    <t>hlavně v zimě inverze, kouř z komínů</t>
  </si>
  <si>
    <t>jde spíše o pocit beznaděje, než o konkrétní dopad</t>
  </si>
  <si>
    <t>mám alergické reakce, oslabenou imunitu</t>
  </si>
  <si>
    <t>při jízdě na kole ve městě</t>
  </si>
  <si>
    <t>obavy o zdraví</t>
  </si>
  <si>
    <t>pocit, že nedýcháme kvalitní vzduch (hlavně děti)</t>
  </si>
  <si>
    <t>pocit, že některé nemoci u dětí mohou souviset/mít horší průběh kvůli kvalitě vzduchu</t>
  </si>
  <si>
    <t>Znečištění z dopravy ve městě.</t>
  </si>
  <si>
    <t>Bydlim nad docepa rusnou ulici takze splofin z aut mi lita do pokoje dost</t>
  </si>
  <si>
    <t>špatně se dýchá někdy</t>
  </si>
  <si>
    <t>v zimě se mi špatně dýchá, když se topí nekvalitními palivy</t>
  </si>
  <si>
    <t>vyssi teploty ve meste</t>
  </si>
  <si>
    <t>spatny vzduch k dychani</t>
  </si>
  <si>
    <t>prach</t>
  </si>
  <si>
    <t>nemuzu dychat</t>
  </si>
  <si>
    <t>astma u dětí</t>
  </si>
  <si>
    <t>skoro furt kašlu</t>
  </si>
  <si>
    <t>mírně zhoršené ovzduší v určitých obdobích (město)</t>
  </si>
  <si>
    <t>Každodenní pobyt</t>
  </si>
  <si>
    <t>škodlivost na zdraví</t>
  </si>
  <si>
    <t>Tak trochu se dotýká každého</t>
  </si>
  <si>
    <t>smok</t>
  </si>
  <si>
    <t>Bydlím v místě kde se těží uhlí. Je tady prach, smog a špína. Ovoce že zahrad drhneme kartáčem.</t>
  </si>
  <si>
    <t>Dycham ho</t>
  </si>
  <si>
    <t>když na zimu všichni zatopí a většina lidí má pod okny nastartovaná auta, tak nejde dýchat</t>
  </si>
  <si>
    <t>mé děti se stali alergici</t>
  </si>
  <si>
    <t>hůře se mi dýchá a často mě bolí hlava</t>
  </si>
  <si>
    <t>Je větší horko</t>
  </si>
  <si>
    <t>voda je drahá</t>
  </si>
  <si>
    <t>Poblíž jsou Tž</t>
  </si>
  <si>
    <t>Moc tovaren</t>
  </si>
  <si>
    <t>smrad v ovzdusi</t>
  </si>
  <si>
    <t>nemožnost větrat v noci pokoj</t>
  </si>
  <si>
    <t>nepříjemné projít frekventovanou ulici ve meste</t>
  </si>
  <si>
    <t>Zduvodu znečištění eu zavádí nesmyslné normy na osobni dopravu. To vede k poškozovaní automobiloveho prumyslu v eu ve kterém pracuji.</t>
  </si>
  <si>
    <t>při dýchání - mám astma</t>
  </si>
  <si>
    <t>Astma, problémy s dýcháním</t>
  </si>
  <si>
    <t>Všech se dotýká to, co dýcháme.</t>
  </si>
  <si>
    <t>Dcera žije v Libni, tam se nedá dýchat</t>
  </si>
  <si>
    <t>blbe se me dycha</t>
  </si>
  <si>
    <t>nejezdím tolik autem</t>
  </si>
  <si>
    <t>problemy s dychanim</t>
  </si>
  <si>
    <t>ziskani alergie</t>
  </si>
  <si>
    <t>celkove narusena imunita a z ni vyplyvajici takzvanr “populacni nemoci”</t>
  </si>
  <si>
    <t>Jsem alergik, kdyz mam rymu i v zime kdy neni pilove obdobi muze to byt znecistenim z automobilu.</t>
  </si>
  <si>
    <t>Zhoršení zdravotního stavu člena rodiny</t>
  </si>
  <si>
    <t>Dýchám ho</t>
  </si>
  <si>
    <t>nelíbí se mi to, neprijde mi normálni spalovat odpadky a ohrivat si vodu kotlem na tuhá paliva i v létě a pálit v kotli na tuhá paliva lakované drevo. toto by mely obce resit, ale bohuzel je to nezajima</t>
  </si>
  <si>
    <t>Nadbytek aut</t>
  </si>
  <si>
    <t>Vypousteni chemikalii z firem do ovzdusi, prach</t>
  </si>
  <si>
    <t>Astmatik</t>
  </si>
  <si>
    <t>Horší dýchání</t>
  </si>
  <si>
    <t>Alergie při inverzi</t>
  </si>
  <si>
    <t>je to všeobecné</t>
  </si>
  <si>
    <t>dýcháním</t>
  </si>
  <si>
    <t>respirační onemocnění</t>
  </si>
  <si>
    <t>Špatně se nám dýchá</t>
  </si>
  <si>
    <t>Dotýká se vsech</t>
  </si>
  <si>
    <t>DÝCHÁNÍ</t>
  </si>
  <si>
    <t>Dotýká se každého, když to musíme dýchat</t>
  </si>
  <si>
    <t>zhoršené dýchání</t>
  </si>
  <si>
    <t>Špatné dýchání</t>
  </si>
  <si>
    <t>ovlivneni pocasi diky sklenikovym plynu</t>
  </si>
  <si>
    <t>ve meste se mi spatne dýchá</t>
  </si>
  <si>
    <t>Bydlím v Praze a těžko se dýchá</t>
  </si>
  <si>
    <t>Bydlím v Krušných horách...</t>
  </si>
  <si>
    <t>zdravotní stav</t>
  </si>
  <si>
    <t>Týká se to nás všech je plno alergií a astmatiků</t>
  </si>
  <si>
    <t>Horší kvalita pleti</t>
  </si>
  <si>
    <t>Smog ve meste</t>
  </si>
  <si>
    <t>spatne zdravi</t>
  </si>
  <si>
    <t>Severní Čechy mluví sami za sebe...</t>
  </si>
  <si>
    <t>Rezavění stromů</t>
  </si>
  <si>
    <t>Astma, bronchitidy a jiné zdravotní problémy  nejen u lidí</t>
  </si>
  <si>
    <t>...</t>
  </si>
  <si>
    <t>Hůř se mi dýchá</t>
  </si>
  <si>
    <t>Bydlíme u hlavní silnice</t>
  </si>
  <si>
    <t>hůře se mi dýchá</t>
  </si>
  <si>
    <t>smog v praze</t>
  </si>
  <si>
    <t>ze ziji ve městě</t>
  </si>
  <si>
    <t>dost aut</t>
  </si>
  <si>
    <t>spatny vzduch na dychani</t>
  </si>
  <si>
    <t>inveeze</t>
  </si>
  <si>
    <t>špatné ovzduší , těžce se mi dýchá</t>
  </si>
  <si>
    <t>bydlim v průmyslovém městě</t>
  </si>
  <si>
    <t>Cítím ve vzduchu smog</t>
  </si>
  <si>
    <t>huř se dýchá</t>
  </si>
  <si>
    <t>bydlím v Ostravě</t>
  </si>
  <si>
    <t>vice prasnosti a smogu</t>
  </si>
  <si>
    <t>Výpary aut</t>
  </si>
  <si>
    <t>Moravskoslezský kraj</t>
  </si>
  <si>
    <t>hůř se dýchá</t>
  </si>
  <si>
    <t>kvalita vzduchu v Praze</t>
  </si>
  <si>
    <t>kuraci</t>
  </si>
  <si>
    <t>Pokud je špatný vzduch, špatně si mi dýchá.</t>
  </si>
  <si>
    <t>není přirozeně čistý vzduch</t>
  </si>
  <si>
    <t>Za rudejch to bylo horší. Teď už se v Děčíně dá dýchat. Ačkoliv míra automobilismu i za účelem turismu tady v parku je úděsná.</t>
  </si>
  <si>
    <t>exhalace</t>
  </si>
  <si>
    <t>hůře se dýchá</t>
  </si>
  <si>
    <t>Znečištění v místě bydliště</t>
  </si>
  <si>
    <t>Smog dychame hnus</t>
  </si>
  <si>
    <t>Špatně se dícha</t>
  </si>
  <si>
    <t>špatně se dýchá při smogu</t>
  </si>
  <si>
    <t>Chci dýchat čistý vzduch.Hlavně pro malé děti.</t>
  </si>
  <si>
    <t>astma, alergie</t>
  </si>
  <si>
    <t>ztížené dýchání</t>
  </si>
  <si>
    <t>Žiji v Praze, kde je hodně prachy a znečištění ovzduší</t>
  </si>
  <si>
    <t>bezohlednost topení lidí v sousedství</t>
  </si>
  <si>
    <t>Velké množství polétavého prachu v lokalitě.</t>
  </si>
  <si>
    <t>výfukové plyny, znečištění z továren</t>
  </si>
  <si>
    <t>Ve městě,kde po celý život žiji,mám v určitých obdobích problémy s dýcháním</t>
  </si>
  <si>
    <t>dýchám prach a kouř</t>
  </si>
  <si>
    <t>smrad ve mestech</t>
  </si>
  <si>
    <t>bydlím v okrese Karviná a myslím že je to nejvíce znečištěné místo v Evropě a mrzí mě, že se to neřeší</t>
  </si>
  <si>
    <t>těžba</t>
  </si>
  <si>
    <t>díky "ohleduplným" sousedům spalujícím plasty, dokonce celé lednice po vykuchání pálí na dvorku nejsme schopni vůbec na zahradě vydržet ani dva dny za sebou, prádlo nelze sušit venku na zahradě ani v zimě ani v létě</t>
  </si>
  <si>
    <t>bydlíme blízko silnice, když jsme dům kupovali v roce 2004 projelo sem tam auto, dnes se už s otevřeným oknem spát nedá (hluk i smrad+další "bonusy")</t>
  </si>
  <si>
    <t>někdy doslova vidím co dýchám :-(</t>
  </si>
  <si>
    <t>vadí mi že se všude válí odpadky</t>
  </si>
  <si>
    <t>Smrdi, VAFO Chrastany, ze nemohu vetrat</t>
  </si>
  <si>
    <t>špatný, znečištěný vzduch</t>
  </si>
  <si>
    <t>Někdy se mi špatně dýchá. Nedaleko máme galvii</t>
  </si>
  <si>
    <t>prašnost z hnědouhelného dolu</t>
  </si>
  <si>
    <t>Dýchá se nám rozhodně hůře než dříve. Většina energie je bohužel stále věnována rozvoji průmyslu a byznysu, který vše živé ničí. Dnes je to mnohem očividnější než kdysi, přesto velké korporace stále bezohledně šlapou na plyn až nadoraz. I když se snaží tvářit strašně ekologicky a ohleduplně.</t>
  </si>
  <si>
    <t>mění se hodně tlaky, hůř se dýchá.</t>
  </si>
  <si>
    <t>žiji v Praze u hlavní tepny, občas je tu opravdu hrozný vzduch</t>
  </si>
  <si>
    <t>v zimě se hůře dýchá, jsem ve spádové oblasti</t>
  </si>
  <si>
    <t>Bydlím v centru Brna</t>
  </si>
  <si>
    <t>díchání astma</t>
  </si>
  <si>
    <t>mam pred barakem chemicku</t>
  </si>
  <si>
    <t>bydlíme u rušné silnice</t>
  </si>
  <si>
    <t>dým z komínů</t>
  </si>
  <si>
    <t>občas se nedá dobře dýchat</t>
  </si>
  <si>
    <t>Respirační choroby</t>
  </si>
  <si>
    <t>prudušky</t>
  </si>
  <si>
    <t>Hlavním problémem nejsou velké firmy, ale zejména auta ve městech.</t>
  </si>
  <si>
    <t>Mám chronické zdravotní problémy souvislé s dýcháním.</t>
  </si>
  <si>
    <t>Dýchání zplodin z aut ve městě</t>
  </si>
  <si>
    <t>Ziju v centru mesta a i kdyz je to lepsi nez pred revoluci, tak treba prasnost je stale vysoka.</t>
  </si>
  <si>
    <t>žiji v Praze</t>
  </si>
  <si>
    <t>horší podmínky pro zdraví</t>
  </si>
  <si>
    <t>zplodiny a prach nejsou pro plíce dobré</t>
  </si>
  <si>
    <t>žiju v průmyslové oblasti, dýcháme tady popílek a prašné částice, naše tělo se chová jako by neustále bylo nemocné, protože reaguje na cizorodé látky v ovzduší,</t>
  </si>
  <si>
    <t>doma máme neustále prach, v zimě když otevřu okno, tak samý smog a smrad, kdo má právo nám ničit zdraví</t>
  </si>
  <si>
    <t>každý na této planetě by měl mít právo dýchat čistý vzduch a pít čistou vodu, jak je možné, že velké podniky bezstrestně vypouštějí do vzduchu a do řek svinstva</t>
  </si>
  <si>
    <t>dítě astmatik</t>
  </si>
  <si>
    <t>zhoršené rozptylové podmínky v zimním období</t>
  </si>
  <si>
    <t>obcas spatne dycha bolest hlavy a tak</t>
  </si>
  <si>
    <t>smog ve meste</t>
  </si>
  <si>
    <t>dýchatelnost</t>
  </si>
  <si>
    <t>nikoliv bezprostredne</t>
  </si>
  <si>
    <t>hůře se dýchá venku</t>
  </si>
  <si>
    <t>sousedi topí celý rok</t>
  </si>
  <si>
    <t>Bydlím blízko šachet</t>
  </si>
  <si>
    <t>Průmyslová zóna, těžba vápence, blízkost Ostravy... Z toho plynou alergie, astma..</t>
  </si>
  <si>
    <t>Sousedi topí v zimě nekvalitním uhlím</t>
  </si>
  <si>
    <t>zhorsene.dychani ve meste</t>
  </si>
  <si>
    <t>špatně dýchání</t>
  </si>
  <si>
    <t>katary průdušek</t>
  </si>
  <si>
    <t>při inverzi je v Praze špatný vzduch</t>
  </si>
  <si>
    <t>Špatně dýchání ve velkomestech</t>
  </si>
  <si>
    <t>mám lehké astma</t>
  </si>
  <si>
    <t>zhoršení zdravotního stavu</t>
  </si>
  <si>
    <t>osobně je to neznatelné</t>
  </si>
  <si>
    <t>Vydím kolem sebe negativní dopady dopady lidské činnosti</t>
  </si>
  <si>
    <t>horsi ovzdusi</t>
  </si>
  <si>
    <t>mám dceru alergika astmetika a na zdraví pocítí změny v ovzduší, já sama mám problémy s dýcháním a další.</t>
  </si>
  <si>
    <t>já sama mám problémy s dýcháním a další.</t>
  </si>
  <si>
    <t>no bydlim kousek mista kde vypousteji chemikalir</t>
  </si>
  <si>
    <t>dým z komínů v obci</t>
  </si>
  <si>
    <t>výfukové plyny z aut</t>
  </si>
  <si>
    <t>cim dál více aut na silnicích</t>
  </si>
  <si>
    <t>emise z tuhých paliv</t>
  </si>
  <si>
    <t>horsi dychani</t>
  </si>
  <si>
    <t>vysoká prašnost v našem regionu</t>
  </si>
  <si>
    <t>někdy zápach, špatné dýchání</t>
  </si>
  <si>
    <t>nemám ráda mlhy, špatně se mi v nich dýchá</t>
  </si>
  <si>
    <t>smrad v ovzduší</t>
  </si>
  <si>
    <t>Horší kvalita vzduchu v Plzni</t>
  </si>
  <si>
    <t>Žiji v relativně čisté oblasti, snažím se vyhýbat místům, kde je zněčištění velké</t>
  </si>
  <si>
    <t>alergie,respiracni nemoci</t>
  </si>
  <si>
    <t>dělám v tom</t>
  </si>
  <si>
    <t>Žiji na Severní Moravě, to asi mluví za vše</t>
  </si>
  <si>
    <t>mlhy a smog</t>
  </si>
  <si>
    <t>mám astma</t>
  </si>
  <si>
    <t>zimní inverze + topení tuhými palivy = dýchací potíže</t>
  </si>
  <si>
    <t>topení uhlím v okolí</t>
  </si>
  <si>
    <t>použivanie klimatizacie v kancelariach</t>
  </si>
  <si>
    <t>Zašpinění nošených oděvů.</t>
  </si>
  <si>
    <t>Onemocnění dýchacích cest</t>
  </si>
  <si>
    <t>Spíš globálně</t>
  </si>
  <si>
    <t>bydlení u hlavní silnice - víc netřeba dodávat, neustálý prach a špína, hluk</t>
  </si>
  <si>
    <t>hůř se mi dýchá, když projede některé z aut</t>
  </si>
  <si>
    <t>horší prostředí pro mě i dět</t>
  </si>
  <si>
    <t>spatne se dycha,spousta zdrav.problemu</t>
  </si>
  <si>
    <t>kouř z komínů</t>
  </si>
  <si>
    <t>Řeší podle váš stav naší krajiny **česká vláda**?</t>
  </si>
  <si>
    <t>Zlepšuje stav naší krajiny.</t>
  </si>
  <si>
    <t>Zkouší to, ale moc jí to nejde.</t>
  </si>
  <si>
    <t>Nic nedělá.</t>
  </si>
  <si>
    <t>A co **Evropská unie**?</t>
  </si>
  <si>
    <t>A věříte, že můžete stav krajiny zlepšit vy **osobně**?</t>
  </si>
  <si>
    <t>Ano, má to smysl.</t>
  </si>
  <si>
    <t>Moc toho změnit nezmůžu.</t>
  </si>
  <si>
    <t>Mám pocit, že to nemá smysl.</t>
  </si>
  <si>
    <t>A co z toho děláte pro ochranu **životního prostředí**?</t>
  </si>
  <si>
    <t>třídění odpadu - už dělám</t>
  </si>
  <si>
    <t>třídění odpadu - nedělám, ale chci</t>
  </si>
  <si>
    <t>třídění odpadu - nedělám a nechci</t>
  </si>
  <si>
    <t>vyhýbání se nadbytečným obalům - už dělám</t>
  </si>
  <si>
    <t>vyhýbání se nadbytečným obalům - nedělám, ale chci</t>
  </si>
  <si>
    <t>vyhýbání se nadbytečným obalům - nedělám a nechci</t>
  </si>
  <si>
    <t>snižování konzumace masa - už dělám</t>
  </si>
  <si>
    <t>snižování konzumace masa - nedělám, ale chci</t>
  </si>
  <si>
    <t>snižování konzumace masa - nedělám a nechci</t>
  </si>
  <si>
    <t>vzdělávání se o ekologii (dokumenty, články..) - už dělám</t>
  </si>
  <si>
    <t>vzdělávání se o ekologii (dokumenty, články..) - nedělám, ale chci</t>
  </si>
  <si>
    <t>vzdělávání se o ekologii (dokumenty, články..) - nedělám a nechci</t>
  </si>
  <si>
    <t>podepisování petic - už dělám</t>
  </si>
  <si>
    <t>podepisování petic - nedělám, ale chci</t>
  </si>
  <si>
    <t>podepisování petic - nedělám a nechci</t>
  </si>
  <si>
    <t>celkové omezení spotřeby - už dělám</t>
  </si>
  <si>
    <t>celkové omezení spotřeby - nedělám, ale chci</t>
  </si>
  <si>
    <t>celkové omezení spotřeby - nedělám a nechci</t>
  </si>
  <si>
    <t>nelétání letadlem - už dělám</t>
  </si>
  <si>
    <t>nelétání letadlem - nedělám, ale chci</t>
  </si>
  <si>
    <t>nelétání letadlem - nedělám a nechci</t>
  </si>
  <si>
    <t>kupování lokálních potravin - už dělám</t>
  </si>
  <si>
    <t>kupování lokálních potravin - nedělám, ale chci</t>
  </si>
  <si>
    <t>kupování lokálních potravin - nedělám a nechci</t>
  </si>
  <si>
    <t>už dělám - třídění odpadu</t>
  </si>
  <si>
    <t>už dělám - vyhýbání se nadbytečným obalům</t>
  </si>
  <si>
    <t>už dělám - snižování konzumace masa</t>
  </si>
  <si>
    <t>už dělám - vzdělávání se o ekologii (dokumenty, články..)</t>
  </si>
  <si>
    <t>už dělám - podepisování petic</t>
  </si>
  <si>
    <t>už dělám - celkové omezení spotřeby</t>
  </si>
  <si>
    <t>už dělám - nelétání letadlem</t>
  </si>
  <si>
    <t>už dělám - kupování lokálních potravin</t>
  </si>
  <si>
    <t>nedělám, ale chci - třídění odpadu</t>
  </si>
  <si>
    <t>nedělám, ale chci - vyhýbání se nadbytečným obalům</t>
  </si>
  <si>
    <t>nedělám, ale chci - snižování konzumace masa</t>
  </si>
  <si>
    <t>nedělám, ale chci - vzdělávání se o ekologii (dokumenty, články..)</t>
  </si>
  <si>
    <t>nedělám, ale chci - podepisování petic</t>
  </si>
  <si>
    <t>nedělám, ale chci - celkové omezení spotřeby</t>
  </si>
  <si>
    <t>nedělám, ale chci - nelétání letadlem</t>
  </si>
  <si>
    <t>nedělám, ale chci - kupování lokálních potravin</t>
  </si>
  <si>
    <t>nedělám a nechci - třídění odpadu</t>
  </si>
  <si>
    <t>nedělám a nechci - vyhýbání se nadbytečným obalům</t>
  </si>
  <si>
    <t>nedělám a nechci - snižování konzumace masa</t>
  </si>
  <si>
    <t>nedělám a nechci - vzdělávání se o ekologii (dokumenty, články..)</t>
  </si>
  <si>
    <t>nedělám a nechci - podepisování petic</t>
  </si>
  <si>
    <t>nedělám a nechci - celkové omezení spotřeby</t>
  </si>
  <si>
    <t>nedělám a nechci - nelétání letadlem</t>
  </si>
  <si>
    <t>nedělám a nechci - kupování lokálních potravin</t>
  </si>
  <si>
    <t>A něco z toho?</t>
  </si>
  <si>
    <t>nekupování balené vody - už dělám</t>
  </si>
  <si>
    <t>nekupování balené vody - nedělám, ale chci</t>
  </si>
  <si>
    <t>nekupování balené vody - nedělám a nechci</t>
  </si>
  <si>
    <t>používání přírodní kosmetiky - už dělám</t>
  </si>
  <si>
    <t>používání přírodní kosmetiky - nedělám, ale chci</t>
  </si>
  <si>
    <t>používání přírodní kosmetiky - nedělám a nechci</t>
  </si>
  <si>
    <t>omezování igelitek - už dělám</t>
  </si>
  <si>
    <t>omezování igelitek - nedělám, ale chci</t>
  </si>
  <si>
    <t>omezování igelitek - nedělám a nechci</t>
  </si>
  <si>
    <t>nošení vlastní láhve na vodu - už dělám</t>
  </si>
  <si>
    <t>nošení vlastní láhve na vodu - nedělám, ale chci</t>
  </si>
  <si>
    <t>nošení vlastní láhve na vodu - nedělám a nechci</t>
  </si>
  <si>
    <t>ježdění MHD místo autem - už dělám</t>
  </si>
  <si>
    <t>ježdění MHD místo autem - nedělám, ale chci</t>
  </si>
  <si>
    <t>ježdění MHD místo autem - nedělám a nechci</t>
  </si>
  <si>
    <t>chození na demonstrace za klima - už dělám</t>
  </si>
  <si>
    <t>chození na demonstrace za klima - nedělám, ale chci</t>
  </si>
  <si>
    <t>chození na demonstrace za klima - nedělám a nechci</t>
  </si>
  <si>
    <t>šetření vodou (při sprchování, mytí nádobí..) - už dělám</t>
  </si>
  <si>
    <t>šetření vodou (při sprchování, mytí nádobí..) - nedělám, ale chci</t>
  </si>
  <si>
    <t>šetření vodou (při sprchování, mytí nádobí..) - nedělám a nechci</t>
  </si>
  <si>
    <t>nakupování věcí z druhé ruky - už dělám</t>
  </si>
  <si>
    <t>nakupování věcí z druhé ruky - nedělám, ale chci</t>
  </si>
  <si>
    <t>nakupování věcí z druhé ruky - nedělám a nechci</t>
  </si>
  <si>
    <t>už dělám - nekupování balené vody</t>
  </si>
  <si>
    <t>už dělám - používání přírodní kosmetiky</t>
  </si>
  <si>
    <t>už dělám - omezování igelitek</t>
  </si>
  <si>
    <t>už dělám - nošení vlastní láhve na vodu</t>
  </si>
  <si>
    <t>už dělám - ježdění MHD místo autem</t>
  </si>
  <si>
    <t>už dělám - chození na demonstrace za klima</t>
  </si>
  <si>
    <t>už dělám - šetření vodou (při sprchování, mytí nádobí..)</t>
  </si>
  <si>
    <t>už dělám - nakupování věcí z druhé ruky</t>
  </si>
  <si>
    <t>nedělám, ale chci - nekupování balené vody</t>
  </si>
  <si>
    <t>nedělám, ale chci - používání přírodní kosmetiky</t>
  </si>
  <si>
    <t>nedělám, ale chci - omezování igelitek</t>
  </si>
  <si>
    <t>nedělám, ale chci - nošení vlastní láhve na vodu</t>
  </si>
  <si>
    <t>nedělám, ale chci - ježdění MHD místo autem</t>
  </si>
  <si>
    <t>nedělám, ale chci - chození na demonstrace za klima</t>
  </si>
  <si>
    <t>nedělám, ale chci - šetření vodou (při sprchování, mytí nádobí..)</t>
  </si>
  <si>
    <t>nedělám, ale chci - nakupování věcí z druhé ruky</t>
  </si>
  <si>
    <t>nedělám a nechci - nekupování balené vody</t>
  </si>
  <si>
    <t>nedělám a nechci - používání přírodní kosmetiky</t>
  </si>
  <si>
    <t>nedělám a nechci - omezování igelitek</t>
  </si>
  <si>
    <t>nedělám a nechci - nošení vlastní láhve na vodu</t>
  </si>
  <si>
    <t>nedělám a nechci - ježdění MHD místo autem</t>
  </si>
  <si>
    <t>nedělám a nechci - chození na demonstrace za klima</t>
  </si>
  <si>
    <t>nedělám a nechci - šetření vodou (při sprchování, mytí nádobí..)</t>
  </si>
  <si>
    <t>nedělám a nechci - nakupování věcí z druhé ruky</t>
  </si>
  <si>
    <t>fabriky</t>
  </si>
  <si>
    <t>auta</t>
  </si>
  <si>
    <t>politika</t>
  </si>
  <si>
    <t>Továrny</t>
  </si>
  <si>
    <t>špatná stavba krajiny</t>
  </si>
  <si>
    <t>těžba uhlí</t>
  </si>
  <si>
    <t>špatné plodiny na polích</t>
  </si>
  <si>
    <t>Nešetrné zemědělství - chemie, nedělá se hluboká orba, zhutňování půdy</t>
  </si>
  <si>
    <t>Paradoxně často dost škodí různé lokální eko organizace</t>
  </si>
  <si>
    <t>eroze půdy</t>
  </si>
  <si>
    <t>neschopnost udržet vodu v krajině</t>
  </si>
  <si>
    <t>vyčerpávání půdy zemědělstvím</t>
  </si>
  <si>
    <t>urbanizace</t>
  </si>
  <si>
    <t>Povrchová těžba</t>
  </si>
  <si>
    <t>Uhelné elektrárny</t>
  </si>
  <si>
    <t>Velké lány polí</t>
  </si>
  <si>
    <t>výpary z aut</t>
  </si>
  <si>
    <t>odpadky,znecistovani pudy,kaceni zelene,plytvani vodou</t>
  </si>
  <si>
    <t>zastavování orne pudy</t>
  </si>
  <si>
    <t>pouzivani pesticidu</t>
  </si>
  <si>
    <t>spatne zachazeni se zemedelskou pudou -voda rychle odteka z poli</t>
  </si>
  <si>
    <t>skládky</t>
  </si>
  <si>
    <t>neudržení vody v krajině</t>
  </si>
  <si>
    <t>lidské chování</t>
  </si>
  <si>
    <t>sypání jedů</t>
  </si>
  <si>
    <t>plast</t>
  </si>
  <si>
    <t>Velké hromědění odpadů</t>
  </si>
  <si>
    <t>Jezdí moc automobilů</t>
  </si>
  <si>
    <t>Individuální automobilová doprava, hlavně zplodiny a prach, ale i hluk</t>
  </si>
  <si>
    <t>Velká JZD, malá diverzita krajiny</t>
  </si>
  <si>
    <t>uhelné elekrárny</t>
  </si>
  <si>
    <t>kuřáci</t>
  </si>
  <si>
    <t>Odpady</t>
  </si>
  <si>
    <t>Pesticidy a chemie celkově</t>
  </si>
  <si>
    <t>Znečišťování ovzduší</t>
  </si>
  <si>
    <t>Recyklace odpadu jakéhokoli</t>
  </si>
  <si>
    <t>splavování půdy</t>
  </si>
  <si>
    <t>největším problémem je globalizace</t>
  </si>
  <si>
    <t>vytěžování a neobnova zemědělské půdy</t>
  </si>
  <si>
    <t>člověk a lidská blbost a omezenost</t>
  </si>
  <si>
    <t>pokles biodiverzity</t>
  </si>
  <si>
    <t>moc aut</t>
  </si>
  <si>
    <t>postřiky na polích</t>
  </si>
  <si>
    <t>Sucho a znečištění vody</t>
  </si>
  <si>
    <t>Nevin</t>
  </si>
  <si>
    <t>řepka a chemicky prumysl</t>
  </si>
  <si>
    <t>Pesticidy</t>
  </si>
  <si>
    <t>znečištovani živ. prostředí</t>
  </si>
  <si>
    <t>půda</t>
  </si>
  <si>
    <t>sucho vs. záplavy a povodně</t>
  </si>
  <si>
    <t>stavění hal na kvalitní půdě</t>
  </si>
  <si>
    <t>půdní eroze</t>
  </si>
  <si>
    <t>nevhodné hospodaření na půdě</t>
  </si>
  <si>
    <t>Zastavba zelenych ploch</t>
  </si>
  <si>
    <t>Spatne hospodareni se zemedelskou pudou</t>
  </si>
  <si>
    <t>Odvodnovani, prilisne sekani travy</t>
  </si>
  <si>
    <t>znecisteni ovzdusi</t>
  </si>
  <si>
    <t>likvidace zemedelske pudy</t>
  </si>
  <si>
    <t>nárůst kamionové dopravy</t>
  </si>
  <si>
    <t>zástavba zemědělské půdy</t>
  </si>
  <si>
    <t>nadbytek polí s řepkou</t>
  </si>
  <si>
    <t>těžba fosilních zdrojů</t>
  </si>
  <si>
    <t>kvalit ovzduší</t>
  </si>
  <si>
    <t>ekospasitelé a jejich nohsledi</t>
  </si>
  <si>
    <t>obaly</t>
  </si>
  <si>
    <t>krmeni holubu</t>
  </si>
  <si>
    <t>bezohlednost lidi vuci prirode znecisteni lesu aj.</t>
  </si>
  <si>
    <t>zastavování zemědělské půdy</t>
  </si>
  <si>
    <t>Sucha a v jejich důsledku epidemie kůrovce</t>
  </si>
  <si>
    <t>Vymírání včel a dalších opylovačů</t>
  </si>
  <si>
    <t>Odpady!!!!</t>
  </si>
  <si>
    <t>Chamtivost lidi</t>
  </si>
  <si>
    <t>herbicídy -prašnosť</t>
  </si>
  <si>
    <t>nenažranosť ľudí</t>
  </si>
  <si>
    <t>Postřiky, řepka</t>
  </si>
  <si>
    <t>Velká pole a plochy, co nezadrzi vodu</t>
  </si>
  <si>
    <t>agrofert a podobní</t>
  </si>
  <si>
    <t>vláda</t>
  </si>
  <si>
    <t>továrny</t>
  </si>
  <si>
    <t>chemie všude</t>
  </si>
  <si>
    <t>špatné zemědělské postupy</t>
  </si>
  <si>
    <t>stále rostoucí zástavba</t>
  </si>
  <si>
    <t>"Kolchozní" hospodaření na velkých lánech dotačních agrobaronů, kteří si na to ještě rozdělují dotace.</t>
  </si>
  <si>
    <t>Z něj vyplývající malá členitost krajiny.</t>
  </si>
  <si>
    <t>A z toho všeho vyplývající sucho, splachování ornice a nadužívání hnojiv (které jako v začarovaném kruhu vyrábějí agrobaroni a potřebují je do krajiny sypat).</t>
  </si>
  <si>
    <t>výfukové splodiny</t>
  </si>
  <si>
    <t>lidé málo třídí odpad</t>
  </si>
  <si>
    <t>lidé málo šetří vodou</t>
  </si>
  <si>
    <t>znecisteni vody</t>
  </si>
  <si>
    <t>ekofašismus</t>
  </si>
  <si>
    <t>přílišný tlak na lidi a vymývání mozků zatímco nadnárodní společnosti si dělají co chtějí</t>
  </si>
  <si>
    <t>nulová diverzita zemědělských ploch</t>
  </si>
  <si>
    <t>smradlavé firmy zpracovávající plasty</t>
  </si>
  <si>
    <t>chemická hnojiva</t>
  </si>
  <si>
    <t>nedostatek podzemni vody</t>
  </si>
  <si>
    <t>znečištene ovzduši</t>
  </si>
  <si>
    <t>zachazeni s odpady</t>
  </si>
  <si>
    <t>dopprava</t>
  </si>
  <si>
    <t>intenzivní zemědělství</t>
  </si>
  <si>
    <t>mikroplasty</t>
  </si>
  <si>
    <t>znečištěná příroda</t>
  </si>
  <si>
    <t>nadbytek odpadů</t>
  </si>
  <si>
    <t>Odpadky</t>
  </si>
  <si>
    <t>Nové druhy hmyzu z jižních států</t>
  </si>
  <si>
    <t>zábor orné půdy pro stavby hal</t>
  </si>
  <si>
    <t>moc netříděných odpadů</t>
  </si>
  <si>
    <t>Voda v krajině  (ne sucho!)</t>
  </si>
  <si>
    <t>repkova pole</t>
  </si>
  <si>
    <t>obecné chovani ke krajine</t>
  </si>
  <si>
    <t>Špatné hospodareni, zemedelstvi</t>
  </si>
  <si>
    <t>Zastavba</t>
  </si>
  <si>
    <t>málo lesů</t>
  </si>
  <si>
    <t>pestovani nevhodnych plodin</t>
  </si>
  <si>
    <t>Hodně</t>
  </si>
  <si>
    <t>špatné hospodaření s půdou</t>
  </si>
  <si>
    <t>špatné hospodaření s vodou</t>
  </si>
  <si>
    <t>balene vidy</t>
  </si>
  <si>
    <t>šachty</t>
  </si>
  <si>
    <t>hnojiva</t>
  </si>
  <si>
    <t>prumysl</t>
  </si>
  <si>
    <t>nedokážu posoudit</t>
  </si>
  <si>
    <t>Zhoršený stav lesů.</t>
  </si>
  <si>
    <t>Hospodaření s vodou.</t>
  </si>
  <si>
    <t>polní monokultury na obrovských plochách</t>
  </si>
  <si>
    <t>úbytek zeminy z polí pri bleskových povodních</t>
  </si>
  <si>
    <t>hubeni zvirat pesticidy</t>
  </si>
  <si>
    <t>odpadky</t>
  </si>
  <si>
    <t>pesticidy</t>
  </si>
  <si>
    <t>vymírání včel</t>
  </si>
  <si>
    <t>nezadržování vody v krajině</t>
  </si>
  <si>
    <t>nedostatek třídění odpadu</t>
  </si>
  <si>
    <t>Omezení biodiverzity</t>
  </si>
  <si>
    <t>Kůrovec</t>
  </si>
  <si>
    <t>Kácení lesů</t>
  </si>
  <si>
    <t>emise z prumyslovych podniku</t>
  </si>
  <si>
    <t>zastavba ornych pud</t>
  </si>
  <si>
    <t>kaceni lesu</t>
  </si>
  <si>
    <t>kurovec</t>
  </si>
  <si>
    <t>chemikalie</t>
  </si>
  <si>
    <t>Těžba</t>
  </si>
  <si>
    <t>Odpad v přírodě</t>
  </si>
  <si>
    <t>Skládky</t>
  </si>
  <si>
    <t>znečištění vod</t>
  </si>
  <si>
    <t>zastavování orné půdy plechovými halami</t>
  </si>
  <si>
    <t>příliš velká pole a nevhodná skladba pěstovaných plodin</t>
  </si>
  <si>
    <t>polím se nevěnuje patřičná péče</t>
  </si>
  <si>
    <t>vyfukove plyny</t>
  </si>
  <si>
    <t>trideni</t>
  </si>
  <si>
    <t>Znečištění vod</t>
  </si>
  <si>
    <t>Plasty</t>
  </si>
  <si>
    <t>chemie</t>
  </si>
  <si>
    <t>nadbytek odpadu a výroby celkově</t>
  </si>
  <si>
    <t>špatné rozložení energetických zdrojů</t>
  </si>
  <si>
    <t>neekologický průmysl</t>
  </si>
  <si>
    <t>plýtvání potravin</t>
  </si>
  <si>
    <t>cestování letadly, auty atd.</t>
  </si>
  <si>
    <t>Sucho,</t>
  </si>
  <si>
    <t>špatnéovzduší</t>
  </si>
  <si>
    <t>Plasty v mořích a obecně.</t>
  </si>
  <si>
    <t>Každý druhý výrobek obsahuje deriváty ropy.</t>
  </si>
  <si>
    <t>Nadbytečná produkce.</t>
  </si>
  <si>
    <t>agrofert</t>
  </si>
  <si>
    <t>chemie v zemědělství</t>
  </si>
  <si>
    <t>emise elektráren</t>
  </si>
  <si>
    <t>mizí zemědělská půda</t>
  </si>
  <si>
    <t>letadla</t>
  </si>
  <si>
    <t>spatna pece o ornou pudu</t>
  </si>
  <si>
    <t>zastavovani orne pudy</t>
  </si>
  <si>
    <t>odvadeni destove vody do rek</t>
  </si>
  <si>
    <t>PLASTY</t>
  </si>
  <si>
    <t>ŠPATNÉ PLODINY</t>
  </si>
  <si>
    <t>Nadměrné odlesňování</t>
  </si>
  <si>
    <t>Nadměrné zatížení dopravou</t>
  </si>
  <si>
    <t>odvodnění krajiny za minulého režimu</t>
  </si>
  <si>
    <t>velké lány</t>
  </si>
  <si>
    <t>elektricke elektrarny,</t>
  </si>
  <si>
    <t>těžba uhli</t>
  </si>
  <si>
    <t>Špatná zemědělská politika</t>
  </si>
  <si>
    <t>Eroze pudy</t>
  </si>
  <si>
    <t>Kurovec</t>
  </si>
  <si>
    <t>provoz aut</t>
  </si>
  <si>
    <t>elektrárny</t>
  </si>
  <si>
    <t>špatné zadržování vody v krajině</t>
  </si>
  <si>
    <t>Nadměrné používání chemikálií</t>
  </si>
  <si>
    <t>Eroze zemědělské půdy</t>
  </si>
  <si>
    <t>Meliorace</t>
  </si>
  <si>
    <t>doprava</t>
  </si>
  <si>
    <t>prumyslova vyroba</t>
  </si>
  <si>
    <t>chemie do zemědělství</t>
  </si>
  <si>
    <t>Oleje</t>
  </si>
  <si>
    <t>Uprimne nevim. Mam letos tolik osobnich problemu, ze fakt nemam silu sledovat jeste ekologicke.</t>
  </si>
  <si>
    <t>střikání polí pesticidy.</t>
  </si>
  <si>
    <t>města a vozidla</t>
  </si>
  <si>
    <t>špatný systém ochrany přírody</t>
  </si>
  <si>
    <t>chemtrails</t>
  </si>
  <si>
    <t>používání randapu</t>
  </si>
  <si>
    <t>chemie  v zemědělstvi, ovocnářstní a vůbec</t>
  </si>
  <si>
    <t>spatne ovzduší</t>
  </si>
  <si>
    <t>Chemické hnojení</t>
  </si>
  <si>
    <t>Zastavovani travnatých ploch</t>
  </si>
  <si>
    <t>Auta</t>
  </si>
  <si>
    <t>Fabrika</t>
  </si>
  <si>
    <t>výfukové plyny</t>
  </si>
  <si>
    <t>nedostatek živin v půdě - souvisí se zádržností vody</t>
  </si>
  <si>
    <t>intenzivní zemědělství a bezhlavá zástavba</t>
  </si>
  <si>
    <t>jedovaté látky všude okolo nás /půda,ovzduší potraviny vzduch předměty</t>
  </si>
  <si>
    <t>herbicidy</t>
  </si>
  <si>
    <t>repka</t>
  </si>
  <si>
    <t>chemické hnojiva v půdě</t>
  </si>
  <si>
    <t>značištění ovzduší</t>
  </si>
  <si>
    <t>černoši</t>
  </si>
  <si>
    <t>mikroplasty a plasty ve vodě</t>
  </si>
  <si>
    <t>nezájem o krajinu všeobecně</t>
  </si>
  <si>
    <t>jmělí</t>
  </si>
  <si>
    <t>ignorace, sobectví, nezájem</t>
  </si>
  <si>
    <t>odpad, špína</t>
  </si>
  <si>
    <t>nedostatek zeleně, především ve městech</t>
  </si>
  <si>
    <t>nehospodárnost se zemědělskou půdou</t>
  </si>
  <si>
    <t>vylivani ropy a oleju do rek</t>
  </si>
  <si>
    <t>plytvani vody</t>
  </si>
  <si>
    <t>špatná skladba pěstovaných rostlin</t>
  </si>
  <si>
    <t>krajina nezachytává vodu,</t>
  </si>
  <si>
    <t>doprava a lokální topeniště ničí ovzduší</t>
  </si>
  <si>
    <t>Velká sucha</t>
  </si>
  <si>
    <t>Automobilní doprava</t>
  </si>
  <si>
    <t>Zemědělství</t>
  </si>
  <si>
    <t>Vysazování špatných stromů.</t>
  </si>
  <si>
    <t>lidská debilita</t>
  </si>
  <si>
    <t>bezohlednost lidí</t>
  </si>
  <si>
    <t>likvidace lesů</t>
  </si>
  <si>
    <t>nesmyslné hospodaření na zemědělské půdě</t>
  </si>
  <si>
    <t>kácení lesů - plus velké (hlavně) smrkové monokultury</t>
  </si>
  <si>
    <t>Lomy</t>
  </si>
  <si>
    <t>Mala vysadba stromu</t>
  </si>
  <si>
    <t>zplodiny</t>
  </si>
  <si>
    <t>Špatné ovzduší</t>
  </si>
  <si>
    <t>monopolni monokulturni zemedelske hospodareni Agrofertu</t>
  </si>
  <si>
    <t>řepka</t>
  </si>
  <si>
    <t>vymírání druhů</t>
  </si>
  <si>
    <t>Chemie</t>
  </si>
  <si>
    <t>Zástavba</t>
  </si>
  <si>
    <t>zničení krajiny</t>
  </si>
  <si>
    <t>špatné nakládaní z odpady</t>
  </si>
  <si>
    <t>znecistene ovzduší</t>
  </si>
  <si>
    <t>kaceni lesů</t>
  </si>
  <si>
    <t>ropa</t>
  </si>
  <si>
    <t>Zemědělství, sedláci přestali používat svou hlavu, honí dotace, nadužívají chemii</t>
  </si>
  <si>
    <t>kácení stromů</t>
  </si>
  <si>
    <t>Auta a tovarny</t>
  </si>
  <si>
    <t>super</t>
  </si>
  <si>
    <t>černé skládky, nadměrné množství odpadu</t>
  </si>
  <si>
    <t>kurovec/ vzorove reseni v nemecku</t>
  </si>
  <si>
    <t>Babiš</t>
  </si>
  <si>
    <t>ruseni zatopovych oblasti a mokrin</t>
  </si>
  <si>
    <t>000</t>
  </si>
  <si>
    <t>odlesňování</t>
  </si>
  <si>
    <t>neustálé přibývání zpevněných cest (nadměrné zhutňování půdy)</t>
  </si>
  <si>
    <t>obrovská zástavba a tím likvidace orné půdy (sklady, továrny)</t>
  </si>
  <si>
    <t>odpad v oceánech</t>
  </si>
  <si>
    <t>spatne zemrdelstvi</t>
  </si>
  <si>
    <t>pesticidy na polich</t>
  </si>
  <si>
    <t>neschopnost zadržet vodu</t>
  </si>
  <si>
    <t>veškerý kouř z komínů a aut</t>
  </si>
  <si>
    <t>Nezájem o budování biotopů</t>
  </si>
  <si>
    <t>Chemizace půdy - smrt v "potravinách" pro lidi i pro zvířata.</t>
  </si>
  <si>
    <t>Plastové znečištění půdy a vody.</t>
  </si>
  <si>
    <t>Těžba fosilních paliv, především uhlí.</t>
  </si>
  <si>
    <t>Průmyslové znečištění vzduchu.</t>
  </si>
  <si>
    <t>žádné je to bublina</t>
  </si>
  <si>
    <t>nerecikruje se</t>
  </si>
  <si>
    <t>špína</t>
  </si>
  <si>
    <t>lidi</t>
  </si>
  <si>
    <t>Létání</t>
  </si>
  <si>
    <t>kour</t>
  </si>
  <si>
    <t>Odpad</t>
  </si>
  <si>
    <t>ovdusi</t>
  </si>
  <si>
    <t>chemikálie z fabrik</t>
  </si>
  <si>
    <t>velké množství odpadu</t>
  </si>
  <si>
    <t>výfuky z aut</t>
  </si>
  <si>
    <t>konzum</t>
  </si>
  <si>
    <t>nedostatky vody</t>
  </si>
  <si>
    <t>zvýšené maxima teplot</t>
  </si>
  <si>
    <t>nedostatek zemědělské půdy</t>
  </si>
  <si>
    <t>špatné ovzduší - smog</t>
  </si>
  <si>
    <t>hodně dálnic - aut</t>
  </si>
  <si>
    <t>rakety  +  satelity</t>
  </si>
  <si>
    <t>síť = G. 5</t>
  </si>
  <si>
    <t>Lidstvo a jeho činnosti likvidují tuto planetu</t>
  </si>
  <si>
    <t>ubývání orné ůty</t>
  </si>
  <si>
    <t>nasívní zástavba  ploch</t>
  </si>
  <si>
    <t>zalesnění</t>
  </si>
  <si>
    <t>skleníkove plyny</t>
  </si>
  <si>
    <t>zastavování zeleně</t>
  </si>
  <si>
    <t>znečišťování odpady a plasty</t>
  </si>
  <si>
    <t>vysoká koncentrace výfukových plynů</t>
  </si>
  <si>
    <t>Chemikalie</t>
  </si>
  <si>
    <t>Špatné zacházení se zemedelskou pudou</t>
  </si>
  <si>
    <t>Skleníkový efekt</t>
  </si>
  <si>
    <t>Nadměrné čerpání neobnovitelných zdrojů</t>
  </si>
  <si>
    <t>Narušení planetárních systémů - hydrologické cykly</t>
  </si>
  <si>
    <t>vyroba veci z plastu, ani trideni podle me nepomaha, ne vsechno je pak znovu zpracovatelne</t>
  </si>
  <si>
    <t>v dnesni elektronicke dobe by se spousta veci obeslo bez papirove podoby, je fajn, ze uz spoustu firem zasila zakaznikum faktury mailem, ale to je podle me takove plivnuti do more, kdyz ucetnictvi firem se vede ve fyzicke podobe, a tudiz papiru miliarda</t>
  </si>
  <si>
    <t>v kazde domacnosti uz je standard mit vic nez jedno auto a podle toho to taky vypada</t>
  </si>
  <si>
    <t>stupidita odpovědných</t>
  </si>
  <si>
    <t>chovat se jako prase je bohužel levnější, než opak</t>
  </si>
  <si>
    <t>Málo zeleně v mezi polí - zadržování vody.</t>
  </si>
  <si>
    <t>Vozidla</t>
  </si>
  <si>
    <t>kaceni lesu + kurovec</t>
  </si>
  <si>
    <t>nakladani s odpady</t>
  </si>
  <si>
    <t>pet lahve</t>
  </si>
  <si>
    <t>Kůrovec - boj probíhá pomalu</t>
  </si>
  <si>
    <t>Stavby na zelené louce</t>
  </si>
  <si>
    <t>Populismus</t>
  </si>
  <si>
    <t>včelstva</t>
  </si>
  <si>
    <t>chemie v krajině</t>
  </si>
  <si>
    <t>zarůstání krajiny/změna hospodaření</t>
  </si>
  <si>
    <t>zemědělské drancování půdy, neorání atd</t>
  </si>
  <si>
    <t>betonování úrodné půdy pro sklady</t>
  </si>
  <si>
    <t>Špatně vedené zemědělství vládou</t>
  </si>
  <si>
    <t>žádné remízky</t>
  </si>
  <si>
    <t>nepovolené skládky</t>
  </si>
  <si>
    <t>dovoz odpadu z ciziny</t>
  </si>
  <si>
    <t>Politici a byznysmeni</t>
  </si>
  <si>
    <t>lány řepky! místo pěstování zeleniny a ovoce</t>
  </si>
  <si>
    <t>špatné zadržování vody</t>
  </si>
  <si>
    <t>a špatné hospodaření vody a vodních toků, NAŠÍ VLÁDOU!!!</t>
  </si>
  <si>
    <t>zemědělství</t>
  </si>
  <si>
    <t>Za vším stojí sobectví a touha po penezích.</t>
  </si>
  <si>
    <t>spalování fosilních paliv</t>
  </si>
  <si>
    <t>plošné pěstování jednoho druhu plodiny</t>
  </si>
  <si>
    <t>znečiťování ovzduší</t>
  </si>
  <si>
    <t>zamezovaní vody</t>
  </si>
  <si>
    <t>znečištěné ovzduší CO2</t>
  </si>
  <si>
    <t>velké zemědělské plochy - splavování půdy</t>
  </si>
  <si>
    <t>igelitové obaly všude, všude, všude</t>
  </si>
  <si>
    <t>Snižování výměry zemědělské půdy</t>
  </si>
  <si>
    <t>Hospodaření v lesích</t>
  </si>
  <si>
    <t>Nedostatek přehrad</t>
  </si>
  <si>
    <t>odpadky vsude</t>
  </si>
  <si>
    <t>skladky</t>
  </si>
  <si>
    <t>Produkce pro zisk, místo pro blaho lidí</t>
  </si>
  <si>
    <t>Konzumerismus (jako výsledek)</t>
  </si>
  <si>
    <t>průmysl</t>
  </si>
  <si>
    <t>uhelné doly</t>
  </si>
  <si>
    <t>používání nebiologických postřiků a řepka</t>
  </si>
  <si>
    <t>NEVÍM</t>
  </si>
  <si>
    <t>NEČISTOTA OVZDUŠÍ</t>
  </si>
  <si>
    <t>traktory</t>
  </si>
  <si>
    <t>zastavba polí</t>
  </si>
  <si>
    <t>kaceni stromů</t>
  </si>
  <si>
    <t>Sucho, spatny vzduch</t>
  </si>
  <si>
    <t>Znecisteni ovzduší</t>
  </si>
  <si>
    <t>Kácení lesů.</t>
  </si>
  <si>
    <t>Znečištění vody a ovzduší.</t>
  </si>
  <si>
    <t>Vymirani lesu</t>
  </si>
  <si>
    <t>Nesetrne zemedelstvi</t>
  </si>
  <si>
    <t>vystavba</t>
  </si>
  <si>
    <t>chemikálie včetně chemtrails</t>
  </si>
  <si>
    <t>povalující se odpad pet lahve,plechovky od limonád</t>
  </si>
  <si>
    <t>nedostatek vysázených stromů</t>
  </si>
  <si>
    <t>sekání trávy na minimum aby to byl golfáč</t>
  </si>
  <si>
    <t>neschopnost půdy pojmout vodu</t>
  </si>
  <si>
    <t>firmy soudruha premiéra se chovají jako prasata - jdou hlavně po zisku, nikoli po udržitelnosti</t>
  </si>
  <si>
    <t>malé zadržování vody</t>
  </si>
  <si>
    <t>skryté skládky</t>
  </si>
  <si>
    <t>zábor půdy na novou výstavbu</t>
  </si>
  <si>
    <t>mnoho chemie</t>
  </si>
  <si>
    <t>nadbytek</t>
  </si>
  <si>
    <t>řepka všude</t>
  </si>
  <si>
    <t>znečištěné vody</t>
  </si>
  <si>
    <t>hlupáci</t>
  </si>
  <si>
    <t>Eroze půdy</t>
  </si>
  <si>
    <t>Zranitelnost ekosystémů</t>
  </si>
  <si>
    <t>splodiny</t>
  </si>
  <si>
    <t>znecisteni pudy, vody</t>
  </si>
  <si>
    <t>obrovská produkce odpadu</t>
  </si>
  <si>
    <t>produkce chemie (od zemědělců i od nás - koncových spotřebitelů)</t>
  </si>
  <si>
    <t>Nedostatek zeleně</t>
  </si>
  <si>
    <t>Ztráta podzemních vod</t>
  </si>
  <si>
    <t>Znečištění ovzduší</t>
  </si>
  <si>
    <t>Používání pesticidů a jiných toxinů</t>
  </si>
  <si>
    <t>zneřišťování vod</t>
  </si>
  <si>
    <t>elektroodpad</t>
  </si>
  <si>
    <t>Intenzivní zemědělství</t>
  </si>
  <si>
    <t>Špatné zadržení vody v krajině</t>
  </si>
  <si>
    <t>špatné chování k půdě</t>
  </si>
  <si>
    <t>oteplování, tání ledovců</t>
  </si>
  <si>
    <t>plastový odpad v oceánech</t>
  </si>
  <si>
    <t>špatné hospodaření s půdou a odpady</t>
  </si>
  <si>
    <t>nedostatečná péče o vodní zdroje</t>
  </si>
  <si>
    <t>nedostatek mokradu apod.</t>
  </si>
  <si>
    <t>Přemíra odpadu</t>
  </si>
  <si>
    <t>Letadla</t>
  </si>
  <si>
    <t>regulace řek</t>
  </si>
  <si>
    <t>zbytečná těžba pro zisk</t>
  </si>
  <si>
    <t>upravování přírodního prostředí</t>
  </si>
  <si>
    <t>Kurovec a spatna práce s nim...</t>
  </si>
  <si>
    <t>Lesy</t>
  </si>
  <si>
    <t>používání pesticidů</t>
  </si>
  <si>
    <t>nadbytek plastů</t>
  </si>
  <si>
    <t>Rychlý odvod vody z krajiny</t>
  </si>
  <si>
    <t>extrémní počasí - sucho x povodně</t>
  </si>
  <si>
    <t>kůrovec a jiní škůdci</t>
  </si>
  <si>
    <t>hynutí včel vlivem monokultur a pesticidů</t>
  </si>
  <si>
    <t>Zněčištění</t>
  </si>
  <si>
    <t>Odpadky, lidská bezohlednost</t>
  </si>
  <si>
    <t>chemie na polích</t>
  </si>
  <si>
    <t>Řepka</t>
  </si>
  <si>
    <t>příliš mnoho odpadu</t>
  </si>
  <si>
    <t>nedostatek volné půdy, která dokáže zadržet vodu</t>
  </si>
  <si>
    <t>kácení deštných pralesů</t>
  </si>
  <si>
    <t>omezování polností</t>
  </si>
  <si>
    <t>pesticidy a nevhodná hnojiva</t>
  </si>
  <si>
    <t>nedostatečná druhová rozmanitost stromů</t>
  </si>
  <si>
    <t>pěstování řepky</t>
  </si>
  <si>
    <t>zastavování polí fotovoltaickými elektrárnami</t>
  </si>
  <si>
    <t>používání vznětových motorů u osobních automobilů</t>
  </si>
  <si>
    <t>zničené lesy,těžbaři po sobě neuklízejí</t>
  </si>
  <si>
    <t>černé skládky</t>
  </si>
  <si>
    <t>bezohlednost ke krajine</t>
  </si>
  <si>
    <t>malo plodin</t>
  </si>
  <si>
    <t>malo zalesnena</t>
  </si>
  <si>
    <t>vyprahlost pudy</t>
  </si>
  <si>
    <t>vymirani vcel</t>
  </si>
  <si>
    <t>cerne skladky</t>
  </si>
  <si>
    <t>elektrarny</t>
  </si>
  <si>
    <t>Nesmyslné zemědělství</t>
  </si>
  <si>
    <t>špatné hospodaření na půdě</t>
  </si>
  <si>
    <t>lidská spotřeba</t>
  </si>
  <si>
    <t>živočišná zemědělská výroba</t>
  </si>
  <si>
    <t>těžba uhlí, uhelné elektrárny, paradoxně i sluneční kolektory na poli</t>
  </si>
  <si>
    <t>průmysl, doprava</t>
  </si>
  <si>
    <t>spousta odpadu</t>
  </si>
  <si>
    <t>Nerecyklování materiálů</t>
  </si>
  <si>
    <t>Vysoká spotřeba pitné vody</t>
  </si>
  <si>
    <t>Netřídění odpadu, v horším případě házení odpadu mimo místa určená</t>
  </si>
  <si>
    <t>Lidská lenost</t>
  </si>
  <si>
    <t>Arogance firem</t>
  </si>
  <si>
    <t>Kůrovec.</t>
  </si>
  <si>
    <t>chemie a pesticidyy</t>
  </si>
  <si>
    <t>chemikálie na polích</t>
  </si>
  <si>
    <t>znčištěné ovzduší</t>
  </si>
  <si>
    <t>taající ledovce</t>
  </si>
  <si>
    <t>Sucho a s tím spojený kůrovec</t>
  </si>
  <si>
    <t>Velké monokulturní hospodaření na polích</t>
  </si>
  <si>
    <t>Mnoho vypouštěných zplodin do ovzduší a znečišťujících látek do řek (je třeba dokončit řádné odkanalizování některých měst a vesnic)</t>
  </si>
  <si>
    <t>Hnojení</t>
  </si>
  <si>
    <t>Velké lány</t>
  </si>
  <si>
    <t>velká pole k pěstování plodin místo malých rodinných farem</t>
  </si>
  <si>
    <t>&gt;užívání pesticidů</t>
  </si>
  <si>
    <t>přírodní vlivy</t>
  </si>
  <si>
    <t>Kácení stromů</t>
  </si>
  <si>
    <t>bezohledne pestovani na polich, pesticidy</t>
  </si>
  <si>
    <t>znecistivani ovzdusi velkymi firmami i bezohlednymi lidmi</t>
  </si>
  <si>
    <t>Plyny, továrny, uhlí, auta, hlavně ty továrny</t>
  </si>
  <si>
    <t>Spatne nastavene zemedelske dotace.</t>
  </si>
  <si>
    <t>Zbytecne stavby, zabirajici prirodni plochu.</t>
  </si>
  <si>
    <t>Svetelne znecisteni.</t>
  </si>
  <si>
    <t>neukázněnost lidí</t>
  </si>
  <si>
    <t>jízdy autem</t>
  </si>
  <si>
    <t>stavby na polnohosp. půdě</t>
  </si>
  <si>
    <t>uranové haldy</t>
  </si>
  <si>
    <t>Plast</t>
  </si>
  <si>
    <t>Suché stromy místo lesů</t>
  </si>
  <si>
    <t>Utužená půda, která nedokáže vstřebat vodu</t>
  </si>
  <si>
    <t>Znečištění přírodního prosteřdí</t>
  </si>
  <si>
    <t>nedbalost lidí</t>
  </si>
  <si>
    <t>kotle na tuha paliva</t>
  </si>
  <si>
    <t>spatné trideni odpadu</t>
  </si>
  <si>
    <t>Nadbytek chemie</t>
  </si>
  <si>
    <t>Malo zelene</t>
  </si>
  <si>
    <t>Velke lany zemedelcu</t>
  </si>
  <si>
    <t>Těžba uhlí</t>
  </si>
  <si>
    <t>Zbytečné jízdy autem</t>
  </si>
  <si>
    <t>Průmyslová výroba</t>
  </si>
  <si>
    <t>neskutečné skládky</t>
  </si>
  <si>
    <t>výroba el. z uhlí</t>
  </si>
  <si>
    <t>znečištění potoků</t>
  </si>
  <si>
    <t>odpadky v lesích-plastové obaly apod.</t>
  </si>
  <si>
    <t>postřiky hubí všelky</t>
  </si>
  <si>
    <t>odpad a znečištění vod</t>
  </si>
  <si>
    <t>pesticidy apod.</t>
  </si>
  <si>
    <t>produkce CO2</t>
  </si>
  <si>
    <t>méně zeleně ve městech</t>
  </si>
  <si>
    <t>vyhazování odpadků  lidmi v přírodě</t>
  </si>
  <si>
    <t>vyčerpávání půdy</t>
  </si>
  <si>
    <t>Znečištění vody</t>
  </si>
  <si>
    <t>Smrady</t>
  </si>
  <si>
    <t>KŮROVEC</t>
  </si>
  <si>
    <t>spotřeba</t>
  </si>
  <si>
    <t>velké lany</t>
  </si>
  <si>
    <t>snaha o velká a plošná řešení</t>
  </si>
  <si>
    <t>umělé potlačování diverzity</t>
  </si>
  <si>
    <t>odvodňování</t>
  </si>
  <si>
    <t>Ekologie je u nás přímo úměrná tomu, co z toho mají naší politici</t>
  </si>
  <si>
    <t>plasty, skladky</t>
  </si>
  <si>
    <t>Ekologická negramotnost obyvatel</t>
  </si>
  <si>
    <t>některý průmysl</t>
  </si>
  <si>
    <t>nezodpovědnost některých lidí</t>
  </si>
  <si>
    <t>Práškování z letadel a snažení se o regulaci počasí rozptylováním jedů z letadel</t>
  </si>
  <si>
    <t>Hnojení a stříkání jedy</t>
  </si>
  <si>
    <t>Sázení na jedno místo stále stejné plodiny - zvláště řepka</t>
  </si>
  <si>
    <t>zastavby zemedelske pudy</t>
  </si>
  <si>
    <t>postriky.</t>
  </si>
  <si>
    <t>kácení lesů a nestarání se o ně</t>
  </si>
  <si>
    <t>Jako malý kluk pomatuji všude pole max louky a dnes...prevažně plevel...</t>
  </si>
  <si>
    <t>upuštění od tradic v změděltsví, v les. hospodářství</t>
  </si>
  <si>
    <t>my lidé a naše rozhodování</t>
  </si>
  <si>
    <t>vláda neschpopná</t>
  </si>
  <si>
    <t>Myslím že největší problém jsme my.Vyhazují plasty do přírody</t>
  </si>
  <si>
    <t>příliž jsme si zvykli na možnost jezdit autem jak se nám chce</t>
  </si>
  <si>
    <t>Splodiny z továren, aut</t>
  </si>
  <si>
    <t>Chybné hospodaření s půdou</t>
  </si>
  <si>
    <t>Nešetrný průmysl, energetika</t>
  </si>
  <si>
    <t>Plýtvání</t>
  </si>
  <si>
    <t>snižování plochy orné půdy</t>
  </si>
  <si>
    <t>smog a výfukové plyny</t>
  </si>
  <si>
    <t>h</t>
  </si>
  <si>
    <t>vypousteni skodlivin do ovzduší</t>
  </si>
  <si>
    <t>Ekologické havárie. Znečištění průmyslovými podniky, lidmi... Odpady</t>
  </si>
  <si>
    <t>Špatné ovzduší způsobené tovarnami</t>
  </si>
  <si>
    <t>Nečistá  voda v řekách</t>
  </si>
  <si>
    <t>Emise aut</t>
  </si>
  <si>
    <t>emise z továren</t>
  </si>
  <si>
    <t>Ekologický aktivisti</t>
  </si>
  <si>
    <t>Špatně zvolena výsadba a ornou půdu</t>
  </si>
  <si>
    <t>chemie v půdě</t>
  </si>
  <si>
    <t>kacení stromu</t>
  </si>
  <si>
    <t>tezba</t>
  </si>
  <si>
    <t>regulace toku i lesu</t>
  </si>
  <si>
    <t>moc odpadů</t>
  </si>
  <si>
    <t>špatná půda</t>
  </si>
  <si>
    <t>hromadění odpadu</t>
  </si>
  <si>
    <t>ubývání zemědělské půdy</t>
  </si>
  <si>
    <t>špatná péče o koryta potoků a řek</t>
  </si>
  <si>
    <t>málo domácností třídí odpad</t>
  </si>
  <si>
    <t>sucjo</t>
  </si>
  <si>
    <t>Energie</t>
  </si>
  <si>
    <t>zastavění zemedelske pudy</t>
  </si>
  <si>
    <t>rozsirování prumyslovych zon</t>
  </si>
  <si>
    <t>b</t>
  </si>
  <si>
    <t>kůrovec, zalesnění a obnova</t>
  </si>
  <si>
    <t>honba za penězi</t>
  </si>
  <si>
    <t>Škůdci</t>
  </si>
  <si>
    <t>zástavba úrodné půdy</t>
  </si>
  <si>
    <t>zastavba zemědělské půdy</t>
  </si>
  <si>
    <t>znecisteni ovzduši</t>
  </si>
  <si>
    <t>Chemie na polích</t>
  </si>
  <si>
    <t>Nedostatečné třídění</t>
  </si>
  <si>
    <t>hromadění odpadků v přírodě</t>
  </si>
  <si>
    <t>chemický odpad v přírodě</t>
  </si>
  <si>
    <t>kácení poškozených lesů bez náhrady</t>
  </si>
  <si>
    <t>rozorání mezí</t>
  </si>
  <si>
    <t>motorová vozidla</t>
  </si>
  <si>
    <t>sucho,</t>
  </si>
  <si>
    <t>spatne zachazeni s pudou a vodou</t>
  </si>
  <si>
    <t>nw</t>
  </si>
  <si>
    <t>Nedostatek zemědělské půdy</t>
  </si>
  <si>
    <t>necitlivé hospodaření</t>
  </si>
  <si>
    <t>rozorané meze</t>
  </si>
  <si>
    <t>vyrub lesu</t>
  </si>
  <si>
    <t>automobily</t>
  </si>
  <si>
    <t>odpad /lepsi s nim do spalovny</t>
  </si>
  <si>
    <t>Skládky.</t>
  </si>
  <si>
    <t>Znečistěné ovzduší.</t>
  </si>
  <si>
    <t>Znečistěná voda.</t>
  </si>
  <si>
    <t>plýtvání pitnou vodou</t>
  </si>
  <si>
    <t>zastavěná krajina</t>
  </si>
  <si>
    <t>osazení poli</t>
  </si>
  <si>
    <t>Sucho (celkově narušené klima)</t>
  </si>
  <si>
    <t>Nedostatek remízků</t>
  </si>
  <si>
    <t>špatný stav lesů</t>
  </si>
  <si>
    <t>chemikálie</t>
  </si>
  <si>
    <t>ubývání přirozeného biotopu</t>
  </si>
  <si>
    <t>Jic</t>
  </si>
  <si>
    <t>vymírání hmyzu ( včel)</t>
  </si>
  <si>
    <t>nezadržování vody</t>
  </si>
  <si>
    <t>moc velké lány polí</t>
  </si>
  <si>
    <t>nevratné obaly od nápojů</t>
  </si>
  <si>
    <t>???</t>
  </si>
  <si>
    <t>púda</t>
  </si>
  <si>
    <t>blbost lidi</t>
  </si>
  <si>
    <t>topeni</t>
  </si>
  <si>
    <t>Výstavba</t>
  </si>
  <si>
    <t>Lidé samy</t>
  </si>
  <si>
    <t>špatná regulace vodních toků</t>
  </si>
  <si>
    <t>v průmyslových městech nedýchatelno</t>
  </si>
  <si>
    <t>lidé</t>
  </si>
  <si>
    <t>žádné, jsou to jen výmysly ekoteroristů</t>
  </si>
  <si>
    <t>Letadla letos je vidět když nelétají je v přírodě všechno jinak,např.prší!</t>
  </si>
  <si>
    <t>Bordel v mořích -igelitový.</t>
  </si>
  <si>
    <t>spalování tuhých paliv</t>
  </si>
  <si>
    <t>emise dopravních prostředku</t>
  </si>
  <si>
    <t>opomíjení dlouhodobé udržitelnosti (úrodnost půdy, zadržování vody v krajině apod.)</t>
  </si>
  <si>
    <t>skládky odpadu</t>
  </si>
  <si>
    <t>opomíjení přírodních struktur při plánování lidské výstavby/činnosti</t>
  </si>
  <si>
    <t>Sucho vlivem nevhodného hospodaření na polích, vše zteče jako po "střeše" do řek a potoků</t>
  </si>
  <si>
    <t>Nevhodné hospodaření s lesy</t>
  </si>
  <si>
    <t>nepečování--ladem</t>
  </si>
  <si>
    <t>um.hnojiva</t>
  </si>
  <si>
    <t>špatná údržba- málo peněz</t>
  </si>
  <si>
    <t>zemědělství a jeho konec</t>
  </si>
  <si>
    <t>Velká plocha monokultur</t>
  </si>
  <si>
    <t>Zbytečné kosení trávy.</t>
  </si>
  <si>
    <t>Regulace toků.</t>
  </si>
  <si>
    <t>doprava kamiónů</t>
  </si>
  <si>
    <t>obhospodařování půdy</t>
  </si>
  <si>
    <t>zastavení zemědělské půdy fotovoltaikama</t>
  </si>
  <si>
    <t>znečištěné ovzduší v důsledku přemíry dopravy</t>
  </si>
  <si>
    <t>Z</t>
  </si>
  <si>
    <t>Výroba energií</t>
  </si>
  <si>
    <t>Těžká chemizace zemědělství v honbě za velkými výnosy</t>
  </si>
  <si>
    <t>Odpadní hospodářství ve vztahu ke zdrojům vody a jejich recyklace na úrovni každé obce</t>
  </si>
  <si>
    <t>vymírajíci lesy</t>
  </si>
  <si>
    <t>tezba uhli,prumysl</t>
  </si>
  <si>
    <t>kácení lesú</t>
  </si>
  <si>
    <t>tepelné elektrárny</t>
  </si>
  <si>
    <t>Zastavování polí halami</t>
  </si>
  <si>
    <t>zplodiny které nepříznivě ovlivňují klima</t>
  </si>
  <si>
    <t>nadmíra plastů</t>
  </si>
  <si>
    <t>nadměrné kácení lesů a pralesů</t>
  </si>
  <si>
    <t>znečišťování oceanu a mori</t>
  </si>
  <si>
    <t>plýtvání všemi přírodními zdroji</t>
  </si>
  <si>
    <t>kácení lesů/zábor půdy</t>
  </si>
  <si>
    <t>omezení aut a celkově lidí do oblastí, kde nemají co dělat</t>
  </si>
  <si>
    <t>devastace urodne pudy a lesu</t>
  </si>
  <si>
    <t>odlešňování na účelem stavby</t>
  </si>
  <si>
    <t>zplundrovaná pole</t>
  </si>
  <si>
    <t>znečištění vzduchu v některých oblastech</t>
  </si>
  <si>
    <t>výstavba průmyslových komplexů na "zelené louce" místo rekonstrukce brownfieldů</t>
  </si>
  <si>
    <t>Netříděný odpad</t>
  </si>
  <si>
    <t>lidská chamtivost</t>
  </si>
  <si>
    <t>Zemedelstvi</t>
  </si>
  <si>
    <t>Nehosporadnost s vodou</t>
  </si>
  <si>
    <t>Idioti ve VAFO Chrastany</t>
  </si>
  <si>
    <t>dovážení odpadků ze sousedních států</t>
  </si>
  <si>
    <t>tovarny,kominy</t>
  </si>
  <si>
    <t>nerecyklovavatelny odpad</t>
  </si>
  <si>
    <t>rovnání řek a potoků</t>
  </si>
  <si>
    <t>topení uhlím</t>
  </si>
  <si>
    <t>Rušení zarostlý h mist</t>
  </si>
  <si>
    <t>Fabriky</t>
  </si>
  <si>
    <t>lokální znečištění přírody</t>
  </si>
  <si>
    <t>průmyslové zplodiny</t>
  </si>
  <si>
    <t>kamionová doprava</t>
  </si>
  <si>
    <t>Znečištění vzduchu</t>
  </si>
  <si>
    <t>Těžba uhli</t>
  </si>
  <si>
    <t>Nevědomost a bezohlednost - soustředění se pouze na své potřeby a svou "důležitost"!!!</t>
  </si>
  <si>
    <t>Od té první se odvíjí vše ostatní, co krajinu zatěžuje, takže to by byl dlouhý seznam - škoda slov. :-)</t>
  </si>
  <si>
    <t>mrhani potravinami</t>
  </si>
  <si>
    <t>špatná údržba krajiny</t>
  </si>
  <si>
    <t>lidi jsou bordeláři</t>
  </si>
  <si>
    <t>člověk</t>
  </si>
  <si>
    <t>uhlí</t>
  </si>
  <si>
    <t>zabírání orné půdy</t>
  </si>
  <si>
    <t>pěstování špatných plodin, eroze půdy</t>
  </si>
  <si>
    <t>individuální doprava, kamiony</t>
  </si>
  <si>
    <t>skleníkové plyny</t>
  </si>
  <si>
    <t>sklenikovy efekt</t>
  </si>
  <si>
    <t>mizí lesy</t>
  </si>
  <si>
    <t>klesá spodni voda</t>
  </si>
  <si>
    <t>lidska rasa</t>
  </si>
  <si>
    <t>velké monolitní plochy polí, kde se nemůžou ukrýt zvířata</t>
  </si>
  <si>
    <t>není hluboká orba, z toho pramení přemnožení škůdci a následné používání jedů</t>
  </si>
  <si>
    <t>krajina bez stromů nedokáže hospodařit s vodou</t>
  </si>
  <si>
    <t>postřiky  umírají včely</t>
  </si>
  <si>
    <t>postřiky i zabijejí zajíce</t>
  </si>
  <si>
    <t>Smog.</t>
  </si>
  <si>
    <t>Plasty.</t>
  </si>
  <si>
    <t>Auta.</t>
  </si>
  <si>
    <t>žádné</t>
  </si>
  <si>
    <t>Problémy se suchem a nízkou hladinou pozemních vod</t>
  </si>
  <si>
    <t>spotřeba jako taková (=výroba nadbytečného)</t>
  </si>
  <si>
    <t>akce ekologů</t>
  </si>
  <si>
    <t>nova výstavba</t>
  </si>
  <si>
    <t>vymýšlení nesmyslů jako jsou elektroauta, zatěžují víc než normální auta</t>
  </si>
  <si>
    <t>Nesmyslná nařízení EU</t>
  </si>
  <si>
    <t>Tzv. ekologičtí aktivisté</t>
  </si>
  <si>
    <t>Vyčerpaní zemědělské půdy</t>
  </si>
  <si>
    <t>Zástavba zem.pudy</t>
  </si>
  <si>
    <t>Špatný způsob hospodaření, bez orani, bez hnojení přírodními hnojivy</t>
  </si>
  <si>
    <t>je</t>
  </si>
  <si>
    <t>nezadržujeme vodu v kraji, málo rybníků</t>
  </si>
  <si>
    <t>sekání trávy na nízko</t>
  </si>
  <si>
    <t>příliš mnoho "chemie"</t>
  </si>
  <si>
    <t>průmysl spotřebovává mnoho energie a vody</t>
  </si>
  <si>
    <t>nekontrolovaný rybolov, sítě v moři</t>
  </si>
  <si>
    <t>Celkový nezájem o okolí, neobdělávaná půda, zástavby orné půdy, stále menší potravinoivá soběstačnost</t>
  </si>
  <si>
    <t>záplavy</t>
  </si>
  <si>
    <t>ovzdušie</t>
  </si>
  <si>
    <t>doprava - hlavně letecká</t>
  </si>
  <si>
    <t>těžba surovin, hlavně dřeva</t>
  </si>
  <si>
    <t>Přemíra automobilismu a malá podpora veřejné dopravy.</t>
  </si>
  <si>
    <t>Sucho v krajině.</t>
  </si>
  <si>
    <t>Devastace půdy zejména velkými firmami typu Agrofert.</t>
  </si>
  <si>
    <t>špatné hospodaření na polích</t>
  </si>
  <si>
    <t>Skládka</t>
  </si>
  <si>
    <t>plošné kácení lesů</t>
  </si>
  <si>
    <t>úprava řek</t>
  </si>
  <si>
    <t>Pole</t>
  </si>
  <si>
    <t>různé chemikálie</t>
  </si>
  <si>
    <t>obohacení odpadní vody o nespočet chemických látek</t>
  </si>
  <si>
    <t>Nebezpeci dostavby jadernych bloku v Dukovanech a Temeline Ruskem.</t>
  </si>
  <si>
    <t>Velkokapacitni zemedelstvi</t>
  </si>
  <si>
    <t>Prumyslove vyuzivani lesu</t>
  </si>
  <si>
    <t>Nešetrné hospodaření s půdou</t>
  </si>
  <si>
    <t>Špatné hospodaření s vodou</t>
  </si>
  <si>
    <t>Automobilismus</t>
  </si>
  <si>
    <t>rušení orné pudy</t>
  </si>
  <si>
    <t>bbbb</t>
  </si>
  <si>
    <t>cccc</t>
  </si>
  <si>
    <t>toxiny</t>
  </si>
  <si>
    <t>blokovani stavby dalnic,obchvatu mest</t>
  </si>
  <si>
    <t>chemické postřiky</t>
  </si>
  <si>
    <t>znečištění vody</t>
  </si>
  <si>
    <t>plyny</t>
  </si>
  <si>
    <t>hodne aut</t>
  </si>
  <si>
    <t>nedostatecne vysazovani stromu</t>
  </si>
  <si>
    <t>zabírání zemědělské půdy</t>
  </si>
  <si>
    <t>pouzivani chemie vsude</t>
  </si>
  <si>
    <t>letecka a nakladni doprava</t>
  </si>
  <si>
    <t>už jsem se zmínil, největším problémem je hrubé chování lidstva k druhým lidem a zvířatům - hrubé vibrace, nízká frekvence, to je pravou příčinou všech problémů - negativní vzorce chování - závist, ješitnost, nadřazenost a submisivita, žárlivost, majetnictví, neschopnost se s druhými rozdělit, tržní hospodářství namísto spolupráce, rozevřené nůžky majetku a sociálních jistot ve společnosti, lidé bez domova, násilí v rodinách, ve školách a v zaměstnání, je toho moc a moc</t>
  </si>
  <si>
    <t>Tohle vše se odráží na chování planety, ale ten největší problém je očipování lidstva - čipem RFID lze řídit cvičené krysy, odpojit jim vlastní mysl a nahradit čipem - to samé hrozí lidem, neuvědomují si, jaké nebezpečí jim hrozí. Stanou se z nich totální loutky, otroci negativních entit, budou jen pro ně pracovat, sloužit, až do kruté smrti</t>
  </si>
  <si>
    <t>Každý kdo se znelíbí systému, bude odpojen a zemře hlady nebo mučením, řízeně spáchá sebevraždu - možnosti čipů jsou široké. Kdo tento systém volí a schvaluje, ten si jej prožije na vlastní kůži. Pracujte na sobě, buďte láskyplní, změňte sami sebe - musíte to udělat jen vy sami. Láskyplní lidé neprožijí čipovou totalitu, budou včas evakuováni. Máte na výběr - buď změnit sami sebe a být pozitivní láskyplné bytosti, nebo tu skončit jako otroci negativním entitám dle zákona vrána k vráně sedá - stejné energie ke stejným energiím (vibracím). Více na vesmirni-lide.cz</t>
  </si>
  <si>
    <t>hnojení chemií</t>
  </si>
  <si>
    <t>devastování půdy pěstováním řepky ve velké,</t>
  </si>
  <si>
    <t>špatná péče o lesy</t>
  </si>
  <si>
    <t>co pěstují bio potraviny větší a plošné používání chemie</t>
  </si>
  <si>
    <t>kaceni lesu, kurovec</t>
  </si>
  <si>
    <t>sucho, zastavba pudy</t>
  </si>
  <si>
    <t>hodně aut</t>
  </si>
  <si>
    <t>nízká orba</t>
  </si>
  <si>
    <t>velke tovarny</t>
  </si>
  <si>
    <t>skladky odpadu</t>
  </si>
  <si>
    <t>Továrny kde se něco spaluje</t>
  </si>
  <si>
    <t>nesmysly s větrníky</t>
  </si>
  <si>
    <t>nesmysly s elektromobilitou</t>
  </si>
  <si>
    <t>odklon od jádra</t>
  </si>
  <si>
    <t>Zástavba zanedelske pudy</t>
  </si>
  <si>
    <t>Průmyslové znečištění</t>
  </si>
  <si>
    <t>úbytek zemědělské půdy</t>
  </si>
  <si>
    <t>špatné hospodaření s lesy</t>
  </si>
  <si>
    <t>nyrovnávání říčních koryt</t>
  </si>
  <si>
    <t>Nadmerne presuny zbozi</t>
  </si>
  <si>
    <t>Regulace vody</t>
  </si>
  <si>
    <t>Nepromyslene kroky ohledne porostu (lesy, remizky...)</t>
  </si>
  <si>
    <t>neschopnost pudy zadrzet vodu</t>
  </si>
  <si>
    <t>sucho nebo povodně</t>
  </si>
  <si>
    <t>hnojení</t>
  </si>
  <si>
    <t>Zabírání zemědělské půdy (stavbami)</t>
  </si>
  <si>
    <t>letedla</t>
  </si>
  <si>
    <t>hovada lidi</t>
  </si>
  <si>
    <t>Podpora řepky</t>
  </si>
  <si>
    <t>Stříkání polí chemií 3x do roka</t>
  </si>
  <si>
    <t>Hloupé dotace od EU a vlády</t>
  </si>
  <si>
    <t>pěstování špatných plodin</t>
  </si>
  <si>
    <t>chování málo dobytka a ovcí, takže není dost hnoje</t>
  </si>
  <si>
    <t>rychlé odvedení vody z krajiny</t>
  </si>
  <si>
    <t>přebujelá automobilová doprava</t>
  </si>
  <si>
    <t>malá podpora jádra</t>
  </si>
  <si>
    <t>lidská činnost</t>
  </si>
  <si>
    <t>likvidace odpadů</t>
  </si>
  <si>
    <t>nadbytek aut</t>
  </si>
  <si>
    <t>odhazování odpadků do přírody</t>
  </si>
  <si>
    <t>plýtvání potravinami a vodou</t>
  </si>
  <si>
    <t>Invazivní zemědělství</t>
  </si>
  <si>
    <t>Zástavba půdy fabrikami</t>
  </si>
  <si>
    <t>vybetonovani koryt řek a potoků</t>
  </si>
  <si>
    <t>chemikálie v půdě</t>
  </si>
  <si>
    <t>Nenažraný kapitalistický systém</t>
  </si>
  <si>
    <t>Hloupost občanů</t>
  </si>
  <si>
    <t>vyuzity vody</t>
  </si>
  <si>
    <t>pohrdání přírodou</t>
  </si>
  <si>
    <t>nezodpovědnost lidí při vyhazování odpadu</t>
  </si>
  <si>
    <t>plýtvání</t>
  </si>
  <si>
    <t>nesmyslné kácení lesů</t>
  </si>
  <si>
    <t>odpadky v přírodě které tam odhazují neukánění lidé</t>
  </si>
  <si>
    <t>spalovny</t>
  </si>
  <si>
    <t>nečisté ovzduší</t>
  </si>
  <si>
    <t>Bezohlednost a drancování krajiny. Zaměření na zisk a hospodářskou aktivitu.</t>
  </si>
  <si>
    <t>Zaměření vlády na příkazy a rozkazy a vlastní nulová aktivita, nulové investice.</t>
  </si>
  <si>
    <t>Výběrové hospodaření pouze na určitý druh činnosti. Chybí přirozený koloběh hmoty, v důsledku toho se musí nahrazovat umělými látkami - např. umělá hnojiva, pesticidy atd.</t>
  </si>
  <si>
    <t>automobilismus</t>
  </si>
  <si>
    <t>topení tuhými palivy</t>
  </si>
  <si>
    <t>nezodpovědnost</t>
  </si>
  <si>
    <t>provoz</t>
  </si>
  <si>
    <t>pěstování monokultur (řepky)</t>
  </si>
  <si>
    <t>hnědouhelné doly</t>
  </si>
  <si>
    <t>vysušování krajiny</t>
  </si>
  <si>
    <t>blbci</t>
  </si>
  <si>
    <t>ono ani ty elektromobily nejsou to pravé</t>
  </si>
  <si>
    <t>odpady v mořích</t>
  </si>
  <si>
    <t>letectví</t>
  </si>
  <si>
    <t>vláda a podnikatelé</t>
  </si>
  <si>
    <t>emise a výfukové plyny</t>
  </si>
  <si>
    <t>přílišná chemizace zemědělství</t>
  </si>
  <si>
    <t>příliš odpadu</t>
  </si>
  <si>
    <t>meliorace a viytváření velkých lánů</t>
  </si>
  <si>
    <t>zelený</t>
  </si>
  <si>
    <t>blbci -aktivisti</t>
  </si>
  <si>
    <t>Zastavocani zemědělské půdy</t>
  </si>
  <si>
    <t>Splodiny</t>
  </si>
  <si>
    <t>odpad do řek</t>
  </si>
  <si>
    <t>odpad v přírodě</t>
  </si>
  <si>
    <t>jinny odpad</t>
  </si>
  <si>
    <t>vystavba na orné půdě</t>
  </si>
  <si>
    <t>hlupáci a ti, co si myslí, že můžou všechno</t>
  </si>
  <si>
    <t>Řepka,velke lany a moc hektarů</t>
  </si>
  <si>
    <t>Znečištění</t>
  </si>
  <si>
    <t>Špatné hospodaření na půdě</t>
  </si>
  <si>
    <t>Příliš mnoho jedů, umírají živočichové</t>
  </si>
  <si>
    <t>sucho  málo vody a řepka</t>
  </si>
  <si>
    <t>celková ekonomika</t>
  </si>
  <si>
    <t>nadprodukce odpadu, zejména plastů</t>
  </si>
  <si>
    <t>chemie v zemědělské výrobě</t>
  </si>
  <si>
    <t>špatně organizované zemědělství</t>
  </si>
  <si>
    <t>vše zastavěné</t>
  </si>
  <si>
    <t>degradace zemědělské půdy nevhodným hospodařením</t>
  </si>
  <si>
    <t>korovec</t>
  </si>
  <si>
    <t>Chybné využívání zemědělské půdy.</t>
  </si>
  <si>
    <t>zbytečné zásahy do přírody v globálu</t>
  </si>
  <si>
    <t>kůrovec a lesní kalamity různého druhu</t>
  </si>
  <si>
    <t>špatné hospodaření s půdou / zemědělskou</t>
  </si>
  <si>
    <t>fabriky a elektrarny</t>
  </si>
  <si>
    <t>ĺ</t>
  </si>
  <si>
    <t>Plastový odpad</t>
  </si>
  <si>
    <t>Ovzduší emise</t>
  </si>
  <si>
    <t>Zabírani zemědělské půdy</t>
  </si>
  <si>
    <t>zástavby</t>
  </si>
  <si>
    <t>špatné nakládání na polích</t>
  </si>
  <si>
    <t>plínky</t>
  </si>
  <si>
    <t>sáčky</t>
  </si>
  <si>
    <t>hromadění odpadů</t>
  </si>
  <si>
    <t>nepřizpusobiví občané</t>
  </si>
  <si>
    <t>Odpady hlavně plasty v morich</t>
  </si>
  <si>
    <t>Chemikálie</t>
  </si>
  <si>
    <t>Spalovny a skládky</t>
  </si>
  <si>
    <t>Nehygienické prostředí, špatné zacházebí se zvířaty, "určenými😨" na chov</t>
  </si>
  <si>
    <t>oxid uhličitý</t>
  </si>
  <si>
    <t>n</t>
  </si>
  <si>
    <t>Zhoršení kvality ovzduší</t>
  </si>
  <si>
    <t>Plošné kácení lesů, znečišťování vody</t>
  </si>
  <si>
    <t>Neschopnost krajiny zadržet vodu (sucho a občasné povodně)</t>
  </si>
  <si>
    <t>Chemie v zemědělství</t>
  </si>
  <si>
    <t>pocasi</t>
  </si>
  <si>
    <t>klimat_zmena_bublina</t>
  </si>
  <si>
    <t>klimat_zmena_problem</t>
  </si>
  <si>
    <t>sad</t>
  </si>
  <si>
    <t>fear</t>
  </si>
  <si>
    <t>velikost sídla</t>
  </si>
  <si>
    <t>vzdělání</t>
  </si>
  <si>
    <t>příjem</t>
  </si>
  <si>
    <t>věk</t>
  </si>
  <si>
    <t>pohlaví</t>
  </si>
  <si>
    <t>A věříte, že můžete stav krajiny zlepšit vy osobně?</t>
  </si>
  <si>
    <t>Klimatická změna je spíš: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</si>
</sst>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808080"/>
      <name val="Calibri"/>
      <family val="2"/>
      <scheme val="minor"/>
    </font>
    <font>
      <b/>
      <u/>
      <sz val="11"/>
      <color rgb="FFFF0000"/>
      <name val="Calibri"/>
      <family val="2"/>
      <scheme val="minor"/>
    </font>
    <font>
      <b/>
      <sz val="11"/>
      <color theme="1"/>
      <name val="Calibri"/>
      <family val="2"/>
      <charset val="238"/>
      <scheme val="minor"/>
    </font>
  </fonts>
  <fills count="7">
    <fill>
      <patternFill patternType="none"/>
    </fill>
    <fill>
      <patternFill patternType="gray125"/>
    </fill>
    <fill>
      <patternFill patternType="solid">
        <fgColor rgb="FFFF6600"/>
        <bgColor indexed="64"/>
      </patternFill>
    </fill>
    <fill>
      <patternFill patternType="solid">
        <fgColor rgb="FFA9D18E"/>
        <bgColor indexed="64"/>
      </patternFill>
    </fill>
    <fill>
      <patternFill patternType="solid">
        <fgColor rgb="FFFFF2CC"/>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right"/>
    </xf>
    <xf numFmtId="0" fontId="1" fillId="2" borderId="0" xfId="0" applyFont="1" applyFill="1" applyAlignment="1">
      <alignment horizontal="center"/>
    </xf>
    <xf numFmtId="0" fontId="1" fillId="3" borderId="0" xfId="0" applyFont="1" applyFill="1"/>
    <xf numFmtId="0" fontId="1" fillId="3" borderId="0" xfId="0" applyFont="1" applyFill="1" applyAlignment="1">
      <alignment horizontal="center"/>
    </xf>
    <xf numFmtId="9" fontId="0" fillId="0" borderId="0" xfId="0" applyNumberFormat="1"/>
    <xf numFmtId="0" fontId="1" fillId="4" borderId="0" xfId="0" applyFont="1" applyFill="1"/>
    <xf numFmtId="0" fontId="1" fillId="4" borderId="0" xfId="0" applyFont="1" applyFill="1" applyAlignment="1">
      <alignment horizontal="right"/>
    </xf>
    <xf numFmtId="9" fontId="1" fillId="4" borderId="0" xfId="0" applyNumberFormat="1" applyFont="1" applyFill="1"/>
    <xf numFmtId="0" fontId="2" fillId="0" borderId="0" xfId="0" applyFont="1" applyAlignment="1">
      <alignment horizontal="right"/>
    </xf>
    <xf numFmtId="9" fontId="2" fillId="0" borderId="0" xfId="0" applyNumberFormat="1" applyFont="1"/>
    <xf numFmtId="0" fontId="3" fillId="3" borderId="0" xfId="0" applyFont="1" applyFill="1"/>
    <xf numFmtId="0" fontId="2" fillId="0" borderId="0" xfId="0" applyFont="1"/>
    <xf numFmtId="0" fontId="0" fillId="0" borderId="0" xfId="0"/>
    <xf numFmtId="0" fontId="1" fillId="2" borderId="0" xfId="0" applyFont="1" applyFill="1" applyAlignment="1">
      <alignment horizontal="center"/>
    </xf>
    <xf numFmtId="0" fontId="1" fillId="5" borderId="0" xfId="0" applyFont="1" applyFill="1" applyAlignment="1">
      <alignment horizontal="center"/>
    </xf>
    <xf numFmtId="0" fontId="0" fillId="0" borderId="0" xfId="0" applyAlignment="1"/>
    <xf numFmtId="0" fontId="0" fillId="6" borderId="0" xfId="0" applyFill="1" applyAlignment="1">
      <alignment horizontal="center"/>
    </xf>
    <xf numFmtId="0" fontId="4" fillId="6" borderId="0" xfId="0"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393"/>
  <sheetViews>
    <sheetView tabSelected="1" topLeftCell="A2" workbookViewId="0">
      <selection activeCell="A2" sqref="A2"/>
    </sheetView>
  </sheetViews>
  <sheetFormatPr defaultRowHeight="15" x14ac:dyDescent="0.25"/>
  <cols>
    <col min="1" max="1" width="80.7109375" style="1" customWidth="1"/>
    <col min="9" max="9" width="5.140625" customWidth="1"/>
    <col min="17" max="17" width="9.28515625" customWidth="1"/>
    <col min="21" max="21" width="9.140625" customWidth="1"/>
    <col min="25" max="25" width="9.140625" customWidth="1"/>
    <col min="41" max="41" width="9.140625" customWidth="1"/>
    <col min="45" max="45" width="9.140625" customWidth="1"/>
  </cols>
  <sheetData>
    <row r="1" spans="1:104" ht="15" hidden="1" customHeight="1" x14ac:dyDescent="0.25">
      <c r="B1" s="13" t="s">
        <v>0</v>
      </c>
      <c r="C1" s="13"/>
      <c r="D1">
        <v>1000</v>
      </c>
      <c r="F1" s="13" t="s">
        <v>0</v>
      </c>
      <c r="G1" s="13"/>
      <c r="H1">
        <v>501</v>
      </c>
      <c r="J1" s="13" t="s">
        <v>0</v>
      </c>
      <c r="K1" s="13"/>
      <c r="L1">
        <v>499</v>
      </c>
      <c r="N1" s="13" t="s">
        <v>0</v>
      </c>
      <c r="O1" s="13"/>
      <c r="P1">
        <v>97</v>
      </c>
      <c r="R1" s="13" t="s">
        <v>0</v>
      </c>
      <c r="S1" s="13"/>
      <c r="T1">
        <v>198</v>
      </c>
      <c r="V1" s="13" t="s">
        <v>0</v>
      </c>
      <c r="W1" s="13"/>
      <c r="X1">
        <v>241</v>
      </c>
      <c r="Z1" s="13" t="s">
        <v>0</v>
      </c>
      <c r="AA1" s="13"/>
      <c r="AB1">
        <v>198</v>
      </c>
      <c r="AD1" s="13" t="s">
        <v>0</v>
      </c>
      <c r="AE1" s="13"/>
      <c r="AF1">
        <v>154</v>
      </c>
      <c r="AH1" s="13" t="s">
        <v>0</v>
      </c>
      <c r="AI1" s="13"/>
      <c r="AJ1">
        <v>120</v>
      </c>
      <c r="AL1" s="13" t="s">
        <v>0</v>
      </c>
      <c r="AM1" s="13"/>
      <c r="AN1">
        <v>370</v>
      </c>
      <c r="AP1" s="13" t="s">
        <v>0</v>
      </c>
      <c r="AQ1" s="13"/>
      <c r="AR1">
        <v>378</v>
      </c>
      <c r="AT1" s="13" t="s">
        <v>0</v>
      </c>
      <c r="AU1" s="13"/>
      <c r="AV1">
        <v>252</v>
      </c>
      <c r="AX1" s="16" t="s">
        <v>0</v>
      </c>
      <c r="AY1" s="16"/>
      <c r="AZ1">
        <v>273</v>
      </c>
      <c r="BB1" s="16" t="s">
        <v>0</v>
      </c>
      <c r="BC1" s="16"/>
      <c r="BD1">
        <v>203</v>
      </c>
      <c r="BF1" s="16" t="s">
        <v>0</v>
      </c>
      <c r="BG1" s="16"/>
      <c r="BH1">
        <v>215</v>
      </c>
      <c r="BJ1" s="16" t="s">
        <v>0</v>
      </c>
      <c r="BK1" s="16"/>
      <c r="BL1">
        <v>309</v>
      </c>
      <c r="BN1" s="13" t="s">
        <v>0</v>
      </c>
      <c r="BO1" s="13"/>
      <c r="BP1">
        <v>47</v>
      </c>
      <c r="BR1" s="13" t="s">
        <v>0</v>
      </c>
      <c r="BS1" s="13"/>
      <c r="BT1">
        <v>314</v>
      </c>
      <c r="BV1" s="13" t="s">
        <v>0</v>
      </c>
      <c r="BW1" s="13"/>
      <c r="BX1">
        <v>393</v>
      </c>
      <c r="BZ1" s="13" t="s">
        <v>0</v>
      </c>
      <c r="CA1" s="13"/>
      <c r="CB1">
        <v>246</v>
      </c>
      <c r="CD1" s="13" t="s">
        <v>0</v>
      </c>
      <c r="CE1" s="13"/>
      <c r="CF1">
        <v>123</v>
      </c>
      <c r="CH1" s="13" t="s">
        <v>0</v>
      </c>
      <c r="CI1" s="13"/>
      <c r="CJ1">
        <v>688</v>
      </c>
      <c r="CL1" s="13" t="s">
        <v>0</v>
      </c>
      <c r="CM1" s="13"/>
      <c r="CN1">
        <v>758</v>
      </c>
      <c r="CP1" s="13" t="s">
        <v>0</v>
      </c>
      <c r="CQ1" s="13"/>
      <c r="CR1">
        <v>242</v>
      </c>
      <c r="CT1" s="13" t="s">
        <v>0</v>
      </c>
      <c r="CU1" s="13"/>
      <c r="CV1">
        <v>333</v>
      </c>
      <c r="CX1" s="13" t="s">
        <v>0</v>
      </c>
      <c r="CY1" s="13"/>
      <c r="CZ1">
        <v>667</v>
      </c>
    </row>
    <row r="2" spans="1:104" ht="15" customHeight="1" x14ac:dyDescent="0.25">
      <c r="F2" s="18" t="s">
        <v>3852</v>
      </c>
      <c r="G2" s="18"/>
      <c r="H2" s="18"/>
      <c r="I2" s="18"/>
      <c r="J2" s="18"/>
      <c r="K2" s="18"/>
      <c r="L2" s="18"/>
      <c r="N2" s="18" t="s">
        <v>3851</v>
      </c>
      <c r="O2" s="18"/>
      <c r="P2" s="18"/>
      <c r="Q2" s="18"/>
      <c r="R2" s="18"/>
      <c r="S2" s="18"/>
      <c r="T2" s="18"/>
      <c r="U2" s="18"/>
      <c r="V2" s="18"/>
      <c r="W2" s="18"/>
      <c r="X2" s="18"/>
      <c r="Y2" s="18"/>
      <c r="Z2" s="18"/>
      <c r="AA2" s="18"/>
      <c r="AB2" s="18"/>
      <c r="AC2" s="18"/>
      <c r="AD2" s="18"/>
      <c r="AE2" s="18"/>
      <c r="AF2" s="18"/>
      <c r="AG2" s="18"/>
      <c r="AH2" s="18"/>
      <c r="AI2" s="18"/>
      <c r="AJ2" s="18"/>
      <c r="AL2" s="18" t="s">
        <v>3850</v>
      </c>
      <c r="AM2" s="18"/>
      <c r="AN2" s="18"/>
      <c r="AO2" s="18"/>
      <c r="AP2" s="18"/>
      <c r="AQ2" s="18"/>
      <c r="AR2" s="18"/>
      <c r="AS2" s="18"/>
      <c r="AT2" s="18"/>
      <c r="AU2" s="18"/>
      <c r="AV2" s="18"/>
      <c r="AX2" s="18" t="s">
        <v>3848</v>
      </c>
      <c r="AY2" s="18"/>
      <c r="AZ2" s="18"/>
      <c r="BA2" s="18"/>
      <c r="BB2" s="18"/>
      <c r="BC2" s="18"/>
      <c r="BD2" s="18"/>
      <c r="BE2" s="18"/>
      <c r="BF2" s="18"/>
      <c r="BG2" s="18"/>
      <c r="BH2" s="18"/>
      <c r="BI2" s="18"/>
      <c r="BJ2" s="18"/>
      <c r="BK2" s="18"/>
      <c r="BL2" s="18"/>
      <c r="BN2" s="18" t="s">
        <v>3849</v>
      </c>
      <c r="BO2" s="18"/>
      <c r="BP2" s="18"/>
      <c r="BQ2" s="18"/>
      <c r="BR2" s="18"/>
      <c r="BS2" s="18"/>
      <c r="BT2" s="18"/>
      <c r="BU2" s="18"/>
      <c r="BV2" s="18"/>
      <c r="BW2" s="18"/>
      <c r="BX2" s="18"/>
      <c r="BY2" s="18"/>
      <c r="BZ2" s="18"/>
      <c r="CA2" s="18"/>
      <c r="CB2" s="18"/>
      <c r="CD2" s="17" t="s">
        <v>36</v>
      </c>
      <c r="CE2" s="17"/>
      <c r="CF2" s="17"/>
      <c r="CG2" s="17"/>
      <c r="CH2" s="17"/>
      <c r="CI2" s="17"/>
      <c r="CJ2" s="17"/>
      <c r="CL2" s="17" t="s">
        <v>3854</v>
      </c>
      <c r="CM2" s="17"/>
      <c r="CN2" s="17"/>
      <c r="CO2" s="17"/>
      <c r="CP2" s="17"/>
      <c r="CQ2" s="17"/>
      <c r="CR2" s="17"/>
      <c r="CT2" s="17" t="s">
        <v>3853</v>
      </c>
      <c r="CU2" s="17"/>
      <c r="CV2" s="17"/>
      <c r="CW2" s="17"/>
      <c r="CX2" s="17"/>
      <c r="CY2" s="17"/>
      <c r="CZ2" s="17"/>
    </row>
    <row r="3" spans="1:104" x14ac:dyDescent="0.25">
      <c r="A3" s="2" t="s">
        <v>1</v>
      </c>
      <c r="B3" s="14" t="s">
        <v>2</v>
      </c>
      <c r="C3" s="14"/>
      <c r="D3" s="14"/>
      <c r="F3" s="14" t="s">
        <v>3</v>
      </c>
      <c r="G3" s="14"/>
      <c r="H3" s="14"/>
      <c r="J3" s="14" t="s">
        <v>4</v>
      </c>
      <c r="K3" s="14"/>
      <c r="L3" s="14"/>
      <c r="N3" s="14" t="s">
        <v>5</v>
      </c>
      <c r="O3" s="14"/>
      <c r="P3" s="14"/>
      <c r="R3" s="14" t="s">
        <v>6</v>
      </c>
      <c r="S3" s="14"/>
      <c r="T3" s="14"/>
      <c r="V3" s="14" t="s">
        <v>7</v>
      </c>
      <c r="W3" s="14"/>
      <c r="X3" s="14"/>
      <c r="Z3" s="14" t="s">
        <v>8</v>
      </c>
      <c r="AA3" s="14"/>
      <c r="AB3" s="14"/>
      <c r="AD3" s="14" t="s">
        <v>9</v>
      </c>
      <c r="AE3" s="14"/>
      <c r="AF3" s="14"/>
      <c r="AH3" s="14" t="s">
        <v>10</v>
      </c>
      <c r="AI3" s="14"/>
      <c r="AJ3" s="14"/>
      <c r="AL3" s="14" t="s">
        <v>11</v>
      </c>
      <c r="AM3" s="14"/>
      <c r="AN3" s="14"/>
      <c r="AP3" s="14" t="s">
        <v>12</v>
      </c>
      <c r="AQ3" s="14"/>
      <c r="AR3" s="14"/>
      <c r="AT3" s="14" t="s">
        <v>13</v>
      </c>
      <c r="AU3" s="14"/>
      <c r="AV3" s="14"/>
      <c r="AX3" s="14" t="s">
        <v>14</v>
      </c>
      <c r="AY3" s="14"/>
      <c r="AZ3" s="14"/>
      <c r="BA3" s="15"/>
      <c r="BB3" s="14" t="s">
        <v>16</v>
      </c>
      <c r="BC3" s="14"/>
      <c r="BD3" s="14"/>
      <c r="BF3" s="14" t="s">
        <v>15</v>
      </c>
      <c r="BG3" s="14"/>
      <c r="BH3" s="14"/>
      <c r="BJ3" s="14" t="s">
        <v>17</v>
      </c>
      <c r="BK3" s="14"/>
      <c r="BL3" s="14"/>
      <c r="BN3" s="14" t="s">
        <v>18</v>
      </c>
      <c r="BO3" s="14"/>
      <c r="BP3" s="14"/>
      <c r="BR3" s="14" t="s">
        <v>19</v>
      </c>
      <c r="BS3" s="14"/>
      <c r="BT3" s="14"/>
      <c r="BV3" s="14" t="s">
        <v>20</v>
      </c>
      <c r="BW3" s="14"/>
      <c r="BX3" s="14"/>
      <c r="BZ3" s="14" t="s">
        <v>21</v>
      </c>
      <c r="CA3" s="14"/>
      <c r="CB3" s="14"/>
      <c r="CD3" s="14" t="s">
        <v>22</v>
      </c>
      <c r="CE3" s="14"/>
      <c r="CF3" s="14"/>
      <c r="CH3" s="14" t="s">
        <v>23</v>
      </c>
      <c r="CI3" s="14"/>
      <c r="CJ3" s="14"/>
      <c r="CL3" s="14" t="s">
        <v>3845</v>
      </c>
      <c r="CM3" s="14"/>
      <c r="CN3" s="14"/>
      <c r="CP3" s="14" t="s">
        <v>3844</v>
      </c>
      <c r="CQ3" s="14"/>
      <c r="CR3" s="14"/>
      <c r="CT3" s="14" t="s">
        <v>24</v>
      </c>
      <c r="CU3" s="14"/>
      <c r="CV3" s="14"/>
      <c r="CX3" s="14" t="s">
        <v>25</v>
      </c>
      <c r="CY3" s="14"/>
      <c r="CZ3" s="14"/>
    </row>
    <row r="5" spans="1:104" s="3" customFormat="1" x14ac:dyDescent="0.25">
      <c r="A5" s="3" t="s">
        <v>26</v>
      </c>
      <c r="D5" s="4" t="s">
        <v>27</v>
      </c>
      <c r="H5" s="4" t="s">
        <v>27</v>
      </c>
      <c r="L5" s="4" t="s">
        <v>27</v>
      </c>
      <c r="P5" s="4" t="s">
        <v>27</v>
      </c>
      <c r="T5" s="4" t="s">
        <v>27</v>
      </c>
      <c r="X5" s="4" t="s">
        <v>27</v>
      </c>
      <c r="AB5" s="4" t="s">
        <v>27</v>
      </c>
      <c r="AF5" s="4" t="s">
        <v>27</v>
      </c>
      <c r="AJ5" s="4" t="s">
        <v>27</v>
      </c>
      <c r="AN5" s="4" t="s">
        <v>27</v>
      </c>
      <c r="AR5" s="4" t="s">
        <v>27</v>
      </c>
      <c r="AV5" s="4" t="s">
        <v>27</v>
      </c>
      <c r="AZ5" s="4" t="s">
        <v>27</v>
      </c>
      <c r="BA5" s="4"/>
      <c r="BD5" s="4" t="s">
        <v>27</v>
      </c>
      <c r="BH5" s="4" t="s">
        <v>27</v>
      </c>
      <c r="BL5" s="4" t="s">
        <v>27</v>
      </c>
      <c r="BP5" s="4" t="s">
        <v>27</v>
      </c>
      <c r="BT5" s="4" t="s">
        <v>27</v>
      </c>
      <c r="BX5" s="4" t="s">
        <v>27</v>
      </c>
      <c r="CB5" s="4" t="s">
        <v>27</v>
      </c>
      <c r="CF5" s="4" t="s">
        <v>27</v>
      </c>
      <c r="CJ5" s="4" t="s">
        <v>27</v>
      </c>
      <c r="CN5" s="4" t="s">
        <v>27</v>
      </c>
      <c r="CR5" s="4" t="s">
        <v>27</v>
      </c>
      <c r="CV5" s="4" t="s">
        <v>27</v>
      </c>
      <c r="CZ5" s="4" t="s">
        <v>27</v>
      </c>
    </row>
    <row r="6" spans="1:104" x14ac:dyDescent="0.25">
      <c r="A6" s="1" t="s">
        <v>28</v>
      </c>
      <c r="B6">
        <v>30</v>
      </c>
      <c r="C6" s="5">
        <v>0.03</v>
      </c>
      <c r="D6" s="5">
        <v>0.03</v>
      </c>
      <c r="F6">
        <v>22</v>
      </c>
      <c r="G6" s="5">
        <v>4.3912175648702596E-2</v>
      </c>
      <c r="H6" s="5">
        <f>22/$H$1</f>
        <v>4.3912175648702596E-2</v>
      </c>
      <c r="J6">
        <v>8</v>
      </c>
      <c r="K6" s="5">
        <f>J6/J12</f>
        <v>1.6032064128256512E-2</v>
      </c>
      <c r="L6" s="5">
        <f>8/$L$1</f>
        <v>1.6032064128256512E-2</v>
      </c>
      <c r="N6">
        <v>3</v>
      </c>
      <c r="O6" s="5">
        <f>N6/N12</f>
        <v>3.0927835051546393E-2</v>
      </c>
      <c r="P6" s="5">
        <f>3/$P$1</f>
        <v>3.0927835051546393E-2</v>
      </c>
      <c r="R6">
        <v>5</v>
      </c>
      <c r="S6" s="5">
        <f>R6/R12</f>
        <v>2.5252525252525252E-2</v>
      </c>
      <c r="T6" s="5">
        <f>5/$T$1</f>
        <v>2.5252525252525252E-2</v>
      </c>
      <c r="V6">
        <v>7</v>
      </c>
      <c r="W6" s="5">
        <f>V6/V12</f>
        <v>2.9045643153526972E-2</v>
      </c>
      <c r="X6" s="5">
        <f>7/$X$1</f>
        <v>2.9045643153526972E-2</v>
      </c>
      <c r="Z6">
        <v>3</v>
      </c>
      <c r="AA6" s="5">
        <f>Z6/Z12</f>
        <v>1.5151515151515152E-2</v>
      </c>
      <c r="AB6" s="5">
        <f>3/$AB$1</f>
        <v>1.5151515151515152E-2</v>
      </c>
      <c r="AD6">
        <v>6</v>
      </c>
      <c r="AE6" s="5">
        <f>AD6/AD12</f>
        <v>3.896103896103896E-2</v>
      </c>
      <c r="AF6" s="5">
        <f>6/$AF$1</f>
        <v>3.896103896103896E-2</v>
      </c>
      <c r="AH6">
        <v>7</v>
      </c>
      <c r="AI6" s="5">
        <f>AH6/AH12</f>
        <v>5.8333333333333334E-2</v>
      </c>
      <c r="AJ6" s="5">
        <f>7/$AJ$1</f>
        <v>5.8333333333333334E-2</v>
      </c>
      <c r="AL6">
        <v>13</v>
      </c>
      <c r="AM6" s="5">
        <f>AL6/AL12</f>
        <v>3.5135135135135137E-2</v>
      </c>
      <c r="AN6" s="5">
        <f>13/$AN$1</f>
        <v>3.5135135135135137E-2</v>
      </c>
      <c r="AP6">
        <v>10</v>
      </c>
      <c r="AQ6" s="5">
        <f>AP6/AP12</f>
        <v>2.6455026455026454E-2</v>
      </c>
      <c r="AR6" s="5">
        <f>10/$AR$1</f>
        <v>2.6455026455026454E-2</v>
      </c>
      <c r="AT6">
        <v>7</v>
      </c>
      <c r="AU6" s="5">
        <f>AT6/AT12</f>
        <v>2.7777777777777776E-2</v>
      </c>
      <c r="AV6" s="5">
        <f>7/$AV$1</f>
        <v>2.7777777777777776E-2</v>
      </c>
      <c r="AX6">
        <v>8</v>
      </c>
      <c r="AY6" s="5">
        <f>AX6/AX12</f>
        <v>2.9304029304029304E-2</v>
      </c>
      <c r="AZ6" s="5">
        <f>8/$AZ$1</f>
        <v>2.9304029304029304E-2</v>
      </c>
      <c r="BA6" s="5"/>
      <c r="BB6">
        <v>4</v>
      </c>
      <c r="BC6" s="5">
        <f>BB6/BB12</f>
        <v>1.9704433497536946E-2</v>
      </c>
      <c r="BD6" s="5">
        <f>4/$BD$1</f>
        <v>1.9704433497536946E-2</v>
      </c>
      <c r="BF6">
        <v>5</v>
      </c>
      <c r="BG6" s="5">
        <f>BF6/BF12</f>
        <v>2.3255813953488372E-2</v>
      </c>
      <c r="BH6" s="5">
        <f>5/$BH$1</f>
        <v>2.3255813953488372E-2</v>
      </c>
      <c r="BJ6">
        <v>13</v>
      </c>
      <c r="BK6" s="5">
        <f>BJ6/BJ12</f>
        <v>4.2071197411003236E-2</v>
      </c>
      <c r="BL6" s="5">
        <f>13/$BL$1</f>
        <v>4.2071197411003236E-2</v>
      </c>
      <c r="BN6">
        <v>3</v>
      </c>
      <c r="BO6" s="5">
        <f>BN6/BN12</f>
        <v>6.3829787234042548E-2</v>
      </c>
      <c r="BP6" s="5">
        <f>3/$BP$1</f>
        <v>6.3829787234042548E-2</v>
      </c>
      <c r="BR6">
        <v>6</v>
      </c>
      <c r="BS6" s="5">
        <f>BR6/BR12</f>
        <v>1.9108280254777069E-2</v>
      </c>
      <c r="BT6" s="5">
        <f>6/$BT$1</f>
        <v>1.9108280254777069E-2</v>
      </c>
      <c r="BV6">
        <v>17</v>
      </c>
      <c r="BW6" s="5">
        <f>BV6/BV12</f>
        <v>4.3256997455470736E-2</v>
      </c>
      <c r="BX6" s="5">
        <f>17/$BX$1</f>
        <v>4.3256997455470736E-2</v>
      </c>
      <c r="BZ6">
        <v>4</v>
      </c>
      <c r="CA6" s="5">
        <f>BZ6/BZ12</f>
        <v>1.6260162601626018E-2</v>
      </c>
      <c r="CB6" s="5">
        <f>4/$CB$1</f>
        <v>1.6260162601626018E-2</v>
      </c>
      <c r="CD6">
        <v>21</v>
      </c>
      <c r="CE6" s="5">
        <f>CD6/CD12</f>
        <v>0.17073170731707318</v>
      </c>
      <c r="CF6" s="5">
        <f>21/$CF$1</f>
        <v>0.17073170731707318</v>
      </c>
      <c r="CH6">
        <v>4</v>
      </c>
      <c r="CI6" s="5">
        <f>CH6/CH12</f>
        <v>5.8139534883720929E-3</v>
      </c>
      <c r="CJ6" s="5">
        <f>4/$CJ$1</f>
        <v>5.8139534883720929E-3</v>
      </c>
      <c r="CL6">
        <v>17</v>
      </c>
      <c r="CM6" s="5">
        <f>CL6/CL12</f>
        <v>2.2427440633245383E-2</v>
      </c>
      <c r="CN6" s="5">
        <f>17/$CN$1</f>
        <v>2.2427440633245383E-2</v>
      </c>
      <c r="CP6">
        <v>13</v>
      </c>
      <c r="CQ6" s="5">
        <f>CP6/CP12</f>
        <v>5.3719008264462811E-2</v>
      </c>
      <c r="CR6" s="5">
        <f>13/$CR$1</f>
        <v>5.3719008264462811E-2</v>
      </c>
      <c r="CT6">
        <v>17</v>
      </c>
      <c r="CU6" s="5">
        <f>CT6/CT12</f>
        <v>5.1051051051051052E-2</v>
      </c>
      <c r="CV6" s="5">
        <f>17/$CV$1</f>
        <v>5.1051051051051052E-2</v>
      </c>
      <c r="CX6">
        <v>13</v>
      </c>
      <c r="CY6" s="5">
        <f>CX6/CX12</f>
        <v>1.9490254872563718E-2</v>
      </c>
      <c r="CZ6" s="5">
        <f>13/$CZ$1</f>
        <v>1.9490254872563718E-2</v>
      </c>
    </row>
    <row r="7" spans="1:104" x14ac:dyDescent="0.25">
      <c r="A7" s="1" t="s">
        <v>29</v>
      </c>
      <c r="B7">
        <v>141</v>
      </c>
      <c r="C7" s="5">
        <v>0.14099999999999999</v>
      </c>
      <c r="D7" s="5">
        <v>0.14099999999999999</v>
      </c>
      <c r="F7">
        <v>90</v>
      </c>
      <c r="G7" s="5">
        <v>0.17964071856287425</v>
      </c>
      <c r="H7" s="5">
        <f>90/$H$1</f>
        <v>0.17964071856287425</v>
      </c>
      <c r="J7">
        <v>51</v>
      </c>
      <c r="K7" s="5">
        <f>J7/J12</f>
        <v>0.10220440881763528</v>
      </c>
      <c r="L7" s="5">
        <f>51/$L$1</f>
        <v>0.10220440881763528</v>
      </c>
      <c r="N7">
        <v>8</v>
      </c>
      <c r="O7" s="5">
        <f>N7/N12</f>
        <v>8.247422680412371E-2</v>
      </c>
      <c r="P7" s="5">
        <f>8/$P$1</f>
        <v>8.247422680412371E-2</v>
      </c>
      <c r="R7">
        <v>27</v>
      </c>
      <c r="S7" s="5">
        <f>R7/R12</f>
        <v>0.13636363636363635</v>
      </c>
      <c r="T7" s="5">
        <f>27/$T$1</f>
        <v>0.13636363636363635</v>
      </c>
      <c r="V7">
        <v>35</v>
      </c>
      <c r="W7" s="5">
        <f>V7/V12</f>
        <v>0.14522821576763487</v>
      </c>
      <c r="X7" s="5">
        <f>35/$X$1</f>
        <v>0.14522821576763487</v>
      </c>
      <c r="Z7">
        <v>22</v>
      </c>
      <c r="AA7" s="5">
        <f>Z7/Z12</f>
        <v>0.1111111111111111</v>
      </c>
      <c r="AB7" s="5">
        <f>22/$AB$1</f>
        <v>0.1111111111111111</v>
      </c>
      <c r="AD7">
        <v>24</v>
      </c>
      <c r="AE7" s="5">
        <f>AD7/AD12</f>
        <v>0.15584415584415584</v>
      </c>
      <c r="AF7" s="5">
        <f>24/$AF$1</f>
        <v>0.15584415584415584</v>
      </c>
      <c r="AH7">
        <v>26</v>
      </c>
      <c r="AI7" s="5">
        <f>AH7/AH12</f>
        <v>0.21666666666666667</v>
      </c>
      <c r="AJ7" s="5">
        <f>26/$AJ$1</f>
        <v>0.21666666666666667</v>
      </c>
      <c r="AL7">
        <v>40</v>
      </c>
      <c r="AM7" s="5">
        <f>AL7/AL12</f>
        <v>0.10810810810810811</v>
      </c>
      <c r="AN7" s="5">
        <f>40/$AN$1</f>
        <v>0.10810810810810811</v>
      </c>
      <c r="AP7">
        <v>65</v>
      </c>
      <c r="AQ7" s="5">
        <f>AP7/AP12</f>
        <v>0.17195767195767195</v>
      </c>
      <c r="AR7" s="5">
        <f>65/$AR$1</f>
        <v>0.17195767195767195</v>
      </c>
      <c r="AT7">
        <v>36</v>
      </c>
      <c r="AU7" s="5">
        <f>AT7/AT12</f>
        <v>0.14285714285714285</v>
      </c>
      <c r="AV7" s="5">
        <f>36/$AV$1</f>
        <v>0.14285714285714285</v>
      </c>
      <c r="AX7">
        <v>36</v>
      </c>
      <c r="AY7" s="5">
        <f>AX7/AX12</f>
        <v>0.13186813186813187</v>
      </c>
      <c r="AZ7" s="5">
        <f>36/$AZ$1</f>
        <v>0.13186813186813187</v>
      </c>
      <c r="BA7" s="5"/>
      <c r="BB7">
        <v>25</v>
      </c>
      <c r="BC7" s="5">
        <f>BB7/BB12</f>
        <v>0.12315270935960591</v>
      </c>
      <c r="BD7" s="5">
        <f>25/$BD$1</f>
        <v>0.12315270935960591</v>
      </c>
      <c r="BF7">
        <v>36</v>
      </c>
      <c r="BG7" s="5">
        <f>BF7/BF12</f>
        <v>0.16744186046511628</v>
      </c>
      <c r="BH7" s="5">
        <f>36/$BH$1</f>
        <v>0.16744186046511628</v>
      </c>
      <c r="BJ7">
        <v>44</v>
      </c>
      <c r="BK7" s="5">
        <f>BJ7/BJ12</f>
        <v>0.14239482200647249</v>
      </c>
      <c r="BL7" s="5">
        <f>44/$BL$1</f>
        <v>0.14239482200647249</v>
      </c>
      <c r="BN7">
        <v>6</v>
      </c>
      <c r="BO7" s="5">
        <f>BN7/BN12</f>
        <v>0.1276595744680851</v>
      </c>
      <c r="BP7" s="5">
        <f>6/$BP$1</f>
        <v>0.1276595744680851</v>
      </c>
      <c r="BR7">
        <v>39</v>
      </c>
      <c r="BS7" s="5">
        <f>BR7/BR12</f>
        <v>0.12420382165605096</v>
      </c>
      <c r="BT7" s="5">
        <f>39/$BT$1</f>
        <v>0.12420382165605096</v>
      </c>
      <c r="BV7">
        <v>54</v>
      </c>
      <c r="BW7" s="5">
        <f>BV7/BV12</f>
        <v>0.13740458015267176</v>
      </c>
      <c r="BX7" s="5">
        <f>54/$BX$1</f>
        <v>0.13740458015267176</v>
      </c>
      <c r="BZ7">
        <v>42</v>
      </c>
      <c r="CA7" s="5">
        <f>BZ7/BZ12</f>
        <v>0.17073170731707318</v>
      </c>
      <c r="CB7" s="5">
        <f>42/$CB$1</f>
        <v>0.17073170731707318</v>
      </c>
      <c r="CD7">
        <v>62</v>
      </c>
      <c r="CE7" s="5">
        <f>CD7/CD12</f>
        <v>0.50406504065040647</v>
      </c>
      <c r="CF7" s="5">
        <f>62/$CF$1</f>
        <v>0.50406504065040647</v>
      </c>
      <c r="CH7">
        <v>24</v>
      </c>
      <c r="CI7" s="5">
        <f>CH7/CH12</f>
        <v>3.4883720930232558E-2</v>
      </c>
      <c r="CJ7" s="5">
        <f>24/$CJ$1</f>
        <v>3.4883720930232558E-2</v>
      </c>
      <c r="CL7">
        <v>58</v>
      </c>
      <c r="CM7" s="5">
        <f>CL7/CL12</f>
        <v>7.6517150395778361E-2</v>
      </c>
      <c r="CN7" s="5">
        <f>58/$CN$1</f>
        <v>7.6517150395778361E-2</v>
      </c>
      <c r="CP7">
        <v>83</v>
      </c>
      <c r="CQ7" s="5">
        <f>CP7/CP12</f>
        <v>0.34297520661157027</v>
      </c>
      <c r="CR7" s="5">
        <f>83/$CR$1</f>
        <v>0.34297520661157027</v>
      </c>
      <c r="CT7">
        <v>60</v>
      </c>
      <c r="CU7" s="5">
        <f>CT7/CT12</f>
        <v>0.18018018018018017</v>
      </c>
      <c r="CV7" s="5">
        <f>60/$CV$1</f>
        <v>0.18018018018018017</v>
      </c>
      <c r="CX7">
        <v>81</v>
      </c>
      <c r="CY7" s="5">
        <f>CX7/CX12</f>
        <v>0.12143928035982009</v>
      </c>
      <c r="CZ7" s="5">
        <f>81/$CZ$1</f>
        <v>0.12143928035982009</v>
      </c>
    </row>
    <row r="8" spans="1:104" x14ac:dyDescent="0.25">
      <c r="A8" s="1" t="s">
        <v>30</v>
      </c>
      <c r="B8">
        <v>252</v>
      </c>
      <c r="C8" s="5">
        <v>0.252</v>
      </c>
      <c r="D8" s="5">
        <v>0.252</v>
      </c>
      <c r="F8">
        <v>123</v>
      </c>
      <c r="G8" s="5">
        <v>0.24550898203592814</v>
      </c>
      <c r="H8" s="5">
        <f>123/$H$1</f>
        <v>0.24550898203592814</v>
      </c>
      <c r="J8">
        <v>129</v>
      </c>
      <c r="K8" s="5">
        <f>J8/J12</f>
        <v>0.25851703406813625</v>
      </c>
      <c r="L8" s="5">
        <f>129/$L$1</f>
        <v>0.25851703406813625</v>
      </c>
      <c r="N8">
        <v>21</v>
      </c>
      <c r="O8" s="5">
        <f>N8/N12</f>
        <v>0.21649484536082475</v>
      </c>
      <c r="P8" s="5">
        <f>21/$P$1</f>
        <v>0.21649484536082475</v>
      </c>
      <c r="R8">
        <v>50</v>
      </c>
      <c r="S8" s="5">
        <f>R8/R12</f>
        <v>0.25252525252525254</v>
      </c>
      <c r="T8" s="5">
        <f>50/$T$1</f>
        <v>0.25252525252525254</v>
      </c>
      <c r="V8">
        <v>65</v>
      </c>
      <c r="W8" s="5">
        <f>V8/V12</f>
        <v>0.26970954356846472</v>
      </c>
      <c r="X8" s="5">
        <f>65/$X$1</f>
        <v>0.26970954356846472</v>
      </c>
      <c r="Z8">
        <v>55</v>
      </c>
      <c r="AA8" s="5">
        <f>Z8/Z12</f>
        <v>0.27777777777777779</v>
      </c>
      <c r="AB8" s="5">
        <f>55/$AB$1</f>
        <v>0.27777777777777779</v>
      </c>
      <c r="AD8">
        <v>34</v>
      </c>
      <c r="AE8" s="5">
        <f>AD8/AD12</f>
        <v>0.22077922077922077</v>
      </c>
      <c r="AF8" s="5">
        <f>34/$AF$1</f>
        <v>0.22077922077922077</v>
      </c>
      <c r="AH8">
        <v>29</v>
      </c>
      <c r="AI8" s="5">
        <f>AH8/AH12</f>
        <v>0.24166666666666667</v>
      </c>
      <c r="AJ8" s="5">
        <f>29/$AJ$1</f>
        <v>0.24166666666666667</v>
      </c>
      <c r="AL8">
        <v>100</v>
      </c>
      <c r="AM8" s="5">
        <f>AL8/AL12</f>
        <v>0.27027027027027029</v>
      </c>
      <c r="AN8" s="5">
        <f>100/$AN$1</f>
        <v>0.27027027027027029</v>
      </c>
      <c r="AP8">
        <v>93</v>
      </c>
      <c r="AQ8" s="5">
        <f>AP8/AP12</f>
        <v>0.24603174603174602</v>
      </c>
      <c r="AR8" s="5">
        <f>93/$AR$1</f>
        <v>0.24603174603174602</v>
      </c>
      <c r="AT8">
        <v>59</v>
      </c>
      <c r="AU8" s="5">
        <f>AT8/AT12</f>
        <v>0.23412698412698413</v>
      </c>
      <c r="AV8" s="5">
        <f>59/$AV$1</f>
        <v>0.23412698412698413</v>
      </c>
      <c r="AX8">
        <v>68</v>
      </c>
      <c r="AY8" s="5">
        <f>AX8/AX12</f>
        <v>0.24908424908424909</v>
      </c>
      <c r="AZ8" s="5">
        <f>68/$AZ$1</f>
        <v>0.24908424908424909</v>
      </c>
      <c r="BA8" s="5"/>
      <c r="BB8">
        <v>57</v>
      </c>
      <c r="BC8" s="5">
        <f>BB8/BB12</f>
        <v>0.28078817733990147</v>
      </c>
      <c r="BD8" s="5">
        <f>57/$BD$1</f>
        <v>0.28078817733990147</v>
      </c>
      <c r="BF8">
        <v>48</v>
      </c>
      <c r="BG8" s="5">
        <f>BF8/BF12</f>
        <v>0.22325581395348837</v>
      </c>
      <c r="BH8" s="5">
        <f>48/$BH$1</f>
        <v>0.22325581395348837</v>
      </c>
      <c r="BJ8">
        <v>79</v>
      </c>
      <c r="BK8" s="5">
        <f>BJ8/BJ12</f>
        <v>0.25566343042071199</v>
      </c>
      <c r="BL8" s="5">
        <f>79/$BL$1</f>
        <v>0.25566343042071199</v>
      </c>
      <c r="BN8">
        <v>15</v>
      </c>
      <c r="BO8" s="5">
        <f>BN8/BN12</f>
        <v>0.31914893617021278</v>
      </c>
      <c r="BP8" s="5">
        <f>15/$BP$1</f>
        <v>0.31914893617021278</v>
      </c>
      <c r="BR8">
        <v>94</v>
      </c>
      <c r="BS8" s="5">
        <f>BR8/BR12</f>
        <v>0.29936305732484075</v>
      </c>
      <c r="BT8" s="5">
        <f>94/$BT$1</f>
        <v>0.29936305732484075</v>
      </c>
      <c r="BV8">
        <v>87</v>
      </c>
      <c r="BW8" s="5">
        <f>BV8/BV12</f>
        <v>0.22137404580152673</v>
      </c>
      <c r="BX8" s="5">
        <f>87/$BX$1</f>
        <v>0.22137404580152673</v>
      </c>
      <c r="BZ8">
        <v>56</v>
      </c>
      <c r="CA8" s="5">
        <f>BZ8/BZ12</f>
        <v>0.22764227642276422</v>
      </c>
      <c r="CB8" s="5">
        <f>56/$CB$1</f>
        <v>0.22764227642276422</v>
      </c>
      <c r="CD8">
        <v>25</v>
      </c>
      <c r="CE8" s="5">
        <f>CD8/CD12</f>
        <v>0.2032520325203252</v>
      </c>
      <c r="CF8" s="5">
        <f>25/$CF$1</f>
        <v>0.2032520325203252</v>
      </c>
      <c r="CH8">
        <v>159</v>
      </c>
      <c r="CI8" s="5">
        <f>CH8/CH12</f>
        <v>0.23110465116279069</v>
      </c>
      <c r="CJ8" s="5">
        <f>159/$CJ$1</f>
        <v>0.23110465116279069</v>
      </c>
      <c r="CL8">
        <v>196</v>
      </c>
      <c r="CM8" s="5">
        <f>CL8/CL12</f>
        <v>0.25857519788918204</v>
      </c>
      <c r="CN8" s="5">
        <f>196/$CN$1</f>
        <v>0.25857519788918204</v>
      </c>
      <c r="CP8">
        <v>56</v>
      </c>
      <c r="CQ8" s="5">
        <f>CP8/CP12</f>
        <v>0.23140495867768596</v>
      </c>
      <c r="CR8" s="5">
        <f>56/$CR$1</f>
        <v>0.23140495867768596</v>
      </c>
      <c r="CT8">
        <v>58</v>
      </c>
      <c r="CU8" s="5">
        <f>CT8/CT12</f>
        <v>0.17417417417417416</v>
      </c>
      <c r="CV8" s="5">
        <f>58/$CV$1</f>
        <v>0.17417417417417416</v>
      </c>
      <c r="CX8">
        <v>194</v>
      </c>
      <c r="CY8" s="5">
        <f>CX8/CX12</f>
        <v>0.29085457271364318</v>
      </c>
      <c r="CZ8" s="5">
        <f>194/$CZ$1</f>
        <v>0.29085457271364318</v>
      </c>
    </row>
    <row r="9" spans="1:104" x14ac:dyDescent="0.25">
      <c r="A9" s="1" t="s">
        <v>3846</v>
      </c>
      <c r="B9">
        <v>450</v>
      </c>
      <c r="C9" s="5">
        <v>0.45</v>
      </c>
      <c r="D9" s="5">
        <v>0.45</v>
      </c>
      <c r="F9">
        <v>195</v>
      </c>
      <c r="G9" s="5">
        <v>0.38922155688622756</v>
      </c>
      <c r="H9" s="5">
        <v>0.38922155688622756</v>
      </c>
      <c r="J9">
        <v>255</v>
      </c>
      <c r="K9" s="5">
        <v>0.51102204408817631</v>
      </c>
      <c r="L9" s="5">
        <v>0.51102204408817631</v>
      </c>
      <c r="N9">
        <v>49</v>
      </c>
      <c r="O9" s="5">
        <v>0.50515463917525771</v>
      </c>
      <c r="P9" s="5">
        <v>0.50515463917525771</v>
      </c>
      <c r="R9">
        <v>91</v>
      </c>
      <c r="S9" s="5">
        <v>0.45959595959595961</v>
      </c>
      <c r="T9" s="5">
        <v>0.45959595959595961</v>
      </c>
      <c r="V9">
        <v>107</v>
      </c>
      <c r="W9" s="5">
        <v>0.44398340248962653</v>
      </c>
      <c r="X9" s="5">
        <v>0.44398340248962653</v>
      </c>
      <c r="Z9">
        <v>89</v>
      </c>
      <c r="AA9" s="5">
        <v>0.4494949494949495</v>
      </c>
      <c r="AB9" s="5">
        <v>0.4494949494949495</v>
      </c>
      <c r="AD9">
        <v>70</v>
      </c>
      <c r="AE9" s="5">
        <v>0.45454545454545453</v>
      </c>
      <c r="AF9" s="5">
        <v>0.45454545454545453</v>
      </c>
      <c r="AH9">
        <v>47</v>
      </c>
      <c r="AI9" s="5">
        <v>0.39166666666666666</v>
      </c>
      <c r="AJ9" s="5">
        <v>0.39166666666666666</v>
      </c>
      <c r="AL9">
        <v>160</v>
      </c>
      <c r="AM9" s="5">
        <v>0.43243243243243246</v>
      </c>
      <c r="AN9" s="5">
        <v>0.43243243243243246</v>
      </c>
      <c r="AP9">
        <v>162</v>
      </c>
      <c r="AQ9" s="5">
        <v>0.42857142857142855</v>
      </c>
      <c r="AR9" s="5">
        <v>0.42857142857142855</v>
      </c>
      <c r="AT9">
        <v>128</v>
      </c>
      <c r="AU9" s="5">
        <v>0.50793650793650791</v>
      </c>
      <c r="AV9" s="5">
        <v>0.50793650793650791</v>
      </c>
      <c r="AX9">
        <v>128</v>
      </c>
      <c r="AY9" s="5">
        <v>0.46886446886446886</v>
      </c>
      <c r="AZ9" s="5">
        <v>0.46886446886446886</v>
      </c>
      <c r="BA9" s="5"/>
      <c r="BB9">
        <v>92</v>
      </c>
      <c r="BC9" s="5">
        <v>0.45320197044334976</v>
      </c>
      <c r="BD9" s="5">
        <v>0.45320197044334976</v>
      </c>
      <c r="BF9">
        <v>95</v>
      </c>
      <c r="BG9" s="5">
        <v>0.44186046511627908</v>
      </c>
      <c r="BH9" s="5">
        <v>0.44186046511627908</v>
      </c>
      <c r="BJ9">
        <v>135</v>
      </c>
      <c r="BK9" s="5">
        <v>0.43689320388349512</v>
      </c>
      <c r="BL9" s="5">
        <v>0.43689320388349512</v>
      </c>
      <c r="BN9">
        <v>19</v>
      </c>
      <c r="BO9" s="5">
        <v>0.40425531914893598</v>
      </c>
      <c r="BP9" s="5">
        <v>0.40425531914893614</v>
      </c>
      <c r="BR9">
        <v>120</v>
      </c>
      <c r="BS9" s="5">
        <v>0.38216560509554143</v>
      </c>
      <c r="BT9" s="5">
        <v>0.38216560509554143</v>
      </c>
      <c r="BV9">
        <v>189</v>
      </c>
      <c r="BW9" s="5">
        <v>0.48091603053435117</v>
      </c>
      <c r="BX9" s="5">
        <v>0.48091603053435117</v>
      </c>
      <c r="BZ9">
        <v>122</v>
      </c>
      <c r="CA9" s="5">
        <v>0.49593495934959347</v>
      </c>
      <c r="CB9" s="5">
        <v>0.49593495934959347</v>
      </c>
      <c r="CD9">
        <v>11</v>
      </c>
      <c r="CE9" s="5">
        <v>8.943089430894309E-2</v>
      </c>
      <c r="CF9" s="5">
        <v>8.943089430894309E-2</v>
      </c>
      <c r="CH9">
        <v>402</v>
      </c>
      <c r="CI9" s="5">
        <v>0.58430232558139539</v>
      </c>
      <c r="CJ9" s="5">
        <v>0.58430232558139539</v>
      </c>
      <c r="CL9">
        <v>381</v>
      </c>
      <c r="CM9" s="5">
        <v>0.50263852242744067</v>
      </c>
      <c r="CN9" s="5">
        <v>0.50263852242744067</v>
      </c>
      <c r="CP9">
        <v>69</v>
      </c>
      <c r="CQ9" s="5">
        <v>0.28512396694214875</v>
      </c>
      <c r="CR9" s="5">
        <v>0.28512396694214875</v>
      </c>
      <c r="CT9">
        <v>161</v>
      </c>
      <c r="CU9" s="5">
        <v>0.48348348348348347</v>
      </c>
      <c r="CV9" s="5">
        <v>0.48348348348348347</v>
      </c>
      <c r="CX9">
        <v>289</v>
      </c>
      <c r="CY9" s="5">
        <v>0.43328335832083958</v>
      </c>
      <c r="CZ9" s="5">
        <v>0.43328335832083958</v>
      </c>
    </row>
    <row r="10" spans="1:104" x14ac:dyDescent="0.25">
      <c r="A10" s="1" t="s">
        <v>3847</v>
      </c>
      <c r="B10">
        <v>76</v>
      </c>
      <c r="C10" s="5">
        <v>7.5999999999999998E-2</v>
      </c>
      <c r="D10" s="5">
        <v>7.5999999999999998E-2</v>
      </c>
      <c r="F10">
        <v>37</v>
      </c>
      <c r="G10" s="5">
        <v>7.3852295409181631E-2</v>
      </c>
      <c r="H10" s="5">
        <v>7.3852295409181631E-2</v>
      </c>
      <c r="J10">
        <v>39</v>
      </c>
      <c r="K10" s="5">
        <v>7.8156312625250496E-2</v>
      </c>
      <c r="L10" s="5">
        <v>7.8156312625250496E-2</v>
      </c>
      <c r="N10">
        <v>12</v>
      </c>
      <c r="O10" s="5">
        <v>0.12371134020618557</v>
      </c>
      <c r="P10" s="5">
        <v>0.12371134020618557</v>
      </c>
      <c r="R10">
        <v>16</v>
      </c>
      <c r="S10" s="5">
        <v>8.0808080808080815E-2</v>
      </c>
      <c r="T10" s="5">
        <v>8.0808080808080815E-2</v>
      </c>
      <c r="V10">
        <v>16</v>
      </c>
      <c r="W10" s="5">
        <v>6.6390041493775934E-2</v>
      </c>
      <c r="X10" s="5">
        <v>6.6390041493775934E-2</v>
      </c>
      <c r="Z10">
        <v>17</v>
      </c>
      <c r="AA10" s="5">
        <v>8.5858585858585856E-2</v>
      </c>
      <c r="AB10" s="5">
        <v>8.5858585858585856E-2</v>
      </c>
      <c r="AD10">
        <v>9</v>
      </c>
      <c r="AE10" s="5">
        <v>5.844155844155844E-2</v>
      </c>
      <c r="AF10" s="5">
        <v>5.844155844155844E-2</v>
      </c>
      <c r="AH10">
        <v>6</v>
      </c>
      <c r="AI10" s="5">
        <v>0.05</v>
      </c>
      <c r="AJ10" s="5">
        <v>0.05</v>
      </c>
      <c r="AL10">
        <v>33</v>
      </c>
      <c r="AM10" s="5">
        <v>8.9189189189189194E-2</v>
      </c>
      <c r="AN10" s="5">
        <v>8.9189189189189194E-2</v>
      </c>
      <c r="AP10">
        <v>28</v>
      </c>
      <c r="AQ10" s="5">
        <v>7.407407407407407E-2</v>
      </c>
      <c r="AR10" s="5">
        <v>7.407407407407407E-2</v>
      </c>
      <c r="AT10">
        <v>15</v>
      </c>
      <c r="AU10" s="5">
        <v>5.9523809523809521E-2</v>
      </c>
      <c r="AV10" s="5">
        <v>5.9523809523809521E-2</v>
      </c>
      <c r="AX10">
        <v>18</v>
      </c>
      <c r="AY10" s="5">
        <v>6.5934065934065936E-2</v>
      </c>
      <c r="AZ10" s="5">
        <v>6.5934065934065936E-2</v>
      </c>
      <c r="BA10" s="5"/>
      <c r="BB10">
        <v>14</v>
      </c>
      <c r="BC10" s="5">
        <v>6.8965517241379309E-2</v>
      </c>
      <c r="BD10" s="5">
        <v>6.8965517241379309E-2</v>
      </c>
      <c r="BF10">
        <v>19</v>
      </c>
      <c r="BG10" s="5">
        <v>8.8372093023255813E-2</v>
      </c>
      <c r="BH10" s="5">
        <v>8.8372093023255813E-2</v>
      </c>
      <c r="BJ10">
        <v>25</v>
      </c>
      <c r="BK10" s="5">
        <v>8.0906148867313912E-2</v>
      </c>
      <c r="BL10" s="5">
        <v>8.0906148867313912E-2</v>
      </c>
      <c r="BN10">
        <v>1</v>
      </c>
      <c r="BO10" s="5">
        <v>2.1276595744680851E-2</v>
      </c>
      <c r="BP10" s="5">
        <v>2.1276595744680851E-2</v>
      </c>
      <c r="BR10">
        <v>27</v>
      </c>
      <c r="BS10" s="5">
        <v>8.598726114649681E-2</v>
      </c>
      <c r="BT10" s="5">
        <v>8.598726114649681E-2</v>
      </c>
      <c r="BV10">
        <v>36</v>
      </c>
      <c r="BW10" s="5">
        <v>9.1603053435114504E-2</v>
      </c>
      <c r="BX10" s="5">
        <v>9.1603053435114504E-2</v>
      </c>
      <c r="BZ10">
        <v>12</v>
      </c>
      <c r="CA10" s="5">
        <v>4.878048780487805E-2</v>
      </c>
      <c r="CB10" s="5">
        <v>4.878048780487805E-2</v>
      </c>
      <c r="CD10">
        <v>4</v>
      </c>
      <c r="CE10" s="5">
        <v>3.2520325203252036E-2</v>
      </c>
      <c r="CF10" s="5">
        <v>3.2520325203252036E-2</v>
      </c>
      <c r="CH10">
        <v>60</v>
      </c>
      <c r="CI10" s="5">
        <v>8.7209302325581398E-2</v>
      </c>
      <c r="CJ10" s="5">
        <v>8.7209302325581398E-2</v>
      </c>
      <c r="CL10">
        <v>62</v>
      </c>
      <c r="CM10" s="5">
        <v>8.1794195250659632E-2</v>
      </c>
      <c r="CN10" s="5">
        <v>8.1794195250659632E-2</v>
      </c>
      <c r="CP10">
        <v>14</v>
      </c>
      <c r="CQ10" s="5">
        <v>5.7851239669421489E-2</v>
      </c>
      <c r="CR10" s="5">
        <v>5.7851239669421489E-2</v>
      </c>
      <c r="CT10">
        <v>26</v>
      </c>
      <c r="CU10" s="5">
        <v>7.8078078078078081E-2</v>
      </c>
      <c r="CV10" s="5">
        <v>7.8078078078078081E-2</v>
      </c>
      <c r="CX10">
        <v>50</v>
      </c>
      <c r="CY10" s="5">
        <v>7.4962518740629688E-2</v>
      </c>
      <c r="CZ10" s="5">
        <v>7.4962518740629688E-2</v>
      </c>
    </row>
    <row r="11" spans="1:104" x14ac:dyDescent="0.25">
      <c r="A11" s="1" t="s">
        <v>31</v>
      </c>
      <c r="B11">
        <v>51</v>
      </c>
      <c r="C11" s="5">
        <v>5.0999999999999997E-2</v>
      </c>
      <c r="D11" s="5">
        <v>5.0999999999999997E-2</v>
      </c>
      <c r="F11">
        <v>34</v>
      </c>
      <c r="G11" s="5">
        <v>6.7864271457085831E-2</v>
      </c>
      <c r="H11" s="5">
        <v>6.7864271457085831E-2</v>
      </c>
      <c r="J11">
        <v>17</v>
      </c>
      <c r="K11" s="5">
        <v>3.406813627254509E-2</v>
      </c>
      <c r="L11" s="5">
        <v>3.406813627254509E-2</v>
      </c>
      <c r="N11">
        <v>4</v>
      </c>
      <c r="O11" s="5">
        <v>4.1237113402061855E-2</v>
      </c>
      <c r="P11" s="5">
        <v>4.1237113402061855E-2</v>
      </c>
      <c r="R11">
        <v>9</v>
      </c>
      <c r="S11" s="5">
        <v>4.5454545454545456E-2</v>
      </c>
      <c r="T11" s="5">
        <v>4.5454545454545456E-2</v>
      </c>
      <c r="V11">
        <v>11</v>
      </c>
      <c r="W11" s="5">
        <v>4.5643153526970952E-2</v>
      </c>
      <c r="X11" s="5">
        <v>4.5643153526970952E-2</v>
      </c>
      <c r="Z11">
        <v>12</v>
      </c>
      <c r="AA11" s="5">
        <v>6.0606060606060608E-2</v>
      </c>
      <c r="AB11" s="5">
        <v>6.0606060606060608E-2</v>
      </c>
      <c r="AD11">
        <v>11</v>
      </c>
      <c r="AE11" s="5">
        <v>7.1428571428571425E-2</v>
      </c>
      <c r="AF11" s="5">
        <v>7.1428571428571425E-2</v>
      </c>
      <c r="AH11">
        <v>5</v>
      </c>
      <c r="AI11" s="5">
        <v>4.1666666666666664E-2</v>
      </c>
      <c r="AJ11" s="5">
        <v>4.1666666666666664E-2</v>
      </c>
      <c r="AL11">
        <v>24</v>
      </c>
      <c r="AM11" s="5">
        <v>6.4864864864864868E-2</v>
      </c>
      <c r="AN11" s="5">
        <v>6.4864864864864868E-2</v>
      </c>
      <c r="AP11">
        <v>20</v>
      </c>
      <c r="AQ11" s="5">
        <v>5.2910052910052907E-2</v>
      </c>
      <c r="AR11" s="5">
        <v>5.2910052910052907E-2</v>
      </c>
      <c r="AT11">
        <v>7</v>
      </c>
      <c r="AU11" s="5">
        <v>2.7777777777777776E-2</v>
      </c>
      <c r="AV11" s="5">
        <v>2.7777777777777776E-2</v>
      </c>
      <c r="AX11">
        <v>15</v>
      </c>
      <c r="AY11" s="5">
        <v>5.4945054945054944E-2</v>
      </c>
      <c r="AZ11" s="5">
        <v>5.4945054945054944E-2</v>
      </c>
      <c r="BA11" s="5"/>
      <c r="BB11">
        <v>11</v>
      </c>
      <c r="BC11" s="5">
        <v>5.4187192118226604E-2</v>
      </c>
      <c r="BD11" s="5">
        <v>5.4187192118226604E-2</v>
      </c>
      <c r="BF11">
        <v>12</v>
      </c>
      <c r="BG11" s="5">
        <v>5.5813953488372092E-2</v>
      </c>
      <c r="BH11" s="5">
        <v>5.5813953488372092E-2</v>
      </c>
      <c r="BJ11">
        <v>13</v>
      </c>
      <c r="BK11" s="5">
        <v>4.2071197411003236E-2</v>
      </c>
      <c r="BL11" s="5">
        <v>4.2071197411003236E-2</v>
      </c>
      <c r="BN11">
        <v>3</v>
      </c>
      <c r="BO11" s="5">
        <v>6.3829787234042548E-2</v>
      </c>
      <c r="BP11" s="5">
        <v>6.3829787234042548E-2</v>
      </c>
      <c r="BR11">
        <v>28</v>
      </c>
      <c r="BS11" s="5">
        <v>8.9171974522292988E-2</v>
      </c>
      <c r="BT11" s="5">
        <v>8.9171974522292988E-2</v>
      </c>
      <c r="BV11">
        <v>10</v>
      </c>
      <c r="BW11" s="5">
        <v>2.5445292620865138E-2</v>
      </c>
      <c r="BX11" s="5">
        <v>2.5445292620865138E-2</v>
      </c>
      <c r="BZ11">
        <v>10</v>
      </c>
      <c r="CA11" s="5">
        <v>4.065040650406504E-2</v>
      </c>
      <c r="CB11" s="5">
        <v>4.065040650406504E-2</v>
      </c>
      <c r="CD11">
        <v>0</v>
      </c>
      <c r="CE11" s="5">
        <v>0</v>
      </c>
      <c r="CF11" s="5">
        <v>0</v>
      </c>
      <c r="CH11">
        <v>39</v>
      </c>
      <c r="CI11" s="5">
        <v>5.6686046511627904E-2</v>
      </c>
      <c r="CJ11" s="5">
        <v>5.6686046511627904E-2</v>
      </c>
      <c r="CL11">
        <v>44</v>
      </c>
      <c r="CM11" s="5">
        <v>5.8047493403693931E-2</v>
      </c>
      <c r="CN11" s="5">
        <v>5.8047493403693931E-2</v>
      </c>
      <c r="CP11">
        <v>7</v>
      </c>
      <c r="CQ11" s="5">
        <v>2.8925619834710745E-2</v>
      </c>
      <c r="CR11" s="5">
        <v>2.8925619834710745E-2</v>
      </c>
      <c r="CT11">
        <v>11</v>
      </c>
      <c r="CU11" s="5">
        <v>3.3033033033033031E-2</v>
      </c>
      <c r="CV11" s="5">
        <v>3.3033033033033031E-2</v>
      </c>
      <c r="CX11">
        <v>40</v>
      </c>
      <c r="CY11" s="5">
        <v>5.9970014992503748E-2</v>
      </c>
      <c r="CZ11" s="5">
        <v>5.9970014992503748E-2</v>
      </c>
    </row>
    <row r="12" spans="1:104" s="6" customFormat="1" x14ac:dyDescent="0.25">
      <c r="A12" s="7" t="s">
        <v>33</v>
      </c>
      <c r="B12" s="6">
        <v>1000</v>
      </c>
      <c r="D12" s="8">
        <f>1000/$D$1</f>
        <v>1</v>
      </c>
      <c r="F12" s="6">
        <v>501</v>
      </c>
      <c r="H12" s="8">
        <f>501/$H$1</f>
        <v>1</v>
      </c>
      <c r="J12" s="6">
        <v>499</v>
      </c>
      <c r="L12" s="8">
        <f>499/$L$1</f>
        <v>1</v>
      </c>
      <c r="N12" s="6">
        <v>97</v>
      </c>
      <c r="P12" s="8">
        <f>97/$P$1</f>
        <v>1</v>
      </c>
      <c r="R12" s="6">
        <v>198</v>
      </c>
      <c r="T12" s="8">
        <f>198/$T$1</f>
        <v>1</v>
      </c>
      <c r="V12" s="6">
        <v>241</v>
      </c>
      <c r="X12" s="8">
        <f>241/$X$1</f>
        <v>1</v>
      </c>
      <c r="Z12" s="6">
        <v>198</v>
      </c>
      <c r="AB12" s="8">
        <f>198/$AB$1</f>
        <v>1</v>
      </c>
      <c r="AD12" s="6">
        <v>154</v>
      </c>
      <c r="AF12" s="8">
        <f>154/$AF$1</f>
        <v>1</v>
      </c>
      <c r="AH12" s="6">
        <v>120</v>
      </c>
      <c r="AJ12" s="8">
        <f>120/$AJ$1</f>
        <v>1</v>
      </c>
      <c r="AL12" s="6">
        <v>370</v>
      </c>
      <c r="AN12" s="8">
        <f>370/$AN$1</f>
        <v>1</v>
      </c>
      <c r="AP12" s="6">
        <v>378</v>
      </c>
      <c r="AR12" s="8">
        <f>378/$AR$1</f>
        <v>1</v>
      </c>
      <c r="AT12" s="6">
        <v>252</v>
      </c>
      <c r="AV12" s="8">
        <f>252/$AV$1</f>
        <v>1</v>
      </c>
      <c r="AX12" s="6">
        <v>273</v>
      </c>
      <c r="AZ12" s="8">
        <f>273/$AZ$1</f>
        <v>1</v>
      </c>
      <c r="BA12" s="8"/>
      <c r="BB12" s="6">
        <v>203</v>
      </c>
      <c r="BD12" s="8">
        <f>203/$BD$1</f>
        <v>1</v>
      </c>
      <c r="BF12" s="6">
        <v>215</v>
      </c>
      <c r="BH12" s="8">
        <f>215/$BH$1</f>
        <v>1</v>
      </c>
      <c r="BJ12" s="6">
        <v>309</v>
      </c>
      <c r="BL12" s="8">
        <f>309/$BL$1</f>
        <v>1</v>
      </c>
      <c r="BN12" s="6">
        <v>47</v>
      </c>
      <c r="BP12" s="8">
        <f>47/$BP$1</f>
        <v>1</v>
      </c>
      <c r="BR12" s="6">
        <v>314</v>
      </c>
      <c r="BT12" s="8">
        <f>314/$BT$1</f>
        <v>1</v>
      </c>
      <c r="BV12" s="6">
        <v>393</v>
      </c>
      <c r="BX12" s="8">
        <f>393/$BX$1</f>
        <v>1</v>
      </c>
      <c r="BZ12" s="6">
        <v>246</v>
      </c>
      <c r="CB12" s="8">
        <f>246/$CB$1</f>
        <v>1</v>
      </c>
      <c r="CD12" s="6">
        <v>123</v>
      </c>
      <c r="CF12" s="8">
        <f>123/$CF$1</f>
        <v>1</v>
      </c>
      <c r="CH12" s="6">
        <v>688</v>
      </c>
      <c r="CJ12" s="8">
        <f>688/$CJ$1</f>
        <v>1</v>
      </c>
      <c r="CL12" s="6">
        <v>758</v>
      </c>
      <c r="CN12" s="8">
        <f>758/$CN$1</f>
        <v>1</v>
      </c>
      <c r="CP12" s="6">
        <v>242</v>
      </c>
      <c r="CR12" s="8">
        <f>242/$CR$1</f>
        <v>1</v>
      </c>
      <c r="CT12" s="6">
        <v>333</v>
      </c>
      <c r="CV12" s="8">
        <f>333/$CV$1</f>
        <v>1</v>
      </c>
      <c r="CX12" s="6">
        <v>667</v>
      </c>
      <c r="CZ12" s="8">
        <f>667/$CZ$1</f>
        <v>1</v>
      </c>
    </row>
    <row r="13" spans="1:104" ht="15" hidden="1" customHeight="1" x14ac:dyDescent="0.25">
      <c r="A13" s="9" t="s">
        <v>34</v>
      </c>
      <c r="B13">
        <v>0</v>
      </c>
      <c r="D13" s="10">
        <f>0/$D$1</f>
        <v>0</v>
      </c>
      <c r="F13">
        <v>0</v>
      </c>
      <c r="H13" s="10">
        <f>0/$H$1</f>
        <v>0</v>
      </c>
      <c r="J13">
        <v>0</v>
      </c>
      <c r="L13" s="10">
        <f>0/$L$1</f>
        <v>0</v>
      </c>
      <c r="N13">
        <v>0</v>
      </c>
      <c r="P13" s="10">
        <f>0/$P$1</f>
        <v>0</v>
      </c>
      <c r="R13">
        <v>0</v>
      </c>
      <c r="T13" s="10">
        <f>0/$T$1</f>
        <v>0</v>
      </c>
      <c r="V13">
        <v>0</v>
      </c>
      <c r="X13" s="10">
        <f>0/$X$1</f>
        <v>0</v>
      </c>
      <c r="Z13">
        <v>0</v>
      </c>
      <c r="AB13" s="10">
        <f>0/$AB$1</f>
        <v>0</v>
      </c>
      <c r="AD13">
        <v>0</v>
      </c>
      <c r="AF13" s="10">
        <f>0/$AF$1</f>
        <v>0</v>
      </c>
      <c r="AH13">
        <v>0</v>
      </c>
      <c r="AJ13" s="10">
        <f>0/$AJ$1</f>
        <v>0</v>
      </c>
      <c r="AL13">
        <v>0</v>
      </c>
      <c r="AN13" s="10">
        <f>0/$AN$1</f>
        <v>0</v>
      </c>
      <c r="AP13">
        <v>0</v>
      </c>
      <c r="AR13" s="10">
        <f>0/$AR$1</f>
        <v>0</v>
      </c>
      <c r="AT13">
        <v>0</v>
      </c>
      <c r="AV13" s="10">
        <f>0/$AV$1</f>
        <v>0</v>
      </c>
      <c r="AX13">
        <v>0</v>
      </c>
      <c r="AZ13" s="10">
        <f>0/$AZ$1</f>
        <v>0</v>
      </c>
      <c r="BA13" s="10"/>
      <c r="BB13">
        <v>0</v>
      </c>
      <c r="BD13" s="10">
        <f>0/$BD$1</f>
        <v>0</v>
      </c>
      <c r="BF13">
        <v>0</v>
      </c>
      <c r="BH13" s="10">
        <f>0/$BH$1</f>
        <v>0</v>
      </c>
      <c r="BJ13">
        <v>0</v>
      </c>
      <c r="BL13" s="10">
        <f>0/$BL$1</f>
        <v>0</v>
      </c>
      <c r="BN13">
        <v>0</v>
      </c>
      <c r="BP13" s="10">
        <f>0/$BP$1</f>
        <v>0</v>
      </c>
      <c r="BR13">
        <v>0</v>
      </c>
      <c r="BT13" s="10">
        <f>0/$BT$1</f>
        <v>0</v>
      </c>
      <c r="BV13">
        <v>0</v>
      </c>
      <c r="BX13" s="10">
        <f>0/$BX$1</f>
        <v>0</v>
      </c>
      <c r="BZ13">
        <v>0</v>
      </c>
      <c r="CB13" s="10">
        <f>0/$CB$1</f>
        <v>0</v>
      </c>
      <c r="CD13">
        <v>0</v>
      </c>
      <c r="CF13" s="10">
        <f>0/$CF$1</f>
        <v>0</v>
      </c>
      <c r="CH13">
        <v>0</v>
      </c>
      <c r="CJ13" s="10">
        <f>0/$CJ$1</f>
        <v>0</v>
      </c>
      <c r="CL13">
        <v>0</v>
      </c>
      <c r="CN13" s="10">
        <f>0/$CN$1</f>
        <v>0</v>
      </c>
      <c r="CP13">
        <v>0</v>
      </c>
      <c r="CR13" s="10">
        <f>0/$CR$1</f>
        <v>0</v>
      </c>
      <c r="CT13">
        <v>0</v>
      </c>
      <c r="CV13" s="10">
        <f>0/$CV$1</f>
        <v>0</v>
      </c>
      <c r="CX13">
        <v>0</v>
      </c>
      <c r="CZ13" s="10">
        <f>0/$CZ$1</f>
        <v>0</v>
      </c>
    </row>
    <row r="14" spans="1:104" ht="15" hidden="1" customHeight="1" x14ac:dyDescent="0.25">
      <c r="A14" s="9" t="s">
        <v>35</v>
      </c>
      <c r="B14">
        <v>0</v>
      </c>
      <c r="D14" s="10">
        <f>0/$D$1</f>
        <v>0</v>
      </c>
      <c r="F14">
        <v>0</v>
      </c>
      <c r="H14" s="10">
        <f>0/$H$1</f>
        <v>0</v>
      </c>
      <c r="J14">
        <v>0</v>
      </c>
      <c r="L14" s="10">
        <f>0/$L$1</f>
        <v>0</v>
      </c>
      <c r="N14">
        <v>0</v>
      </c>
      <c r="P14" s="10">
        <f>0/$P$1</f>
        <v>0</v>
      </c>
      <c r="R14">
        <v>0</v>
      </c>
      <c r="T14" s="10">
        <f>0/$T$1</f>
        <v>0</v>
      </c>
      <c r="V14">
        <v>0</v>
      </c>
      <c r="X14" s="10">
        <f>0/$X$1</f>
        <v>0</v>
      </c>
      <c r="Z14">
        <v>0</v>
      </c>
      <c r="AB14" s="10">
        <f>0/$AB$1</f>
        <v>0</v>
      </c>
      <c r="AD14">
        <v>0</v>
      </c>
      <c r="AF14" s="10">
        <f>0/$AF$1</f>
        <v>0</v>
      </c>
      <c r="AH14">
        <v>0</v>
      </c>
      <c r="AJ14" s="10">
        <f>0/$AJ$1</f>
        <v>0</v>
      </c>
      <c r="AL14">
        <v>0</v>
      </c>
      <c r="AN14" s="10">
        <f>0/$AN$1</f>
        <v>0</v>
      </c>
      <c r="AP14">
        <v>0</v>
      </c>
      <c r="AR14" s="10">
        <f>0/$AR$1</f>
        <v>0</v>
      </c>
      <c r="AT14">
        <v>0</v>
      </c>
      <c r="AV14" s="10">
        <f>0/$AV$1</f>
        <v>0</v>
      </c>
      <c r="AX14">
        <v>0</v>
      </c>
      <c r="AZ14" s="10">
        <f>0/$AZ$1</f>
        <v>0</v>
      </c>
      <c r="BA14" s="10"/>
      <c r="BB14">
        <v>0</v>
      </c>
      <c r="BD14" s="10">
        <f>0/$BD$1</f>
        <v>0</v>
      </c>
      <c r="BF14">
        <v>0</v>
      </c>
      <c r="BH14" s="10">
        <f>0/$BH$1</f>
        <v>0</v>
      </c>
      <c r="BJ14">
        <v>0</v>
      </c>
      <c r="BL14" s="10">
        <f>0/$BL$1</f>
        <v>0</v>
      </c>
      <c r="BN14">
        <v>0</v>
      </c>
      <c r="BP14" s="10">
        <f>0/$BP$1</f>
        <v>0</v>
      </c>
      <c r="BR14">
        <v>0</v>
      </c>
      <c r="BT14" s="10">
        <f>0/$BT$1</f>
        <v>0</v>
      </c>
      <c r="BV14">
        <v>0</v>
      </c>
      <c r="BX14" s="10">
        <f>0/$BX$1</f>
        <v>0</v>
      </c>
      <c r="BZ14">
        <v>0</v>
      </c>
      <c r="CB14" s="10">
        <f>0/$CB$1</f>
        <v>0</v>
      </c>
      <c r="CD14">
        <v>0</v>
      </c>
      <c r="CF14" s="10">
        <f>0/$CF$1</f>
        <v>0</v>
      </c>
      <c r="CH14">
        <v>0</v>
      </c>
      <c r="CJ14" s="10">
        <f>0/$CJ$1</f>
        <v>0</v>
      </c>
      <c r="CL14">
        <v>0</v>
      </c>
      <c r="CN14" s="10">
        <f>0/$CN$1</f>
        <v>0</v>
      </c>
      <c r="CP14">
        <v>0</v>
      </c>
      <c r="CR14" s="10">
        <f>0/$CR$1</f>
        <v>0</v>
      </c>
      <c r="CT14">
        <v>0</v>
      </c>
      <c r="CV14" s="10">
        <f>0/$CV$1</f>
        <v>0</v>
      </c>
      <c r="CX14">
        <v>0</v>
      </c>
      <c r="CZ14" s="10">
        <f>0/$CZ$1</f>
        <v>0</v>
      </c>
    </row>
    <row r="16" spans="1:104" s="3" customFormat="1" x14ac:dyDescent="0.25">
      <c r="A16" s="3" t="s">
        <v>36</v>
      </c>
      <c r="D16" s="4" t="s">
        <v>27</v>
      </c>
      <c r="H16" s="4" t="s">
        <v>27</v>
      </c>
      <c r="L16" s="4" t="s">
        <v>27</v>
      </c>
      <c r="P16" s="4" t="s">
        <v>27</v>
      </c>
      <c r="T16" s="4" t="s">
        <v>27</v>
      </c>
      <c r="X16" s="4" t="s">
        <v>27</v>
      </c>
      <c r="AB16" s="4" t="s">
        <v>27</v>
      </c>
      <c r="AF16" s="4" t="s">
        <v>27</v>
      </c>
      <c r="AJ16" s="4" t="s">
        <v>27</v>
      </c>
      <c r="AN16" s="4" t="s">
        <v>27</v>
      </c>
      <c r="AR16" s="4" t="s">
        <v>27</v>
      </c>
      <c r="AV16" s="4" t="s">
        <v>27</v>
      </c>
      <c r="AZ16" s="4" t="s">
        <v>27</v>
      </c>
      <c r="BA16" s="4"/>
      <c r="BD16" s="4" t="s">
        <v>27</v>
      </c>
      <c r="BH16" s="4" t="s">
        <v>27</v>
      </c>
      <c r="BL16" s="4" t="s">
        <v>27</v>
      </c>
      <c r="BP16" s="4" t="s">
        <v>27</v>
      </c>
      <c r="BT16" s="4" t="s">
        <v>27</v>
      </c>
      <c r="BX16" s="4" t="s">
        <v>27</v>
      </c>
      <c r="CB16" s="4" t="s">
        <v>27</v>
      </c>
      <c r="CF16" s="4" t="s">
        <v>27</v>
      </c>
      <c r="CJ16" s="4" t="s">
        <v>27</v>
      </c>
      <c r="CN16" s="4" t="s">
        <v>27</v>
      </c>
      <c r="CR16" s="4" t="s">
        <v>27</v>
      </c>
      <c r="CV16" s="4" t="s">
        <v>27</v>
      </c>
      <c r="CZ16" s="4" t="s">
        <v>27</v>
      </c>
    </row>
    <row r="17" spans="1:104" x14ac:dyDescent="0.25">
      <c r="A17" s="1" t="s">
        <v>37</v>
      </c>
      <c r="B17">
        <v>123</v>
      </c>
      <c r="C17" s="5">
        <f>B17/B22</f>
        <v>0.123</v>
      </c>
      <c r="D17" s="5">
        <f>123/$D$1</f>
        <v>0.123</v>
      </c>
      <c r="F17">
        <v>83</v>
      </c>
      <c r="G17" s="5">
        <f>F17/F22</f>
        <v>0.16566866267465069</v>
      </c>
      <c r="H17" s="5">
        <f>83/$H$1</f>
        <v>0.16566866267465069</v>
      </c>
      <c r="J17">
        <v>40</v>
      </c>
      <c r="K17" s="5">
        <f>J17/J22</f>
        <v>8.0160320641282562E-2</v>
      </c>
      <c r="L17" s="5">
        <f>40/$L$1</f>
        <v>8.0160320641282562E-2</v>
      </c>
      <c r="N17">
        <v>7</v>
      </c>
      <c r="O17" s="5">
        <f>N17/N22</f>
        <v>7.2164948453608241E-2</v>
      </c>
      <c r="P17" s="5">
        <f>7/$P$1</f>
        <v>7.2164948453608241E-2</v>
      </c>
      <c r="R17">
        <v>27</v>
      </c>
      <c r="S17" s="5">
        <f>R17/R22</f>
        <v>0.13636363636363635</v>
      </c>
      <c r="T17" s="5">
        <f>27/$T$1</f>
        <v>0.13636363636363635</v>
      </c>
      <c r="V17">
        <v>34</v>
      </c>
      <c r="W17" s="5">
        <f>V17/V22</f>
        <v>0.14107883817427386</v>
      </c>
      <c r="X17" s="5">
        <f>34/$X$1</f>
        <v>0.14107883817427386</v>
      </c>
      <c r="Z17">
        <v>16</v>
      </c>
      <c r="AA17" s="5">
        <f>Z17/Z22</f>
        <v>8.0808080808080815E-2</v>
      </c>
      <c r="AB17" s="5">
        <f>16/$AB$1</f>
        <v>8.0808080808080815E-2</v>
      </c>
      <c r="AD17">
        <v>20</v>
      </c>
      <c r="AE17" s="5">
        <f>AD17/AD22</f>
        <v>0.12987012987012986</v>
      </c>
      <c r="AF17" s="5">
        <f>20/$AF$1</f>
        <v>0.12987012987012986</v>
      </c>
      <c r="AH17">
        <v>20</v>
      </c>
      <c r="AI17" s="5">
        <f>AH17/AH22</f>
        <v>0.16666666666666666</v>
      </c>
      <c r="AJ17" s="5">
        <f>20/$AJ$1</f>
        <v>0.16666666666666666</v>
      </c>
      <c r="AL17">
        <v>38</v>
      </c>
      <c r="AM17" s="5">
        <f>AL17/AL22</f>
        <v>0.10270270270270271</v>
      </c>
      <c r="AN17" s="5">
        <f>38/$AN$1</f>
        <v>0.10270270270270271</v>
      </c>
      <c r="AP17">
        <v>49</v>
      </c>
      <c r="AQ17" s="5">
        <f>AP17/AP22</f>
        <v>0.12962962962962962</v>
      </c>
      <c r="AR17" s="5">
        <f>49/$AR$1</f>
        <v>0.12962962962962962</v>
      </c>
      <c r="AT17">
        <v>36</v>
      </c>
      <c r="AU17" s="5">
        <f>AT17/AT22</f>
        <v>0.14285714285714285</v>
      </c>
      <c r="AV17" s="5">
        <f>36/$AV$1</f>
        <v>0.14285714285714285</v>
      </c>
      <c r="AX17">
        <v>24</v>
      </c>
      <c r="AY17" s="5">
        <f>AX17/AX22</f>
        <v>8.7912087912087919E-2</v>
      </c>
      <c r="AZ17" s="5">
        <f>24/$AZ$1</f>
        <v>8.7912087912087919E-2</v>
      </c>
      <c r="BA17" s="5"/>
      <c r="BB17">
        <v>18</v>
      </c>
      <c r="BC17" s="5">
        <f>BB17/BB22</f>
        <v>8.8669950738916259E-2</v>
      </c>
      <c r="BD17" s="5">
        <f>18/$BD$1</f>
        <v>8.8669950738916259E-2</v>
      </c>
      <c r="BF17">
        <v>34</v>
      </c>
      <c r="BG17" s="5">
        <f>BF17/BF22</f>
        <v>0.15813953488372093</v>
      </c>
      <c r="BH17" s="5">
        <f>34/$BH$1</f>
        <v>0.15813953488372093</v>
      </c>
      <c r="BJ17">
        <v>47</v>
      </c>
      <c r="BK17" s="5">
        <f>BJ17/BJ22</f>
        <v>0.15210355987055016</v>
      </c>
      <c r="BL17" s="5">
        <f>47/$BL$1</f>
        <v>0.15210355987055016</v>
      </c>
      <c r="BN17">
        <v>4</v>
      </c>
      <c r="BO17" s="5">
        <f>BN17/BN22</f>
        <v>8.5106382978723402E-2</v>
      </c>
      <c r="BP17" s="5">
        <f>4/$BP$1</f>
        <v>8.5106382978723402E-2</v>
      </c>
      <c r="BR17">
        <v>34</v>
      </c>
      <c r="BS17" s="5">
        <f>BR17/BR22</f>
        <v>0.10828025477707007</v>
      </c>
      <c r="BT17" s="5">
        <f>34/$BT$1</f>
        <v>0.10828025477707007</v>
      </c>
      <c r="BV17">
        <v>47</v>
      </c>
      <c r="BW17" s="5">
        <f>BV17/BV22</f>
        <v>0.11959287531806616</v>
      </c>
      <c r="BX17" s="5">
        <f>47/$BX$1</f>
        <v>0.11959287531806616</v>
      </c>
      <c r="BZ17">
        <v>38</v>
      </c>
      <c r="CA17" s="5">
        <f>BZ17/BZ22</f>
        <v>0.15447154471544716</v>
      </c>
      <c r="CB17" s="5">
        <f>38/$CB$1</f>
        <v>0.15447154471544716</v>
      </c>
      <c r="CD17">
        <v>123</v>
      </c>
      <c r="CE17" s="5">
        <f>CD17/CD22</f>
        <v>1</v>
      </c>
      <c r="CF17" s="5">
        <f>123/$CF$1</f>
        <v>1</v>
      </c>
      <c r="CH17">
        <v>0</v>
      </c>
      <c r="CI17" s="5">
        <f>CH17/CH22</f>
        <v>0</v>
      </c>
      <c r="CJ17" s="5">
        <f>0/$CJ$1</f>
        <v>0</v>
      </c>
      <c r="CL17">
        <v>70</v>
      </c>
      <c r="CM17" s="5">
        <f>CL17/CL22</f>
        <v>9.2348284960422161E-2</v>
      </c>
      <c r="CN17" s="5">
        <f>70/$CN$1</f>
        <v>9.2348284960422161E-2</v>
      </c>
      <c r="CP17">
        <v>53</v>
      </c>
      <c r="CQ17" s="5">
        <f>CP17/CP22</f>
        <v>0.21900826446280991</v>
      </c>
      <c r="CR17" s="5">
        <f>53/$CR$1</f>
        <v>0.21900826446280991</v>
      </c>
      <c r="CT17">
        <v>63</v>
      </c>
      <c r="CU17" s="5">
        <f>CT17/CT22</f>
        <v>0.1891891891891892</v>
      </c>
      <c r="CV17" s="5">
        <f>63/$CV$1</f>
        <v>0.1891891891891892</v>
      </c>
      <c r="CX17">
        <v>60</v>
      </c>
      <c r="CY17" s="5">
        <f>CX17/CX22</f>
        <v>8.9955022488755629E-2</v>
      </c>
      <c r="CZ17" s="5">
        <f>60/$CZ$1</f>
        <v>8.9955022488755629E-2</v>
      </c>
    </row>
    <row r="18" spans="1:104" x14ac:dyDescent="0.25">
      <c r="A18" s="1" t="s">
        <v>38</v>
      </c>
      <c r="B18">
        <v>154</v>
      </c>
      <c r="C18" s="5">
        <f>B18/B22</f>
        <v>0.154</v>
      </c>
      <c r="D18" s="5">
        <f>154/$D$1</f>
        <v>0.154</v>
      </c>
      <c r="F18">
        <v>82</v>
      </c>
      <c r="G18" s="5">
        <f>F18/F22</f>
        <v>0.16367265469061876</v>
      </c>
      <c r="H18" s="5">
        <f>82/$H$1</f>
        <v>0.16367265469061876</v>
      </c>
      <c r="J18">
        <v>72</v>
      </c>
      <c r="K18" s="5">
        <f>J18/J22</f>
        <v>0.14428857715430862</v>
      </c>
      <c r="L18" s="5">
        <f>72/$L$1</f>
        <v>0.14428857715430862</v>
      </c>
      <c r="N18">
        <v>17</v>
      </c>
      <c r="O18" s="5">
        <f>N18/N22</f>
        <v>0.17525773195876287</v>
      </c>
      <c r="P18" s="5">
        <f>17/$P$1</f>
        <v>0.17525773195876287</v>
      </c>
      <c r="R18">
        <v>37</v>
      </c>
      <c r="S18" s="5">
        <f>R18/R22</f>
        <v>0.18686868686868688</v>
      </c>
      <c r="T18" s="5">
        <f>37/$T$1</f>
        <v>0.18686868686868688</v>
      </c>
      <c r="V18">
        <v>45</v>
      </c>
      <c r="W18" s="5">
        <f>V18/V22</f>
        <v>0.18672199170124482</v>
      </c>
      <c r="X18" s="5">
        <f>45/$X$1</f>
        <v>0.18672199170124482</v>
      </c>
      <c r="Z18">
        <v>27</v>
      </c>
      <c r="AA18" s="5">
        <f>Z18/Z22</f>
        <v>0.13636363636363635</v>
      </c>
      <c r="AB18" s="5">
        <f>27/$AB$1</f>
        <v>0.13636363636363635</v>
      </c>
      <c r="AD18">
        <v>15</v>
      </c>
      <c r="AE18" s="5">
        <f>AD18/AD22</f>
        <v>9.7402597402597407E-2</v>
      </c>
      <c r="AF18" s="5">
        <f>15/$AF$1</f>
        <v>9.7402597402597407E-2</v>
      </c>
      <c r="AH18">
        <v>14</v>
      </c>
      <c r="AI18" s="5">
        <f>AH18/AH22</f>
        <v>0.11666666666666667</v>
      </c>
      <c r="AJ18" s="5">
        <f>14/$AJ$1</f>
        <v>0.11666666666666667</v>
      </c>
      <c r="AL18">
        <v>50</v>
      </c>
      <c r="AM18" s="5">
        <f>AL18/AL22</f>
        <v>0.13513513513513514</v>
      </c>
      <c r="AN18" s="5">
        <f>50/$AN$1</f>
        <v>0.13513513513513514</v>
      </c>
      <c r="AP18">
        <v>60</v>
      </c>
      <c r="AQ18" s="5">
        <f>AP18/AP22</f>
        <v>0.15873015873015872</v>
      </c>
      <c r="AR18" s="5">
        <f>60/$AR$1</f>
        <v>0.15873015873015872</v>
      </c>
      <c r="AT18">
        <v>44</v>
      </c>
      <c r="AU18" s="5">
        <f>AT18/AT22</f>
        <v>0.17460317460317459</v>
      </c>
      <c r="AV18" s="5">
        <f>44/$AV$1</f>
        <v>0.17460317460317459</v>
      </c>
      <c r="AX18">
        <v>42</v>
      </c>
      <c r="AY18" s="5">
        <f>AX18/AX22</f>
        <v>0.15384615384615385</v>
      </c>
      <c r="AZ18" s="5">
        <f>42/$AZ$1</f>
        <v>0.15384615384615385</v>
      </c>
      <c r="BA18" s="5"/>
      <c r="BB18">
        <v>33</v>
      </c>
      <c r="BC18" s="5">
        <f>BB18/BB22</f>
        <v>0.1625615763546798</v>
      </c>
      <c r="BD18" s="5">
        <f>33/$BD$1</f>
        <v>0.1625615763546798</v>
      </c>
      <c r="BF18">
        <v>28</v>
      </c>
      <c r="BG18" s="5">
        <f>BF18/BF22</f>
        <v>0.13023255813953488</v>
      </c>
      <c r="BH18" s="5">
        <f>28/$BH$1</f>
        <v>0.13023255813953488</v>
      </c>
      <c r="BJ18">
        <v>51</v>
      </c>
      <c r="BK18" s="5">
        <f>BJ18/BJ22</f>
        <v>0.1650485436893204</v>
      </c>
      <c r="BL18" s="5">
        <f>51/$BL$1</f>
        <v>0.1650485436893204</v>
      </c>
      <c r="BN18">
        <v>6</v>
      </c>
      <c r="BO18" s="5">
        <f>BN18/BN22</f>
        <v>0.1276595744680851</v>
      </c>
      <c r="BP18" s="5">
        <f>6/$BP$1</f>
        <v>0.1276595744680851</v>
      </c>
      <c r="BR18">
        <v>43</v>
      </c>
      <c r="BS18" s="5">
        <f>BR18/BR22</f>
        <v>0.13694267515923567</v>
      </c>
      <c r="BT18" s="5">
        <f>43/$BT$1</f>
        <v>0.13694267515923567</v>
      </c>
      <c r="BV18">
        <v>64</v>
      </c>
      <c r="BW18" s="5">
        <f>BV18/BV22</f>
        <v>0.16284987277353691</v>
      </c>
      <c r="BX18" s="5">
        <f>64/$BX$1</f>
        <v>0.16284987277353691</v>
      </c>
      <c r="BZ18">
        <v>41</v>
      </c>
      <c r="CA18" s="5">
        <f>BZ18/BZ22</f>
        <v>0.16666666666666666</v>
      </c>
      <c r="CB18" s="5">
        <f>41/$CB$1</f>
        <v>0.16666666666666666</v>
      </c>
      <c r="CD18">
        <v>0</v>
      </c>
      <c r="CE18" s="5">
        <f>CD18/CD22</f>
        <v>0</v>
      </c>
      <c r="CF18" s="5">
        <f>0/$CF$1</f>
        <v>0</v>
      </c>
      <c r="CH18">
        <v>0</v>
      </c>
      <c r="CI18" s="5">
        <f>CH18/CH22</f>
        <v>0</v>
      </c>
      <c r="CJ18" s="5">
        <f>0/$CJ$1</f>
        <v>0</v>
      </c>
      <c r="CL18">
        <v>78</v>
      </c>
      <c r="CM18" s="5">
        <f>CL18/CL22</f>
        <v>0.10290237467018469</v>
      </c>
      <c r="CN18" s="5">
        <f>78/$CN$1</f>
        <v>0.10290237467018469</v>
      </c>
      <c r="CP18">
        <v>76</v>
      </c>
      <c r="CQ18" s="5">
        <f>CP18/CP22</f>
        <v>0.31404958677685951</v>
      </c>
      <c r="CR18" s="5">
        <f>76/$CR$1</f>
        <v>0.31404958677685951</v>
      </c>
      <c r="CT18">
        <v>43</v>
      </c>
      <c r="CU18" s="5">
        <f>CT18/CT22</f>
        <v>0.12912912912912913</v>
      </c>
      <c r="CV18" s="5">
        <f>43/$CV$1</f>
        <v>0.12912912912912913</v>
      </c>
      <c r="CX18">
        <v>111</v>
      </c>
      <c r="CY18" s="5">
        <f>CX18/CX22</f>
        <v>0.16641679160419789</v>
      </c>
      <c r="CZ18" s="5">
        <f>111/$CZ$1</f>
        <v>0.16641679160419789</v>
      </c>
    </row>
    <row r="19" spans="1:104" x14ac:dyDescent="0.25">
      <c r="A19" s="1" t="s">
        <v>39</v>
      </c>
      <c r="B19">
        <v>688</v>
      </c>
      <c r="C19" s="5">
        <f>B19/B22</f>
        <v>0.68799999999999994</v>
      </c>
      <c r="D19" s="5">
        <f>688/$D$1</f>
        <v>0.68799999999999994</v>
      </c>
      <c r="F19">
        <v>314</v>
      </c>
      <c r="G19" s="5">
        <f>F19/F22</f>
        <v>0.62674650698602796</v>
      </c>
      <c r="H19" s="5">
        <f>314/$H$1</f>
        <v>0.62674650698602796</v>
      </c>
      <c r="J19">
        <v>374</v>
      </c>
      <c r="K19" s="5">
        <f>J19/J22</f>
        <v>0.74949899799599196</v>
      </c>
      <c r="L19" s="5">
        <f>374/$L$1</f>
        <v>0.74949899799599196</v>
      </c>
      <c r="N19">
        <v>69</v>
      </c>
      <c r="O19" s="5">
        <f>N19/N22</f>
        <v>0.71134020618556704</v>
      </c>
      <c r="P19" s="5">
        <f>69/$P$1</f>
        <v>0.71134020618556704</v>
      </c>
      <c r="R19">
        <v>130</v>
      </c>
      <c r="S19" s="5">
        <f>R19/R22</f>
        <v>0.65656565656565657</v>
      </c>
      <c r="T19" s="5">
        <f>130/$T$1</f>
        <v>0.65656565656565657</v>
      </c>
      <c r="V19">
        <v>152</v>
      </c>
      <c r="W19" s="5">
        <f>V19/V22</f>
        <v>0.63070539419087135</v>
      </c>
      <c r="X19" s="5">
        <f>152/$X$1</f>
        <v>0.63070539419087135</v>
      </c>
      <c r="Z19">
        <v>146</v>
      </c>
      <c r="AA19" s="5">
        <f>Z19/Z22</f>
        <v>0.73737373737373735</v>
      </c>
      <c r="AB19" s="5">
        <f>146/$AB$1</f>
        <v>0.73737373737373735</v>
      </c>
      <c r="AD19">
        <v>113</v>
      </c>
      <c r="AE19" s="5">
        <f>AD19/AD22</f>
        <v>0.73376623376623373</v>
      </c>
      <c r="AF19" s="5">
        <f>113/$AF$1</f>
        <v>0.73376623376623373</v>
      </c>
      <c r="AH19">
        <v>83</v>
      </c>
      <c r="AI19" s="5">
        <f>AH19/AH22</f>
        <v>0.69166666666666665</v>
      </c>
      <c r="AJ19" s="5">
        <f>83/$AJ$1</f>
        <v>0.69166666666666665</v>
      </c>
      <c r="AL19">
        <v>261</v>
      </c>
      <c r="AM19" s="5">
        <f>AL19/AL22</f>
        <v>0.70540540540540542</v>
      </c>
      <c r="AN19" s="5">
        <f>261/$AN$1</f>
        <v>0.70540540540540542</v>
      </c>
      <c r="AP19">
        <v>256</v>
      </c>
      <c r="AQ19" s="5">
        <f>AP19/AP22</f>
        <v>0.67724867724867721</v>
      </c>
      <c r="AR19" s="5">
        <f>256/$AR$1</f>
        <v>0.67724867724867721</v>
      </c>
      <c r="AT19">
        <v>171</v>
      </c>
      <c r="AU19" s="5">
        <f>AT19/AT22</f>
        <v>0.6785714285714286</v>
      </c>
      <c r="AV19" s="5">
        <f>171/$AV$1</f>
        <v>0.6785714285714286</v>
      </c>
      <c r="AX19">
        <v>195</v>
      </c>
      <c r="AY19" s="5">
        <f>AX19/AX22</f>
        <v>0.7142857142857143</v>
      </c>
      <c r="AZ19" s="5">
        <f>195/$AZ$1</f>
        <v>0.7142857142857143</v>
      </c>
      <c r="BA19" s="5"/>
      <c r="BB19">
        <v>147</v>
      </c>
      <c r="BC19" s="5">
        <f>BB19/BB22</f>
        <v>0.72413793103448276</v>
      </c>
      <c r="BD19" s="5">
        <f>147/$BD$1</f>
        <v>0.72413793103448276</v>
      </c>
      <c r="BF19">
        <v>145</v>
      </c>
      <c r="BG19" s="5">
        <f>BF19/BF22</f>
        <v>0.67441860465116277</v>
      </c>
      <c r="BH19" s="5">
        <f>145/$BH$1</f>
        <v>0.67441860465116277</v>
      </c>
      <c r="BJ19">
        <v>201</v>
      </c>
      <c r="BK19" s="5">
        <f>BJ19/BJ22</f>
        <v>0.65048543689320393</v>
      </c>
      <c r="BL19" s="5">
        <f>201/$BL$1</f>
        <v>0.65048543689320393</v>
      </c>
      <c r="BN19">
        <v>36</v>
      </c>
      <c r="BO19" s="5">
        <f>BN19/BN22</f>
        <v>0.76595744680851063</v>
      </c>
      <c r="BP19" s="5">
        <f>36/$BP$1</f>
        <v>0.76595744680851063</v>
      </c>
      <c r="BR19">
        <v>220</v>
      </c>
      <c r="BS19" s="5">
        <f>BR19/BR22</f>
        <v>0.70063694267515919</v>
      </c>
      <c r="BT19" s="5">
        <f>220/$BT$1</f>
        <v>0.70063694267515919</v>
      </c>
      <c r="BV19">
        <v>269</v>
      </c>
      <c r="BW19" s="5">
        <f>BV19/BV22</f>
        <v>0.68447837150127222</v>
      </c>
      <c r="BX19" s="5">
        <f>269/$BX$1</f>
        <v>0.68447837150127222</v>
      </c>
      <c r="BZ19">
        <v>163</v>
      </c>
      <c r="CA19" s="5">
        <f>BZ19/BZ22</f>
        <v>0.66260162601626016</v>
      </c>
      <c r="CB19" s="5">
        <f>163/$CB$1</f>
        <v>0.66260162601626016</v>
      </c>
      <c r="CD19">
        <v>0</v>
      </c>
      <c r="CE19" s="5">
        <f>CD19/CD22</f>
        <v>0</v>
      </c>
      <c r="CF19" s="5">
        <f>0/$CF$1</f>
        <v>0</v>
      </c>
      <c r="CH19">
        <v>688</v>
      </c>
      <c r="CI19" s="5">
        <f>CH19/CH22</f>
        <v>1</v>
      </c>
      <c r="CJ19" s="5">
        <f>688/$CJ$1</f>
        <v>1</v>
      </c>
      <c r="CL19">
        <v>582</v>
      </c>
      <c r="CM19" s="5">
        <f>CL19/CL22</f>
        <v>0.76781002638522422</v>
      </c>
      <c r="CN19" s="5">
        <f>582/$CN$1</f>
        <v>0.76781002638522422</v>
      </c>
      <c r="CP19">
        <v>106</v>
      </c>
      <c r="CQ19" s="5">
        <f>CP19/CP22</f>
        <v>0.43801652892561982</v>
      </c>
      <c r="CR19" s="5">
        <f>106/$CR$1</f>
        <v>0.43801652892561982</v>
      </c>
      <c r="CT19">
        <v>216</v>
      </c>
      <c r="CU19" s="5">
        <f>CT19/CT22</f>
        <v>0.64864864864864868</v>
      </c>
      <c r="CV19" s="5">
        <f>216/$CV$1</f>
        <v>0.64864864864864868</v>
      </c>
      <c r="CX19">
        <v>472</v>
      </c>
      <c r="CY19" s="5">
        <f>CX19/CX22</f>
        <v>0.70764617691154419</v>
      </c>
      <c r="CZ19" s="5">
        <f>472/$CZ$1</f>
        <v>0.70764617691154419</v>
      </c>
    </row>
    <row r="20" spans="1:104" x14ac:dyDescent="0.25">
      <c r="A20" s="1" t="s">
        <v>40</v>
      </c>
      <c r="B20">
        <v>35</v>
      </c>
      <c r="C20" s="5">
        <f>B20/B22</f>
        <v>3.5000000000000003E-2</v>
      </c>
      <c r="D20" s="5">
        <f>35/$D$1</f>
        <v>3.5000000000000003E-2</v>
      </c>
      <c r="F20">
        <v>22</v>
      </c>
      <c r="G20" s="5">
        <f>F20/F22</f>
        <v>4.3912175648702596E-2</v>
      </c>
      <c r="H20" s="5">
        <f>22/$H$1</f>
        <v>4.3912175648702596E-2</v>
      </c>
      <c r="J20">
        <v>13</v>
      </c>
      <c r="K20" s="5">
        <f>J20/J22</f>
        <v>2.6052104208416832E-2</v>
      </c>
      <c r="L20" s="5">
        <f>13/$L$1</f>
        <v>2.6052104208416832E-2</v>
      </c>
      <c r="N20">
        <v>4</v>
      </c>
      <c r="O20" s="5">
        <f>N20/N22</f>
        <v>4.1237113402061855E-2</v>
      </c>
      <c r="P20" s="5">
        <f>4/$P$1</f>
        <v>4.1237113402061855E-2</v>
      </c>
      <c r="R20">
        <v>4</v>
      </c>
      <c r="S20" s="5">
        <f>R20/R22</f>
        <v>2.0202020202020204E-2</v>
      </c>
      <c r="T20" s="5">
        <f>4/$T$1</f>
        <v>2.0202020202020204E-2</v>
      </c>
      <c r="V20">
        <v>10</v>
      </c>
      <c r="W20" s="5">
        <f>V20/V22</f>
        <v>4.1493775933609957E-2</v>
      </c>
      <c r="X20" s="5">
        <f>10/$X$1</f>
        <v>4.1493775933609957E-2</v>
      </c>
      <c r="Z20">
        <v>9</v>
      </c>
      <c r="AA20" s="5">
        <f>Z20/Z22</f>
        <v>4.5454545454545456E-2</v>
      </c>
      <c r="AB20" s="5">
        <f>9/$AB$1</f>
        <v>4.5454545454545456E-2</v>
      </c>
      <c r="AD20">
        <v>6</v>
      </c>
      <c r="AE20" s="5">
        <f>AD20/AD22</f>
        <v>3.896103896103896E-2</v>
      </c>
      <c r="AF20" s="5">
        <f>6/$AF$1</f>
        <v>3.896103896103896E-2</v>
      </c>
      <c r="AH20">
        <v>3</v>
      </c>
      <c r="AI20" s="5">
        <f>AH20/AH22</f>
        <v>2.5000000000000001E-2</v>
      </c>
      <c r="AJ20" s="5">
        <f>3/$AJ$1</f>
        <v>2.5000000000000001E-2</v>
      </c>
      <c r="AL20">
        <v>21</v>
      </c>
      <c r="AM20" s="5">
        <f>AL20/AL22</f>
        <v>5.675675675675676E-2</v>
      </c>
      <c r="AN20" s="5">
        <f>21/$AN$1</f>
        <v>5.675675675675676E-2</v>
      </c>
      <c r="AP20">
        <v>13</v>
      </c>
      <c r="AQ20" s="5">
        <f>AP20/AP22</f>
        <v>3.439153439153439E-2</v>
      </c>
      <c r="AR20" s="5">
        <f>13/$AR$1</f>
        <v>3.439153439153439E-2</v>
      </c>
      <c r="AT20">
        <v>1</v>
      </c>
      <c r="AU20" s="5">
        <f>AT20/AT22</f>
        <v>3.968253968253968E-3</v>
      </c>
      <c r="AV20" s="5">
        <f>1/$AV$1</f>
        <v>3.968253968253968E-3</v>
      </c>
      <c r="AX20">
        <v>12</v>
      </c>
      <c r="AY20" s="5">
        <f>AX20/AX22</f>
        <v>4.3956043956043959E-2</v>
      </c>
      <c r="AZ20" s="5">
        <f>12/$AZ$1</f>
        <v>4.3956043956043959E-2</v>
      </c>
      <c r="BA20" s="5"/>
      <c r="BB20">
        <v>5</v>
      </c>
      <c r="BC20" s="5">
        <f>BB20/BB22</f>
        <v>2.4630541871921183E-2</v>
      </c>
      <c r="BD20" s="5">
        <f>5/$BD$1</f>
        <v>2.4630541871921183E-2</v>
      </c>
      <c r="BF20">
        <v>8</v>
      </c>
      <c r="BG20" s="5">
        <f>BF20/BF22</f>
        <v>3.7209302325581395E-2</v>
      </c>
      <c r="BH20" s="5">
        <f>8/$BH$1</f>
        <v>3.7209302325581395E-2</v>
      </c>
      <c r="BJ20">
        <v>10</v>
      </c>
      <c r="BK20" s="5">
        <f>BJ20/BJ22</f>
        <v>3.2362459546925564E-2</v>
      </c>
      <c r="BL20" s="5">
        <f>10/$BL$1</f>
        <v>3.2362459546925564E-2</v>
      </c>
      <c r="BN20">
        <v>1</v>
      </c>
      <c r="BO20" s="5">
        <f>BN20/BN22</f>
        <v>2.1276595744680851E-2</v>
      </c>
      <c r="BP20" s="5">
        <f>1/$BP$1</f>
        <v>2.1276595744680851E-2</v>
      </c>
      <c r="BR20">
        <v>17</v>
      </c>
      <c r="BS20" s="5">
        <f>BR20/BR22</f>
        <v>5.4140127388535034E-2</v>
      </c>
      <c r="BT20" s="5">
        <f>17/$BT$1</f>
        <v>5.4140127388535034E-2</v>
      </c>
      <c r="BV20">
        <v>13</v>
      </c>
      <c r="BW20" s="5">
        <f>BV20/BV22</f>
        <v>3.3078880407124679E-2</v>
      </c>
      <c r="BX20" s="5">
        <f>13/$BX$1</f>
        <v>3.3078880407124679E-2</v>
      </c>
      <c r="BZ20">
        <v>4</v>
      </c>
      <c r="CA20" s="5">
        <f>BZ20/BZ22</f>
        <v>1.6260162601626018E-2</v>
      </c>
      <c r="CB20" s="5">
        <f>4/$CB$1</f>
        <v>1.6260162601626018E-2</v>
      </c>
      <c r="CD20">
        <v>0</v>
      </c>
      <c r="CE20" s="5">
        <f>CD20/CD22</f>
        <v>0</v>
      </c>
      <c r="CF20" s="5">
        <f>0/$CF$1</f>
        <v>0</v>
      </c>
      <c r="CH20">
        <v>0</v>
      </c>
      <c r="CI20" s="5">
        <f>CH20/CH22</f>
        <v>0</v>
      </c>
      <c r="CJ20" s="5">
        <f>0/$CJ$1</f>
        <v>0</v>
      </c>
      <c r="CL20">
        <v>28</v>
      </c>
      <c r="CM20" s="5">
        <f>CL20/CL22</f>
        <v>3.6939313984168866E-2</v>
      </c>
      <c r="CN20" s="5">
        <f>28/$CN$1</f>
        <v>3.6939313984168866E-2</v>
      </c>
      <c r="CP20">
        <v>7</v>
      </c>
      <c r="CQ20" s="5">
        <f>CP20/CP22</f>
        <v>2.8925619834710745E-2</v>
      </c>
      <c r="CR20" s="5">
        <f>7/$CR$1</f>
        <v>2.8925619834710745E-2</v>
      </c>
      <c r="CT20">
        <v>11</v>
      </c>
      <c r="CU20" s="5">
        <f>CT20/CT22</f>
        <v>3.3033033033033031E-2</v>
      </c>
      <c r="CV20" s="5">
        <f>11/$CV$1</f>
        <v>3.3033033033033031E-2</v>
      </c>
      <c r="CX20">
        <v>24</v>
      </c>
      <c r="CY20" s="5">
        <f>CX20/CX22</f>
        <v>3.5982008995502246E-2</v>
      </c>
      <c r="CZ20" s="5">
        <f>24/$CZ$1</f>
        <v>3.5982008995502246E-2</v>
      </c>
    </row>
    <row r="21" spans="1:104" x14ac:dyDescent="0.25">
      <c r="A21" s="1" t="s">
        <v>32</v>
      </c>
      <c r="B21">
        <v>0</v>
      </c>
      <c r="C21" s="5">
        <f>B21/B22</f>
        <v>0</v>
      </c>
      <c r="D21" s="5">
        <f>0/$D$1</f>
        <v>0</v>
      </c>
      <c r="F21">
        <v>0</v>
      </c>
      <c r="G21" s="5">
        <f>F21/F22</f>
        <v>0</v>
      </c>
      <c r="H21" s="5">
        <f>0/$H$1</f>
        <v>0</v>
      </c>
      <c r="J21">
        <v>0</v>
      </c>
      <c r="K21" s="5">
        <f>J21/J22</f>
        <v>0</v>
      </c>
      <c r="L21" s="5">
        <f>0/$L$1</f>
        <v>0</v>
      </c>
      <c r="N21">
        <v>0</v>
      </c>
      <c r="O21" s="5">
        <f>N21/N22</f>
        <v>0</v>
      </c>
      <c r="P21" s="5">
        <f>0/$P$1</f>
        <v>0</v>
      </c>
      <c r="R21">
        <v>0</v>
      </c>
      <c r="S21" s="5">
        <f>R21/R22</f>
        <v>0</v>
      </c>
      <c r="T21" s="5">
        <f>0/$T$1</f>
        <v>0</v>
      </c>
      <c r="V21">
        <v>0</v>
      </c>
      <c r="W21" s="5">
        <f>V21/V22</f>
        <v>0</v>
      </c>
      <c r="X21" s="5">
        <f>0/$X$1</f>
        <v>0</v>
      </c>
      <c r="Z21">
        <v>0</v>
      </c>
      <c r="AA21" s="5">
        <f>Z21/Z22</f>
        <v>0</v>
      </c>
      <c r="AB21" s="5">
        <f>0/$AB$1</f>
        <v>0</v>
      </c>
      <c r="AD21">
        <v>0</v>
      </c>
      <c r="AE21" s="5">
        <f>AD21/AD22</f>
        <v>0</v>
      </c>
      <c r="AF21" s="5">
        <f>0/$AF$1</f>
        <v>0</v>
      </c>
      <c r="AH21">
        <v>0</v>
      </c>
      <c r="AI21" s="5">
        <f>AH21/AH22</f>
        <v>0</v>
      </c>
      <c r="AJ21" s="5">
        <f>0/$AJ$1</f>
        <v>0</v>
      </c>
      <c r="AL21">
        <v>0</v>
      </c>
      <c r="AM21" s="5">
        <f>AL21/AL22</f>
        <v>0</v>
      </c>
      <c r="AN21" s="5">
        <f>0/$AN$1</f>
        <v>0</v>
      </c>
      <c r="AP21">
        <v>0</v>
      </c>
      <c r="AQ21" s="5">
        <f>AP21/AP22</f>
        <v>0</v>
      </c>
      <c r="AR21" s="5">
        <f>0/$AR$1</f>
        <v>0</v>
      </c>
      <c r="AT21">
        <v>0</v>
      </c>
      <c r="AU21" s="5">
        <f>AT21/AT22</f>
        <v>0</v>
      </c>
      <c r="AV21" s="5">
        <f>0/$AV$1</f>
        <v>0</v>
      </c>
      <c r="AX21">
        <v>0</v>
      </c>
      <c r="AY21" s="5">
        <f>AX21/AX22</f>
        <v>0</v>
      </c>
      <c r="AZ21" s="5">
        <f>0/$AZ$1</f>
        <v>0</v>
      </c>
      <c r="BA21" s="5"/>
      <c r="BB21">
        <v>0</v>
      </c>
      <c r="BC21" s="5">
        <f>BB21/BB22</f>
        <v>0</v>
      </c>
      <c r="BD21" s="5">
        <f>0/$BD$1</f>
        <v>0</v>
      </c>
      <c r="BF21">
        <v>0</v>
      </c>
      <c r="BG21" s="5">
        <f>BF21/BF22</f>
        <v>0</v>
      </c>
      <c r="BH21" s="5">
        <f>0/$BH$1</f>
        <v>0</v>
      </c>
      <c r="BJ21">
        <v>0</v>
      </c>
      <c r="BK21" s="5">
        <f>BJ21/BJ22</f>
        <v>0</v>
      </c>
      <c r="BL21" s="5">
        <f>0/$BL$1</f>
        <v>0</v>
      </c>
      <c r="BN21">
        <v>0</v>
      </c>
      <c r="BO21" s="5">
        <f>BN21/BN22</f>
        <v>0</v>
      </c>
      <c r="BP21" s="5">
        <f>0/$BP$1</f>
        <v>0</v>
      </c>
      <c r="BR21">
        <v>0</v>
      </c>
      <c r="BS21" s="5">
        <f>BR21/BR22</f>
        <v>0</v>
      </c>
      <c r="BT21" s="5">
        <f>0/$BT$1</f>
        <v>0</v>
      </c>
      <c r="BV21">
        <v>0</v>
      </c>
      <c r="BW21" s="5">
        <f>BV21/BV22</f>
        <v>0</v>
      </c>
      <c r="BX21" s="5">
        <f>0/$BX$1</f>
        <v>0</v>
      </c>
      <c r="BZ21">
        <v>0</v>
      </c>
      <c r="CA21" s="5">
        <f>BZ21/BZ22</f>
        <v>0</v>
      </c>
      <c r="CB21" s="5">
        <f>0/$CB$1</f>
        <v>0</v>
      </c>
      <c r="CD21">
        <v>0</v>
      </c>
      <c r="CE21" s="5">
        <f>CD21/CD22</f>
        <v>0</v>
      </c>
      <c r="CF21" s="5">
        <f>0/$CF$1</f>
        <v>0</v>
      </c>
      <c r="CH21">
        <v>0</v>
      </c>
      <c r="CI21" s="5">
        <f>CH21/CH22</f>
        <v>0</v>
      </c>
      <c r="CJ21" s="5">
        <f>0/$CJ$1</f>
        <v>0</v>
      </c>
      <c r="CL21">
        <v>0</v>
      </c>
      <c r="CM21" s="5">
        <f>CL21/CL22</f>
        <v>0</v>
      </c>
      <c r="CN21" s="5">
        <f>0/$CN$1</f>
        <v>0</v>
      </c>
      <c r="CP21">
        <v>0</v>
      </c>
      <c r="CQ21" s="5">
        <f>CP21/CP22</f>
        <v>0</v>
      </c>
      <c r="CR21" s="5">
        <f>0/$CR$1</f>
        <v>0</v>
      </c>
      <c r="CT21">
        <v>0</v>
      </c>
      <c r="CU21" s="5">
        <f>CT21/CT22</f>
        <v>0</v>
      </c>
      <c r="CV21" s="5">
        <f>0/$CV$1</f>
        <v>0</v>
      </c>
      <c r="CX21">
        <v>0</v>
      </c>
      <c r="CY21" s="5">
        <f>CX21/CX22</f>
        <v>0</v>
      </c>
      <c r="CZ21" s="5">
        <f>0/$CZ$1</f>
        <v>0</v>
      </c>
    </row>
    <row r="22" spans="1:104" s="6" customFormat="1" x14ac:dyDescent="0.25">
      <c r="A22" s="7" t="s">
        <v>33</v>
      </c>
      <c r="B22" s="6">
        <v>1000</v>
      </c>
      <c r="D22" s="8">
        <f>1000/$D$1</f>
        <v>1</v>
      </c>
      <c r="F22" s="6">
        <v>501</v>
      </c>
      <c r="H22" s="8">
        <f>501/$H$1</f>
        <v>1</v>
      </c>
      <c r="J22" s="6">
        <v>499</v>
      </c>
      <c r="L22" s="8">
        <f>499/$L$1</f>
        <v>1</v>
      </c>
      <c r="N22" s="6">
        <v>97</v>
      </c>
      <c r="P22" s="8">
        <f>97/$P$1</f>
        <v>1</v>
      </c>
      <c r="R22" s="6">
        <v>198</v>
      </c>
      <c r="T22" s="8">
        <f>198/$T$1</f>
        <v>1</v>
      </c>
      <c r="V22" s="6">
        <v>241</v>
      </c>
      <c r="X22" s="8">
        <f>241/$X$1</f>
        <v>1</v>
      </c>
      <c r="Z22" s="6">
        <v>198</v>
      </c>
      <c r="AB22" s="8">
        <f>198/$AB$1</f>
        <v>1</v>
      </c>
      <c r="AD22" s="6">
        <v>154</v>
      </c>
      <c r="AF22" s="8">
        <f>154/$AF$1</f>
        <v>1</v>
      </c>
      <c r="AH22" s="6">
        <v>120</v>
      </c>
      <c r="AJ22" s="8">
        <f>120/$AJ$1</f>
        <v>1</v>
      </c>
      <c r="AL22" s="6">
        <v>370</v>
      </c>
      <c r="AN22" s="8">
        <f>370/$AN$1</f>
        <v>1</v>
      </c>
      <c r="AP22" s="6">
        <v>378</v>
      </c>
      <c r="AR22" s="8">
        <f>378/$AR$1</f>
        <v>1</v>
      </c>
      <c r="AT22" s="6">
        <v>252</v>
      </c>
      <c r="AV22" s="8">
        <f>252/$AV$1</f>
        <v>1</v>
      </c>
      <c r="AX22" s="6">
        <v>273</v>
      </c>
      <c r="AZ22" s="8">
        <f>273/$AZ$1</f>
        <v>1</v>
      </c>
      <c r="BA22" s="8"/>
      <c r="BB22" s="6">
        <v>203</v>
      </c>
      <c r="BD22" s="8">
        <f>203/$BD$1</f>
        <v>1</v>
      </c>
      <c r="BF22" s="6">
        <v>215</v>
      </c>
      <c r="BH22" s="8">
        <f>215/$BH$1</f>
        <v>1</v>
      </c>
      <c r="BJ22" s="6">
        <v>309</v>
      </c>
      <c r="BL22" s="8">
        <f>309/$BL$1</f>
        <v>1</v>
      </c>
      <c r="BN22" s="6">
        <v>47</v>
      </c>
      <c r="BP22" s="8">
        <f>47/$BP$1</f>
        <v>1</v>
      </c>
      <c r="BR22" s="6">
        <v>314</v>
      </c>
      <c r="BT22" s="8">
        <f>314/$BT$1</f>
        <v>1</v>
      </c>
      <c r="BV22" s="6">
        <v>393</v>
      </c>
      <c r="BX22" s="8">
        <f>393/$BX$1</f>
        <v>1</v>
      </c>
      <c r="BZ22" s="6">
        <v>246</v>
      </c>
      <c r="CB22" s="8">
        <f>246/$CB$1</f>
        <v>1</v>
      </c>
      <c r="CD22" s="6">
        <v>123</v>
      </c>
      <c r="CF22" s="8">
        <f>123/$CF$1</f>
        <v>1</v>
      </c>
      <c r="CH22" s="6">
        <v>688</v>
      </c>
      <c r="CJ22" s="8">
        <f>688/$CJ$1</f>
        <v>1</v>
      </c>
      <c r="CL22" s="6">
        <v>758</v>
      </c>
      <c r="CN22" s="8">
        <f>758/$CN$1</f>
        <v>1</v>
      </c>
      <c r="CP22" s="6">
        <v>242</v>
      </c>
      <c r="CR22" s="8">
        <f>242/$CR$1</f>
        <v>1</v>
      </c>
      <c r="CT22" s="6">
        <v>333</v>
      </c>
      <c r="CV22" s="8">
        <f>333/$CV$1</f>
        <v>1</v>
      </c>
      <c r="CX22" s="6">
        <v>667</v>
      </c>
      <c r="CZ22" s="8">
        <f>667/$CZ$1</f>
        <v>1</v>
      </c>
    </row>
    <row r="23" spans="1:104" ht="15" hidden="1" customHeight="1" x14ac:dyDescent="0.25">
      <c r="A23" s="9" t="s">
        <v>34</v>
      </c>
      <c r="B23">
        <v>0</v>
      </c>
      <c r="D23" s="10">
        <f>0/$D$1</f>
        <v>0</v>
      </c>
      <c r="F23">
        <v>0</v>
      </c>
      <c r="H23" s="10">
        <f>0/$H$1</f>
        <v>0</v>
      </c>
      <c r="J23">
        <v>0</v>
      </c>
      <c r="L23" s="10">
        <f>0/$L$1</f>
        <v>0</v>
      </c>
      <c r="N23">
        <v>0</v>
      </c>
      <c r="P23" s="10">
        <f>0/$P$1</f>
        <v>0</v>
      </c>
      <c r="R23">
        <v>0</v>
      </c>
      <c r="T23" s="10">
        <f>0/$T$1</f>
        <v>0</v>
      </c>
      <c r="V23">
        <v>0</v>
      </c>
      <c r="X23" s="10">
        <f>0/$X$1</f>
        <v>0</v>
      </c>
      <c r="Z23">
        <v>0</v>
      </c>
      <c r="AB23" s="10">
        <f>0/$AB$1</f>
        <v>0</v>
      </c>
      <c r="AD23">
        <v>0</v>
      </c>
      <c r="AF23" s="10">
        <f>0/$AF$1</f>
        <v>0</v>
      </c>
      <c r="AH23">
        <v>0</v>
      </c>
      <c r="AJ23" s="10">
        <f>0/$AJ$1</f>
        <v>0</v>
      </c>
      <c r="AL23">
        <v>0</v>
      </c>
      <c r="AN23" s="10">
        <f>0/$AN$1</f>
        <v>0</v>
      </c>
      <c r="AP23">
        <v>0</v>
      </c>
      <c r="AR23" s="10">
        <f>0/$AR$1</f>
        <v>0</v>
      </c>
      <c r="AT23">
        <v>0</v>
      </c>
      <c r="AV23" s="10">
        <f>0/$AV$1</f>
        <v>0</v>
      </c>
      <c r="AX23">
        <v>0</v>
      </c>
      <c r="AZ23" s="10">
        <f>0/$AZ$1</f>
        <v>0</v>
      </c>
      <c r="BA23" s="10"/>
      <c r="BB23">
        <v>0</v>
      </c>
      <c r="BD23" s="10">
        <f>0/$BD$1</f>
        <v>0</v>
      </c>
      <c r="BF23">
        <v>0</v>
      </c>
      <c r="BH23" s="10">
        <f>0/$BH$1</f>
        <v>0</v>
      </c>
      <c r="BJ23">
        <v>0</v>
      </c>
      <c r="BL23" s="10">
        <f>0/$BL$1</f>
        <v>0</v>
      </c>
      <c r="BN23">
        <v>0</v>
      </c>
      <c r="BP23" s="10">
        <f>0/$BP$1</f>
        <v>0</v>
      </c>
      <c r="BR23">
        <v>0</v>
      </c>
      <c r="BT23" s="10">
        <f>0/$BT$1</f>
        <v>0</v>
      </c>
      <c r="BV23">
        <v>0</v>
      </c>
      <c r="BX23" s="10">
        <f>0/$BX$1</f>
        <v>0</v>
      </c>
      <c r="BZ23">
        <v>0</v>
      </c>
      <c r="CB23" s="10">
        <f>0/$CB$1</f>
        <v>0</v>
      </c>
      <c r="CD23">
        <v>0</v>
      </c>
      <c r="CF23" s="10">
        <f>0/$CF$1</f>
        <v>0</v>
      </c>
      <c r="CH23">
        <v>0</v>
      </c>
      <c r="CJ23" s="10">
        <f>0/$CJ$1</f>
        <v>0</v>
      </c>
      <c r="CL23">
        <v>0</v>
      </c>
      <c r="CN23" s="10">
        <f>0/$CN$1</f>
        <v>0</v>
      </c>
      <c r="CP23">
        <v>0</v>
      </c>
      <c r="CR23" s="10">
        <f>0/$CR$1</f>
        <v>0</v>
      </c>
      <c r="CT23">
        <v>0</v>
      </c>
      <c r="CV23" s="10">
        <f>0/$CV$1</f>
        <v>0</v>
      </c>
      <c r="CX23">
        <v>0</v>
      </c>
      <c r="CZ23" s="10">
        <f>0/$CZ$1</f>
        <v>0</v>
      </c>
    </row>
    <row r="24" spans="1:104" ht="15" hidden="1" customHeight="1" x14ac:dyDescent="0.25">
      <c r="A24" s="9" t="s">
        <v>35</v>
      </c>
      <c r="B24">
        <v>0</v>
      </c>
      <c r="D24" s="10">
        <f>0/$D$1</f>
        <v>0</v>
      </c>
      <c r="F24">
        <v>0</v>
      </c>
      <c r="H24" s="10">
        <f>0/$H$1</f>
        <v>0</v>
      </c>
      <c r="J24">
        <v>0</v>
      </c>
      <c r="L24" s="10">
        <f>0/$L$1</f>
        <v>0</v>
      </c>
      <c r="N24">
        <v>0</v>
      </c>
      <c r="P24" s="10">
        <f>0/$P$1</f>
        <v>0</v>
      </c>
      <c r="R24">
        <v>0</v>
      </c>
      <c r="T24" s="10">
        <f>0/$T$1</f>
        <v>0</v>
      </c>
      <c r="V24">
        <v>0</v>
      </c>
      <c r="X24" s="10">
        <f>0/$X$1</f>
        <v>0</v>
      </c>
      <c r="Z24">
        <v>0</v>
      </c>
      <c r="AB24" s="10">
        <f>0/$AB$1</f>
        <v>0</v>
      </c>
      <c r="AD24">
        <v>0</v>
      </c>
      <c r="AF24" s="10">
        <f>0/$AF$1</f>
        <v>0</v>
      </c>
      <c r="AH24">
        <v>0</v>
      </c>
      <c r="AJ24" s="10">
        <f>0/$AJ$1</f>
        <v>0</v>
      </c>
      <c r="AL24">
        <v>0</v>
      </c>
      <c r="AN24" s="10">
        <f>0/$AN$1</f>
        <v>0</v>
      </c>
      <c r="AP24">
        <v>0</v>
      </c>
      <c r="AR24" s="10">
        <f>0/$AR$1</f>
        <v>0</v>
      </c>
      <c r="AT24">
        <v>0</v>
      </c>
      <c r="AV24" s="10">
        <f>0/$AV$1</f>
        <v>0</v>
      </c>
      <c r="AX24">
        <v>0</v>
      </c>
      <c r="AZ24" s="10">
        <f>0/$AZ$1</f>
        <v>0</v>
      </c>
      <c r="BA24" s="10"/>
      <c r="BB24">
        <v>0</v>
      </c>
      <c r="BD24" s="10">
        <f>0/$BD$1</f>
        <v>0</v>
      </c>
      <c r="BF24">
        <v>0</v>
      </c>
      <c r="BH24" s="10">
        <f>0/$BH$1</f>
        <v>0</v>
      </c>
      <c r="BJ24">
        <v>0</v>
      </c>
      <c r="BL24" s="10">
        <f>0/$BL$1</f>
        <v>0</v>
      </c>
      <c r="BN24">
        <v>0</v>
      </c>
      <c r="BP24" s="10">
        <f>0/$BP$1</f>
        <v>0</v>
      </c>
      <c r="BR24">
        <v>0</v>
      </c>
      <c r="BT24" s="10">
        <f>0/$BT$1</f>
        <v>0</v>
      </c>
      <c r="BV24">
        <v>0</v>
      </c>
      <c r="BX24" s="10">
        <f>0/$BX$1</f>
        <v>0</v>
      </c>
      <c r="BZ24">
        <v>0</v>
      </c>
      <c r="CB24" s="10">
        <f>0/$CB$1</f>
        <v>0</v>
      </c>
      <c r="CD24">
        <v>0</v>
      </c>
      <c r="CF24" s="10">
        <f>0/$CF$1</f>
        <v>0</v>
      </c>
      <c r="CH24">
        <v>0</v>
      </c>
      <c r="CJ24" s="10">
        <f>0/$CJ$1</f>
        <v>0</v>
      </c>
      <c r="CL24">
        <v>0</v>
      </c>
      <c r="CN24" s="10">
        <f>0/$CN$1</f>
        <v>0</v>
      </c>
      <c r="CP24">
        <v>0</v>
      </c>
      <c r="CR24" s="10">
        <f>0/$CR$1</f>
        <v>0</v>
      </c>
      <c r="CT24">
        <v>0</v>
      </c>
      <c r="CV24" s="10">
        <f>0/$CV$1</f>
        <v>0</v>
      </c>
      <c r="CX24">
        <v>0</v>
      </c>
      <c r="CZ24" s="10">
        <f>0/$CZ$1</f>
        <v>0</v>
      </c>
    </row>
    <row r="26" spans="1:104" s="3" customFormat="1" x14ac:dyDescent="0.25">
      <c r="A26" s="11" t="str">
        <f>HYPERLINK("#proc_horsi!A1","Proč bude život **obtížnější**? &lt;br&gt;&lt;br&gt;*Pokud nevíte, otázku přeskočte.*")</f>
        <v>Proč bude život **obtížnější**? &lt;br&gt;&lt;br&gt;*Pokud nevíte, otázku přeskočte.*</v>
      </c>
      <c r="D26" s="4" t="s">
        <v>27</v>
      </c>
      <c r="H26" s="4" t="s">
        <v>27</v>
      </c>
      <c r="L26" s="4" t="s">
        <v>27</v>
      </c>
      <c r="P26" s="4" t="s">
        <v>27</v>
      </c>
      <c r="T26" s="4" t="s">
        <v>27</v>
      </c>
      <c r="X26" s="4" t="s">
        <v>27</v>
      </c>
      <c r="AB26" s="4" t="s">
        <v>27</v>
      </c>
      <c r="AF26" s="4" t="s">
        <v>27</v>
      </c>
      <c r="AJ26" s="4" t="s">
        <v>27</v>
      </c>
      <c r="AN26" s="4" t="s">
        <v>27</v>
      </c>
      <c r="AR26" s="4" t="s">
        <v>27</v>
      </c>
      <c r="AV26" s="4" t="s">
        <v>27</v>
      </c>
      <c r="AZ26" s="4" t="s">
        <v>27</v>
      </c>
      <c r="BA26" s="4"/>
      <c r="BD26" s="4" t="s">
        <v>27</v>
      </c>
      <c r="BH26" s="4" t="s">
        <v>27</v>
      </c>
      <c r="BL26" s="4" t="s">
        <v>27</v>
      </c>
      <c r="BP26" s="4" t="s">
        <v>27</v>
      </c>
      <c r="BT26" s="4" t="s">
        <v>27</v>
      </c>
      <c r="BX26" s="4" t="s">
        <v>27</v>
      </c>
      <c r="CB26" s="4" t="s">
        <v>27</v>
      </c>
      <c r="CF26" s="4" t="s">
        <v>27</v>
      </c>
      <c r="CJ26" s="4" t="s">
        <v>27</v>
      </c>
      <c r="CN26" s="4" t="s">
        <v>27</v>
      </c>
      <c r="CR26" s="4" t="s">
        <v>27</v>
      </c>
      <c r="CV26" s="4" t="s">
        <v>27</v>
      </c>
      <c r="CZ26" s="4" t="s">
        <v>27</v>
      </c>
    </row>
    <row r="27" spans="1:104" x14ac:dyDescent="0.25">
      <c r="A27" s="1" t="s">
        <v>909</v>
      </c>
      <c r="B27">
        <v>1093</v>
      </c>
      <c r="C27" s="5">
        <f>B27/B29</f>
        <v>1.5886627906976745</v>
      </c>
      <c r="D27" s="5">
        <f>1093/$D$1</f>
        <v>1.093</v>
      </c>
      <c r="F27">
        <v>492</v>
      </c>
      <c r="G27" s="5">
        <f>F27/F29</f>
        <v>1.5668789808917198</v>
      </c>
      <c r="H27" s="5">
        <f>492/$H$1</f>
        <v>0.98203592814371254</v>
      </c>
      <c r="J27">
        <v>601</v>
      </c>
      <c r="K27" s="5">
        <f>J27/J29</f>
        <v>1.606951871657754</v>
      </c>
      <c r="L27" s="5">
        <f>601/$L$1</f>
        <v>1.2044088176352705</v>
      </c>
      <c r="N27">
        <v>126</v>
      </c>
      <c r="O27" s="5">
        <f>N27/N29</f>
        <v>1.826086956521739</v>
      </c>
      <c r="P27" s="5">
        <f>126/$P$1</f>
        <v>1.2989690721649485</v>
      </c>
      <c r="R27">
        <v>221</v>
      </c>
      <c r="S27" s="5">
        <f>R27/R29</f>
        <v>1.7</v>
      </c>
      <c r="T27" s="5">
        <f>221/$T$1</f>
        <v>1.1161616161616161</v>
      </c>
      <c r="V27">
        <v>246</v>
      </c>
      <c r="W27" s="5">
        <f>V27/V29</f>
        <v>1.618421052631579</v>
      </c>
      <c r="X27" s="5">
        <f>246/$X$1</f>
        <v>1.0207468879668049</v>
      </c>
      <c r="Z27">
        <v>208</v>
      </c>
      <c r="AA27" s="5">
        <f>Z27/Z29</f>
        <v>1.4246575342465753</v>
      </c>
      <c r="AB27" s="5">
        <f>208/$AB$1</f>
        <v>1.0505050505050506</v>
      </c>
      <c r="AD27">
        <v>174</v>
      </c>
      <c r="AE27" s="5">
        <f>AD27/AD29</f>
        <v>1.5398230088495575</v>
      </c>
      <c r="AF27" s="5">
        <f>174/$AF$1</f>
        <v>1.1298701298701299</v>
      </c>
      <c r="AH27">
        <v>125</v>
      </c>
      <c r="AI27" s="5">
        <f>AH27/AH29</f>
        <v>1.5060240963855422</v>
      </c>
      <c r="AJ27" s="5">
        <f>125/$AJ$1</f>
        <v>1.0416666666666667</v>
      </c>
      <c r="AL27">
        <v>370</v>
      </c>
      <c r="AM27" s="5">
        <f>AL27/AL29</f>
        <v>1.4176245210727969</v>
      </c>
      <c r="AN27" s="5">
        <f>370/$AN$1</f>
        <v>1</v>
      </c>
      <c r="AP27">
        <v>446</v>
      </c>
      <c r="AQ27" s="5">
        <f>AP27/AP29</f>
        <v>1.7421875</v>
      </c>
      <c r="AR27" s="5">
        <f>446/$AR$1</f>
        <v>1.17989417989418</v>
      </c>
      <c r="AT27">
        <v>277</v>
      </c>
      <c r="AU27" s="5">
        <f>AT27/AT29</f>
        <v>1.6198830409356726</v>
      </c>
      <c r="AV27" s="5">
        <f>277/$AV$1</f>
        <v>1.0992063492063493</v>
      </c>
      <c r="AX27">
        <v>303</v>
      </c>
      <c r="AY27" s="5">
        <f>AX27/AX29</f>
        <v>1.5538461538461539</v>
      </c>
      <c r="AZ27" s="5">
        <f>303/$AZ$1</f>
        <v>1.1098901098901099</v>
      </c>
      <c r="BA27" s="5"/>
      <c r="BB27">
        <v>220</v>
      </c>
      <c r="BC27" s="5">
        <f>BB27/BB29</f>
        <v>1.4965986394557824</v>
      </c>
      <c r="BD27" s="5">
        <f>220/$BD$1</f>
        <v>1.083743842364532</v>
      </c>
      <c r="BF27">
        <v>221</v>
      </c>
      <c r="BG27" s="5">
        <f>BF27/BF29</f>
        <v>1.5241379310344827</v>
      </c>
      <c r="BH27" s="5">
        <f>221/$BH$1</f>
        <v>1.027906976744186</v>
      </c>
      <c r="BJ27">
        <v>349</v>
      </c>
      <c r="BK27" s="5">
        <f>BJ27/BJ29</f>
        <v>1.736318407960199</v>
      </c>
      <c r="BL27" s="5">
        <f>349/$BL$1</f>
        <v>1.1294498381877023</v>
      </c>
      <c r="BN27">
        <v>45</v>
      </c>
      <c r="BO27" s="5">
        <f>BN27/BN29</f>
        <v>1.25</v>
      </c>
      <c r="BP27" s="5">
        <f>45/$BP$1</f>
        <v>0.95744680851063835</v>
      </c>
      <c r="BR27">
        <v>266</v>
      </c>
      <c r="BS27" s="5">
        <f>BR27/BR29</f>
        <v>1.209090909090909</v>
      </c>
      <c r="BT27" s="5">
        <f>266/$BT$1</f>
        <v>0.84713375796178347</v>
      </c>
      <c r="BV27">
        <v>422</v>
      </c>
      <c r="BW27" s="5">
        <f>BV27/BV29</f>
        <v>1.5687732342007434</v>
      </c>
      <c r="BX27" s="5">
        <f>422/$BX$1</f>
        <v>1.0737913486005088</v>
      </c>
      <c r="BZ27">
        <v>360</v>
      </c>
      <c r="CA27" s="5">
        <f>BZ27/BZ29</f>
        <v>2.2085889570552149</v>
      </c>
      <c r="CB27" s="5">
        <f>360/$CB$1</f>
        <v>1.4634146341463414</v>
      </c>
      <c r="CD27">
        <v>0</v>
      </c>
      <c r="CE27" s="5">
        <v>0</v>
      </c>
      <c r="CF27" s="5">
        <f>0/$CF$1</f>
        <v>0</v>
      </c>
      <c r="CH27">
        <v>1093</v>
      </c>
      <c r="CI27" s="5">
        <f>CH27/CH29</f>
        <v>1.5886627906976745</v>
      </c>
      <c r="CJ27" s="5">
        <f>1093/$CJ$1</f>
        <v>1.5886627906976745</v>
      </c>
      <c r="CL27">
        <v>943</v>
      </c>
      <c r="CM27" s="5">
        <f>CL27/CL29</f>
        <v>1.6202749140893471</v>
      </c>
      <c r="CN27" s="5">
        <f>943/$CN$1</f>
        <v>1.2440633245382586</v>
      </c>
      <c r="CP27">
        <v>150</v>
      </c>
      <c r="CQ27" s="5">
        <f>CP27/CP29</f>
        <v>1.4150943396226414</v>
      </c>
      <c r="CR27" s="5">
        <f>150/$CR$1</f>
        <v>0.6198347107438017</v>
      </c>
      <c r="CT27">
        <v>401</v>
      </c>
      <c r="CU27" s="5">
        <f>CT27/CT29</f>
        <v>1.8564814814814814</v>
      </c>
      <c r="CV27" s="5">
        <f>401/$CV$1</f>
        <v>1.2042042042042043</v>
      </c>
      <c r="CX27">
        <v>692</v>
      </c>
      <c r="CY27" s="5">
        <f>CX27/CX29</f>
        <v>1.4661016949152543</v>
      </c>
      <c r="CZ27" s="5">
        <f>692/$CZ$1</f>
        <v>1.0374812593703149</v>
      </c>
    </row>
    <row r="28" spans="1:104" x14ac:dyDescent="0.25">
      <c r="A28" s="1" t="s">
        <v>32</v>
      </c>
      <c r="B28">
        <v>171</v>
      </c>
      <c r="C28" s="5">
        <f>B28/B29</f>
        <v>0.24854651162790697</v>
      </c>
      <c r="D28" s="5">
        <f>171/$D$1</f>
        <v>0.17100000000000001</v>
      </c>
      <c r="F28">
        <v>75</v>
      </c>
      <c r="G28" s="5">
        <f>F28/F29</f>
        <v>0.23885350318471338</v>
      </c>
      <c r="H28" s="5">
        <f>75/$H$1</f>
        <v>0.1497005988023952</v>
      </c>
      <c r="J28">
        <v>96</v>
      </c>
      <c r="K28" s="5">
        <f>J28/J29</f>
        <v>0.25668449197860965</v>
      </c>
      <c r="L28" s="5">
        <f>96/$L$1</f>
        <v>0.19238476953907815</v>
      </c>
      <c r="N28">
        <v>18</v>
      </c>
      <c r="O28" s="5">
        <f>N28/N29</f>
        <v>0.2608695652173913</v>
      </c>
      <c r="P28" s="5">
        <f>18/$P$1</f>
        <v>0.18556701030927836</v>
      </c>
      <c r="R28">
        <v>32</v>
      </c>
      <c r="S28" s="5">
        <f>R28/R29</f>
        <v>0.24615384615384617</v>
      </c>
      <c r="T28" s="5">
        <f>32/$T$1</f>
        <v>0.16161616161616163</v>
      </c>
      <c r="V28">
        <v>31</v>
      </c>
      <c r="W28" s="5">
        <f>V28/V29</f>
        <v>0.20394736842105263</v>
      </c>
      <c r="X28" s="5">
        <f>31/$X$1</f>
        <v>0.12863070539419086</v>
      </c>
      <c r="Z28">
        <v>39</v>
      </c>
      <c r="AA28" s="5">
        <f>Z28/Z29</f>
        <v>0.26712328767123289</v>
      </c>
      <c r="AB28" s="5">
        <f>39/$AB$1</f>
        <v>0.19696969696969696</v>
      </c>
      <c r="AD28">
        <v>27</v>
      </c>
      <c r="AE28" s="5">
        <f>AD28/AD29</f>
        <v>0.23893805309734514</v>
      </c>
      <c r="AF28" s="5">
        <f>27/$AF$1</f>
        <v>0.17532467532467533</v>
      </c>
      <c r="AH28">
        <v>25</v>
      </c>
      <c r="AI28" s="5">
        <f>AH28/AH29</f>
        <v>0.30120481927710846</v>
      </c>
      <c r="AJ28" s="5">
        <f>25/$AJ$1</f>
        <v>0.20833333333333334</v>
      </c>
      <c r="AL28">
        <v>79</v>
      </c>
      <c r="AM28" s="5">
        <f>AL28/AL29</f>
        <v>0.30268199233716475</v>
      </c>
      <c r="AN28" s="5">
        <f>79/$AN$1</f>
        <v>0.21351351351351353</v>
      </c>
      <c r="AP28">
        <v>55</v>
      </c>
      <c r="AQ28" s="5">
        <f>AP28/AP29</f>
        <v>0.21484375</v>
      </c>
      <c r="AR28" s="5">
        <f>55/$AR$1</f>
        <v>0.14550264550264549</v>
      </c>
      <c r="AT28">
        <v>37</v>
      </c>
      <c r="AU28" s="5">
        <f>AT28/AT29</f>
        <v>0.21637426900584794</v>
      </c>
      <c r="AV28" s="5">
        <f>37/$AV$1</f>
        <v>0.14682539682539683</v>
      </c>
      <c r="AX28">
        <v>52</v>
      </c>
      <c r="AY28" s="5">
        <f>AX28/AX29</f>
        <v>0.26666666666666666</v>
      </c>
      <c r="AZ28" s="5">
        <f>52/$AZ$1</f>
        <v>0.19047619047619047</v>
      </c>
      <c r="BA28" s="5"/>
      <c r="BB28">
        <v>45</v>
      </c>
      <c r="BC28" s="5">
        <f>BB28/BB29</f>
        <v>0.30612244897959184</v>
      </c>
      <c r="BD28" s="5">
        <f>45/$BD$1</f>
        <v>0.22167487684729065</v>
      </c>
      <c r="BF28">
        <v>39</v>
      </c>
      <c r="BG28" s="5">
        <f>BF28/BF29</f>
        <v>0.26896551724137929</v>
      </c>
      <c r="BH28" s="5">
        <f>39/$BH$1</f>
        <v>0.18139534883720931</v>
      </c>
      <c r="BJ28">
        <v>35</v>
      </c>
      <c r="BK28" s="5">
        <f>BJ28/BJ29</f>
        <v>0.17412935323383086</v>
      </c>
      <c r="BL28" s="5">
        <f>35/$BL$1</f>
        <v>0.11326860841423948</v>
      </c>
      <c r="BN28">
        <v>15</v>
      </c>
      <c r="BO28" s="5">
        <f>BN28/BN29</f>
        <v>0.41666666666666669</v>
      </c>
      <c r="BP28" s="5">
        <f>15/$BP$1</f>
        <v>0.31914893617021278</v>
      </c>
      <c r="BR28">
        <v>69</v>
      </c>
      <c r="BS28" s="5">
        <f>BR28/BR29</f>
        <v>0.31363636363636366</v>
      </c>
      <c r="BT28" s="5">
        <f>69/$BT$1</f>
        <v>0.21974522292993631</v>
      </c>
      <c r="BV28">
        <v>74</v>
      </c>
      <c r="BW28" s="5">
        <f>BV28/BV29</f>
        <v>0.27509293680297398</v>
      </c>
      <c r="BX28" s="5">
        <f>74/$BX$1</f>
        <v>0.18829516539440203</v>
      </c>
      <c r="BZ28">
        <v>13</v>
      </c>
      <c r="CA28" s="5">
        <f>BZ28/BZ29</f>
        <v>7.9754601226993863E-2</v>
      </c>
      <c r="CB28" s="5">
        <f>13/$CB$1</f>
        <v>5.2845528455284556E-2</v>
      </c>
      <c r="CD28">
        <v>0</v>
      </c>
      <c r="CE28" s="5">
        <v>0</v>
      </c>
      <c r="CF28" s="5">
        <f>0/$CF$1</f>
        <v>0</v>
      </c>
      <c r="CH28">
        <v>171</v>
      </c>
      <c r="CI28" s="5">
        <f>CH28/CH29</f>
        <v>0.24854651162790697</v>
      </c>
      <c r="CJ28" s="5">
        <f>171/$CJ$1</f>
        <v>0.24854651162790697</v>
      </c>
      <c r="CL28">
        <v>147</v>
      </c>
      <c r="CM28" s="5">
        <f>CL28/CL29</f>
        <v>0.25257731958762886</v>
      </c>
      <c r="CN28" s="5">
        <f>147/$CN$1</f>
        <v>0.19393139841688653</v>
      </c>
      <c r="CP28">
        <v>24</v>
      </c>
      <c r="CQ28" s="5">
        <f>CP28/CP29</f>
        <v>0.22641509433962265</v>
      </c>
      <c r="CR28" s="5">
        <f>24/$CR$1</f>
        <v>9.9173553719008267E-2</v>
      </c>
      <c r="CT28">
        <v>36</v>
      </c>
      <c r="CU28" s="5">
        <f>CT28/CT29</f>
        <v>0.16666666666666666</v>
      </c>
      <c r="CV28" s="5">
        <f>36/$CV$1</f>
        <v>0.10810810810810811</v>
      </c>
      <c r="CX28">
        <v>135</v>
      </c>
      <c r="CY28" s="5">
        <f>CX28/CX29</f>
        <v>0.28601694915254239</v>
      </c>
      <c r="CZ28" s="5">
        <f>135/$CZ$1</f>
        <v>0.20239880059970014</v>
      </c>
    </row>
    <row r="29" spans="1:104" s="6" customFormat="1" x14ac:dyDescent="0.25">
      <c r="A29" s="7" t="s">
        <v>33</v>
      </c>
      <c r="B29" s="6">
        <v>688</v>
      </c>
      <c r="D29" s="8">
        <f>688/$D$1</f>
        <v>0.68799999999999994</v>
      </c>
      <c r="F29" s="6">
        <v>314</v>
      </c>
      <c r="H29" s="8">
        <f>314/$H$1</f>
        <v>0.62674650698602796</v>
      </c>
      <c r="J29" s="6">
        <v>374</v>
      </c>
      <c r="L29" s="8">
        <f>374/$L$1</f>
        <v>0.74949899799599196</v>
      </c>
      <c r="N29" s="6">
        <v>69</v>
      </c>
      <c r="P29" s="8">
        <f>69/$P$1</f>
        <v>0.71134020618556704</v>
      </c>
      <c r="R29" s="6">
        <v>130</v>
      </c>
      <c r="T29" s="8">
        <f>130/$T$1</f>
        <v>0.65656565656565657</v>
      </c>
      <c r="V29" s="6">
        <v>152</v>
      </c>
      <c r="X29" s="8">
        <f>152/$X$1</f>
        <v>0.63070539419087135</v>
      </c>
      <c r="Z29" s="6">
        <v>146</v>
      </c>
      <c r="AB29" s="8">
        <f>146/$AB$1</f>
        <v>0.73737373737373735</v>
      </c>
      <c r="AD29" s="6">
        <v>113</v>
      </c>
      <c r="AF29" s="8">
        <f>113/$AF$1</f>
        <v>0.73376623376623373</v>
      </c>
      <c r="AH29" s="6">
        <v>83</v>
      </c>
      <c r="AJ29" s="8">
        <f>83/$AJ$1</f>
        <v>0.69166666666666665</v>
      </c>
      <c r="AL29" s="6">
        <v>261</v>
      </c>
      <c r="AN29" s="8">
        <f>261/$AN$1</f>
        <v>0.70540540540540542</v>
      </c>
      <c r="AP29" s="6">
        <v>256</v>
      </c>
      <c r="AR29" s="8">
        <f>256/$AR$1</f>
        <v>0.67724867724867721</v>
      </c>
      <c r="AT29" s="6">
        <v>171</v>
      </c>
      <c r="AV29" s="8">
        <f>171/$AV$1</f>
        <v>0.6785714285714286</v>
      </c>
      <c r="AX29" s="6">
        <v>195</v>
      </c>
      <c r="AZ29" s="8">
        <f>195/$AZ$1</f>
        <v>0.7142857142857143</v>
      </c>
      <c r="BA29" s="8"/>
      <c r="BB29" s="6">
        <v>147</v>
      </c>
      <c r="BD29" s="8">
        <f>147/$BD$1</f>
        <v>0.72413793103448276</v>
      </c>
      <c r="BF29" s="6">
        <v>145</v>
      </c>
      <c r="BH29" s="8">
        <f>145/$BH$1</f>
        <v>0.67441860465116277</v>
      </c>
      <c r="BJ29" s="6">
        <v>201</v>
      </c>
      <c r="BL29" s="8">
        <f>201/$BL$1</f>
        <v>0.65048543689320393</v>
      </c>
      <c r="BN29" s="6">
        <v>36</v>
      </c>
      <c r="BP29" s="8">
        <f>36/$BP$1</f>
        <v>0.76595744680851063</v>
      </c>
      <c r="BR29" s="6">
        <v>220</v>
      </c>
      <c r="BT29" s="8">
        <f>220/$BT$1</f>
        <v>0.70063694267515919</v>
      </c>
      <c r="BV29" s="6">
        <v>269</v>
      </c>
      <c r="BX29" s="8">
        <f>269/$BX$1</f>
        <v>0.68447837150127222</v>
      </c>
      <c r="BZ29" s="6">
        <v>163</v>
      </c>
      <c r="CB29" s="8">
        <f>163/$CB$1</f>
        <v>0.66260162601626016</v>
      </c>
      <c r="CD29" s="6">
        <v>0</v>
      </c>
      <c r="CF29" s="8">
        <f>0/$CF$1</f>
        <v>0</v>
      </c>
      <c r="CH29" s="6">
        <v>688</v>
      </c>
      <c r="CJ29" s="8">
        <f>688/$CJ$1</f>
        <v>1</v>
      </c>
      <c r="CL29" s="6">
        <v>582</v>
      </c>
      <c r="CN29" s="8">
        <f>582/$CN$1</f>
        <v>0.76781002638522422</v>
      </c>
      <c r="CP29" s="6">
        <v>106</v>
      </c>
      <c r="CR29" s="8">
        <f>106/$CR$1</f>
        <v>0.43801652892561982</v>
      </c>
      <c r="CT29" s="6">
        <v>216</v>
      </c>
      <c r="CV29" s="8">
        <f>216/$CV$1</f>
        <v>0.64864864864864868</v>
      </c>
      <c r="CX29" s="6">
        <v>472</v>
      </c>
      <c r="CZ29" s="8">
        <f>472/$CZ$1</f>
        <v>0.70764617691154419</v>
      </c>
    </row>
    <row r="30" spans="1:104" ht="15" hidden="1" customHeight="1" x14ac:dyDescent="0.25">
      <c r="A30" s="9" t="s">
        <v>34</v>
      </c>
      <c r="B30">
        <v>0</v>
      </c>
      <c r="D30" s="10">
        <f>0/$D$1</f>
        <v>0</v>
      </c>
      <c r="F30">
        <v>0</v>
      </c>
      <c r="H30" s="10">
        <f>0/$H$1</f>
        <v>0</v>
      </c>
      <c r="J30">
        <v>0</v>
      </c>
      <c r="L30" s="10">
        <f>0/$L$1</f>
        <v>0</v>
      </c>
      <c r="N30">
        <v>0</v>
      </c>
      <c r="P30" s="10">
        <f>0/$P$1</f>
        <v>0</v>
      </c>
      <c r="R30">
        <v>0</v>
      </c>
      <c r="T30" s="10">
        <f>0/$T$1</f>
        <v>0</v>
      </c>
      <c r="V30">
        <v>0</v>
      </c>
      <c r="X30" s="10">
        <f>0/$X$1</f>
        <v>0</v>
      </c>
      <c r="Z30">
        <v>0</v>
      </c>
      <c r="AB30" s="10">
        <f>0/$AB$1</f>
        <v>0</v>
      </c>
      <c r="AD30">
        <v>0</v>
      </c>
      <c r="AF30" s="10">
        <f>0/$AF$1</f>
        <v>0</v>
      </c>
      <c r="AH30">
        <v>0</v>
      </c>
      <c r="AJ30" s="10">
        <f>0/$AJ$1</f>
        <v>0</v>
      </c>
      <c r="AL30">
        <v>0</v>
      </c>
      <c r="AN30" s="10">
        <f>0/$AN$1</f>
        <v>0</v>
      </c>
      <c r="AP30">
        <v>0</v>
      </c>
      <c r="AR30" s="10">
        <f>0/$AR$1</f>
        <v>0</v>
      </c>
      <c r="AT30">
        <v>0</v>
      </c>
      <c r="AV30" s="10">
        <f>0/$AV$1</f>
        <v>0</v>
      </c>
      <c r="AX30">
        <v>0</v>
      </c>
      <c r="AZ30" s="10">
        <f>0/$AZ$1</f>
        <v>0</v>
      </c>
      <c r="BA30" s="10"/>
      <c r="BB30">
        <v>0</v>
      </c>
      <c r="BD30" s="10">
        <f>0/$BD$1</f>
        <v>0</v>
      </c>
      <c r="BF30">
        <v>0</v>
      </c>
      <c r="BH30" s="10">
        <f>0/$BH$1</f>
        <v>0</v>
      </c>
      <c r="BJ30">
        <v>0</v>
      </c>
      <c r="BL30" s="10">
        <f>0/$BL$1</f>
        <v>0</v>
      </c>
      <c r="BN30">
        <v>0</v>
      </c>
      <c r="BP30" s="10">
        <f>0/$BP$1</f>
        <v>0</v>
      </c>
      <c r="BR30">
        <v>0</v>
      </c>
      <c r="BT30" s="10">
        <f>0/$BT$1</f>
        <v>0</v>
      </c>
      <c r="BV30">
        <v>0</v>
      </c>
      <c r="BX30" s="10">
        <f>0/$BX$1</f>
        <v>0</v>
      </c>
      <c r="BZ30">
        <v>0</v>
      </c>
      <c r="CB30" s="10">
        <f>0/$CB$1</f>
        <v>0</v>
      </c>
      <c r="CD30">
        <v>0</v>
      </c>
      <c r="CF30" s="10">
        <f>0/$CF$1</f>
        <v>0</v>
      </c>
      <c r="CH30">
        <v>0</v>
      </c>
      <c r="CJ30" s="10">
        <f>0/$CJ$1</f>
        <v>0</v>
      </c>
      <c r="CL30">
        <v>0</v>
      </c>
      <c r="CN30" s="10">
        <f>0/$CN$1</f>
        <v>0</v>
      </c>
      <c r="CP30">
        <v>0</v>
      </c>
      <c r="CR30" s="10">
        <f>0/$CR$1</f>
        <v>0</v>
      </c>
      <c r="CT30">
        <v>0</v>
      </c>
      <c r="CV30" s="10">
        <f>0/$CV$1</f>
        <v>0</v>
      </c>
      <c r="CX30">
        <v>0</v>
      </c>
      <c r="CZ30" s="10">
        <f>0/$CZ$1</f>
        <v>0</v>
      </c>
    </row>
    <row r="31" spans="1:104" s="12" customFormat="1" x14ac:dyDescent="0.25">
      <c r="A31" s="9" t="s">
        <v>35</v>
      </c>
      <c r="B31" s="12">
        <v>312</v>
      </c>
      <c r="D31" s="10">
        <f>312/$D$1</f>
        <v>0.312</v>
      </c>
      <c r="F31" s="12">
        <v>187</v>
      </c>
      <c r="H31" s="10">
        <f>187/$H$1</f>
        <v>0.37325349301397204</v>
      </c>
      <c r="J31" s="12">
        <v>125</v>
      </c>
      <c r="L31" s="10">
        <f>125/$L$1</f>
        <v>0.25050100200400799</v>
      </c>
      <c r="N31" s="12">
        <v>28</v>
      </c>
      <c r="P31" s="10">
        <f>28/$P$1</f>
        <v>0.28865979381443296</v>
      </c>
      <c r="R31" s="12">
        <v>68</v>
      </c>
      <c r="T31" s="10">
        <f>68/$T$1</f>
        <v>0.34343434343434343</v>
      </c>
      <c r="V31" s="12">
        <v>89</v>
      </c>
      <c r="X31" s="10">
        <f>89/$X$1</f>
        <v>0.36929460580912865</v>
      </c>
      <c r="Z31" s="12">
        <v>52</v>
      </c>
      <c r="AB31" s="10">
        <f>52/$AB$1</f>
        <v>0.26262626262626265</v>
      </c>
      <c r="AD31" s="12">
        <v>41</v>
      </c>
      <c r="AF31" s="10">
        <f>41/$AF$1</f>
        <v>0.26623376623376621</v>
      </c>
      <c r="AH31" s="12">
        <v>37</v>
      </c>
      <c r="AJ31" s="10">
        <f>37/$AJ$1</f>
        <v>0.30833333333333335</v>
      </c>
      <c r="AL31" s="12">
        <v>109</v>
      </c>
      <c r="AN31" s="10">
        <f>109/$AN$1</f>
        <v>0.29459459459459458</v>
      </c>
      <c r="AP31" s="12">
        <v>122</v>
      </c>
      <c r="AR31" s="10">
        <f>122/$AR$1</f>
        <v>0.32275132275132273</v>
      </c>
      <c r="AT31" s="12">
        <v>81</v>
      </c>
      <c r="AV31" s="10">
        <f>81/$AV$1</f>
        <v>0.32142857142857145</v>
      </c>
      <c r="AX31" s="12">
        <v>78</v>
      </c>
      <c r="AZ31" s="10">
        <f>78/$AZ$1</f>
        <v>0.2857142857142857</v>
      </c>
      <c r="BA31" s="10"/>
      <c r="BB31" s="12">
        <v>56</v>
      </c>
      <c r="BD31" s="10">
        <f>56/$BD$1</f>
        <v>0.27586206896551724</v>
      </c>
      <c r="BF31" s="12">
        <v>70</v>
      </c>
      <c r="BH31" s="10">
        <f>70/$BH$1</f>
        <v>0.32558139534883723</v>
      </c>
      <c r="BJ31" s="12">
        <v>108</v>
      </c>
      <c r="BL31" s="10">
        <f>108/$BL$1</f>
        <v>0.34951456310679613</v>
      </c>
      <c r="BN31" s="12">
        <v>11</v>
      </c>
      <c r="BP31" s="10">
        <f>11/$BP$1</f>
        <v>0.23404255319148937</v>
      </c>
      <c r="BR31" s="12">
        <v>94</v>
      </c>
      <c r="BT31" s="10">
        <f>94/$BT$1</f>
        <v>0.29936305732484075</v>
      </c>
      <c r="BV31" s="12">
        <v>124</v>
      </c>
      <c r="BX31" s="10">
        <f>124/$BX$1</f>
        <v>0.31552162849872772</v>
      </c>
      <c r="BZ31" s="12">
        <v>83</v>
      </c>
      <c r="CB31" s="10">
        <f>83/$CB$1</f>
        <v>0.33739837398373984</v>
      </c>
      <c r="CD31" s="12">
        <v>123</v>
      </c>
      <c r="CF31" s="10">
        <f>123/$CF$1</f>
        <v>1</v>
      </c>
      <c r="CH31" s="12">
        <v>0</v>
      </c>
      <c r="CJ31" s="10">
        <f>0/$CJ$1</f>
        <v>0</v>
      </c>
      <c r="CL31" s="12">
        <v>176</v>
      </c>
      <c r="CN31" s="10">
        <f>176/$CN$1</f>
        <v>0.23218997361477572</v>
      </c>
      <c r="CP31" s="12">
        <v>136</v>
      </c>
      <c r="CR31" s="10">
        <f>136/$CR$1</f>
        <v>0.56198347107438018</v>
      </c>
      <c r="CT31" s="12">
        <v>117</v>
      </c>
      <c r="CV31" s="10">
        <f>117/$CV$1</f>
        <v>0.35135135135135137</v>
      </c>
      <c r="CX31" s="12">
        <v>195</v>
      </c>
      <c r="CZ31" s="10">
        <f>195/$CZ$1</f>
        <v>0.29235382308845576</v>
      </c>
    </row>
    <row r="33" spans="1:104" s="3" customFormat="1" x14ac:dyDescent="0.25">
      <c r="A33" s="11" t="str">
        <f>HYPERLINK("#proc_lepsi!A1","A co bude **lepší**? &lt;br&gt;&lt;br&gt;*Pokud nevíte, otázku přeskočte.*")</f>
        <v>A co bude **lepší**? &lt;br&gt;&lt;br&gt;*Pokud nevíte, otázku přeskočte.*</v>
      </c>
      <c r="D33" s="4" t="s">
        <v>27</v>
      </c>
      <c r="H33" s="4" t="s">
        <v>27</v>
      </c>
      <c r="L33" s="4" t="s">
        <v>27</v>
      </c>
      <c r="P33" s="4" t="s">
        <v>27</v>
      </c>
      <c r="T33" s="4" t="s">
        <v>27</v>
      </c>
      <c r="X33" s="4" t="s">
        <v>27</v>
      </c>
      <c r="AB33" s="4" t="s">
        <v>27</v>
      </c>
      <c r="AF33" s="4" t="s">
        <v>27</v>
      </c>
      <c r="AJ33" s="4" t="s">
        <v>27</v>
      </c>
      <c r="AN33" s="4" t="s">
        <v>27</v>
      </c>
      <c r="AR33" s="4" t="s">
        <v>27</v>
      </c>
      <c r="AV33" s="4" t="s">
        <v>27</v>
      </c>
      <c r="AZ33" s="4" t="s">
        <v>27</v>
      </c>
      <c r="BA33" s="4"/>
      <c r="BD33" s="4" t="s">
        <v>27</v>
      </c>
      <c r="BH33" s="4" t="s">
        <v>27</v>
      </c>
      <c r="BL33" s="4" t="s">
        <v>27</v>
      </c>
      <c r="BP33" s="4" t="s">
        <v>27</v>
      </c>
      <c r="BT33" s="4" t="s">
        <v>27</v>
      </c>
      <c r="BX33" s="4" t="s">
        <v>27</v>
      </c>
      <c r="CB33" s="4" t="s">
        <v>27</v>
      </c>
      <c r="CF33" s="4" t="s">
        <v>27</v>
      </c>
      <c r="CJ33" s="4" t="s">
        <v>27</v>
      </c>
      <c r="CN33" s="4" t="s">
        <v>27</v>
      </c>
      <c r="CR33" s="4" t="s">
        <v>27</v>
      </c>
      <c r="CV33" s="4" t="s">
        <v>27</v>
      </c>
      <c r="CZ33" s="4" t="s">
        <v>27</v>
      </c>
    </row>
    <row r="34" spans="1:104" x14ac:dyDescent="0.25">
      <c r="A34" s="1" t="s">
        <v>909</v>
      </c>
      <c r="B34">
        <v>145</v>
      </c>
      <c r="C34" s="5">
        <f>B34/B36</f>
        <v>1.1788617886178863</v>
      </c>
      <c r="D34" s="5">
        <f>145/$D$1</f>
        <v>0.14499999999999999</v>
      </c>
      <c r="F34">
        <v>98</v>
      </c>
      <c r="G34" s="5">
        <f>F34/F36</f>
        <v>1.1807228915662651</v>
      </c>
      <c r="H34" s="5">
        <f>98/$H$1</f>
        <v>0.19560878243512975</v>
      </c>
      <c r="J34">
        <v>47</v>
      </c>
      <c r="K34" s="5">
        <f>J34/J36</f>
        <v>1.175</v>
      </c>
      <c r="L34" s="5">
        <f>47/$L$1</f>
        <v>9.4188376753507011E-2</v>
      </c>
      <c r="N34">
        <v>9</v>
      </c>
      <c r="O34" s="5">
        <f>N34/N36</f>
        <v>1.2857142857142858</v>
      </c>
      <c r="P34" s="5">
        <f>9/$P$1</f>
        <v>9.2783505154639179E-2</v>
      </c>
      <c r="R34">
        <v>38</v>
      </c>
      <c r="S34" s="5">
        <f>R34/R36</f>
        <v>1.4074074074074074</v>
      </c>
      <c r="T34" s="5">
        <f>38/$T$1</f>
        <v>0.19191919191919191</v>
      </c>
      <c r="V34">
        <v>45</v>
      </c>
      <c r="W34" s="5">
        <f>V34/V36</f>
        <v>1.3235294117647058</v>
      </c>
      <c r="X34" s="5">
        <f>45/$X$1</f>
        <v>0.18672199170124482</v>
      </c>
      <c r="Z34">
        <v>13</v>
      </c>
      <c r="AA34" s="5">
        <f>Z34/Z36</f>
        <v>0.8125</v>
      </c>
      <c r="AB34" s="5">
        <f>13/$AB$1</f>
        <v>6.5656565656565663E-2</v>
      </c>
      <c r="AD34">
        <v>19</v>
      </c>
      <c r="AE34" s="5">
        <f>AD34/AD36</f>
        <v>0.95</v>
      </c>
      <c r="AF34" s="5">
        <f>19/$AF$1</f>
        <v>0.12337662337662338</v>
      </c>
      <c r="AH34">
        <v>24</v>
      </c>
      <c r="AI34" s="5">
        <f>AH34/AH36</f>
        <v>1.2</v>
      </c>
      <c r="AJ34" s="5">
        <f>24/$AJ$1</f>
        <v>0.2</v>
      </c>
      <c r="AL34">
        <v>45</v>
      </c>
      <c r="AM34" s="5">
        <f>AL34/AL36</f>
        <v>1.1842105263157894</v>
      </c>
      <c r="AN34" s="5">
        <f>45/$AN$1</f>
        <v>0.12162162162162163</v>
      </c>
      <c r="AP34">
        <v>57</v>
      </c>
      <c r="AQ34" s="5">
        <f>AP34/AP36</f>
        <v>1.1632653061224489</v>
      </c>
      <c r="AR34" s="5">
        <f>57/$AR$1</f>
        <v>0.15079365079365079</v>
      </c>
      <c r="AT34">
        <v>43</v>
      </c>
      <c r="AU34" s="5">
        <f>AT34/AT36</f>
        <v>1.1944444444444444</v>
      </c>
      <c r="AV34" s="5">
        <f>43/$AV$1</f>
        <v>0.17063492063492064</v>
      </c>
      <c r="AX34">
        <v>24</v>
      </c>
      <c r="AY34" s="5">
        <f>AX34/AX36</f>
        <v>1</v>
      </c>
      <c r="AZ34" s="5">
        <f>24/$AZ$1</f>
        <v>8.7912087912087919E-2</v>
      </c>
      <c r="BA34" s="5"/>
      <c r="BB34">
        <v>14</v>
      </c>
      <c r="BC34" s="5">
        <f>BB34/BB36</f>
        <v>0.77777777777777779</v>
      </c>
      <c r="BD34" s="5">
        <f>14/$BD$1</f>
        <v>6.8965517241379309E-2</v>
      </c>
      <c r="BF34">
        <v>48</v>
      </c>
      <c r="BG34" s="5">
        <f>BF34/BF36</f>
        <v>1.411764705882353</v>
      </c>
      <c r="BH34" s="5">
        <f>48/$BH$1</f>
        <v>0.22325581395348837</v>
      </c>
      <c r="BJ34">
        <v>59</v>
      </c>
      <c r="BK34" s="5">
        <f>BJ34/BJ36</f>
        <v>1.2553191489361701</v>
      </c>
      <c r="BL34" s="5">
        <f>59/$BL$1</f>
        <v>0.19093851132686085</v>
      </c>
      <c r="BN34">
        <v>2</v>
      </c>
      <c r="BO34" s="5">
        <f>BN34/BN36</f>
        <v>0.5</v>
      </c>
      <c r="BP34" s="5">
        <f>2/$BP$1</f>
        <v>4.2553191489361701E-2</v>
      </c>
      <c r="BR34">
        <v>24</v>
      </c>
      <c r="BS34" s="5">
        <f>BR34/BR36</f>
        <v>0.70588235294117652</v>
      </c>
      <c r="BT34" s="5">
        <f>24/$BT$1</f>
        <v>7.6433121019108277E-2</v>
      </c>
      <c r="BV34">
        <v>60</v>
      </c>
      <c r="BW34" s="5">
        <f>BV34/BV36</f>
        <v>1.2765957446808511</v>
      </c>
      <c r="BX34" s="5">
        <f>60/$BX$1</f>
        <v>0.15267175572519084</v>
      </c>
      <c r="BZ34">
        <v>59</v>
      </c>
      <c r="CA34" s="5">
        <f>BZ34/BZ36</f>
        <v>1.5526315789473684</v>
      </c>
      <c r="CB34" s="5">
        <f>59/$CB$1</f>
        <v>0.23983739837398374</v>
      </c>
      <c r="CD34">
        <v>145</v>
      </c>
      <c r="CE34" s="5">
        <f>CD34/CD36</f>
        <v>1.1788617886178863</v>
      </c>
      <c r="CF34" s="5">
        <f>145/$CF$1</f>
        <v>1.1788617886178863</v>
      </c>
      <c r="CH34">
        <v>0</v>
      </c>
      <c r="CI34" s="5">
        <v>0</v>
      </c>
      <c r="CJ34" s="5">
        <f>0/$CJ$1</f>
        <v>0</v>
      </c>
      <c r="CL34">
        <v>78</v>
      </c>
      <c r="CM34" s="5">
        <f>CL34/CL36</f>
        <v>1.1142857142857143</v>
      </c>
      <c r="CN34" s="5">
        <f>78/$CN$1</f>
        <v>0.10290237467018469</v>
      </c>
      <c r="CP34">
        <v>67</v>
      </c>
      <c r="CQ34" s="5">
        <f>CP34/CP36</f>
        <v>1.2641509433962264</v>
      </c>
      <c r="CR34" s="5">
        <f>67/$CR$1</f>
        <v>0.27685950413223143</v>
      </c>
      <c r="CT34">
        <v>91</v>
      </c>
      <c r="CU34" s="5">
        <f>CT34/CT36</f>
        <v>1.4444444444444444</v>
      </c>
      <c r="CV34" s="5">
        <f>91/$CV$1</f>
        <v>0.27327327327327328</v>
      </c>
      <c r="CX34">
        <v>54</v>
      </c>
      <c r="CY34" s="5">
        <f>CX34/CX36</f>
        <v>0.9</v>
      </c>
      <c r="CZ34" s="5">
        <f>54/$CZ$1</f>
        <v>8.0959520239880053E-2</v>
      </c>
    </row>
    <row r="35" spans="1:104" x14ac:dyDescent="0.25">
      <c r="A35" s="1" t="s">
        <v>32</v>
      </c>
      <c r="B35">
        <v>42</v>
      </c>
      <c r="C35" s="5">
        <f>B35/B36</f>
        <v>0.34146341463414637</v>
      </c>
      <c r="D35" s="5">
        <f>42/$D$1</f>
        <v>4.2000000000000003E-2</v>
      </c>
      <c r="F35">
        <v>27</v>
      </c>
      <c r="G35" s="5">
        <f>F35/F36</f>
        <v>0.3253012048192771</v>
      </c>
      <c r="H35" s="5">
        <f>27/$H$1</f>
        <v>5.3892215568862277E-2</v>
      </c>
      <c r="J35">
        <v>15</v>
      </c>
      <c r="K35" s="5">
        <f>J35/J36</f>
        <v>0.375</v>
      </c>
      <c r="L35" s="5">
        <f>15/$L$1</f>
        <v>3.0060120240480961E-2</v>
      </c>
      <c r="N35">
        <v>1</v>
      </c>
      <c r="O35" s="5">
        <f>N35/N36</f>
        <v>0.14285714285714285</v>
      </c>
      <c r="P35" s="5">
        <f>1/$P$1</f>
        <v>1.0309278350515464E-2</v>
      </c>
      <c r="R35">
        <v>11</v>
      </c>
      <c r="S35" s="5">
        <f>R35/R36</f>
        <v>0.40740740740740738</v>
      </c>
      <c r="T35" s="5">
        <f>11/$T$1</f>
        <v>5.5555555555555552E-2</v>
      </c>
      <c r="V35">
        <v>10</v>
      </c>
      <c r="W35" s="5">
        <f>V35/V36</f>
        <v>0.29411764705882354</v>
      </c>
      <c r="X35" s="5">
        <f>10/$X$1</f>
        <v>4.1493775933609957E-2</v>
      </c>
      <c r="Z35">
        <v>8</v>
      </c>
      <c r="AA35" s="5">
        <f>Z35/Z36</f>
        <v>0.5</v>
      </c>
      <c r="AB35" s="5">
        <f>8/$AB$1</f>
        <v>4.0404040404040407E-2</v>
      </c>
      <c r="AD35">
        <v>7</v>
      </c>
      <c r="AE35" s="5">
        <f>AD35/AD36</f>
        <v>0.35</v>
      </c>
      <c r="AF35" s="5">
        <f>7/$AF$1</f>
        <v>4.5454545454545456E-2</v>
      </c>
      <c r="AH35">
        <v>5</v>
      </c>
      <c r="AI35" s="5">
        <f>AH35/AH36</f>
        <v>0.25</v>
      </c>
      <c r="AJ35" s="5">
        <f>5/$AJ$1</f>
        <v>4.1666666666666664E-2</v>
      </c>
      <c r="AL35">
        <v>15</v>
      </c>
      <c r="AM35" s="5">
        <f>AL35/AL36</f>
        <v>0.39473684210526316</v>
      </c>
      <c r="AN35" s="5">
        <f>15/$AN$1</f>
        <v>4.0540540540540543E-2</v>
      </c>
      <c r="AP35">
        <v>19</v>
      </c>
      <c r="AQ35" s="5">
        <f>AP35/AP36</f>
        <v>0.38775510204081631</v>
      </c>
      <c r="AR35" s="5">
        <f>19/$AR$1</f>
        <v>5.0264550264550262E-2</v>
      </c>
      <c r="AT35">
        <v>8</v>
      </c>
      <c r="AU35" s="5">
        <f>AT35/AT36</f>
        <v>0.22222222222222221</v>
      </c>
      <c r="AV35" s="5">
        <f>8/$AV$1</f>
        <v>3.1746031746031744E-2</v>
      </c>
      <c r="AX35">
        <v>12</v>
      </c>
      <c r="AY35" s="5">
        <f>AX35/AX36</f>
        <v>0.5</v>
      </c>
      <c r="AZ35" s="5">
        <f>12/$AZ$1</f>
        <v>4.3956043956043959E-2</v>
      </c>
      <c r="BA35" s="5"/>
      <c r="BB35">
        <v>8</v>
      </c>
      <c r="BC35" s="5">
        <f>BB35/BB36</f>
        <v>0.44444444444444442</v>
      </c>
      <c r="BD35" s="5">
        <f>8/$BD$1</f>
        <v>3.9408866995073892E-2</v>
      </c>
      <c r="BF35">
        <v>8</v>
      </c>
      <c r="BG35" s="5">
        <f>BF35/BF36</f>
        <v>0.23529411764705882</v>
      </c>
      <c r="BH35" s="5">
        <f>8/$BH$1</f>
        <v>3.7209302325581395E-2</v>
      </c>
      <c r="BJ35">
        <v>14</v>
      </c>
      <c r="BK35" s="5">
        <f>BJ35/BJ36</f>
        <v>0.2978723404255319</v>
      </c>
      <c r="BL35" s="5">
        <f>14/$BL$1</f>
        <v>4.5307443365695796E-2</v>
      </c>
      <c r="BN35">
        <v>2</v>
      </c>
      <c r="BO35" s="5">
        <f>BN35/BN36</f>
        <v>0.5</v>
      </c>
      <c r="BP35" s="5">
        <f>2/$BP$1</f>
        <v>4.2553191489361701E-2</v>
      </c>
      <c r="BR35">
        <v>20</v>
      </c>
      <c r="BS35" s="5">
        <f>BR35/BR36</f>
        <v>0.58823529411764708</v>
      </c>
      <c r="BT35" s="5">
        <f>20/$BT$1</f>
        <v>6.3694267515923567E-2</v>
      </c>
      <c r="BV35">
        <v>12</v>
      </c>
      <c r="BW35" s="5">
        <f>BV35/BV36</f>
        <v>0.25531914893617019</v>
      </c>
      <c r="BX35" s="5">
        <f>12/$BX$1</f>
        <v>3.0534351145038167E-2</v>
      </c>
      <c r="BZ35">
        <v>8</v>
      </c>
      <c r="CA35" s="5">
        <f>BZ35/BZ36</f>
        <v>0.21052631578947367</v>
      </c>
      <c r="CB35" s="5">
        <f>8/$CB$1</f>
        <v>3.2520325203252036E-2</v>
      </c>
      <c r="CD35">
        <v>42</v>
      </c>
      <c r="CE35" s="5">
        <f>CD35/CD36</f>
        <v>0.34146341463414637</v>
      </c>
      <c r="CF35" s="5">
        <f>42/$CF$1</f>
        <v>0.34146341463414637</v>
      </c>
      <c r="CH35">
        <v>0</v>
      </c>
      <c r="CI35" s="5">
        <v>0</v>
      </c>
      <c r="CJ35" s="5">
        <f>0/$CJ$1</f>
        <v>0</v>
      </c>
      <c r="CL35">
        <v>31</v>
      </c>
      <c r="CM35" s="5">
        <f>CL35/CL36</f>
        <v>0.44285714285714284</v>
      </c>
      <c r="CN35" s="5">
        <f>31/$CN$1</f>
        <v>4.0897097625329816E-2</v>
      </c>
      <c r="CP35">
        <v>11</v>
      </c>
      <c r="CQ35" s="5">
        <f>CP35/CP36</f>
        <v>0.20754716981132076</v>
      </c>
      <c r="CR35" s="5">
        <f>11/$CR$1</f>
        <v>4.5454545454545456E-2</v>
      </c>
      <c r="CT35">
        <v>17</v>
      </c>
      <c r="CU35" s="5">
        <f>CT35/CT36</f>
        <v>0.26984126984126983</v>
      </c>
      <c r="CV35" s="5">
        <f>17/$CV$1</f>
        <v>5.1051051051051052E-2</v>
      </c>
      <c r="CX35">
        <v>25</v>
      </c>
      <c r="CY35" s="5">
        <f>CX35/CX36</f>
        <v>0.41666666666666669</v>
      </c>
      <c r="CZ35" s="5">
        <f>25/$CZ$1</f>
        <v>3.7481259370314844E-2</v>
      </c>
    </row>
    <row r="36" spans="1:104" s="6" customFormat="1" x14ac:dyDescent="0.25">
      <c r="A36" s="7" t="s">
        <v>33</v>
      </c>
      <c r="B36" s="6">
        <v>123</v>
      </c>
      <c r="D36" s="8">
        <f>123/$D$1</f>
        <v>0.123</v>
      </c>
      <c r="F36" s="6">
        <v>83</v>
      </c>
      <c r="H36" s="8">
        <f>83/$H$1</f>
        <v>0.16566866267465069</v>
      </c>
      <c r="J36" s="6">
        <v>40</v>
      </c>
      <c r="L36" s="8">
        <f>40/$L$1</f>
        <v>8.0160320641282562E-2</v>
      </c>
      <c r="N36" s="6">
        <v>7</v>
      </c>
      <c r="P36" s="8">
        <f>7/$P$1</f>
        <v>7.2164948453608241E-2</v>
      </c>
      <c r="R36" s="6">
        <v>27</v>
      </c>
      <c r="T36" s="8">
        <f>27/$T$1</f>
        <v>0.13636363636363635</v>
      </c>
      <c r="V36" s="6">
        <v>34</v>
      </c>
      <c r="X36" s="8">
        <f>34/$X$1</f>
        <v>0.14107883817427386</v>
      </c>
      <c r="Z36" s="6">
        <v>16</v>
      </c>
      <c r="AB36" s="8">
        <f>16/$AB$1</f>
        <v>8.0808080808080815E-2</v>
      </c>
      <c r="AD36" s="6">
        <v>20</v>
      </c>
      <c r="AF36" s="8">
        <f>20/$AF$1</f>
        <v>0.12987012987012986</v>
      </c>
      <c r="AH36" s="6">
        <v>20</v>
      </c>
      <c r="AJ36" s="8">
        <f>20/$AJ$1</f>
        <v>0.16666666666666666</v>
      </c>
      <c r="AL36" s="6">
        <v>38</v>
      </c>
      <c r="AN36" s="8">
        <f>38/$AN$1</f>
        <v>0.10270270270270271</v>
      </c>
      <c r="AP36" s="6">
        <v>49</v>
      </c>
      <c r="AR36" s="8">
        <f>49/$AR$1</f>
        <v>0.12962962962962962</v>
      </c>
      <c r="AT36" s="6">
        <v>36</v>
      </c>
      <c r="AV36" s="8">
        <f>36/$AV$1</f>
        <v>0.14285714285714285</v>
      </c>
      <c r="AX36" s="6">
        <v>24</v>
      </c>
      <c r="AZ36" s="8">
        <f>24/$AZ$1</f>
        <v>8.7912087912087919E-2</v>
      </c>
      <c r="BA36" s="8"/>
      <c r="BB36" s="6">
        <v>18</v>
      </c>
      <c r="BD36" s="8">
        <f>18/$BD$1</f>
        <v>8.8669950738916259E-2</v>
      </c>
      <c r="BF36" s="6">
        <v>34</v>
      </c>
      <c r="BH36" s="8">
        <f>34/$BH$1</f>
        <v>0.15813953488372093</v>
      </c>
      <c r="BJ36" s="6">
        <v>47</v>
      </c>
      <c r="BL36" s="8">
        <f>47/$BL$1</f>
        <v>0.15210355987055016</v>
      </c>
      <c r="BN36" s="6">
        <v>4</v>
      </c>
      <c r="BP36" s="8">
        <f>4/$BP$1</f>
        <v>8.5106382978723402E-2</v>
      </c>
      <c r="BR36" s="6">
        <v>34</v>
      </c>
      <c r="BT36" s="8">
        <f>34/$BT$1</f>
        <v>0.10828025477707007</v>
      </c>
      <c r="BV36" s="6">
        <v>47</v>
      </c>
      <c r="BX36" s="8">
        <f>47/$BX$1</f>
        <v>0.11959287531806616</v>
      </c>
      <c r="BZ36" s="6">
        <v>38</v>
      </c>
      <c r="CB36" s="8">
        <f>38/$CB$1</f>
        <v>0.15447154471544716</v>
      </c>
      <c r="CD36" s="6">
        <v>123</v>
      </c>
      <c r="CF36" s="8">
        <f>123/$CF$1</f>
        <v>1</v>
      </c>
      <c r="CH36" s="6">
        <v>0</v>
      </c>
      <c r="CJ36" s="8">
        <f>0/$CJ$1</f>
        <v>0</v>
      </c>
      <c r="CL36" s="6">
        <v>70</v>
      </c>
      <c r="CN36" s="8">
        <f>70/$CN$1</f>
        <v>9.2348284960422161E-2</v>
      </c>
      <c r="CP36" s="6">
        <v>53</v>
      </c>
      <c r="CR36" s="8">
        <f>53/$CR$1</f>
        <v>0.21900826446280991</v>
      </c>
      <c r="CT36" s="6">
        <v>63</v>
      </c>
      <c r="CV36" s="8">
        <f>63/$CV$1</f>
        <v>0.1891891891891892</v>
      </c>
      <c r="CX36" s="6">
        <v>60</v>
      </c>
      <c r="CZ36" s="8">
        <f>60/$CZ$1</f>
        <v>8.9955022488755629E-2</v>
      </c>
    </row>
    <row r="37" spans="1:104" ht="15" hidden="1" customHeight="1" x14ac:dyDescent="0.25">
      <c r="A37" s="9" t="s">
        <v>34</v>
      </c>
      <c r="B37">
        <v>0</v>
      </c>
      <c r="D37" s="10">
        <f>0/$D$1</f>
        <v>0</v>
      </c>
      <c r="F37">
        <v>0</v>
      </c>
      <c r="H37" s="10">
        <f>0/$H$1</f>
        <v>0</v>
      </c>
      <c r="J37">
        <v>0</v>
      </c>
      <c r="L37" s="10">
        <f>0/$L$1</f>
        <v>0</v>
      </c>
      <c r="N37">
        <v>0</v>
      </c>
      <c r="P37" s="10">
        <f>0/$P$1</f>
        <v>0</v>
      </c>
      <c r="R37">
        <v>0</v>
      </c>
      <c r="T37" s="10">
        <f>0/$T$1</f>
        <v>0</v>
      </c>
      <c r="V37">
        <v>0</v>
      </c>
      <c r="X37" s="10">
        <f>0/$X$1</f>
        <v>0</v>
      </c>
      <c r="Z37">
        <v>0</v>
      </c>
      <c r="AB37" s="10">
        <f>0/$AB$1</f>
        <v>0</v>
      </c>
      <c r="AD37">
        <v>0</v>
      </c>
      <c r="AF37" s="10">
        <f>0/$AF$1</f>
        <v>0</v>
      </c>
      <c r="AH37">
        <v>0</v>
      </c>
      <c r="AJ37" s="10">
        <f>0/$AJ$1</f>
        <v>0</v>
      </c>
      <c r="AL37">
        <v>0</v>
      </c>
      <c r="AN37" s="10">
        <f>0/$AN$1</f>
        <v>0</v>
      </c>
      <c r="AP37">
        <v>0</v>
      </c>
      <c r="AR37" s="10">
        <f>0/$AR$1</f>
        <v>0</v>
      </c>
      <c r="AT37">
        <v>0</v>
      </c>
      <c r="AV37" s="10">
        <f>0/$AV$1</f>
        <v>0</v>
      </c>
      <c r="AX37">
        <v>0</v>
      </c>
      <c r="AZ37" s="10">
        <f>0/$AZ$1</f>
        <v>0</v>
      </c>
      <c r="BA37" s="10"/>
      <c r="BB37">
        <v>0</v>
      </c>
      <c r="BD37" s="10">
        <f>0/$BD$1</f>
        <v>0</v>
      </c>
      <c r="BF37">
        <v>0</v>
      </c>
      <c r="BH37" s="10">
        <f>0/$BH$1</f>
        <v>0</v>
      </c>
      <c r="BJ37">
        <v>0</v>
      </c>
      <c r="BL37" s="10">
        <f>0/$BL$1</f>
        <v>0</v>
      </c>
      <c r="BN37">
        <v>0</v>
      </c>
      <c r="BP37" s="10">
        <f>0/$BP$1</f>
        <v>0</v>
      </c>
      <c r="BR37">
        <v>0</v>
      </c>
      <c r="BT37" s="10">
        <f>0/$BT$1</f>
        <v>0</v>
      </c>
      <c r="BV37">
        <v>0</v>
      </c>
      <c r="BX37" s="10">
        <f>0/$BX$1</f>
        <v>0</v>
      </c>
      <c r="BZ37">
        <v>0</v>
      </c>
      <c r="CB37" s="10">
        <f>0/$CB$1</f>
        <v>0</v>
      </c>
      <c r="CD37">
        <v>0</v>
      </c>
      <c r="CF37" s="10">
        <f>0/$CF$1</f>
        <v>0</v>
      </c>
      <c r="CH37">
        <v>0</v>
      </c>
      <c r="CJ37" s="10">
        <f>0/$CJ$1</f>
        <v>0</v>
      </c>
      <c r="CL37">
        <v>0</v>
      </c>
      <c r="CN37" s="10">
        <f>0/$CN$1</f>
        <v>0</v>
      </c>
      <c r="CP37">
        <v>0</v>
      </c>
      <c r="CR37" s="10">
        <f>0/$CR$1</f>
        <v>0</v>
      </c>
      <c r="CT37">
        <v>0</v>
      </c>
      <c r="CV37" s="10">
        <f>0/$CV$1</f>
        <v>0</v>
      </c>
      <c r="CX37">
        <v>0</v>
      </c>
      <c r="CZ37" s="10">
        <f>0/$CZ$1</f>
        <v>0</v>
      </c>
    </row>
    <row r="38" spans="1:104" s="12" customFormat="1" x14ac:dyDescent="0.25">
      <c r="A38" s="9" t="s">
        <v>35</v>
      </c>
      <c r="B38" s="12">
        <v>877</v>
      </c>
      <c r="D38" s="10">
        <f>877/$D$1</f>
        <v>0.877</v>
      </c>
      <c r="F38" s="12">
        <v>418</v>
      </c>
      <c r="H38" s="10">
        <f>418/$H$1</f>
        <v>0.83433133732534925</v>
      </c>
      <c r="J38" s="12">
        <v>459</v>
      </c>
      <c r="L38" s="10">
        <f>459/$L$1</f>
        <v>0.91983967935871747</v>
      </c>
      <c r="N38" s="12">
        <v>90</v>
      </c>
      <c r="P38" s="10">
        <f>90/$P$1</f>
        <v>0.92783505154639179</v>
      </c>
      <c r="R38" s="12">
        <v>171</v>
      </c>
      <c r="T38" s="10">
        <f>171/$T$1</f>
        <v>0.86363636363636365</v>
      </c>
      <c r="V38" s="12">
        <v>207</v>
      </c>
      <c r="X38" s="10">
        <f>207/$X$1</f>
        <v>0.85892116182572609</v>
      </c>
      <c r="Z38" s="12">
        <v>182</v>
      </c>
      <c r="AB38" s="10">
        <f>182/$AB$1</f>
        <v>0.91919191919191923</v>
      </c>
      <c r="AD38" s="12">
        <v>134</v>
      </c>
      <c r="AF38" s="10">
        <f>134/$AF$1</f>
        <v>0.87012987012987009</v>
      </c>
      <c r="AH38" s="12">
        <v>100</v>
      </c>
      <c r="AJ38" s="10">
        <f>100/$AJ$1</f>
        <v>0.83333333333333337</v>
      </c>
      <c r="AL38" s="12">
        <v>332</v>
      </c>
      <c r="AN38" s="10">
        <f>332/$AN$1</f>
        <v>0.89729729729729735</v>
      </c>
      <c r="AP38" s="12">
        <v>329</v>
      </c>
      <c r="AR38" s="10">
        <f>329/$AR$1</f>
        <v>0.87037037037037035</v>
      </c>
      <c r="AT38" s="12">
        <v>216</v>
      </c>
      <c r="AV38" s="10">
        <f>216/$AV$1</f>
        <v>0.8571428571428571</v>
      </c>
      <c r="AX38" s="12">
        <v>249</v>
      </c>
      <c r="AZ38" s="10">
        <f>249/$AZ$1</f>
        <v>0.91208791208791207</v>
      </c>
      <c r="BA38" s="10"/>
      <c r="BB38" s="12">
        <v>185</v>
      </c>
      <c r="BD38" s="10">
        <f>185/$BD$1</f>
        <v>0.91133004926108374</v>
      </c>
      <c r="BF38" s="12">
        <v>181</v>
      </c>
      <c r="BH38" s="10">
        <f>181/$BH$1</f>
        <v>0.8418604651162791</v>
      </c>
      <c r="BJ38" s="12">
        <v>262</v>
      </c>
      <c r="BL38" s="10">
        <f>262/$BL$1</f>
        <v>0.84789644012944987</v>
      </c>
      <c r="BN38" s="12">
        <v>43</v>
      </c>
      <c r="BP38" s="10">
        <f>43/$BP$1</f>
        <v>0.91489361702127658</v>
      </c>
      <c r="BR38" s="12">
        <v>280</v>
      </c>
      <c r="BT38" s="10">
        <f>280/$BT$1</f>
        <v>0.89171974522292996</v>
      </c>
      <c r="BV38" s="12">
        <v>346</v>
      </c>
      <c r="BX38" s="10">
        <f>346/$BX$1</f>
        <v>0.88040712468193383</v>
      </c>
      <c r="BZ38" s="12">
        <v>208</v>
      </c>
      <c r="CB38" s="10">
        <f>208/$CB$1</f>
        <v>0.84552845528455289</v>
      </c>
      <c r="CD38" s="12">
        <v>0</v>
      </c>
      <c r="CF38" s="10">
        <f>0/$CF$1</f>
        <v>0</v>
      </c>
      <c r="CH38" s="12">
        <v>688</v>
      </c>
      <c r="CJ38" s="10">
        <f>688/$CJ$1</f>
        <v>1</v>
      </c>
      <c r="CL38" s="12">
        <v>688</v>
      </c>
      <c r="CN38" s="10">
        <f>688/$CN$1</f>
        <v>0.90765171503957787</v>
      </c>
      <c r="CP38" s="12">
        <v>189</v>
      </c>
      <c r="CR38" s="10">
        <f>189/$CR$1</f>
        <v>0.78099173553719003</v>
      </c>
      <c r="CT38" s="12">
        <v>270</v>
      </c>
      <c r="CV38" s="10">
        <f>270/$CV$1</f>
        <v>0.81081081081081086</v>
      </c>
      <c r="CX38" s="12">
        <v>607</v>
      </c>
      <c r="CZ38" s="10">
        <f>607/$CZ$1</f>
        <v>0.91004497751124436</v>
      </c>
    </row>
    <row r="40" spans="1:104" s="3" customFormat="1" x14ac:dyDescent="0.25">
      <c r="A40" s="3" t="s">
        <v>1020</v>
      </c>
      <c r="D40" s="4" t="s">
        <v>27</v>
      </c>
      <c r="H40" s="4" t="s">
        <v>27</v>
      </c>
      <c r="L40" s="4" t="s">
        <v>27</v>
      </c>
      <c r="P40" s="4" t="s">
        <v>27</v>
      </c>
      <c r="T40" s="4" t="s">
        <v>27</v>
      </c>
      <c r="X40" s="4" t="s">
        <v>27</v>
      </c>
      <c r="AB40" s="4" t="s">
        <v>27</v>
      </c>
      <c r="AF40" s="4" t="s">
        <v>27</v>
      </c>
      <c r="AJ40" s="4" t="s">
        <v>27</v>
      </c>
      <c r="AN40" s="4" t="s">
        <v>27</v>
      </c>
      <c r="AR40" s="4" t="s">
        <v>27</v>
      </c>
      <c r="AV40" s="4" t="s">
        <v>27</v>
      </c>
      <c r="AZ40" s="4" t="s">
        <v>27</v>
      </c>
      <c r="BA40" s="4"/>
      <c r="BD40" s="4" t="s">
        <v>27</v>
      </c>
      <c r="BH40" s="4" t="s">
        <v>27</v>
      </c>
      <c r="BL40" s="4" t="s">
        <v>27</v>
      </c>
      <c r="BP40" s="4" t="s">
        <v>27</v>
      </c>
      <c r="BT40" s="4" t="s">
        <v>27</v>
      </c>
      <c r="BX40" s="4" t="s">
        <v>27</v>
      </c>
      <c r="CB40" s="4" t="s">
        <v>27</v>
      </c>
      <c r="CF40" s="4" t="s">
        <v>27</v>
      </c>
      <c r="CJ40" s="4" t="s">
        <v>27</v>
      </c>
      <c r="CN40" s="4" t="s">
        <v>27</v>
      </c>
      <c r="CR40" s="4" t="s">
        <v>27</v>
      </c>
      <c r="CV40" s="4" t="s">
        <v>27</v>
      </c>
      <c r="CZ40" s="4" t="s">
        <v>27</v>
      </c>
    </row>
    <row r="41" spans="1:104" x14ac:dyDescent="0.25">
      <c r="A41" s="1" t="s">
        <v>1021</v>
      </c>
      <c r="B41">
        <v>758</v>
      </c>
      <c r="C41" s="5">
        <f>B41/B44</f>
        <v>0.75800000000000001</v>
      </c>
      <c r="D41" s="5">
        <f>758/$D$1</f>
        <v>0.75800000000000001</v>
      </c>
      <c r="F41">
        <v>342</v>
      </c>
      <c r="G41" s="5">
        <f>F41/F44</f>
        <v>0.68263473053892221</v>
      </c>
      <c r="H41" s="5">
        <f>342/$H$1</f>
        <v>0.68263473053892221</v>
      </c>
      <c r="J41">
        <v>416</v>
      </c>
      <c r="K41" s="5">
        <f>J41/J44</f>
        <v>0.83366733466933862</v>
      </c>
      <c r="L41" s="5">
        <f>416/$L$1</f>
        <v>0.83366733466933862</v>
      </c>
      <c r="N41">
        <v>82</v>
      </c>
      <c r="O41" s="5">
        <f>N41/N44</f>
        <v>0.84536082474226804</v>
      </c>
      <c r="P41" s="5">
        <f>82/$P$1</f>
        <v>0.84536082474226804</v>
      </c>
      <c r="R41">
        <v>157</v>
      </c>
      <c r="S41" s="5">
        <f>R41/R44</f>
        <v>0.79292929292929293</v>
      </c>
      <c r="T41" s="5">
        <f>157/$T$1</f>
        <v>0.79292929292929293</v>
      </c>
      <c r="V41">
        <v>182</v>
      </c>
      <c r="W41" s="5">
        <f>V41/V44</f>
        <v>0.75518672199170123</v>
      </c>
      <c r="X41" s="5">
        <f>182/$X$1</f>
        <v>0.75518672199170123</v>
      </c>
      <c r="Z41">
        <v>147</v>
      </c>
      <c r="AA41" s="5">
        <f>Z41/Z44</f>
        <v>0.74242424242424243</v>
      </c>
      <c r="AB41" s="5">
        <f>147/$AB$1</f>
        <v>0.74242424242424243</v>
      </c>
      <c r="AD41">
        <v>112</v>
      </c>
      <c r="AE41" s="5">
        <f>AD41/AD44</f>
        <v>0.72727272727272729</v>
      </c>
      <c r="AF41" s="5">
        <f>112/$AF$1</f>
        <v>0.72727272727272729</v>
      </c>
      <c r="AH41">
        <v>84</v>
      </c>
      <c r="AI41" s="5">
        <f>AH41/AH44</f>
        <v>0.7</v>
      </c>
      <c r="AJ41" s="5">
        <f>84/$AJ$1</f>
        <v>0.7</v>
      </c>
      <c r="AL41">
        <v>290</v>
      </c>
      <c r="AM41" s="5">
        <f>AL41/AL44</f>
        <v>0.78378378378378377</v>
      </c>
      <c r="AN41" s="5">
        <f>290/$AN$1</f>
        <v>0.78378378378378377</v>
      </c>
      <c r="AP41">
        <v>283</v>
      </c>
      <c r="AQ41" s="5">
        <f>AP41/AP44</f>
        <v>0.74867724867724872</v>
      </c>
      <c r="AR41" s="5">
        <f>283/$AR$1</f>
        <v>0.74867724867724872</v>
      </c>
      <c r="AT41">
        <v>185</v>
      </c>
      <c r="AU41" s="5">
        <f>AT41/AT44</f>
        <v>0.73412698412698407</v>
      </c>
      <c r="AV41" s="5">
        <f>185/$AV$1</f>
        <v>0.73412698412698407</v>
      </c>
      <c r="AX41">
        <v>206</v>
      </c>
      <c r="AY41" s="5">
        <f>AX41/AX44</f>
        <v>0.75457875457875456</v>
      </c>
      <c r="AZ41" s="5">
        <f>206/$AZ$1</f>
        <v>0.75457875457875456</v>
      </c>
      <c r="BA41" s="5"/>
      <c r="BB41">
        <v>149</v>
      </c>
      <c r="BC41" s="5">
        <f>BB41/BB44</f>
        <v>0.73399014778325122</v>
      </c>
      <c r="BD41" s="5">
        <f>149/$BD$1</f>
        <v>0.73399014778325122</v>
      </c>
      <c r="BF41">
        <v>172</v>
      </c>
      <c r="BG41" s="5">
        <f>BF41/BF44</f>
        <v>0.8</v>
      </c>
      <c r="BH41" s="5">
        <f>172/$BH$1</f>
        <v>0.8</v>
      </c>
      <c r="BJ41">
        <v>231</v>
      </c>
      <c r="BK41" s="5">
        <f>BJ41/BJ44</f>
        <v>0.74757281553398058</v>
      </c>
      <c r="BL41" s="5">
        <f>231/$BL$1</f>
        <v>0.74757281553398058</v>
      </c>
      <c r="BN41">
        <v>41</v>
      </c>
      <c r="BO41" s="5">
        <f>BN41/BN44</f>
        <v>0.87234042553191493</v>
      </c>
      <c r="BP41" s="5">
        <f>41/$BP$1</f>
        <v>0.87234042553191493</v>
      </c>
      <c r="BR41">
        <v>242</v>
      </c>
      <c r="BS41" s="5">
        <f>BR41/BR44</f>
        <v>0.77070063694267521</v>
      </c>
      <c r="BT41" s="5">
        <f>242/$BT$1</f>
        <v>0.77070063694267521</v>
      </c>
      <c r="BV41">
        <v>291</v>
      </c>
      <c r="BW41" s="5">
        <f>BV41/BV44</f>
        <v>0.74045801526717558</v>
      </c>
      <c r="BX41" s="5">
        <f>291/$BX$1</f>
        <v>0.74045801526717558</v>
      </c>
      <c r="BZ41">
        <v>184</v>
      </c>
      <c r="CA41" s="5">
        <f>BZ41/BZ44</f>
        <v>0.74796747967479671</v>
      </c>
      <c r="CB41" s="5">
        <f>184/$CB$1</f>
        <v>0.74796747967479671</v>
      </c>
      <c r="CD41">
        <v>70</v>
      </c>
      <c r="CE41" s="5">
        <f>CD41/CD44</f>
        <v>0.56910569105691056</v>
      </c>
      <c r="CF41" s="5">
        <f>70/$CF$1</f>
        <v>0.56910569105691056</v>
      </c>
      <c r="CH41">
        <v>582</v>
      </c>
      <c r="CI41" s="5">
        <f>CH41/CH44</f>
        <v>0.84593023255813948</v>
      </c>
      <c r="CJ41" s="5">
        <f>582/$CJ$1</f>
        <v>0.84593023255813948</v>
      </c>
      <c r="CL41">
        <v>758</v>
      </c>
      <c r="CM41" s="5">
        <f>CL41/CL44</f>
        <v>1</v>
      </c>
      <c r="CN41" s="5">
        <f>758/$CN$1</f>
        <v>1</v>
      </c>
      <c r="CP41">
        <v>0</v>
      </c>
      <c r="CQ41" s="5">
        <f>CP41/CP44</f>
        <v>0</v>
      </c>
      <c r="CR41" s="5">
        <f>0/$CR$1</f>
        <v>0</v>
      </c>
      <c r="CT41">
        <v>261</v>
      </c>
      <c r="CU41" s="5">
        <f>CT41/CT44</f>
        <v>0.78378378378378377</v>
      </c>
      <c r="CV41" s="5">
        <f>261/$CV$1</f>
        <v>0.78378378378378377</v>
      </c>
      <c r="CX41">
        <v>497</v>
      </c>
      <c r="CY41" s="5">
        <f>CX41/CX44</f>
        <v>0.74512743628185907</v>
      </c>
      <c r="CZ41" s="5">
        <f>497/$CZ$1</f>
        <v>0.74512743628185907</v>
      </c>
    </row>
    <row r="42" spans="1:104" x14ac:dyDescent="0.25">
      <c r="A42" s="1" t="s">
        <v>1022</v>
      </c>
      <c r="B42">
        <v>242</v>
      </c>
      <c r="C42" s="5">
        <f>B42/B44</f>
        <v>0.24199999999999999</v>
      </c>
      <c r="D42" s="5">
        <f>242/$D$1</f>
        <v>0.24199999999999999</v>
      </c>
      <c r="F42">
        <v>159</v>
      </c>
      <c r="G42" s="5">
        <f>F42/F44</f>
        <v>0.31736526946107785</v>
      </c>
      <c r="H42" s="5">
        <f>159/$H$1</f>
        <v>0.31736526946107785</v>
      </c>
      <c r="J42">
        <v>83</v>
      </c>
      <c r="K42" s="5">
        <f>J42/J44</f>
        <v>0.16633266533066132</v>
      </c>
      <c r="L42" s="5">
        <f>83/$L$1</f>
        <v>0.16633266533066132</v>
      </c>
      <c r="N42">
        <v>15</v>
      </c>
      <c r="O42" s="5">
        <f>N42/N44</f>
        <v>0.15463917525773196</v>
      </c>
      <c r="P42" s="5">
        <f>15/$P$1</f>
        <v>0.15463917525773196</v>
      </c>
      <c r="R42">
        <v>41</v>
      </c>
      <c r="S42" s="5">
        <f>R42/R44</f>
        <v>0.20707070707070707</v>
      </c>
      <c r="T42" s="5">
        <f>41/$T$1</f>
        <v>0.20707070707070707</v>
      </c>
      <c r="V42">
        <v>59</v>
      </c>
      <c r="W42" s="5">
        <f>V42/V44</f>
        <v>0.24481327800829875</v>
      </c>
      <c r="X42" s="5">
        <f>59/$X$1</f>
        <v>0.24481327800829875</v>
      </c>
      <c r="Z42">
        <v>51</v>
      </c>
      <c r="AA42" s="5">
        <f>Z42/Z44</f>
        <v>0.25757575757575757</v>
      </c>
      <c r="AB42" s="5">
        <f>51/$AB$1</f>
        <v>0.25757575757575757</v>
      </c>
      <c r="AD42">
        <v>42</v>
      </c>
      <c r="AE42" s="5">
        <f>AD42/AD44</f>
        <v>0.27272727272727271</v>
      </c>
      <c r="AF42" s="5">
        <f>42/$AF$1</f>
        <v>0.27272727272727271</v>
      </c>
      <c r="AH42">
        <v>36</v>
      </c>
      <c r="AI42" s="5">
        <f>AH42/AH44</f>
        <v>0.3</v>
      </c>
      <c r="AJ42" s="5">
        <f>36/$AJ$1</f>
        <v>0.3</v>
      </c>
      <c r="AL42">
        <v>80</v>
      </c>
      <c r="AM42" s="5">
        <f>AL42/AL44</f>
        <v>0.21621621621621623</v>
      </c>
      <c r="AN42" s="5">
        <f>80/$AN$1</f>
        <v>0.21621621621621623</v>
      </c>
      <c r="AP42">
        <v>95</v>
      </c>
      <c r="AQ42" s="5">
        <f>AP42/AP44</f>
        <v>0.25132275132275134</v>
      </c>
      <c r="AR42" s="5">
        <f>95/$AR$1</f>
        <v>0.25132275132275134</v>
      </c>
      <c r="AT42">
        <v>67</v>
      </c>
      <c r="AU42" s="5">
        <f>AT42/AT44</f>
        <v>0.26587301587301587</v>
      </c>
      <c r="AV42" s="5">
        <f>67/$AV$1</f>
        <v>0.26587301587301587</v>
      </c>
      <c r="AX42">
        <v>67</v>
      </c>
      <c r="AY42" s="5">
        <f>AX42/AX44</f>
        <v>0.24542124542124541</v>
      </c>
      <c r="AZ42" s="5">
        <f>67/$AZ$1</f>
        <v>0.24542124542124541</v>
      </c>
      <c r="BA42" s="5"/>
      <c r="BB42">
        <v>54</v>
      </c>
      <c r="BC42" s="5">
        <f>BB42/BB44</f>
        <v>0.26600985221674878</v>
      </c>
      <c r="BD42" s="5">
        <f>54/$BD$1</f>
        <v>0.26600985221674878</v>
      </c>
      <c r="BF42">
        <v>43</v>
      </c>
      <c r="BG42" s="5">
        <f>BF42/BF44</f>
        <v>0.2</v>
      </c>
      <c r="BH42" s="5">
        <f>43/$BH$1</f>
        <v>0.2</v>
      </c>
      <c r="BJ42">
        <v>78</v>
      </c>
      <c r="BK42" s="5">
        <f>BJ42/BJ44</f>
        <v>0.25242718446601942</v>
      </c>
      <c r="BL42" s="5">
        <f>78/$BL$1</f>
        <v>0.25242718446601942</v>
      </c>
      <c r="BN42">
        <v>6</v>
      </c>
      <c r="BO42" s="5">
        <f>BN42/BN44</f>
        <v>0.1276595744680851</v>
      </c>
      <c r="BP42" s="5">
        <f>6/$BP$1</f>
        <v>0.1276595744680851</v>
      </c>
      <c r="BR42">
        <v>72</v>
      </c>
      <c r="BS42" s="5">
        <f>BR42/BR44</f>
        <v>0.22929936305732485</v>
      </c>
      <c r="BT42" s="5">
        <f>72/$BT$1</f>
        <v>0.22929936305732485</v>
      </c>
      <c r="BV42">
        <v>102</v>
      </c>
      <c r="BW42" s="5">
        <f>BV42/BV44</f>
        <v>0.25954198473282442</v>
      </c>
      <c r="BX42" s="5">
        <f>102/$BX$1</f>
        <v>0.25954198473282442</v>
      </c>
      <c r="BZ42">
        <v>62</v>
      </c>
      <c r="CA42" s="5">
        <f>BZ42/BZ44</f>
        <v>0.25203252032520324</v>
      </c>
      <c r="CB42" s="5">
        <f>62/$CB$1</f>
        <v>0.25203252032520324</v>
      </c>
      <c r="CD42">
        <v>53</v>
      </c>
      <c r="CE42" s="5">
        <f>CD42/CD44</f>
        <v>0.43089430894308944</v>
      </c>
      <c r="CF42" s="5">
        <f>53/$CF$1</f>
        <v>0.43089430894308944</v>
      </c>
      <c r="CH42">
        <v>106</v>
      </c>
      <c r="CI42" s="5">
        <f>CH42/CH44</f>
        <v>0.15406976744186046</v>
      </c>
      <c r="CJ42" s="5">
        <f>106/$CJ$1</f>
        <v>0.15406976744186046</v>
      </c>
      <c r="CL42">
        <v>0</v>
      </c>
      <c r="CM42" s="5">
        <f>CL42/CL44</f>
        <v>0</v>
      </c>
      <c r="CN42" s="5">
        <f>0/$CN$1</f>
        <v>0</v>
      </c>
      <c r="CP42">
        <v>242</v>
      </c>
      <c r="CQ42" s="5">
        <f>CP42/CP44</f>
        <v>1</v>
      </c>
      <c r="CR42" s="5">
        <f>242/$CR$1</f>
        <v>1</v>
      </c>
      <c r="CT42">
        <v>72</v>
      </c>
      <c r="CU42" s="5">
        <f>CT42/CT44</f>
        <v>0.21621621621621623</v>
      </c>
      <c r="CV42" s="5">
        <f>72/$CV$1</f>
        <v>0.21621621621621623</v>
      </c>
      <c r="CX42">
        <v>170</v>
      </c>
      <c r="CY42" s="5">
        <f>CX42/CX44</f>
        <v>0.25487256371814093</v>
      </c>
      <c r="CZ42" s="5">
        <f>170/$CZ$1</f>
        <v>0.25487256371814093</v>
      </c>
    </row>
    <row r="43" spans="1:104" x14ac:dyDescent="0.25">
      <c r="A43" s="1" t="s">
        <v>32</v>
      </c>
      <c r="B43">
        <v>0</v>
      </c>
      <c r="C43" s="5">
        <f>B43/B44</f>
        <v>0</v>
      </c>
      <c r="D43" s="5">
        <f>0/$D$1</f>
        <v>0</v>
      </c>
      <c r="F43">
        <v>0</v>
      </c>
      <c r="G43" s="5">
        <f>F43/F44</f>
        <v>0</v>
      </c>
      <c r="H43" s="5">
        <f>0/$H$1</f>
        <v>0</v>
      </c>
      <c r="J43">
        <v>0</v>
      </c>
      <c r="K43" s="5">
        <f>J43/J44</f>
        <v>0</v>
      </c>
      <c r="L43" s="5">
        <f>0/$L$1</f>
        <v>0</v>
      </c>
      <c r="N43">
        <v>0</v>
      </c>
      <c r="O43" s="5">
        <f>N43/N44</f>
        <v>0</v>
      </c>
      <c r="P43" s="5">
        <f>0/$P$1</f>
        <v>0</v>
      </c>
      <c r="R43">
        <v>0</v>
      </c>
      <c r="S43" s="5">
        <f>R43/R44</f>
        <v>0</v>
      </c>
      <c r="T43" s="5">
        <f>0/$T$1</f>
        <v>0</v>
      </c>
      <c r="V43">
        <v>0</v>
      </c>
      <c r="W43" s="5">
        <f>V43/V44</f>
        <v>0</v>
      </c>
      <c r="X43" s="5">
        <f>0/$X$1</f>
        <v>0</v>
      </c>
      <c r="Z43">
        <v>0</v>
      </c>
      <c r="AA43" s="5">
        <f>Z43/Z44</f>
        <v>0</v>
      </c>
      <c r="AB43" s="5">
        <f>0/$AB$1</f>
        <v>0</v>
      </c>
      <c r="AD43">
        <v>0</v>
      </c>
      <c r="AE43" s="5">
        <f>AD43/AD44</f>
        <v>0</v>
      </c>
      <c r="AF43" s="5">
        <f>0/$AF$1</f>
        <v>0</v>
      </c>
      <c r="AH43">
        <v>0</v>
      </c>
      <c r="AI43" s="5">
        <f>AH43/AH44</f>
        <v>0</v>
      </c>
      <c r="AJ43" s="5">
        <f>0/$AJ$1</f>
        <v>0</v>
      </c>
      <c r="AL43">
        <v>0</v>
      </c>
      <c r="AM43" s="5">
        <f>AL43/AL44</f>
        <v>0</v>
      </c>
      <c r="AN43" s="5">
        <f>0/$AN$1</f>
        <v>0</v>
      </c>
      <c r="AP43">
        <v>0</v>
      </c>
      <c r="AQ43" s="5">
        <f>AP43/AP44</f>
        <v>0</v>
      </c>
      <c r="AR43" s="5">
        <f>0/$AR$1</f>
        <v>0</v>
      </c>
      <c r="AT43">
        <v>0</v>
      </c>
      <c r="AU43" s="5">
        <f>AT43/AT44</f>
        <v>0</v>
      </c>
      <c r="AV43" s="5">
        <f>0/$AV$1</f>
        <v>0</v>
      </c>
      <c r="AX43">
        <v>0</v>
      </c>
      <c r="AY43" s="5">
        <f>AX43/AX44</f>
        <v>0</v>
      </c>
      <c r="AZ43" s="5">
        <f>0/$AZ$1</f>
        <v>0</v>
      </c>
      <c r="BA43" s="5"/>
      <c r="BB43">
        <v>0</v>
      </c>
      <c r="BC43" s="5">
        <f>BB43/BB44</f>
        <v>0</v>
      </c>
      <c r="BD43" s="5">
        <f>0/$BD$1</f>
        <v>0</v>
      </c>
      <c r="BF43">
        <v>0</v>
      </c>
      <c r="BG43" s="5">
        <f>BF43/BF44</f>
        <v>0</v>
      </c>
      <c r="BH43" s="5">
        <f>0/$BH$1</f>
        <v>0</v>
      </c>
      <c r="BJ43">
        <v>0</v>
      </c>
      <c r="BK43" s="5">
        <f>BJ43/BJ44</f>
        <v>0</v>
      </c>
      <c r="BL43" s="5">
        <f>0/$BL$1</f>
        <v>0</v>
      </c>
      <c r="BN43">
        <v>0</v>
      </c>
      <c r="BO43" s="5">
        <f>BN43/BN44</f>
        <v>0</v>
      </c>
      <c r="BP43" s="5">
        <f>0/$BP$1</f>
        <v>0</v>
      </c>
      <c r="BR43">
        <v>0</v>
      </c>
      <c r="BS43" s="5">
        <f>BR43/BR44</f>
        <v>0</v>
      </c>
      <c r="BT43" s="5">
        <f>0/$BT$1</f>
        <v>0</v>
      </c>
      <c r="BV43">
        <v>0</v>
      </c>
      <c r="BW43" s="5">
        <f>BV43/BV44</f>
        <v>0</v>
      </c>
      <c r="BX43" s="5">
        <f>0/$BX$1</f>
        <v>0</v>
      </c>
      <c r="BZ43">
        <v>0</v>
      </c>
      <c r="CA43" s="5">
        <f>BZ43/BZ44</f>
        <v>0</v>
      </c>
      <c r="CB43" s="5">
        <f>0/$CB$1</f>
        <v>0</v>
      </c>
      <c r="CD43">
        <v>0</v>
      </c>
      <c r="CE43" s="5">
        <f>CD43/CD44</f>
        <v>0</v>
      </c>
      <c r="CF43" s="5">
        <f>0/$CF$1</f>
        <v>0</v>
      </c>
      <c r="CH43">
        <v>0</v>
      </c>
      <c r="CI43" s="5">
        <f>CH43/CH44</f>
        <v>0</v>
      </c>
      <c r="CJ43" s="5">
        <f>0/$CJ$1</f>
        <v>0</v>
      </c>
      <c r="CL43">
        <v>0</v>
      </c>
      <c r="CM43" s="5">
        <f>CL43/CL44</f>
        <v>0</v>
      </c>
      <c r="CN43" s="5">
        <f>0/$CN$1</f>
        <v>0</v>
      </c>
      <c r="CP43">
        <v>0</v>
      </c>
      <c r="CQ43" s="5">
        <f>CP43/CP44</f>
        <v>0</v>
      </c>
      <c r="CR43" s="5">
        <f>0/$CR$1</f>
        <v>0</v>
      </c>
      <c r="CT43">
        <v>0</v>
      </c>
      <c r="CU43" s="5">
        <f>CT43/CT44</f>
        <v>0</v>
      </c>
      <c r="CV43" s="5">
        <f>0/$CV$1</f>
        <v>0</v>
      </c>
      <c r="CX43">
        <v>0</v>
      </c>
      <c r="CY43" s="5">
        <f>CX43/CX44</f>
        <v>0</v>
      </c>
      <c r="CZ43" s="5">
        <f>0/$CZ$1</f>
        <v>0</v>
      </c>
    </row>
    <row r="44" spans="1:104" s="6" customFormat="1" x14ac:dyDescent="0.25">
      <c r="A44" s="7" t="s">
        <v>33</v>
      </c>
      <c r="B44" s="6">
        <v>1000</v>
      </c>
      <c r="D44" s="8">
        <f>1000/$D$1</f>
        <v>1</v>
      </c>
      <c r="F44" s="6">
        <v>501</v>
      </c>
      <c r="H44" s="8">
        <f>501/$H$1</f>
        <v>1</v>
      </c>
      <c r="J44" s="6">
        <v>499</v>
      </c>
      <c r="L44" s="8">
        <f>499/$L$1</f>
        <v>1</v>
      </c>
      <c r="N44" s="6">
        <v>97</v>
      </c>
      <c r="P44" s="8">
        <f>97/$P$1</f>
        <v>1</v>
      </c>
      <c r="R44" s="6">
        <v>198</v>
      </c>
      <c r="T44" s="8">
        <f>198/$T$1</f>
        <v>1</v>
      </c>
      <c r="V44" s="6">
        <v>241</v>
      </c>
      <c r="X44" s="8">
        <f>241/$X$1</f>
        <v>1</v>
      </c>
      <c r="Z44" s="6">
        <v>198</v>
      </c>
      <c r="AB44" s="8">
        <f>198/$AB$1</f>
        <v>1</v>
      </c>
      <c r="AD44" s="6">
        <v>154</v>
      </c>
      <c r="AF44" s="8">
        <f>154/$AF$1</f>
        <v>1</v>
      </c>
      <c r="AH44" s="6">
        <v>120</v>
      </c>
      <c r="AJ44" s="8">
        <f>120/$AJ$1</f>
        <v>1</v>
      </c>
      <c r="AL44" s="6">
        <v>370</v>
      </c>
      <c r="AN44" s="8">
        <f>370/$AN$1</f>
        <v>1</v>
      </c>
      <c r="AP44" s="6">
        <v>378</v>
      </c>
      <c r="AR44" s="8">
        <f>378/$AR$1</f>
        <v>1</v>
      </c>
      <c r="AT44" s="6">
        <v>252</v>
      </c>
      <c r="AV44" s="8">
        <f>252/$AV$1</f>
        <v>1</v>
      </c>
      <c r="AX44" s="6">
        <v>273</v>
      </c>
      <c r="AZ44" s="8">
        <f>273/$AZ$1</f>
        <v>1</v>
      </c>
      <c r="BA44" s="8"/>
      <c r="BB44" s="6">
        <v>203</v>
      </c>
      <c r="BD44" s="8">
        <f>203/$BD$1</f>
        <v>1</v>
      </c>
      <c r="BF44" s="6">
        <v>215</v>
      </c>
      <c r="BH44" s="8">
        <f>215/$BH$1</f>
        <v>1</v>
      </c>
      <c r="BJ44" s="6">
        <v>309</v>
      </c>
      <c r="BL44" s="8">
        <f>309/$BL$1</f>
        <v>1</v>
      </c>
      <c r="BN44" s="6">
        <v>47</v>
      </c>
      <c r="BP44" s="8">
        <f>47/$BP$1</f>
        <v>1</v>
      </c>
      <c r="BR44" s="6">
        <v>314</v>
      </c>
      <c r="BT44" s="8">
        <f>314/$BT$1</f>
        <v>1</v>
      </c>
      <c r="BV44" s="6">
        <v>393</v>
      </c>
      <c r="BX44" s="8">
        <f>393/$BX$1</f>
        <v>1</v>
      </c>
      <c r="BZ44" s="6">
        <v>246</v>
      </c>
      <c r="CB44" s="8">
        <f>246/$CB$1</f>
        <v>1</v>
      </c>
      <c r="CD44" s="6">
        <v>123</v>
      </c>
      <c r="CF44" s="8">
        <f>123/$CF$1</f>
        <v>1</v>
      </c>
      <c r="CH44" s="6">
        <v>688</v>
      </c>
      <c r="CJ44" s="8">
        <f>688/$CJ$1</f>
        <v>1</v>
      </c>
      <c r="CL44" s="6">
        <v>758</v>
      </c>
      <c r="CN44" s="8">
        <f>758/$CN$1</f>
        <v>1</v>
      </c>
      <c r="CP44" s="6">
        <v>242</v>
      </c>
      <c r="CR44" s="8">
        <f>242/$CR$1</f>
        <v>1</v>
      </c>
      <c r="CT44" s="6">
        <v>333</v>
      </c>
      <c r="CV44" s="8">
        <f>333/$CV$1</f>
        <v>1</v>
      </c>
      <c r="CX44" s="6">
        <v>667</v>
      </c>
      <c r="CZ44" s="8">
        <f>667/$CZ$1</f>
        <v>1</v>
      </c>
    </row>
    <row r="45" spans="1:104" ht="15" hidden="1" customHeight="1" x14ac:dyDescent="0.25">
      <c r="A45" s="9" t="s">
        <v>34</v>
      </c>
      <c r="B45">
        <v>0</v>
      </c>
      <c r="D45" s="10">
        <f>0/$D$1</f>
        <v>0</v>
      </c>
      <c r="F45">
        <v>0</v>
      </c>
      <c r="H45" s="10">
        <f>0/$H$1</f>
        <v>0</v>
      </c>
      <c r="J45">
        <v>0</v>
      </c>
      <c r="L45" s="10">
        <f>0/$L$1</f>
        <v>0</v>
      </c>
      <c r="N45">
        <v>0</v>
      </c>
      <c r="P45" s="10">
        <f>0/$P$1</f>
        <v>0</v>
      </c>
      <c r="R45">
        <v>0</v>
      </c>
      <c r="T45" s="10">
        <f>0/$T$1</f>
        <v>0</v>
      </c>
      <c r="V45">
        <v>0</v>
      </c>
      <c r="X45" s="10">
        <f>0/$X$1</f>
        <v>0</v>
      </c>
      <c r="Z45">
        <v>0</v>
      </c>
      <c r="AB45" s="10">
        <f>0/$AB$1</f>
        <v>0</v>
      </c>
      <c r="AD45">
        <v>0</v>
      </c>
      <c r="AF45" s="10">
        <f>0/$AF$1</f>
        <v>0</v>
      </c>
      <c r="AH45">
        <v>0</v>
      </c>
      <c r="AJ45" s="10">
        <f>0/$AJ$1</f>
        <v>0</v>
      </c>
      <c r="AL45">
        <v>0</v>
      </c>
      <c r="AN45" s="10">
        <f>0/$AN$1</f>
        <v>0</v>
      </c>
      <c r="AP45">
        <v>0</v>
      </c>
      <c r="AR45" s="10">
        <f>0/$AR$1</f>
        <v>0</v>
      </c>
      <c r="AT45">
        <v>0</v>
      </c>
      <c r="AV45" s="10">
        <f>0/$AV$1</f>
        <v>0</v>
      </c>
      <c r="AX45">
        <v>0</v>
      </c>
      <c r="AZ45" s="10">
        <f>0/$AZ$1</f>
        <v>0</v>
      </c>
      <c r="BA45" s="10"/>
      <c r="BB45">
        <v>0</v>
      </c>
      <c r="BD45" s="10">
        <f>0/$BD$1</f>
        <v>0</v>
      </c>
      <c r="BF45">
        <v>0</v>
      </c>
      <c r="BH45" s="10">
        <f>0/$BH$1</f>
        <v>0</v>
      </c>
      <c r="BJ45">
        <v>0</v>
      </c>
      <c r="BL45" s="10">
        <f>0/$BL$1</f>
        <v>0</v>
      </c>
      <c r="BN45">
        <v>0</v>
      </c>
      <c r="BP45" s="10">
        <f>0/$BP$1</f>
        <v>0</v>
      </c>
      <c r="BR45">
        <v>0</v>
      </c>
      <c r="BT45" s="10">
        <f>0/$BT$1</f>
        <v>0</v>
      </c>
      <c r="BV45">
        <v>0</v>
      </c>
      <c r="BX45" s="10">
        <f>0/$BX$1</f>
        <v>0</v>
      </c>
      <c r="BZ45">
        <v>0</v>
      </c>
      <c r="CB45" s="10">
        <f>0/$CB$1</f>
        <v>0</v>
      </c>
      <c r="CD45">
        <v>0</v>
      </c>
      <c r="CF45" s="10">
        <f>0/$CF$1</f>
        <v>0</v>
      </c>
      <c r="CH45">
        <v>0</v>
      </c>
      <c r="CJ45" s="10">
        <f>0/$CJ$1</f>
        <v>0</v>
      </c>
      <c r="CL45">
        <v>0</v>
      </c>
      <c r="CN45" s="10">
        <f>0/$CN$1</f>
        <v>0</v>
      </c>
      <c r="CP45">
        <v>0</v>
      </c>
      <c r="CR45" s="10">
        <f>0/$CR$1</f>
        <v>0</v>
      </c>
      <c r="CT45">
        <v>0</v>
      </c>
      <c r="CV45" s="10">
        <f>0/$CV$1</f>
        <v>0</v>
      </c>
      <c r="CX45">
        <v>0</v>
      </c>
      <c r="CZ45" s="10">
        <f>0/$CZ$1</f>
        <v>0</v>
      </c>
    </row>
    <row r="46" spans="1:104" ht="15" hidden="1" customHeight="1" x14ac:dyDescent="0.25">
      <c r="A46" s="9" t="s">
        <v>35</v>
      </c>
      <c r="B46">
        <v>0</v>
      </c>
      <c r="D46" s="10">
        <f>0/$D$1</f>
        <v>0</v>
      </c>
      <c r="F46">
        <v>0</v>
      </c>
      <c r="H46" s="10">
        <f>0/$H$1</f>
        <v>0</v>
      </c>
      <c r="J46">
        <v>0</v>
      </c>
      <c r="L46" s="10">
        <f>0/$L$1</f>
        <v>0</v>
      </c>
      <c r="N46">
        <v>0</v>
      </c>
      <c r="P46" s="10">
        <f>0/$P$1</f>
        <v>0</v>
      </c>
      <c r="R46">
        <v>0</v>
      </c>
      <c r="T46" s="10">
        <f>0/$T$1</f>
        <v>0</v>
      </c>
      <c r="V46">
        <v>0</v>
      </c>
      <c r="X46" s="10">
        <f>0/$X$1</f>
        <v>0</v>
      </c>
      <c r="Z46">
        <v>0</v>
      </c>
      <c r="AB46" s="10">
        <f>0/$AB$1</f>
        <v>0</v>
      </c>
      <c r="AD46">
        <v>0</v>
      </c>
      <c r="AF46" s="10">
        <f>0/$AF$1</f>
        <v>0</v>
      </c>
      <c r="AH46">
        <v>0</v>
      </c>
      <c r="AJ46" s="10">
        <f>0/$AJ$1</f>
        <v>0</v>
      </c>
      <c r="AL46">
        <v>0</v>
      </c>
      <c r="AN46" s="10">
        <f>0/$AN$1</f>
        <v>0</v>
      </c>
      <c r="AP46">
        <v>0</v>
      </c>
      <c r="AR46" s="10">
        <f>0/$AR$1</f>
        <v>0</v>
      </c>
      <c r="AT46">
        <v>0</v>
      </c>
      <c r="AV46" s="10">
        <f>0/$AV$1</f>
        <v>0</v>
      </c>
      <c r="AX46">
        <v>0</v>
      </c>
      <c r="AZ46" s="10">
        <f>0/$AZ$1</f>
        <v>0</v>
      </c>
      <c r="BA46" s="10"/>
      <c r="BB46">
        <v>0</v>
      </c>
      <c r="BD46" s="10">
        <f>0/$BD$1</f>
        <v>0</v>
      </c>
      <c r="BF46">
        <v>0</v>
      </c>
      <c r="BH46" s="10">
        <f>0/$BH$1</f>
        <v>0</v>
      </c>
      <c r="BJ46">
        <v>0</v>
      </c>
      <c r="BL46" s="10">
        <f>0/$BL$1</f>
        <v>0</v>
      </c>
      <c r="BN46">
        <v>0</v>
      </c>
      <c r="BP46" s="10">
        <f>0/$BP$1</f>
        <v>0</v>
      </c>
      <c r="BR46">
        <v>0</v>
      </c>
      <c r="BT46" s="10">
        <f>0/$BT$1</f>
        <v>0</v>
      </c>
      <c r="BV46">
        <v>0</v>
      </c>
      <c r="BX46" s="10">
        <f>0/$BX$1</f>
        <v>0</v>
      </c>
      <c r="BZ46">
        <v>0</v>
      </c>
      <c r="CB46" s="10">
        <f>0/$CB$1</f>
        <v>0</v>
      </c>
      <c r="CD46">
        <v>0</v>
      </c>
      <c r="CF46" s="10">
        <f>0/$CF$1</f>
        <v>0</v>
      </c>
      <c r="CH46">
        <v>0</v>
      </c>
      <c r="CJ46" s="10">
        <f>0/$CJ$1</f>
        <v>0</v>
      </c>
      <c r="CL46">
        <v>0</v>
      </c>
      <c r="CN46" s="10">
        <f>0/$CN$1</f>
        <v>0</v>
      </c>
      <c r="CP46">
        <v>0</v>
      </c>
      <c r="CR46" s="10">
        <f>0/$CR$1</f>
        <v>0</v>
      </c>
      <c r="CT46">
        <v>0</v>
      </c>
      <c r="CV46" s="10">
        <f>0/$CV$1</f>
        <v>0</v>
      </c>
      <c r="CX46">
        <v>0</v>
      </c>
      <c r="CZ46" s="10">
        <f>0/$CZ$1</f>
        <v>0</v>
      </c>
    </row>
    <row r="48" spans="1:104" s="3" customFormat="1" x14ac:dyDescent="0.25">
      <c r="A48" s="3" t="s">
        <v>1023</v>
      </c>
      <c r="D48" s="4" t="s">
        <v>27</v>
      </c>
      <c r="H48" s="4" t="s">
        <v>27</v>
      </c>
      <c r="L48" s="4" t="s">
        <v>27</v>
      </c>
      <c r="P48" s="4" t="s">
        <v>27</v>
      </c>
      <c r="T48" s="4" t="s">
        <v>27</v>
      </c>
      <c r="X48" s="4" t="s">
        <v>27</v>
      </c>
      <c r="AB48" s="4" t="s">
        <v>27</v>
      </c>
      <c r="AF48" s="4" t="s">
        <v>27</v>
      </c>
      <c r="AJ48" s="4" t="s">
        <v>27</v>
      </c>
      <c r="AN48" s="4" t="s">
        <v>27</v>
      </c>
      <c r="AR48" s="4" t="s">
        <v>27</v>
      </c>
      <c r="AV48" s="4" t="s">
        <v>27</v>
      </c>
      <c r="AZ48" s="4" t="s">
        <v>27</v>
      </c>
      <c r="BA48" s="4"/>
      <c r="BD48" s="4" t="s">
        <v>27</v>
      </c>
      <c r="BH48" s="4" t="s">
        <v>27</v>
      </c>
      <c r="BL48" s="4" t="s">
        <v>27</v>
      </c>
      <c r="BP48" s="4" t="s">
        <v>27</v>
      </c>
      <c r="BT48" s="4" t="s">
        <v>27</v>
      </c>
      <c r="BX48" s="4" t="s">
        <v>27</v>
      </c>
      <c r="CB48" s="4" t="s">
        <v>27</v>
      </c>
      <c r="CF48" s="4" t="s">
        <v>27</v>
      </c>
      <c r="CJ48" s="4" t="s">
        <v>27</v>
      </c>
      <c r="CN48" s="4" t="s">
        <v>27</v>
      </c>
      <c r="CR48" s="4" t="s">
        <v>27</v>
      </c>
      <c r="CV48" s="4" t="s">
        <v>27</v>
      </c>
      <c r="CZ48" s="4" t="s">
        <v>27</v>
      </c>
    </row>
    <row r="49" spans="1:104" x14ac:dyDescent="0.25">
      <c r="A49" s="1" t="s">
        <v>1024</v>
      </c>
      <c r="B49">
        <v>717</v>
      </c>
      <c r="C49" s="5">
        <f>B49/B53</f>
        <v>0.71699999999999997</v>
      </c>
      <c r="D49" s="5">
        <f>717/$D$1</f>
        <v>0.71699999999999997</v>
      </c>
      <c r="F49">
        <v>326</v>
      </c>
      <c r="G49" s="5">
        <f>F49/F53</f>
        <v>0.65069860279441116</v>
      </c>
      <c r="H49" s="5">
        <f>326/$H$1</f>
        <v>0.65069860279441116</v>
      </c>
      <c r="J49">
        <v>391</v>
      </c>
      <c r="K49" s="5">
        <f>J49/J53</f>
        <v>0.78356713426853708</v>
      </c>
      <c r="L49" s="5">
        <f>391/$L$1</f>
        <v>0.78356713426853708</v>
      </c>
      <c r="N49">
        <v>77</v>
      </c>
      <c r="O49" s="5">
        <f>N49/N53</f>
        <v>0.79381443298969068</v>
      </c>
      <c r="P49" s="5">
        <f>77/$P$1</f>
        <v>0.79381443298969068</v>
      </c>
      <c r="R49">
        <v>153</v>
      </c>
      <c r="S49" s="5">
        <f>R49/R53</f>
        <v>0.77272727272727271</v>
      </c>
      <c r="T49" s="5">
        <f>153/$T$1</f>
        <v>0.77272727272727271</v>
      </c>
      <c r="V49">
        <v>181</v>
      </c>
      <c r="W49" s="5">
        <f>V49/V53</f>
        <v>0.75103734439834025</v>
      </c>
      <c r="X49" s="5">
        <f>181/$X$1</f>
        <v>0.75103734439834025</v>
      </c>
      <c r="Z49">
        <v>138</v>
      </c>
      <c r="AA49" s="5">
        <f>Z49/Z53</f>
        <v>0.69696969696969702</v>
      </c>
      <c r="AB49" s="5">
        <f>138/$AB$1</f>
        <v>0.69696969696969702</v>
      </c>
      <c r="AD49">
        <v>100</v>
      </c>
      <c r="AE49" s="5">
        <f>AD49/AD53</f>
        <v>0.64935064935064934</v>
      </c>
      <c r="AF49" s="5">
        <f>100/$AF$1</f>
        <v>0.64935064935064934</v>
      </c>
      <c r="AH49">
        <v>73</v>
      </c>
      <c r="AI49" s="5">
        <f>AH49/AH53</f>
        <v>0.60833333333333328</v>
      </c>
      <c r="AJ49" s="5">
        <f>73/$AJ$1</f>
        <v>0.60833333333333328</v>
      </c>
      <c r="AL49">
        <v>276</v>
      </c>
      <c r="AM49" s="5">
        <f>AL49/AL53</f>
        <v>0.74594594594594599</v>
      </c>
      <c r="AN49" s="5">
        <f>276/$AN$1</f>
        <v>0.74594594594594599</v>
      </c>
      <c r="AP49">
        <v>263</v>
      </c>
      <c r="AQ49" s="5">
        <f>AP49/AP53</f>
        <v>0.69576719576719581</v>
      </c>
      <c r="AR49" s="5">
        <f>263/$AR$1</f>
        <v>0.69576719576719581</v>
      </c>
      <c r="AT49">
        <v>178</v>
      </c>
      <c r="AU49" s="5">
        <f>AT49/AT53</f>
        <v>0.70634920634920639</v>
      </c>
      <c r="AV49" s="5">
        <f>178/$AV$1</f>
        <v>0.70634920634920639</v>
      </c>
      <c r="AX49">
        <v>201</v>
      </c>
      <c r="AY49" s="5">
        <f>AX49/AX53</f>
        <v>0.73626373626373631</v>
      </c>
      <c r="AZ49" s="5">
        <f>201/$AZ$1</f>
        <v>0.73626373626373631</v>
      </c>
      <c r="BA49" s="5"/>
      <c r="BB49">
        <v>150</v>
      </c>
      <c r="BC49" s="5">
        <f>BB49/BB53</f>
        <v>0.73891625615763545</v>
      </c>
      <c r="BD49" s="5">
        <f>150/$BD$1</f>
        <v>0.73891625615763545</v>
      </c>
      <c r="BF49">
        <v>158</v>
      </c>
      <c r="BG49" s="5">
        <f>BF49/BF53</f>
        <v>0.73488372093023258</v>
      </c>
      <c r="BH49" s="5">
        <f>158/$BH$1</f>
        <v>0.73488372093023258</v>
      </c>
      <c r="BJ49">
        <v>208</v>
      </c>
      <c r="BK49" s="5">
        <f>BJ49/BJ53</f>
        <v>0.67313915857605178</v>
      </c>
      <c r="BL49" s="5">
        <f>208/$BL$1</f>
        <v>0.67313915857605178</v>
      </c>
      <c r="BN49">
        <v>34</v>
      </c>
      <c r="BO49" s="5">
        <f>BN49/BN53</f>
        <v>0.72340425531914898</v>
      </c>
      <c r="BP49" s="5">
        <f>34/$BP$1</f>
        <v>0.72340425531914898</v>
      </c>
      <c r="BR49">
        <v>233</v>
      </c>
      <c r="BS49" s="5">
        <f>BR49/BR53</f>
        <v>0.7420382165605095</v>
      </c>
      <c r="BT49" s="5">
        <f>233/$BT$1</f>
        <v>0.7420382165605095</v>
      </c>
      <c r="BV49">
        <v>279</v>
      </c>
      <c r="BW49" s="5">
        <f>BV49/BV53</f>
        <v>0.70992366412213737</v>
      </c>
      <c r="BX49" s="5">
        <f>279/$BX$1</f>
        <v>0.70992366412213737</v>
      </c>
      <c r="BZ49">
        <v>171</v>
      </c>
      <c r="CA49" s="5">
        <f>BZ49/BZ53</f>
        <v>0.69512195121951215</v>
      </c>
      <c r="CB49" s="5">
        <f>171/$CB$1</f>
        <v>0.69512195121951215</v>
      </c>
      <c r="CD49">
        <v>72</v>
      </c>
      <c r="CE49" s="5">
        <f>CD49/CD53</f>
        <v>0.58536585365853655</v>
      </c>
      <c r="CF49" s="5">
        <f>72/$CF$1</f>
        <v>0.58536585365853655</v>
      </c>
      <c r="CH49">
        <v>538</v>
      </c>
      <c r="CI49" s="5">
        <f>CH49/CH53</f>
        <v>0.78197674418604646</v>
      </c>
      <c r="CJ49" s="5">
        <f>538/$CJ$1</f>
        <v>0.78197674418604646</v>
      </c>
      <c r="CL49">
        <v>639</v>
      </c>
      <c r="CM49" s="5">
        <f>CL49/CL53</f>
        <v>0.84300791556728227</v>
      </c>
      <c r="CN49" s="5">
        <f>639/$CN$1</f>
        <v>0.84300791556728227</v>
      </c>
      <c r="CP49">
        <v>78</v>
      </c>
      <c r="CQ49" s="5">
        <f>CP49/CP53</f>
        <v>0.32231404958677684</v>
      </c>
      <c r="CR49" s="5">
        <f>78/$CR$1</f>
        <v>0.32231404958677684</v>
      </c>
      <c r="CT49">
        <v>252</v>
      </c>
      <c r="CU49" s="5">
        <f>CT49/CT53</f>
        <v>0.7567567567567568</v>
      </c>
      <c r="CV49" s="5">
        <f>252/$CV$1</f>
        <v>0.7567567567567568</v>
      </c>
      <c r="CX49">
        <v>465</v>
      </c>
      <c r="CY49" s="5">
        <f>CX49/CX53</f>
        <v>0.69715142428785604</v>
      </c>
      <c r="CZ49" s="5">
        <f>465/$CZ$1</f>
        <v>0.69715142428785604</v>
      </c>
    </row>
    <row r="50" spans="1:104" x14ac:dyDescent="0.25">
      <c r="A50" s="1" t="s">
        <v>1025</v>
      </c>
      <c r="B50">
        <v>210</v>
      </c>
      <c r="C50" s="5">
        <f>B50/B53</f>
        <v>0.21</v>
      </c>
      <c r="D50" s="5">
        <f>210/$D$1</f>
        <v>0.21</v>
      </c>
      <c r="F50">
        <v>135</v>
      </c>
      <c r="G50" s="5">
        <f>F50/F53</f>
        <v>0.26946107784431139</v>
      </c>
      <c r="H50" s="5">
        <f>135/$H$1</f>
        <v>0.26946107784431139</v>
      </c>
      <c r="J50">
        <v>75</v>
      </c>
      <c r="K50" s="5">
        <f>J50/J53</f>
        <v>0.15030060120240482</v>
      </c>
      <c r="L50" s="5">
        <f>75/$L$1</f>
        <v>0.15030060120240482</v>
      </c>
      <c r="N50">
        <v>13</v>
      </c>
      <c r="O50" s="5">
        <f>N50/N53</f>
        <v>0.13402061855670103</v>
      </c>
      <c r="P50" s="5">
        <f>13/$P$1</f>
        <v>0.13402061855670103</v>
      </c>
      <c r="R50">
        <v>32</v>
      </c>
      <c r="S50" s="5">
        <f>R50/R53</f>
        <v>0.16161616161616163</v>
      </c>
      <c r="T50" s="5">
        <f>32/$T$1</f>
        <v>0.16161616161616163</v>
      </c>
      <c r="V50">
        <v>46</v>
      </c>
      <c r="W50" s="5">
        <f>V50/V53</f>
        <v>0.1908713692946058</v>
      </c>
      <c r="X50" s="5">
        <f>46/$X$1</f>
        <v>0.1908713692946058</v>
      </c>
      <c r="Z50">
        <v>43</v>
      </c>
      <c r="AA50" s="5">
        <f>Z50/Z53</f>
        <v>0.21717171717171718</v>
      </c>
      <c r="AB50" s="5">
        <f>43/$AB$1</f>
        <v>0.21717171717171718</v>
      </c>
      <c r="AD50">
        <v>39</v>
      </c>
      <c r="AE50" s="5">
        <f>AD50/AD53</f>
        <v>0.25324675324675322</v>
      </c>
      <c r="AF50" s="5">
        <f>39/$AF$1</f>
        <v>0.25324675324675322</v>
      </c>
      <c r="AH50">
        <v>38</v>
      </c>
      <c r="AI50" s="5">
        <f>AH50/AH53</f>
        <v>0.31666666666666665</v>
      </c>
      <c r="AJ50" s="5">
        <f>38/$AJ$1</f>
        <v>0.31666666666666665</v>
      </c>
      <c r="AL50">
        <v>62</v>
      </c>
      <c r="AM50" s="5">
        <f>AL50/AL53</f>
        <v>0.16756756756756758</v>
      </c>
      <c r="AN50" s="5">
        <f>62/$AN$1</f>
        <v>0.16756756756756758</v>
      </c>
      <c r="AP50">
        <v>91</v>
      </c>
      <c r="AQ50" s="5">
        <f>AP50/AP53</f>
        <v>0.24074074074074073</v>
      </c>
      <c r="AR50" s="5">
        <f>91/$AR$1</f>
        <v>0.24074074074074073</v>
      </c>
      <c r="AT50">
        <v>57</v>
      </c>
      <c r="AU50" s="5">
        <f>AT50/AT53</f>
        <v>0.22619047619047619</v>
      </c>
      <c r="AV50" s="5">
        <f>57/$AV$1</f>
        <v>0.22619047619047619</v>
      </c>
      <c r="AX50">
        <v>52</v>
      </c>
      <c r="AY50" s="5">
        <f>AX50/AX53</f>
        <v>0.19047619047619047</v>
      </c>
      <c r="AZ50" s="5">
        <f>52/$AZ$1</f>
        <v>0.19047619047619047</v>
      </c>
      <c r="BA50" s="5"/>
      <c r="BB50">
        <v>36</v>
      </c>
      <c r="BC50" s="5">
        <f>BB50/BB53</f>
        <v>0.17733990147783252</v>
      </c>
      <c r="BD50" s="5">
        <f>36/$BD$1</f>
        <v>0.17733990147783252</v>
      </c>
      <c r="BF50">
        <v>41</v>
      </c>
      <c r="BG50" s="5">
        <f>BF50/BF53</f>
        <v>0.19069767441860466</v>
      </c>
      <c r="BH50" s="5">
        <f>41/$BH$1</f>
        <v>0.19069767441860466</v>
      </c>
      <c r="BJ50">
        <v>81</v>
      </c>
      <c r="BK50" s="5">
        <f>BJ50/BJ53</f>
        <v>0.26213592233009708</v>
      </c>
      <c r="BL50" s="5">
        <f>81/$BL$1</f>
        <v>0.26213592233009708</v>
      </c>
      <c r="BN50">
        <v>8</v>
      </c>
      <c r="BO50" s="5">
        <f>BN50/BN53</f>
        <v>0.1702127659574468</v>
      </c>
      <c r="BP50" s="5">
        <f>8/$BP$1</f>
        <v>0.1702127659574468</v>
      </c>
      <c r="BR50">
        <v>58</v>
      </c>
      <c r="BS50" s="5">
        <f>BR50/BR53</f>
        <v>0.18471337579617833</v>
      </c>
      <c r="BT50" s="5">
        <f>58/$BT$1</f>
        <v>0.18471337579617833</v>
      </c>
      <c r="BV50">
        <v>82</v>
      </c>
      <c r="BW50" s="5">
        <f>BV50/BV53</f>
        <v>0.20865139949109415</v>
      </c>
      <c r="BX50" s="5">
        <f>82/$BX$1</f>
        <v>0.20865139949109415</v>
      </c>
      <c r="BZ50">
        <v>62</v>
      </c>
      <c r="CA50" s="5">
        <f>BZ50/BZ53</f>
        <v>0.25203252032520324</v>
      </c>
      <c r="CB50" s="5">
        <f>62/$CB$1</f>
        <v>0.25203252032520324</v>
      </c>
      <c r="CD50">
        <v>44</v>
      </c>
      <c r="CE50" s="5">
        <f>CD50/CD53</f>
        <v>0.35772357723577236</v>
      </c>
      <c r="CF50" s="5">
        <f>44/$CF$1</f>
        <v>0.35772357723577236</v>
      </c>
      <c r="CH50">
        <v>107</v>
      </c>
      <c r="CI50" s="5">
        <f>CH50/CH53</f>
        <v>0.15552325581395349</v>
      </c>
      <c r="CJ50" s="5">
        <f>107/$CJ$1</f>
        <v>0.15552325581395349</v>
      </c>
      <c r="CL50">
        <v>66</v>
      </c>
      <c r="CM50" s="5">
        <f>CL50/CL53</f>
        <v>8.7071240105540904E-2</v>
      </c>
      <c r="CN50" s="5">
        <f>66/$CN$1</f>
        <v>8.7071240105540904E-2</v>
      </c>
      <c r="CP50">
        <v>144</v>
      </c>
      <c r="CQ50" s="5">
        <f>CP50/CP53</f>
        <v>0.5950413223140496</v>
      </c>
      <c r="CR50" s="5">
        <f>144/$CR$1</f>
        <v>0.5950413223140496</v>
      </c>
      <c r="CT50">
        <v>59</v>
      </c>
      <c r="CU50" s="5">
        <f>CT50/CT53</f>
        <v>0.17717717717717718</v>
      </c>
      <c r="CV50" s="5">
        <f>59/$CV$1</f>
        <v>0.17717717717717718</v>
      </c>
      <c r="CX50">
        <v>151</v>
      </c>
      <c r="CY50" s="5">
        <f>CX50/CX53</f>
        <v>0.22638680659670166</v>
      </c>
      <c r="CZ50" s="5">
        <f>151/$CZ$1</f>
        <v>0.22638680659670166</v>
      </c>
    </row>
    <row r="51" spans="1:104" x14ac:dyDescent="0.25">
      <c r="A51" s="1" t="s">
        <v>1026</v>
      </c>
      <c r="B51">
        <v>32</v>
      </c>
      <c r="C51" s="5">
        <f>B51/B53</f>
        <v>3.2000000000000001E-2</v>
      </c>
      <c r="D51" s="5">
        <f>32/$D$1</f>
        <v>3.2000000000000001E-2</v>
      </c>
      <c r="F51">
        <v>22</v>
      </c>
      <c r="G51" s="5">
        <f>F51/F53</f>
        <v>4.3912175648702596E-2</v>
      </c>
      <c r="H51" s="5">
        <f>22/$H$1</f>
        <v>4.3912175648702596E-2</v>
      </c>
      <c r="J51">
        <v>10</v>
      </c>
      <c r="K51" s="5">
        <f>J51/J53</f>
        <v>2.004008016032064E-2</v>
      </c>
      <c r="L51" s="5">
        <f>10/$L$1</f>
        <v>2.004008016032064E-2</v>
      </c>
      <c r="N51">
        <v>3</v>
      </c>
      <c r="O51" s="5">
        <f>N51/N53</f>
        <v>3.0927835051546393E-2</v>
      </c>
      <c r="P51" s="5">
        <f>3/$P$1</f>
        <v>3.0927835051546393E-2</v>
      </c>
      <c r="R51">
        <v>7</v>
      </c>
      <c r="S51" s="5">
        <f>R51/R53</f>
        <v>3.5353535353535352E-2</v>
      </c>
      <c r="T51" s="5">
        <f>7/$T$1</f>
        <v>3.5353535353535352E-2</v>
      </c>
      <c r="V51">
        <v>5</v>
      </c>
      <c r="W51" s="5">
        <f>V51/V53</f>
        <v>2.0746887966804978E-2</v>
      </c>
      <c r="X51" s="5">
        <f>5/$X$1</f>
        <v>2.0746887966804978E-2</v>
      </c>
      <c r="Z51">
        <v>10</v>
      </c>
      <c r="AA51" s="5">
        <f>Z51/Z53</f>
        <v>5.0505050505050504E-2</v>
      </c>
      <c r="AB51" s="5">
        <f>10/$AB$1</f>
        <v>5.0505050505050504E-2</v>
      </c>
      <c r="AD51">
        <v>5</v>
      </c>
      <c r="AE51" s="5">
        <f>AD51/AD53</f>
        <v>3.2467532467532464E-2</v>
      </c>
      <c r="AF51" s="5">
        <f>5/$AF$1</f>
        <v>3.2467532467532464E-2</v>
      </c>
      <c r="AH51">
        <v>3</v>
      </c>
      <c r="AI51" s="5">
        <f>AH51/AH53</f>
        <v>2.5000000000000001E-2</v>
      </c>
      <c r="AJ51" s="5">
        <f>3/$AJ$1</f>
        <v>2.5000000000000001E-2</v>
      </c>
      <c r="AL51">
        <v>14</v>
      </c>
      <c r="AM51" s="5">
        <f>AL51/AL53</f>
        <v>3.783783783783784E-2</v>
      </c>
      <c r="AN51" s="5">
        <f>14/$AN$1</f>
        <v>3.783783783783784E-2</v>
      </c>
      <c r="AP51">
        <v>8</v>
      </c>
      <c r="AQ51" s="5">
        <f>AP51/AP53</f>
        <v>2.1164021164021163E-2</v>
      </c>
      <c r="AR51" s="5">
        <f>8/$AR$1</f>
        <v>2.1164021164021163E-2</v>
      </c>
      <c r="AT51">
        <v>10</v>
      </c>
      <c r="AU51" s="5">
        <f>AT51/AT53</f>
        <v>3.968253968253968E-2</v>
      </c>
      <c r="AV51" s="5">
        <f>10/$AV$1</f>
        <v>3.968253968253968E-2</v>
      </c>
      <c r="AX51">
        <v>9</v>
      </c>
      <c r="AY51" s="5">
        <f>AX51/AX53</f>
        <v>3.2967032967032968E-2</v>
      </c>
      <c r="AZ51" s="5">
        <f>9/$AZ$1</f>
        <v>3.2967032967032968E-2</v>
      </c>
      <c r="BA51" s="5"/>
      <c r="BB51">
        <v>8</v>
      </c>
      <c r="BC51" s="5">
        <f>BB51/BB53</f>
        <v>3.9408866995073892E-2</v>
      </c>
      <c r="BD51" s="5">
        <f>8/$BD$1</f>
        <v>3.9408866995073892E-2</v>
      </c>
      <c r="BF51">
        <v>8</v>
      </c>
      <c r="BG51" s="5">
        <f>BF51/BF53</f>
        <v>3.7209302325581395E-2</v>
      </c>
      <c r="BH51" s="5">
        <f>8/$BH$1</f>
        <v>3.7209302325581395E-2</v>
      </c>
      <c r="BJ51">
        <v>7</v>
      </c>
      <c r="BK51" s="5">
        <f>BJ51/BJ53</f>
        <v>2.2653721682847898E-2</v>
      </c>
      <c r="BL51" s="5">
        <f>7/$BL$1</f>
        <v>2.2653721682847898E-2</v>
      </c>
      <c r="BN51">
        <v>0</v>
      </c>
      <c r="BO51" s="5">
        <f>BN51/BN53</f>
        <v>0</v>
      </c>
      <c r="BP51" s="5">
        <f>0/$BP$1</f>
        <v>0</v>
      </c>
      <c r="BR51">
        <v>9</v>
      </c>
      <c r="BS51" s="5">
        <f>BR51/BR53</f>
        <v>2.8662420382165606E-2</v>
      </c>
      <c r="BT51" s="5">
        <f>9/$BT$1</f>
        <v>2.8662420382165606E-2</v>
      </c>
      <c r="BV51">
        <v>16</v>
      </c>
      <c r="BW51" s="5">
        <f>BV51/BV53</f>
        <v>4.0712468193384227E-2</v>
      </c>
      <c r="BX51" s="5">
        <f>16/$BX$1</f>
        <v>4.0712468193384227E-2</v>
      </c>
      <c r="BZ51">
        <v>7</v>
      </c>
      <c r="CA51" s="5">
        <f>BZ51/BZ53</f>
        <v>2.8455284552845527E-2</v>
      </c>
      <c r="CB51" s="5">
        <f>7/$CB$1</f>
        <v>2.8455284552845527E-2</v>
      </c>
      <c r="CD51">
        <v>3</v>
      </c>
      <c r="CE51" s="5">
        <f>CD51/CD53</f>
        <v>2.4390243902439025E-2</v>
      </c>
      <c r="CF51" s="5">
        <f>3/$CF$1</f>
        <v>2.4390243902439025E-2</v>
      </c>
      <c r="CH51">
        <v>14</v>
      </c>
      <c r="CI51" s="5">
        <f>CH51/CH53</f>
        <v>2.0348837209302327E-2</v>
      </c>
      <c r="CJ51" s="5">
        <f>14/$CJ$1</f>
        <v>2.0348837209302327E-2</v>
      </c>
      <c r="CL51">
        <v>21</v>
      </c>
      <c r="CM51" s="5">
        <f>CL51/CL53</f>
        <v>2.7704485488126648E-2</v>
      </c>
      <c r="CN51" s="5">
        <f>21/$CN$1</f>
        <v>2.7704485488126648E-2</v>
      </c>
      <c r="CP51">
        <v>11</v>
      </c>
      <c r="CQ51" s="5">
        <f>CP51/CP53</f>
        <v>4.5454545454545456E-2</v>
      </c>
      <c r="CR51" s="5">
        <f>11/$CR$1</f>
        <v>4.5454545454545456E-2</v>
      </c>
      <c r="CT51">
        <v>10</v>
      </c>
      <c r="CU51" s="5">
        <f>CT51/CT53</f>
        <v>3.003003003003003E-2</v>
      </c>
      <c r="CV51" s="5">
        <f>10/$CV$1</f>
        <v>3.003003003003003E-2</v>
      </c>
      <c r="CX51">
        <v>22</v>
      </c>
      <c r="CY51" s="5">
        <f>CX51/CX53</f>
        <v>3.2983508245877063E-2</v>
      </c>
      <c r="CZ51" s="5">
        <f>22/$CZ$1</f>
        <v>3.2983508245877063E-2</v>
      </c>
    </row>
    <row r="52" spans="1:104" x14ac:dyDescent="0.25">
      <c r="A52" s="1" t="s">
        <v>32</v>
      </c>
      <c r="B52">
        <v>41</v>
      </c>
      <c r="C52" s="5">
        <f>B52/B53</f>
        <v>4.1000000000000002E-2</v>
      </c>
      <c r="D52" s="5">
        <f>41/$D$1</f>
        <v>4.1000000000000002E-2</v>
      </c>
      <c r="F52">
        <v>18</v>
      </c>
      <c r="G52" s="5">
        <f>F52/F53</f>
        <v>3.5928143712574849E-2</v>
      </c>
      <c r="H52" s="5">
        <f>18/$H$1</f>
        <v>3.5928143712574849E-2</v>
      </c>
      <c r="J52">
        <v>23</v>
      </c>
      <c r="K52" s="5">
        <f>J52/J53</f>
        <v>4.6092184368737472E-2</v>
      </c>
      <c r="L52" s="5">
        <f>23/$L$1</f>
        <v>4.6092184368737472E-2</v>
      </c>
      <c r="N52">
        <v>4</v>
      </c>
      <c r="O52" s="5">
        <f>N52/N53</f>
        <v>4.1237113402061855E-2</v>
      </c>
      <c r="P52" s="5">
        <f>4/$P$1</f>
        <v>4.1237113402061855E-2</v>
      </c>
      <c r="R52">
        <v>6</v>
      </c>
      <c r="S52" s="5">
        <f>R52/R53</f>
        <v>3.0303030303030304E-2</v>
      </c>
      <c r="T52" s="5">
        <f>6/$T$1</f>
        <v>3.0303030303030304E-2</v>
      </c>
      <c r="V52">
        <v>9</v>
      </c>
      <c r="W52" s="5">
        <f>V52/V53</f>
        <v>3.7344398340248962E-2</v>
      </c>
      <c r="X52" s="5">
        <f>9/$X$1</f>
        <v>3.7344398340248962E-2</v>
      </c>
      <c r="Z52">
        <v>7</v>
      </c>
      <c r="AA52" s="5">
        <f>Z52/Z53</f>
        <v>3.5353535353535352E-2</v>
      </c>
      <c r="AB52" s="5">
        <f>7/$AB$1</f>
        <v>3.5353535353535352E-2</v>
      </c>
      <c r="AD52">
        <v>10</v>
      </c>
      <c r="AE52" s="5">
        <f>AD52/AD53</f>
        <v>6.4935064935064929E-2</v>
      </c>
      <c r="AF52" s="5">
        <f>10/$AF$1</f>
        <v>6.4935064935064929E-2</v>
      </c>
      <c r="AH52">
        <v>6</v>
      </c>
      <c r="AI52" s="5">
        <f>AH52/AH53</f>
        <v>0.05</v>
      </c>
      <c r="AJ52" s="5">
        <f>6/$AJ$1</f>
        <v>0.05</v>
      </c>
      <c r="AL52">
        <v>18</v>
      </c>
      <c r="AM52" s="5">
        <f>AL52/AL53</f>
        <v>4.8648648648648651E-2</v>
      </c>
      <c r="AN52" s="5">
        <f>18/$AN$1</f>
        <v>4.8648648648648651E-2</v>
      </c>
      <c r="AP52">
        <v>16</v>
      </c>
      <c r="AQ52" s="5">
        <f>AP52/AP53</f>
        <v>4.2328042328042326E-2</v>
      </c>
      <c r="AR52" s="5">
        <f>16/$AR$1</f>
        <v>4.2328042328042326E-2</v>
      </c>
      <c r="AT52">
        <v>7</v>
      </c>
      <c r="AU52" s="5">
        <f>AT52/AT53</f>
        <v>2.7777777777777776E-2</v>
      </c>
      <c r="AV52" s="5">
        <f>7/$AV$1</f>
        <v>2.7777777777777776E-2</v>
      </c>
      <c r="AX52">
        <v>11</v>
      </c>
      <c r="AY52" s="5">
        <f>AX52/AX53</f>
        <v>4.0293040293040296E-2</v>
      </c>
      <c r="AZ52" s="5">
        <f>11/$AZ$1</f>
        <v>4.0293040293040296E-2</v>
      </c>
      <c r="BA52" s="5"/>
      <c r="BB52">
        <v>9</v>
      </c>
      <c r="BC52" s="5">
        <f>BB52/BB53</f>
        <v>4.4334975369458129E-2</v>
      </c>
      <c r="BD52" s="5">
        <f>9/$BD$1</f>
        <v>4.4334975369458129E-2</v>
      </c>
      <c r="BF52">
        <v>8</v>
      </c>
      <c r="BG52" s="5">
        <f>BF52/BF53</f>
        <v>3.7209302325581395E-2</v>
      </c>
      <c r="BH52" s="5">
        <f>8/$BH$1</f>
        <v>3.7209302325581395E-2</v>
      </c>
      <c r="BJ52">
        <v>13</v>
      </c>
      <c r="BK52" s="5">
        <f>BJ52/BJ53</f>
        <v>4.2071197411003236E-2</v>
      </c>
      <c r="BL52" s="5">
        <f>13/$BL$1</f>
        <v>4.2071197411003236E-2</v>
      </c>
      <c r="BN52">
        <v>5</v>
      </c>
      <c r="BO52" s="5">
        <f>BN52/BN53</f>
        <v>0.10638297872340426</v>
      </c>
      <c r="BP52" s="5">
        <f>5/$BP$1</f>
        <v>0.10638297872340426</v>
      </c>
      <c r="BR52">
        <v>14</v>
      </c>
      <c r="BS52" s="5">
        <f>BR52/BR53</f>
        <v>4.4585987261146494E-2</v>
      </c>
      <c r="BT52" s="5">
        <f>14/$BT$1</f>
        <v>4.4585987261146494E-2</v>
      </c>
      <c r="BV52">
        <v>16</v>
      </c>
      <c r="BW52" s="5">
        <f>BV52/BV53</f>
        <v>4.0712468193384227E-2</v>
      </c>
      <c r="BX52" s="5">
        <f>16/$BX$1</f>
        <v>4.0712468193384227E-2</v>
      </c>
      <c r="BZ52">
        <v>6</v>
      </c>
      <c r="CA52" s="5">
        <f>BZ52/BZ53</f>
        <v>2.4390243902439025E-2</v>
      </c>
      <c r="CB52" s="5">
        <f>6/$CB$1</f>
        <v>2.4390243902439025E-2</v>
      </c>
      <c r="CD52">
        <v>4</v>
      </c>
      <c r="CE52" s="5">
        <f>CD52/CD53</f>
        <v>3.2520325203252036E-2</v>
      </c>
      <c r="CF52" s="5">
        <f>4/$CF$1</f>
        <v>3.2520325203252036E-2</v>
      </c>
      <c r="CH52">
        <v>29</v>
      </c>
      <c r="CI52" s="5">
        <f>CH52/CH53</f>
        <v>4.2151162790697673E-2</v>
      </c>
      <c r="CJ52" s="5">
        <f>29/$CJ$1</f>
        <v>4.2151162790697673E-2</v>
      </c>
      <c r="CL52">
        <v>32</v>
      </c>
      <c r="CM52" s="5">
        <f>CL52/CL53</f>
        <v>4.221635883905013E-2</v>
      </c>
      <c r="CN52" s="5">
        <f>32/$CN$1</f>
        <v>4.221635883905013E-2</v>
      </c>
      <c r="CP52">
        <v>9</v>
      </c>
      <c r="CQ52" s="5">
        <f>CP52/CP53</f>
        <v>3.71900826446281E-2</v>
      </c>
      <c r="CR52" s="5">
        <f>9/$CR$1</f>
        <v>3.71900826446281E-2</v>
      </c>
      <c r="CT52">
        <v>12</v>
      </c>
      <c r="CU52" s="5">
        <f>CT52/CT53</f>
        <v>3.6036036036036036E-2</v>
      </c>
      <c r="CV52" s="5">
        <f>12/$CV$1</f>
        <v>3.6036036036036036E-2</v>
      </c>
      <c r="CX52">
        <v>29</v>
      </c>
      <c r="CY52" s="5">
        <f>CX52/CX53</f>
        <v>4.3478260869565216E-2</v>
      </c>
      <c r="CZ52" s="5">
        <f>29/$CZ$1</f>
        <v>4.3478260869565216E-2</v>
      </c>
    </row>
    <row r="53" spans="1:104" s="6" customFormat="1" x14ac:dyDescent="0.25">
      <c r="A53" s="7" t="s">
        <v>33</v>
      </c>
      <c r="B53" s="6">
        <v>1000</v>
      </c>
      <c r="D53" s="8">
        <f>1000/$D$1</f>
        <v>1</v>
      </c>
      <c r="F53" s="6">
        <v>501</v>
      </c>
      <c r="H53" s="8">
        <f>501/$H$1</f>
        <v>1</v>
      </c>
      <c r="J53" s="6">
        <v>499</v>
      </c>
      <c r="L53" s="8">
        <f>499/$L$1</f>
        <v>1</v>
      </c>
      <c r="N53" s="6">
        <v>97</v>
      </c>
      <c r="P53" s="8">
        <f>97/$P$1</f>
        <v>1</v>
      </c>
      <c r="R53" s="6">
        <v>198</v>
      </c>
      <c r="T53" s="8">
        <f>198/$T$1</f>
        <v>1</v>
      </c>
      <c r="V53" s="6">
        <v>241</v>
      </c>
      <c r="X53" s="8">
        <f>241/$X$1</f>
        <v>1</v>
      </c>
      <c r="Z53" s="6">
        <v>198</v>
      </c>
      <c r="AB53" s="8">
        <f>198/$AB$1</f>
        <v>1</v>
      </c>
      <c r="AD53" s="6">
        <v>154</v>
      </c>
      <c r="AF53" s="8">
        <f>154/$AF$1</f>
        <v>1</v>
      </c>
      <c r="AH53" s="6">
        <v>120</v>
      </c>
      <c r="AJ53" s="8">
        <f>120/$AJ$1</f>
        <v>1</v>
      </c>
      <c r="AL53" s="6">
        <v>370</v>
      </c>
      <c r="AN53" s="8">
        <f>370/$AN$1</f>
        <v>1</v>
      </c>
      <c r="AP53" s="6">
        <v>378</v>
      </c>
      <c r="AR53" s="8">
        <f>378/$AR$1</f>
        <v>1</v>
      </c>
      <c r="AT53" s="6">
        <v>252</v>
      </c>
      <c r="AV53" s="8">
        <f>252/$AV$1</f>
        <v>1</v>
      </c>
      <c r="AX53" s="6">
        <v>273</v>
      </c>
      <c r="AZ53" s="8">
        <f>273/$AZ$1</f>
        <v>1</v>
      </c>
      <c r="BA53" s="8"/>
      <c r="BB53" s="6">
        <v>203</v>
      </c>
      <c r="BD53" s="8">
        <f>203/$BD$1</f>
        <v>1</v>
      </c>
      <c r="BF53" s="6">
        <v>215</v>
      </c>
      <c r="BH53" s="8">
        <f>215/$BH$1</f>
        <v>1</v>
      </c>
      <c r="BJ53" s="6">
        <v>309</v>
      </c>
      <c r="BL53" s="8">
        <f>309/$BL$1</f>
        <v>1</v>
      </c>
      <c r="BN53" s="6">
        <v>47</v>
      </c>
      <c r="BP53" s="8">
        <f>47/$BP$1</f>
        <v>1</v>
      </c>
      <c r="BR53" s="6">
        <v>314</v>
      </c>
      <c r="BT53" s="8">
        <f>314/$BT$1</f>
        <v>1</v>
      </c>
      <c r="BV53" s="6">
        <v>393</v>
      </c>
      <c r="BX53" s="8">
        <f>393/$BX$1</f>
        <v>1</v>
      </c>
      <c r="BZ53" s="6">
        <v>246</v>
      </c>
      <c r="CB53" s="8">
        <f>246/$CB$1</f>
        <v>1</v>
      </c>
      <c r="CD53" s="6">
        <v>123</v>
      </c>
      <c r="CF53" s="8">
        <f>123/$CF$1</f>
        <v>1</v>
      </c>
      <c r="CH53" s="6">
        <v>688</v>
      </c>
      <c r="CJ53" s="8">
        <f>688/$CJ$1</f>
        <v>1</v>
      </c>
      <c r="CL53" s="6">
        <v>758</v>
      </c>
      <c r="CN53" s="8">
        <f>758/$CN$1</f>
        <v>1</v>
      </c>
      <c r="CP53" s="6">
        <v>242</v>
      </c>
      <c r="CR53" s="8">
        <f>242/$CR$1</f>
        <v>1</v>
      </c>
      <c r="CT53" s="6">
        <v>333</v>
      </c>
      <c r="CV53" s="8">
        <f>333/$CV$1</f>
        <v>1</v>
      </c>
      <c r="CX53" s="6">
        <v>667</v>
      </c>
      <c r="CZ53" s="8">
        <f>667/$CZ$1</f>
        <v>1</v>
      </c>
    </row>
    <row r="54" spans="1:104" ht="15" hidden="1" customHeight="1" x14ac:dyDescent="0.25">
      <c r="A54" s="9" t="s">
        <v>34</v>
      </c>
      <c r="B54">
        <v>0</v>
      </c>
      <c r="D54" s="10">
        <f>0/$D$1</f>
        <v>0</v>
      </c>
      <c r="F54">
        <v>0</v>
      </c>
      <c r="H54" s="10">
        <f>0/$H$1</f>
        <v>0</v>
      </c>
      <c r="J54">
        <v>0</v>
      </c>
      <c r="L54" s="10">
        <f>0/$L$1</f>
        <v>0</v>
      </c>
      <c r="N54">
        <v>0</v>
      </c>
      <c r="P54" s="10">
        <f>0/$P$1</f>
        <v>0</v>
      </c>
      <c r="R54">
        <v>0</v>
      </c>
      <c r="T54" s="10">
        <f>0/$T$1</f>
        <v>0</v>
      </c>
      <c r="V54">
        <v>0</v>
      </c>
      <c r="X54" s="10">
        <f>0/$X$1</f>
        <v>0</v>
      </c>
      <c r="Z54">
        <v>0</v>
      </c>
      <c r="AB54" s="10">
        <f>0/$AB$1</f>
        <v>0</v>
      </c>
      <c r="AD54">
        <v>0</v>
      </c>
      <c r="AF54" s="10">
        <f>0/$AF$1</f>
        <v>0</v>
      </c>
      <c r="AH54">
        <v>0</v>
      </c>
      <c r="AJ54" s="10">
        <f>0/$AJ$1</f>
        <v>0</v>
      </c>
      <c r="AL54">
        <v>0</v>
      </c>
      <c r="AN54" s="10">
        <f>0/$AN$1</f>
        <v>0</v>
      </c>
      <c r="AP54">
        <v>0</v>
      </c>
      <c r="AR54" s="10">
        <f>0/$AR$1</f>
        <v>0</v>
      </c>
      <c r="AT54">
        <v>0</v>
      </c>
      <c r="AV54" s="10">
        <f>0/$AV$1</f>
        <v>0</v>
      </c>
      <c r="AX54">
        <v>0</v>
      </c>
      <c r="AZ54" s="10">
        <f>0/$AZ$1</f>
        <v>0</v>
      </c>
      <c r="BA54" s="10"/>
      <c r="BB54">
        <v>0</v>
      </c>
      <c r="BD54" s="10">
        <f>0/$BD$1</f>
        <v>0</v>
      </c>
      <c r="BF54">
        <v>0</v>
      </c>
      <c r="BH54" s="10">
        <f>0/$BH$1</f>
        <v>0</v>
      </c>
      <c r="BJ54">
        <v>0</v>
      </c>
      <c r="BL54" s="10">
        <f>0/$BL$1</f>
        <v>0</v>
      </c>
      <c r="BN54">
        <v>0</v>
      </c>
      <c r="BP54" s="10">
        <f>0/$BP$1</f>
        <v>0</v>
      </c>
      <c r="BR54">
        <v>0</v>
      </c>
      <c r="BT54" s="10">
        <f>0/$BT$1</f>
        <v>0</v>
      </c>
      <c r="BV54">
        <v>0</v>
      </c>
      <c r="BX54" s="10">
        <f>0/$BX$1</f>
        <v>0</v>
      </c>
      <c r="BZ54">
        <v>0</v>
      </c>
      <c r="CB54" s="10">
        <f>0/$CB$1</f>
        <v>0</v>
      </c>
      <c r="CD54">
        <v>0</v>
      </c>
      <c r="CF54" s="10">
        <f>0/$CF$1</f>
        <v>0</v>
      </c>
      <c r="CH54">
        <v>0</v>
      </c>
      <c r="CJ54" s="10">
        <f>0/$CJ$1</f>
        <v>0</v>
      </c>
      <c r="CL54">
        <v>0</v>
      </c>
      <c r="CN54" s="10">
        <f>0/$CN$1</f>
        <v>0</v>
      </c>
      <c r="CP54">
        <v>0</v>
      </c>
      <c r="CR54" s="10">
        <f>0/$CR$1</f>
        <v>0</v>
      </c>
      <c r="CT54">
        <v>0</v>
      </c>
      <c r="CV54" s="10">
        <f>0/$CV$1</f>
        <v>0</v>
      </c>
      <c r="CX54">
        <v>0</v>
      </c>
      <c r="CZ54" s="10">
        <f>0/$CZ$1</f>
        <v>0</v>
      </c>
    </row>
    <row r="55" spans="1:104" ht="15" hidden="1" customHeight="1" x14ac:dyDescent="0.25">
      <c r="A55" s="9" t="s">
        <v>35</v>
      </c>
      <c r="B55">
        <v>0</v>
      </c>
      <c r="D55" s="10">
        <f>0/$D$1</f>
        <v>0</v>
      </c>
      <c r="F55">
        <v>0</v>
      </c>
      <c r="H55" s="10">
        <f>0/$H$1</f>
        <v>0</v>
      </c>
      <c r="J55">
        <v>0</v>
      </c>
      <c r="L55" s="10">
        <f>0/$L$1</f>
        <v>0</v>
      </c>
      <c r="N55">
        <v>0</v>
      </c>
      <c r="P55" s="10">
        <f>0/$P$1</f>
        <v>0</v>
      </c>
      <c r="R55">
        <v>0</v>
      </c>
      <c r="T55" s="10">
        <f>0/$T$1</f>
        <v>0</v>
      </c>
      <c r="V55">
        <v>0</v>
      </c>
      <c r="X55" s="10">
        <f>0/$X$1</f>
        <v>0</v>
      </c>
      <c r="Z55">
        <v>0</v>
      </c>
      <c r="AB55" s="10">
        <f>0/$AB$1</f>
        <v>0</v>
      </c>
      <c r="AD55">
        <v>0</v>
      </c>
      <c r="AF55" s="10">
        <f>0/$AF$1</f>
        <v>0</v>
      </c>
      <c r="AH55">
        <v>0</v>
      </c>
      <c r="AJ55" s="10">
        <f>0/$AJ$1</f>
        <v>0</v>
      </c>
      <c r="AL55">
        <v>0</v>
      </c>
      <c r="AN55" s="10">
        <f>0/$AN$1</f>
        <v>0</v>
      </c>
      <c r="AP55">
        <v>0</v>
      </c>
      <c r="AR55" s="10">
        <f>0/$AR$1</f>
        <v>0</v>
      </c>
      <c r="AT55">
        <v>0</v>
      </c>
      <c r="AV55" s="10">
        <f>0/$AV$1</f>
        <v>0</v>
      </c>
      <c r="AX55">
        <v>0</v>
      </c>
      <c r="AZ55" s="10">
        <f>0/$AZ$1</f>
        <v>0</v>
      </c>
      <c r="BA55" s="10"/>
      <c r="BB55">
        <v>0</v>
      </c>
      <c r="BD55" s="10">
        <f>0/$BD$1</f>
        <v>0</v>
      </c>
      <c r="BF55">
        <v>0</v>
      </c>
      <c r="BH55" s="10">
        <f>0/$BH$1</f>
        <v>0</v>
      </c>
      <c r="BJ55">
        <v>0</v>
      </c>
      <c r="BL55" s="10">
        <f>0/$BL$1</f>
        <v>0</v>
      </c>
      <c r="BN55">
        <v>0</v>
      </c>
      <c r="BP55" s="10">
        <f>0/$BP$1</f>
        <v>0</v>
      </c>
      <c r="BR55">
        <v>0</v>
      </c>
      <c r="BT55" s="10">
        <f>0/$BT$1</f>
        <v>0</v>
      </c>
      <c r="BV55">
        <v>0</v>
      </c>
      <c r="BX55" s="10">
        <f>0/$BX$1</f>
        <v>0</v>
      </c>
      <c r="BZ55">
        <v>0</v>
      </c>
      <c r="CB55" s="10">
        <f>0/$CB$1</f>
        <v>0</v>
      </c>
      <c r="CD55">
        <v>0</v>
      </c>
      <c r="CF55" s="10">
        <f>0/$CF$1</f>
        <v>0</v>
      </c>
      <c r="CH55">
        <v>0</v>
      </c>
      <c r="CJ55" s="10">
        <f>0/$CJ$1</f>
        <v>0</v>
      </c>
      <c r="CL55">
        <v>0</v>
      </c>
      <c r="CN55" s="10">
        <f>0/$CN$1</f>
        <v>0</v>
      </c>
      <c r="CP55">
        <v>0</v>
      </c>
      <c r="CR55" s="10">
        <f>0/$CR$1</f>
        <v>0</v>
      </c>
      <c r="CT55">
        <v>0</v>
      </c>
      <c r="CV55" s="10">
        <f>0/$CV$1</f>
        <v>0</v>
      </c>
      <c r="CX55">
        <v>0</v>
      </c>
      <c r="CZ55" s="10">
        <f>0/$CZ$1</f>
        <v>0</v>
      </c>
    </row>
    <row r="57" spans="1:104" s="3" customFormat="1" x14ac:dyDescent="0.25">
      <c r="A57" s="3" t="s">
        <v>1027</v>
      </c>
      <c r="D57" s="4" t="s">
        <v>27</v>
      </c>
      <c r="H57" s="4" t="s">
        <v>27</v>
      </c>
      <c r="L57" s="4" t="s">
        <v>27</v>
      </c>
      <c r="P57" s="4" t="s">
        <v>27</v>
      </c>
      <c r="T57" s="4" t="s">
        <v>27</v>
      </c>
      <c r="X57" s="4" t="s">
        <v>27</v>
      </c>
      <c r="AB57" s="4" t="s">
        <v>27</v>
      </c>
      <c r="AF57" s="4" t="s">
        <v>27</v>
      </c>
      <c r="AJ57" s="4" t="s">
        <v>27</v>
      </c>
      <c r="AN57" s="4" t="s">
        <v>27</v>
      </c>
      <c r="AR57" s="4" t="s">
        <v>27</v>
      </c>
      <c r="AV57" s="4" t="s">
        <v>27</v>
      </c>
      <c r="AZ57" s="4" t="s">
        <v>27</v>
      </c>
      <c r="BA57" s="4"/>
      <c r="BD57" s="4" t="s">
        <v>27</v>
      </c>
      <c r="BH57" s="4" t="s">
        <v>27</v>
      </c>
      <c r="BL57" s="4" t="s">
        <v>27</v>
      </c>
      <c r="BP57" s="4" t="s">
        <v>27</v>
      </c>
      <c r="BT57" s="4" t="s">
        <v>27</v>
      </c>
      <c r="BX57" s="4" t="s">
        <v>27</v>
      </c>
      <c r="CB57" s="4" t="s">
        <v>27</v>
      </c>
      <c r="CF57" s="4" t="s">
        <v>27</v>
      </c>
      <c r="CJ57" s="4" t="s">
        <v>27</v>
      </c>
      <c r="CN57" s="4" t="s">
        <v>27</v>
      </c>
      <c r="CR57" s="4" t="s">
        <v>27</v>
      </c>
      <c r="CV57" s="4" t="s">
        <v>27</v>
      </c>
      <c r="CZ57" s="4" t="s">
        <v>27</v>
      </c>
    </row>
    <row r="58" spans="1:104" x14ac:dyDescent="0.25">
      <c r="A58" s="1" t="s">
        <v>1028</v>
      </c>
      <c r="B58">
        <v>42</v>
      </c>
      <c r="C58" s="5">
        <f>B58/B62</f>
        <v>4.2000000000000003E-2</v>
      </c>
      <c r="D58" s="5">
        <f>42/$D$1</f>
        <v>4.2000000000000003E-2</v>
      </c>
      <c r="F58">
        <v>28</v>
      </c>
      <c r="G58" s="5">
        <f>F58/F62</f>
        <v>5.588822355289421E-2</v>
      </c>
      <c r="H58" s="5">
        <f>28/$H$1</f>
        <v>5.588822355289421E-2</v>
      </c>
      <c r="J58">
        <v>14</v>
      </c>
      <c r="K58" s="5">
        <f>J58/J62</f>
        <v>2.8056112224448898E-2</v>
      </c>
      <c r="L58" s="5">
        <f>14/$L$1</f>
        <v>2.8056112224448898E-2</v>
      </c>
      <c r="N58">
        <v>7</v>
      </c>
      <c r="O58" s="5">
        <f>N58/N62</f>
        <v>7.2164948453608241E-2</v>
      </c>
      <c r="P58" s="5">
        <f>7/$P$1</f>
        <v>7.2164948453608241E-2</v>
      </c>
      <c r="R58">
        <v>10</v>
      </c>
      <c r="S58" s="5">
        <f>R58/R62</f>
        <v>5.0505050505050504E-2</v>
      </c>
      <c r="T58" s="5">
        <f>10/$T$1</f>
        <v>5.0505050505050504E-2</v>
      </c>
      <c r="V58">
        <v>8</v>
      </c>
      <c r="W58" s="5">
        <f>V58/V62</f>
        <v>3.3195020746887967E-2</v>
      </c>
      <c r="X58" s="5">
        <f>8/$X$1</f>
        <v>3.3195020746887967E-2</v>
      </c>
      <c r="Z58">
        <v>4</v>
      </c>
      <c r="AA58" s="5">
        <f>Z58/Z62</f>
        <v>2.0202020202020204E-2</v>
      </c>
      <c r="AB58" s="5">
        <f>4/$AB$1</f>
        <v>2.0202020202020204E-2</v>
      </c>
      <c r="AD58">
        <v>6</v>
      </c>
      <c r="AE58" s="5">
        <f>AD58/AD62</f>
        <v>3.896103896103896E-2</v>
      </c>
      <c r="AF58" s="5">
        <f>6/$AF$1</f>
        <v>3.896103896103896E-2</v>
      </c>
      <c r="AH58">
        <v>7</v>
      </c>
      <c r="AI58" s="5">
        <f>AH58/AH62</f>
        <v>5.8333333333333334E-2</v>
      </c>
      <c r="AJ58" s="5">
        <f>7/$AJ$1</f>
        <v>5.8333333333333334E-2</v>
      </c>
      <c r="AL58">
        <v>12</v>
      </c>
      <c r="AM58" s="5">
        <f>AL58/AL62</f>
        <v>3.2432432432432434E-2</v>
      </c>
      <c r="AN58" s="5">
        <f>12/$AN$1</f>
        <v>3.2432432432432434E-2</v>
      </c>
      <c r="AP58">
        <v>17</v>
      </c>
      <c r="AQ58" s="5">
        <f>AP58/AP62</f>
        <v>4.4973544973544971E-2</v>
      </c>
      <c r="AR58" s="5">
        <f>17/$AR$1</f>
        <v>4.4973544973544971E-2</v>
      </c>
      <c r="AT58">
        <v>13</v>
      </c>
      <c r="AU58" s="5">
        <f>AT58/AT62</f>
        <v>5.1587301587301584E-2</v>
      </c>
      <c r="AV58" s="5">
        <f>13/$AV$1</f>
        <v>5.1587301587301584E-2</v>
      </c>
      <c r="AX58">
        <v>14</v>
      </c>
      <c r="AY58" s="5">
        <f>AX58/AX62</f>
        <v>5.128205128205128E-2</v>
      </c>
      <c r="AZ58" s="5">
        <f>14/$AZ$1</f>
        <v>5.128205128205128E-2</v>
      </c>
      <c r="BA58" s="5"/>
      <c r="BB58">
        <v>4</v>
      </c>
      <c r="BC58" s="5">
        <f>BB58/BB62</f>
        <v>1.9704433497536946E-2</v>
      </c>
      <c r="BD58" s="5">
        <f>4/$BD$1</f>
        <v>1.9704433497536946E-2</v>
      </c>
      <c r="BF58">
        <v>8</v>
      </c>
      <c r="BG58" s="5">
        <f>BF58/BF62</f>
        <v>3.7209302325581395E-2</v>
      </c>
      <c r="BH58" s="5">
        <f>8/$BH$1</f>
        <v>3.7209302325581395E-2</v>
      </c>
      <c r="BJ58">
        <v>16</v>
      </c>
      <c r="BK58" s="5">
        <f>BJ58/BJ62</f>
        <v>5.1779935275080909E-2</v>
      </c>
      <c r="BL58" s="5">
        <f>16/$BL$1</f>
        <v>5.1779935275080909E-2</v>
      </c>
      <c r="BN58">
        <v>3</v>
      </c>
      <c r="BO58" s="5">
        <f>BN58/BN62</f>
        <v>6.3829787234042548E-2</v>
      </c>
      <c r="BP58" s="5">
        <f>3/$BP$1</f>
        <v>6.3829787234042548E-2</v>
      </c>
      <c r="BR58">
        <v>13</v>
      </c>
      <c r="BS58" s="5">
        <f>BR58/BR62</f>
        <v>4.1401273885350316E-2</v>
      </c>
      <c r="BT58" s="5">
        <f>13/$BT$1</f>
        <v>4.1401273885350316E-2</v>
      </c>
      <c r="BV58">
        <v>19</v>
      </c>
      <c r="BW58" s="5">
        <f>BV58/BV62</f>
        <v>4.8346055979643768E-2</v>
      </c>
      <c r="BX58" s="5">
        <f>19/$BX$1</f>
        <v>4.8346055979643768E-2</v>
      </c>
      <c r="BZ58">
        <v>7</v>
      </c>
      <c r="CA58" s="5">
        <f>BZ58/BZ62</f>
        <v>2.8455284552845527E-2</v>
      </c>
      <c r="CB58" s="5">
        <f>7/$CB$1</f>
        <v>2.8455284552845527E-2</v>
      </c>
      <c r="CD58">
        <v>17</v>
      </c>
      <c r="CE58" s="5">
        <f>CD58/CD62</f>
        <v>0.13821138211382114</v>
      </c>
      <c r="CF58" s="5">
        <f>17/$CF$1</f>
        <v>0.13821138211382114</v>
      </c>
      <c r="CH58">
        <v>15</v>
      </c>
      <c r="CI58" s="5">
        <f>CH58/CH62</f>
        <v>2.1802325581395349E-2</v>
      </c>
      <c r="CJ58" s="5">
        <f>15/$CJ$1</f>
        <v>2.1802325581395349E-2</v>
      </c>
      <c r="CL58">
        <v>17</v>
      </c>
      <c r="CM58" s="5">
        <f>CL58/CL62</f>
        <v>2.2427440633245383E-2</v>
      </c>
      <c r="CN58" s="5">
        <f>17/$CN$1</f>
        <v>2.2427440633245383E-2</v>
      </c>
      <c r="CP58">
        <v>25</v>
      </c>
      <c r="CQ58" s="5">
        <f>CP58/CP62</f>
        <v>0.10330578512396695</v>
      </c>
      <c r="CR58" s="5">
        <f>25/$CR$1</f>
        <v>0.10330578512396695</v>
      </c>
      <c r="CT58">
        <v>22</v>
      </c>
      <c r="CU58" s="5">
        <f>CT58/CT62</f>
        <v>6.6066066066066062E-2</v>
      </c>
      <c r="CV58" s="5">
        <f>22/$CV$1</f>
        <v>6.6066066066066062E-2</v>
      </c>
      <c r="CX58">
        <v>20</v>
      </c>
      <c r="CY58" s="5">
        <f>CX58/CX62</f>
        <v>2.9985007496251874E-2</v>
      </c>
      <c r="CZ58" s="5">
        <f>20/$CZ$1</f>
        <v>2.9985007496251874E-2</v>
      </c>
    </row>
    <row r="59" spans="1:104" x14ac:dyDescent="0.25">
      <c r="A59" s="1" t="s">
        <v>1029</v>
      </c>
      <c r="B59">
        <v>713</v>
      </c>
      <c r="C59" s="5">
        <f>B59/B62</f>
        <v>0.71299999999999997</v>
      </c>
      <c r="D59" s="5">
        <f>713/$D$1</f>
        <v>0.71299999999999997</v>
      </c>
      <c r="F59">
        <v>362</v>
      </c>
      <c r="G59" s="5">
        <f>F59/F62</f>
        <v>0.72255489021956087</v>
      </c>
      <c r="H59" s="5">
        <f>362/$H$1</f>
        <v>0.72255489021956087</v>
      </c>
      <c r="J59">
        <v>351</v>
      </c>
      <c r="K59" s="5">
        <f>J59/J62</f>
        <v>0.70340681362725455</v>
      </c>
      <c r="L59" s="5">
        <f>351/$L$1</f>
        <v>0.70340681362725455</v>
      </c>
      <c r="N59">
        <v>72</v>
      </c>
      <c r="O59" s="5">
        <f>N59/N62</f>
        <v>0.74226804123711343</v>
      </c>
      <c r="P59" s="5">
        <f>72/$P$1</f>
        <v>0.74226804123711343</v>
      </c>
      <c r="R59">
        <v>154</v>
      </c>
      <c r="S59" s="5">
        <f>R59/R62</f>
        <v>0.77777777777777779</v>
      </c>
      <c r="T59" s="5">
        <f>154/$T$1</f>
        <v>0.77777777777777779</v>
      </c>
      <c r="V59">
        <v>179</v>
      </c>
      <c r="W59" s="5">
        <f>V59/V62</f>
        <v>0.74273858921161828</v>
      </c>
      <c r="X59" s="5">
        <f>179/$X$1</f>
        <v>0.74273858921161828</v>
      </c>
      <c r="Z59">
        <v>136</v>
      </c>
      <c r="AA59" s="5">
        <f>Z59/Z62</f>
        <v>0.68686868686868685</v>
      </c>
      <c r="AB59" s="5">
        <f>136/$AB$1</f>
        <v>0.68686868686868685</v>
      </c>
      <c r="AD59">
        <v>103</v>
      </c>
      <c r="AE59" s="5">
        <f>AD59/AD62</f>
        <v>0.66883116883116878</v>
      </c>
      <c r="AF59" s="5">
        <f>103/$AF$1</f>
        <v>0.66883116883116878</v>
      </c>
      <c r="AH59">
        <v>73</v>
      </c>
      <c r="AI59" s="5">
        <f>AH59/AH62</f>
        <v>0.60833333333333328</v>
      </c>
      <c r="AJ59" s="5">
        <f>73/$AJ$1</f>
        <v>0.60833333333333328</v>
      </c>
      <c r="AL59">
        <v>248</v>
      </c>
      <c r="AM59" s="5">
        <f>AL59/AL62</f>
        <v>0.67027027027027031</v>
      </c>
      <c r="AN59" s="5">
        <f>248/$AN$1</f>
        <v>0.67027027027027031</v>
      </c>
      <c r="AP59">
        <v>275</v>
      </c>
      <c r="AQ59" s="5">
        <f>AP59/AP62</f>
        <v>0.72751322751322756</v>
      </c>
      <c r="AR59" s="5">
        <f>275/$AR$1</f>
        <v>0.72751322751322756</v>
      </c>
      <c r="AT59">
        <v>190</v>
      </c>
      <c r="AU59" s="5">
        <f>AT59/AT62</f>
        <v>0.75396825396825395</v>
      </c>
      <c r="AV59" s="5">
        <f>190/$AV$1</f>
        <v>0.75396825396825395</v>
      </c>
      <c r="AX59">
        <v>189</v>
      </c>
      <c r="AY59" s="5">
        <f>AX59/AX62</f>
        <v>0.69230769230769229</v>
      </c>
      <c r="AZ59" s="5">
        <f>189/$AZ$1</f>
        <v>0.69230769230769229</v>
      </c>
      <c r="BA59" s="5"/>
      <c r="BB59">
        <v>151</v>
      </c>
      <c r="BC59" s="5">
        <f>BB59/BB62</f>
        <v>0.74384236453201968</v>
      </c>
      <c r="BD59" s="5">
        <f>151/$BD$1</f>
        <v>0.74384236453201968</v>
      </c>
      <c r="BF59">
        <v>147</v>
      </c>
      <c r="BG59" s="5">
        <f>BF59/BF62</f>
        <v>0.68372093023255809</v>
      </c>
      <c r="BH59" s="5">
        <f>147/$BH$1</f>
        <v>0.68372093023255809</v>
      </c>
      <c r="BJ59">
        <v>226</v>
      </c>
      <c r="BK59" s="5">
        <f>BJ59/BJ62</f>
        <v>0.73139158576051777</v>
      </c>
      <c r="BL59" s="5">
        <f>226/$BL$1</f>
        <v>0.73139158576051777</v>
      </c>
      <c r="BN59">
        <v>31</v>
      </c>
      <c r="BO59" s="5">
        <f>BN59/BN62</f>
        <v>0.65957446808510634</v>
      </c>
      <c r="BP59" s="5">
        <f>31/$BP$1</f>
        <v>0.65957446808510634</v>
      </c>
      <c r="BR59">
        <v>200</v>
      </c>
      <c r="BS59" s="5">
        <f>BR59/BR62</f>
        <v>0.63694267515923564</v>
      </c>
      <c r="BT59" s="5">
        <f>200/$BT$1</f>
        <v>0.63694267515923564</v>
      </c>
      <c r="BV59">
        <v>288</v>
      </c>
      <c r="BW59" s="5">
        <f>BV59/BV62</f>
        <v>0.73282442748091603</v>
      </c>
      <c r="BX59" s="5">
        <f>288/$BX$1</f>
        <v>0.73282442748091603</v>
      </c>
      <c r="BZ59">
        <v>194</v>
      </c>
      <c r="CA59" s="5">
        <f>BZ59/BZ62</f>
        <v>0.78861788617886175</v>
      </c>
      <c r="CB59" s="5">
        <f>194/$CB$1</f>
        <v>0.78861788617886175</v>
      </c>
      <c r="CD59">
        <v>98</v>
      </c>
      <c r="CE59" s="5">
        <f>CD59/CD62</f>
        <v>0.7967479674796748</v>
      </c>
      <c r="CF59" s="5">
        <f>98/$CF$1</f>
        <v>0.7967479674796748</v>
      </c>
      <c r="CH59">
        <v>468</v>
      </c>
      <c r="CI59" s="5">
        <f>CH59/CH62</f>
        <v>0.68023255813953487</v>
      </c>
      <c r="CJ59" s="5">
        <f>468/$CJ$1</f>
        <v>0.68023255813953487</v>
      </c>
      <c r="CL59">
        <v>515</v>
      </c>
      <c r="CM59" s="5">
        <f>CL59/CL62</f>
        <v>0.67941952506596304</v>
      </c>
      <c r="CN59" s="5">
        <f>515/$CN$1</f>
        <v>0.67941952506596304</v>
      </c>
      <c r="CP59">
        <v>198</v>
      </c>
      <c r="CQ59" s="5">
        <f>CP59/CP62</f>
        <v>0.81818181818181823</v>
      </c>
      <c r="CR59" s="5">
        <f>198/$CR$1</f>
        <v>0.81818181818181823</v>
      </c>
      <c r="CT59">
        <v>236</v>
      </c>
      <c r="CU59" s="5">
        <f>CT59/CT62</f>
        <v>0.70870870870870872</v>
      </c>
      <c r="CV59" s="5">
        <f>236/$CV$1</f>
        <v>0.70870870870870872</v>
      </c>
      <c r="CX59">
        <v>477</v>
      </c>
      <c r="CY59" s="5">
        <f>CX59/CX62</f>
        <v>0.71514242878560719</v>
      </c>
      <c r="CZ59" s="5">
        <f>477/$CZ$1</f>
        <v>0.71514242878560719</v>
      </c>
    </row>
    <row r="60" spans="1:104" x14ac:dyDescent="0.25">
      <c r="A60" s="1" t="s">
        <v>1030</v>
      </c>
      <c r="B60">
        <v>245</v>
      </c>
      <c r="C60" s="5">
        <f>B60/B62</f>
        <v>0.245</v>
      </c>
      <c r="D60" s="5">
        <f>245/$D$1</f>
        <v>0.245</v>
      </c>
      <c r="F60">
        <v>111</v>
      </c>
      <c r="G60" s="5">
        <f>F60/F62</f>
        <v>0.22155688622754491</v>
      </c>
      <c r="H60" s="5">
        <f>111/$H$1</f>
        <v>0.22155688622754491</v>
      </c>
      <c r="J60">
        <v>134</v>
      </c>
      <c r="K60" s="5">
        <f>J60/J62</f>
        <v>0.26853707414829658</v>
      </c>
      <c r="L60" s="5">
        <f>134/$L$1</f>
        <v>0.26853707414829658</v>
      </c>
      <c r="N60">
        <v>18</v>
      </c>
      <c r="O60" s="5">
        <f>N60/N62</f>
        <v>0.18556701030927836</v>
      </c>
      <c r="P60" s="5">
        <f>18/$P$1</f>
        <v>0.18556701030927836</v>
      </c>
      <c r="R60">
        <v>34</v>
      </c>
      <c r="S60" s="5">
        <f>R60/R62</f>
        <v>0.17171717171717171</v>
      </c>
      <c r="T60" s="5">
        <f>34/$T$1</f>
        <v>0.17171717171717171</v>
      </c>
      <c r="V60">
        <v>54</v>
      </c>
      <c r="W60" s="5">
        <f>V60/V62</f>
        <v>0.22406639004149378</v>
      </c>
      <c r="X60" s="5">
        <f>54/$X$1</f>
        <v>0.22406639004149378</v>
      </c>
      <c r="Z60">
        <v>58</v>
      </c>
      <c r="AA60" s="5">
        <f>Z60/Z62</f>
        <v>0.29292929292929293</v>
      </c>
      <c r="AB60" s="5">
        <f>58/$AB$1</f>
        <v>0.29292929292929293</v>
      </c>
      <c r="AD60">
        <v>45</v>
      </c>
      <c r="AE60" s="5">
        <f>AD60/AD62</f>
        <v>0.29220779220779219</v>
      </c>
      <c r="AF60" s="5">
        <f>45/$AF$1</f>
        <v>0.29220779220779219</v>
      </c>
      <c r="AH60">
        <v>40</v>
      </c>
      <c r="AI60" s="5">
        <f>AH60/AH62</f>
        <v>0.33333333333333331</v>
      </c>
      <c r="AJ60" s="5">
        <f>40/$AJ$1</f>
        <v>0.33333333333333331</v>
      </c>
      <c r="AL60">
        <v>110</v>
      </c>
      <c r="AM60" s="5">
        <f>AL60/AL62</f>
        <v>0.29729729729729731</v>
      </c>
      <c r="AN60" s="5">
        <f>110/$AN$1</f>
        <v>0.29729729729729731</v>
      </c>
      <c r="AP60">
        <v>86</v>
      </c>
      <c r="AQ60" s="5">
        <f>AP60/AP62</f>
        <v>0.2275132275132275</v>
      </c>
      <c r="AR60" s="5">
        <f>86/$AR$1</f>
        <v>0.2275132275132275</v>
      </c>
      <c r="AT60">
        <v>49</v>
      </c>
      <c r="AU60" s="5">
        <f>AT60/AT62</f>
        <v>0.19444444444444445</v>
      </c>
      <c r="AV60" s="5">
        <f>49/$AV$1</f>
        <v>0.19444444444444445</v>
      </c>
      <c r="AX60">
        <v>70</v>
      </c>
      <c r="AY60" s="5">
        <f>AX60/AX62</f>
        <v>0.25641025641025639</v>
      </c>
      <c r="AZ60" s="5">
        <f>70/$AZ$1</f>
        <v>0.25641025641025639</v>
      </c>
      <c r="BA60" s="5"/>
      <c r="BB60">
        <v>48</v>
      </c>
      <c r="BC60" s="5">
        <f>BB60/BB62</f>
        <v>0.23645320197044334</v>
      </c>
      <c r="BD60" s="5">
        <f>48/$BD$1</f>
        <v>0.23645320197044334</v>
      </c>
      <c r="BF60">
        <v>60</v>
      </c>
      <c r="BG60" s="5">
        <f>BF60/BF62</f>
        <v>0.27906976744186046</v>
      </c>
      <c r="BH60" s="5">
        <f>60/$BH$1</f>
        <v>0.27906976744186046</v>
      </c>
      <c r="BJ60">
        <v>67</v>
      </c>
      <c r="BK60" s="5">
        <f>BJ60/BJ62</f>
        <v>0.2168284789644013</v>
      </c>
      <c r="BL60" s="5">
        <f>67/$BL$1</f>
        <v>0.2168284789644013</v>
      </c>
      <c r="BN60">
        <v>13</v>
      </c>
      <c r="BO60" s="5">
        <f>BN60/BN62</f>
        <v>0.27659574468085107</v>
      </c>
      <c r="BP60" s="5">
        <f>13/$BP$1</f>
        <v>0.27659574468085107</v>
      </c>
      <c r="BR60">
        <v>101</v>
      </c>
      <c r="BS60" s="5">
        <f>BR60/BR62</f>
        <v>0.321656050955414</v>
      </c>
      <c r="BT60" s="5">
        <f>101/$BT$1</f>
        <v>0.321656050955414</v>
      </c>
      <c r="BV60">
        <v>86</v>
      </c>
      <c r="BW60" s="5">
        <f>BV60/BV62</f>
        <v>0.21882951653944022</v>
      </c>
      <c r="BX60" s="5">
        <f>86/$BX$1</f>
        <v>0.21882951653944022</v>
      </c>
      <c r="BZ60">
        <v>45</v>
      </c>
      <c r="CA60" s="5">
        <f>BZ60/BZ62</f>
        <v>0.18292682926829268</v>
      </c>
      <c r="CB60" s="5">
        <f>45/$CB$1</f>
        <v>0.18292682926829268</v>
      </c>
      <c r="CD60">
        <v>8</v>
      </c>
      <c r="CE60" s="5">
        <f>CD60/CD62</f>
        <v>6.5040650406504072E-2</v>
      </c>
      <c r="CF60" s="5">
        <f>8/$CF$1</f>
        <v>6.5040650406504072E-2</v>
      </c>
      <c r="CH60">
        <v>205</v>
      </c>
      <c r="CI60" s="5">
        <f>CH60/CH62</f>
        <v>0.29796511627906974</v>
      </c>
      <c r="CJ60" s="5">
        <f>205/$CJ$1</f>
        <v>0.29796511627906974</v>
      </c>
      <c r="CL60">
        <v>226</v>
      </c>
      <c r="CM60" s="5">
        <f>CL60/CL62</f>
        <v>0.29815303430079154</v>
      </c>
      <c r="CN60" s="5">
        <f>226/$CN$1</f>
        <v>0.29815303430079154</v>
      </c>
      <c r="CP60">
        <v>19</v>
      </c>
      <c r="CQ60" s="5">
        <f>CP60/CP62</f>
        <v>7.8512396694214878E-2</v>
      </c>
      <c r="CR60" s="5">
        <f>19/$CR$1</f>
        <v>7.8512396694214878E-2</v>
      </c>
      <c r="CT60">
        <v>75</v>
      </c>
      <c r="CU60" s="5">
        <f>CT60/CT62</f>
        <v>0.22522522522522523</v>
      </c>
      <c r="CV60" s="5">
        <f>75/$CV$1</f>
        <v>0.22522522522522523</v>
      </c>
      <c r="CX60">
        <v>170</v>
      </c>
      <c r="CY60" s="5">
        <f>CX60/CX62</f>
        <v>0.25487256371814093</v>
      </c>
      <c r="CZ60" s="5">
        <f>170/$CZ$1</f>
        <v>0.25487256371814093</v>
      </c>
    </row>
    <row r="61" spans="1:104" x14ac:dyDescent="0.25">
      <c r="A61" s="1" t="s">
        <v>32</v>
      </c>
      <c r="B61">
        <v>0</v>
      </c>
      <c r="C61" s="5">
        <f>B61/B62</f>
        <v>0</v>
      </c>
      <c r="D61" s="5">
        <f>0/$D$1</f>
        <v>0</v>
      </c>
      <c r="F61">
        <v>0</v>
      </c>
      <c r="G61" s="5">
        <f>F61/F62</f>
        <v>0</v>
      </c>
      <c r="H61" s="5">
        <f>0/$H$1</f>
        <v>0</v>
      </c>
      <c r="J61">
        <v>0</v>
      </c>
      <c r="K61" s="5">
        <f>J61/J62</f>
        <v>0</v>
      </c>
      <c r="L61" s="5">
        <f>0/$L$1</f>
        <v>0</v>
      </c>
      <c r="N61">
        <v>0</v>
      </c>
      <c r="O61" s="5">
        <f>N61/N62</f>
        <v>0</v>
      </c>
      <c r="P61" s="5">
        <f>0/$P$1</f>
        <v>0</v>
      </c>
      <c r="R61">
        <v>0</v>
      </c>
      <c r="S61" s="5">
        <f>R61/R62</f>
        <v>0</v>
      </c>
      <c r="T61" s="5">
        <f>0/$T$1</f>
        <v>0</v>
      </c>
      <c r="V61">
        <v>0</v>
      </c>
      <c r="W61" s="5">
        <f>V61/V62</f>
        <v>0</v>
      </c>
      <c r="X61" s="5">
        <f>0/$X$1</f>
        <v>0</v>
      </c>
      <c r="Z61">
        <v>0</v>
      </c>
      <c r="AA61" s="5">
        <f>Z61/Z62</f>
        <v>0</v>
      </c>
      <c r="AB61" s="5">
        <f>0/$AB$1</f>
        <v>0</v>
      </c>
      <c r="AD61">
        <v>0</v>
      </c>
      <c r="AE61" s="5">
        <f>AD61/AD62</f>
        <v>0</v>
      </c>
      <c r="AF61" s="5">
        <f>0/$AF$1</f>
        <v>0</v>
      </c>
      <c r="AH61">
        <v>0</v>
      </c>
      <c r="AI61" s="5">
        <f>AH61/AH62</f>
        <v>0</v>
      </c>
      <c r="AJ61" s="5">
        <f>0/$AJ$1</f>
        <v>0</v>
      </c>
      <c r="AL61">
        <v>0</v>
      </c>
      <c r="AM61" s="5">
        <f>AL61/AL62</f>
        <v>0</v>
      </c>
      <c r="AN61" s="5">
        <f>0/$AN$1</f>
        <v>0</v>
      </c>
      <c r="AP61">
        <v>0</v>
      </c>
      <c r="AQ61" s="5">
        <f>AP61/AP62</f>
        <v>0</v>
      </c>
      <c r="AR61" s="5">
        <f>0/$AR$1</f>
        <v>0</v>
      </c>
      <c r="AT61">
        <v>0</v>
      </c>
      <c r="AU61" s="5">
        <f>AT61/AT62</f>
        <v>0</v>
      </c>
      <c r="AV61" s="5">
        <f>0/$AV$1</f>
        <v>0</v>
      </c>
      <c r="AX61">
        <v>0</v>
      </c>
      <c r="AY61" s="5">
        <f>AX61/AX62</f>
        <v>0</v>
      </c>
      <c r="AZ61" s="5">
        <f>0/$AZ$1</f>
        <v>0</v>
      </c>
      <c r="BA61" s="5"/>
      <c r="BB61">
        <v>0</v>
      </c>
      <c r="BC61" s="5">
        <f>BB61/BB62</f>
        <v>0</v>
      </c>
      <c r="BD61" s="5">
        <f>0/$BD$1</f>
        <v>0</v>
      </c>
      <c r="BF61">
        <v>0</v>
      </c>
      <c r="BG61" s="5">
        <f>BF61/BF62</f>
        <v>0</v>
      </c>
      <c r="BH61" s="5">
        <f>0/$BH$1</f>
        <v>0</v>
      </c>
      <c r="BJ61">
        <v>0</v>
      </c>
      <c r="BK61" s="5">
        <f>BJ61/BJ62</f>
        <v>0</v>
      </c>
      <c r="BL61" s="5">
        <f>0/$BL$1</f>
        <v>0</v>
      </c>
      <c r="BN61">
        <v>0</v>
      </c>
      <c r="BO61" s="5">
        <f>BN61/BN62</f>
        <v>0</v>
      </c>
      <c r="BP61" s="5">
        <f>0/$BP$1</f>
        <v>0</v>
      </c>
      <c r="BR61">
        <v>0</v>
      </c>
      <c r="BS61" s="5">
        <f>BR61/BR62</f>
        <v>0</v>
      </c>
      <c r="BT61" s="5">
        <f>0/$BT$1</f>
        <v>0</v>
      </c>
      <c r="BV61">
        <v>0</v>
      </c>
      <c r="BW61" s="5">
        <f>BV61/BV62</f>
        <v>0</v>
      </c>
      <c r="BX61" s="5">
        <f>0/$BX$1</f>
        <v>0</v>
      </c>
      <c r="BZ61">
        <v>0</v>
      </c>
      <c r="CA61" s="5">
        <f>BZ61/BZ62</f>
        <v>0</v>
      </c>
      <c r="CB61" s="5">
        <f>0/$CB$1</f>
        <v>0</v>
      </c>
      <c r="CD61">
        <v>0</v>
      </c>
      <c r="CE61" s="5">
        <f>CD61/CD62</f>
        <v>0</v>
      </c>
      <c r="CF61" s="5">
        <f>0/$CF$1</f>
        <v>0</v>
      </c>
      <c r="CH61">
        <v>0</v>
      </c>
      <c r="CI61" s="5">
        <f>CH61/CH62</f>
        <v>0</v>
      </c>
      <c r="CJ61" s="5">
        <f>0/$CJ$1</f>
        <v>0</v>
      </c>
      <c r="CL61">
        <v>0</v>
      </c>
      <c r="CM61" s="5">
        <f>CL61/CL62</f>
        <v>0</v>
      </c>
      <c r="CN61" s="5">
        <f>0/$CN$1</f>
        <v>0</v>
      </c>
      <c r="CP61">
        <v>0</v>
      </c>
      <c r="CQ61" s="5">
        <f>CP61/CP62</f>
        <v>0</v>
      </c>
      <c r="CR61" s="5">
        <f>0/$CR$1</f>
        <v>0</v>
      </c>
      <c r="CT61">
        <v>0</v>
      </c>
      <c r="CU61" s="5">
        <f>CT61/CT62</f>
        <v>0</v>
      </c>
      <c r="CV61" s="5">
        <f>0/$CV$1</f>
        <v>0</v>
      </c>
      <c r="CX61">
        <v>0</v>
      </c>
      <c r="CY61" s="5">
        <f>CX61/CX62</f>
        <v>0</v>
      </c>
      <c r="CZ61" s="5">
        <f>0/$CZ$1</f>
        <v>0</v>
      </c>
    </row>
    <row r="62" spans="1:104" s="6" customFormat="1" x14ac:dyDescent="0.25">
      <c r="A62" s="7" t="s">
        <v>33</v>
      </c>
      <c r="B62" s="6">
        <v>1000</v>
      </c>
      <c r="D62" s="8">
        <f>1000/$D$1</f>
        <v>1</v>
      </c>
      <c r="F62" s="6">
        <v>501</v>
      </c>
      <c r="H62" s="8">
        <f>501/$H$1</f>
        <v>1</v>
      </c>
      <c r="J62" s="6">
        <v>499</v>
      </c>
      <c r="L62" s="8">
        <f>499/$L$1</f>
        <v>1</v>
      </c>
      <c r="N62" s="6">
        <v>97</v>
      </c>
      <c r="P62" s="8">
        <f>97/$P$1</f>
        <v>1</v>
      </c>
      <c r="R62" s="6">
        <v>198</v>
      </c>
      <c r="T62" s="8">
        <f>198/$T$1</f>
        <v>1</v>
      </c>
      <c r="V62" s="6">
        <v>241</v>
      </c>
      <c r="X62" s="8">
        <f>241/$X$1</f>
        <v>1</v>
      </c>
      <c r="Z62" s="6">
        <v>198</v>
      </c>
      <c r="AB62" s="8">
        <f>198/$AB$1</f>
        <v>1</v>
      </c>
      <c r="AD62" s="6">
        <v>154</v>
      </c>
      <c r="AF62" s="8">
        <f>154/$AF$1</f>
        <v>1</v>
      </c>
      <c r="AH62" s="6">
        <v>120</v>
      </c>
      <c r="AJ62" s="8">
        <f>120/$AJ$1</f>
        <v>1</v>
      </c>
      <c r="AL62" s="6">
        <v>370</v>
      </c>
      <c r="AN62" s="8">
        <f>370/$AN$1</f>
        <v>1</v>
      </c>
      <c r="AP62" s="6">
        <v>378</v>
      </c>
      <c r="AR62" s="8">
        <f>378/$AR$1</f>
        <v>1</v>
      </c>
      <c r="AT62" s="6">
        <v>252</v>
      </c>
      <c r="AV62" s="8">
        <f>252/$AV$1</f>
        <v>1</v>
      </c>
      <c r="AX62" s="6">
        <v>273</v>
      </c>
      <c r="AZ62" s="8">
        <f>273/$AZ$1</f>
        <v>1</v>
      </c>
      <c r="BA62" s="8"/>
      <c r="BB62" s="6">
        <v>203</v>
      </c>
      <c r="BD62" s="8">
        <f>203/$BD$1</f>
        <v>1</v>
      </c>
      <c r="BF62" s="6">
        <v>215</v>
      </c>
      <c r="BH62" s="8">
        <f>215/$BH$1</f>
        <v>1</v>
      </c>
      <c r="BJ62" s="6">
        <v>309</v>
      </c>
      <c r="BL62" s="8">
        <f>309/$BL$1</f>
        <v>1</v>
      </c>
      <c r="BN62" s="6">
        <v>47</v>
      </c>
      <c r="BP62" s="8">
        <f>47/$BP$1</f>
        <v>1</v>
      </c>
      <c r="BR62" s="6">
        <v>314</v>
      </c>
      <c r="BT62" s="8">
        <f>314/$BT$1</f>
        <v>1</v>
      </c>
      <c r="BV62" s="6">
        <v>393</v>
      </c>
      <c r="BX62" s="8">
        <f>393/$BX$1</f>
        <v>1</v>
      </c>
      <c r="BZ62" s="6">
        <v>246</v>
      </c>
      <c r="CB62" s="8">
        <f>246/$CB$1</f>
        <v>1</v>
      </c>
      <c r="CD62" s="6">
        <v>123</v>
      </c>
      <c r="CF62" s="8">
        <f>123/$CF$1</f>
        <v>1</v>
      </c>
      <c r="CH62" s="6">
        <v>688</v>
      </c>
      <c r="CJ62" s="8">
        <f>688/$CJ$1</f>
        <v>1</v>
      </c>
      <c r="CL62" s="6">
        <v>758</v>
      </c>
      <c r="CN62" s="8">
        <f>758/$CN$1</f>
        <v>1</v>
      </c>
      <c r="CP62" s="6">
        <v>242</v>
      </c>
      <c r="CR62" s="8">
        <f>242/$CR$1</f>
        <v>1</v>
      </c>
      <c r="CT62" s="6">
        <v>333</v>
      </c>
      <c r="CV62" s="8">
        <f>333/$CV$1</f>
        <v>1</v>
      </c>
      <c r="CX62" s="6">
        <v>667</v>
      </c>
      <c r="CZ62" s="8">
        <f>667/$CZ$1</f>
        <v>1</v>
      </c>
    </row>
    <row r="63" spans="1:104" ht="15" hidden="1" customHeight="1" x14ac:dyDescent="0.25">
      <c r="A63" s="9" t="s">
        <v>34</v>
      </c>
      <c r="B63">
        <v>0</v>
      </c>
      <c r="D63" s="10">
        <f>0/$D$1</f>
        <v>0</v>
      </c>
      <c r="F63">
        <v>0</v>
      </c>
      <c r="H63" s="10">
        <f>0/$H$1</f>
        <v>0</v>
      </c>
      <c r="J63">
        <v>0</v>
      </c>
      <c r="L63" s="10">
        <f>0/$L$1</f>
        <v>0</v>
      </c>
      <c r="N63">
        <v>0</v>
      </c>
      <c r="P63" s="10">
        <f>0/$P$1</f>
        <v>0</v>
      </c>
      <c r="R63">
        <v>0</v>
      </c>
      <c r="T63" s="10">
        <f>0/$T$1</f>
        <v>0</v>
      </c>
      <c r="V63">
        <v>0</v>
      </c>
      <c r="X63" s="10">
        <f>0/$X$1</f>
        <v>0</v>
      </c>
      <c r="Z63">
        <v>0</v>
      </c>
      <c r="AB63" s="10">
        <f>0/$AB$1</f>
        <v>0</v>
      </c>
      <c r="AD63">
        <v>0</v>
      </c>
      <c r="AF63" s="10">
        <f>0/$AF$1</f>
        <v>0</v>
      </c>
      <c r="AH63">
        <v>0</v>
      </c>
      <c r="AJ63" s="10">
        <f>0/$AJ$1</f>
        <v>0</v>
      </c>
      <c r="AL63">
        <v>0</v>
      </c>
      <c r="AN63" s="10">
        <f>0/$AN$1</f>
        <v>0</v>
      </c>
      <c r="AP63">
        <v>0</v>
      </c>
      <c r="AR63" s="10">
        <f>0/$AR$1</f>
        <v>0</v>
      </c>
      <c r="AT63">
        <v>0</v>
      </c>
      <c r="AV63" s="10">
        <f>0/$AV$1</f>
        <v>0</v>
      </c>
      <c r="AX63">
        <v>0</v>
      </c>
      <c r="AZ63" s="10">
        <f>0/$AZ$1</f>
        <v>0</v>
      </c>
      <c r="BA63" s="10"/>
      <c r="BB63">
        <v>0</v>
      </c>
      <c r="BD63" s="10">
        <f>0/$BD$1</f>
        <v>0</v>
      </c>
      <c r="BF63">
        <v>0</v>
      </c>
      <c r="BH63" s="10">
        <f>0/$BH$1</f>
        <v>0</v>
      </c>
      <c r="BJ63">
        <v>0</v>
      </c>
      <c r="BL63" s="10">
        <f>0/$BL$1</f>
        <v>0</v>
      </c>
      <c r="BN63">
        <v>0</v>
      </c>
      <c r="BP63" s="10">
        <f>0/$BP$1</f>
        <v>0</v>
      </c>
      <c r="BR63">
        <v>0</v>
      </c>
      <c r="BT63" s="10">
        <f>0/$BT$1</f>
        <v>0</v>
      </c>
      <c r="BV63">
        <v>0</v>
      </c>
      <c r="BX63" s="10">
        <f>0/$BX$1</f>
        <v>0</v>
      </c>
      <c r="BZ63">
        <v>0</v>
      </c>
      <c r="CB63" s="10">
        <f>0/$CB$1</f>
        <v>0</v>
      </c>
      <c r="CD63">
        <v>0</v>
      </c>
      <c r="CF63" s="10">
        <f>0/$CF$1</f>
        <v>0</v>
      </c>
      <c r="CH63">
        <v>0</v>
      </c>
      <c r="CJ63" s="10">
        <f>0/$CJ$1</f>
        <v>0</v>
      </c>
      <c r="CL63">
        <v>0</v>
      </c>
      <c r="CN63" s="10">
        <f>0/$CN$1</f>
        <v>0</v>
      </c>
      <c r="CP63">
        <v>0</v>
      </c>
      <c r="CR63" s="10">
        <f>0/$CR$1</f>
        <v>0</v>
      </c>
      <c r="CT63">
        <v>0</v>
      </c>
      <c r="CV63" s="10">
        <f>0/$CV$1</f>
        <v>0</v>
      </c>
      <c r="CX63">
        <v>0</v>
      </c>
      <c r="CZ63" s="10">
        <f>0/$CZ$1</f>
        <v>0</v>
      </c>
    </row>
    <row r="64" spans="1:104" ht="15" hidden="1" customHeight="1" x14ac:dyDescent="0.25">
      <c r="A64" s="9" t="s">
        <v>35</v>
      </c>
      <c r="B64">
        <v>0</v>
      </c>
      <c r="D64" s="10">
        <f>0/$D$1</f>
        <v>0</v>
      </c>
      <c r="F64">
        <v>0</v>
      </c>
      <c r="H64" s="10">
        <f>0/$H$1</f>
        <v>0</v>
      </c>
      <c r="J64">
        <v>0</v>
      </c>
      <c r="L64" s="10">
        <f>0/$L$1</f>
        <v>0</v>
      </c>
      <c r="N64">
        <v>0</v>
      </c>
      <c r="P64" s="10">
        <f>0/$P$1</f>
        <v>0</v>
      </c>
      <c r="R64">
        <v>0</v>
      </c>
      <c r="T64" s="10">
        <f>0/$T$1</f>
        <v>0</v>
      </c>
      <c r="V64">
        <v>0</v>
      </c>
      <c r="X64" s="10">
        <f>0/$X$1</f>
        <v>0</v>
      </c>
      <c r="Z64">
        <v>0</v>
      </c>
      <c r="AB64" s="10">
        <f>0/$AB$1</f>
        <v>0</v>
      </c>
      <c r="AD64">
        <v>0</v>
      </c>
      <c r="AF64" s="10">
        <f>0/$AF$1</f>
        <v>0</v>
      </c>
      <c r="AH64">
        <v>0</v>
      </c>
      <c r="AJ64" s="10">
        <f>0/$AJ$1</f>
        <v>0</v>
      </c>
      <c r="AL64">
        <v>0</v>
      </c>
      <c r="AN64" s="10">
        <f>0/$AN$1</f>
        <v>0</v>
      </c>
      <c r="AP64">
        <v>0</v>
      </c>
      <c r="AR64" s="10">
        <f>0/$AR$1</f>
        <v>0</v>
      </c>
      <c r="AT64">
        <v>0</v>
      </c>
      <c r="AV64" s="10">
        <f>0/$AV$1</f>
        <v>0</v>
      </c>
      <c r="AX64">
        <v>0</v>
      </c>
      <c r="AZ64" s="10">
        <f>0/$AZ$1</f>
        <v>0</v>
      </c>
      <c r="BA64" s="10"/>
      <c r="BB64">
        <v>0</v>
      </c>
      <c r="BD64" s="10">
        <f>0/$BD$1</f>
        <v>0</v>
      </c>
      <c r="BF64">
        <v>0</v>
      </c>
      <c r="BH64" s="10">
        <f>0/$BH$1</f>
        <v>0</v>
      </c>
      <c r="BJ64">
        <v>0</v>
      </c>
      <c r="BL64" s="10">
        <f>0/$BL$1</f>
        <v>0</v>
      </c>
      <c r="BN64">
        <v>0</v>
      </c>
      <c r="BP64" s="10">
        <f>0/$BP$1</f>
        <v>0</v>
      </c>
      <c r="BR64">
        <v>0</v>
      </c>
      <c r="BT64" s="10">
        <f>0/$BT$1</f>
        <v>0</v>
      </c>
      <c r="BV64">
        <v>0</v>
      </c>
      <c r="BX64" s="10">
        <f>0/$BX$1</f>
        <v>0</v>
      </c>
      <c r="BZ64">
        <v>0</v>
      </c>
      <c r="CB64" s="10">
        <f>0/$CB$1</f>
        <v>0</v>
      </c>
      <c r="CD64">
        <v>0</v>
      </c>
      <c r="CF64" s="10">
        <f>0/$CF$1</f>
        <v>0</v>
      </c>
      <c r="CH64">
        <v>0</v>
      </c>
      <c r="CJ64" s="10">
        <f>0/$CJ$1</f>
        <v>0</v>
      </c>
      <c r="CL64">
        <v>0</v>
      </c>
      <c r="CN64" s="10">
        <f>0/$CN$1</f>
        <v>0</v>
      </c>
      <c r="CP64">
        <v>0</v>
      </c>
      <c r="CR64" s="10">
        <f>0/$CR$1</f>
        <v>0</v>
      </c>
      <c r="CT64">
        <v>0</v>
      </c>
      <c r="CV64" s="10">
        <f>0/$CV$1</f>
        <v>0</v>
      </c>
      <c r="CX64">
        <v>0</v>
      </c>
      <c r="CZ64" s="10">
        <f>0/$CZ$1</f>
        <v>0</v>
      </c>
    </row>
    <row r="66" spans="1:104" s="3" customFormat="1" x14ac:dyDescent="0.25">
      <c r="A66" s="3" t="s">
        <v>1031</v>
      </c>
      <c r="D66" s="4" t="s">
        <v>27</v>
      </c>
      <c r="H66" s="4" t="s">
        <v>27</v>
      </c>
      <c r="L66" s="4" t="s">
        <v>27</v>
      </c>
      <c r="P66" s="4" t="s">
        <v>27</v>
      </c>
      <c r="T66" s="4" t="s">
        <v>27</v>
      </c>
      <c r="X66" s="4" t="s">
        <v>27</v>
      </c>
      <c r="AB66" s="4" t="s">
        <v>27</v>
      </c>
      <c r="AF66" s="4" t="s">
        <v>27</v>
      </c>
      <c r="AJ66" s="4" t="s">
        <v>27</v>
      </c>
      <c r="AN66" s="4" t="s">
        <v>27</v>
      </c>
      <c r="AR66" s="4" t="s">
        <v>27</v>
      </c>
      <c r="AV66" s="4" t="s">
        <v>27</v>
      </c>
      <c r="AZ66" s="4" t="s">
        <v>27</v>
      </c>
      <c r="BA66" s="4"/>
      <c r="BD66" s="4" t="s">
        <v>27</v>
      </c>
      <c r="BH66" s="4" t="s">
        <v>27</v>
      </c>
      <c r="BL66" s="4" t="s">
        <v>27</v>
      </c>
      <c r="BP66" s="4" t="s">
        <v>27</v>
      </c>
      <c r="BT66" s="4" t="s">
        <v>27</v>
      </c>
      <c r="BX66" s="4" t="s">
        <v>27</v>
      </c>
      <c r="CB66" s="4" t="s">
        <v>27</v>
      </c>
      <c r="CF66" s="4" t="s">
        <v>27</v>
      </c>
      <c r="CJ66" s="4" t="s">
        <v>27</v>
      </c>
      <c r="CN66" s="4" t="s">
        <v>27</v>
      </c>
      <c r="CR66" s="4" t="s">
        <v>27</v>
      </c>
      <c r="CV66" s="4" t="s">
        <v>27</v>
      </c>
      <c r="CZ66" s="4" t="s">
        <v>27</v>
      </c>
    </row>
    <row r="67" spans="1:104" x14ac:dyDescent="0.25">
      <c r="A67" s="1" t="s">
        <v>32</v>
      </c>
      <c r="B67">
        <v>0</v>
      </c>
      <c r="C67" s="5">
        <f>B67/B68</f>
        <v>0</v>
      </c>
      <c r="D67" s="5">
        <f>0/$D$1</f>
        <v>0</v>
      </c>
      <c r="F67">
        <v>0</v>
      </c>
      <c r="G67" s="5">
        <f>F67/F68</f>
        <v>0</v>
      </c>
      <c r="H67" s="5">
        <f>0/$H$1</f>
        <v>0</v>
      </c>
      <c r="J67">
        <v>0</v>
      </c>
      <c r="K67" s="5">
        <f>J67/J68</f>
        <v>0</v>
      </c>
      <c r="L67" s="5">
        <f>0/$L$1</f>
        <v>0</v>
      </c>
      <c r="N67">
        <v>0</v>
      </c>
      <c r="O67" s="5">
        <f>N67/N68</f>
        <v>0</v>
      </c>
      <c r="P67" s="5">
        <f>0/$P$1</f>
        <v>0</v>
      </c>
      <c r="R67">
        <v>0</v>
      </c>
      <c r="S67" s="5">
        <f>R67/R68</f>
        <v>0</v>
      </c>
      <c r="T67" s="5">
        <f>0/$T$1</f>
        <v>0</v>
      </c>
      <c r="V67">
        <v>0</v>
      </c>
      <c r="W67" s="5">
        <f>V67/V68</f>
        <v>0</v>
      </c>
      <c r="X67" s="5">
        <f>0/$X$1</f>
        <v>0</v>
      </c>
      <c r="Z67">
        <v>0</v>
      </c>
      <c r="AA67" s="5">
        <f>Z67/Z68</f>
        <v>0</v>
      </c>
      <c r="AB67" s="5">
        <f>0/$AB$1</f>
        <v>0</v>
      </c>
      <c r="AD67">
        <v>0</v>
      </c>
      <c r="AE67" s="5">
        <f>AD67/AD68</f>
        <v>0</v>
      </c>
      <c r="AF67" s="5">
        <f>0/$AF$1</f>
        <v>0</v>
      </c>
      <c r="AH67">
        <v>0</v>
      </c>
      <c r="AI67" s="5">
        <f>AH67/AH68</f>
        <v>0</v>
      </c>
      <c r="AJ67" s="5">
        <f>0/$AJ$1</f>
        <v>0</v>
      </c>
      <c r="AL67">
        <v>0</v>
      </c>
      <c r="AM67" s="5">
        <f>AL67/AL68</f>
        <v>0</v>
      </c>
      <c r="AN67" s="5">
        <f>0/$AN$1</f>
        <v>0</v>
      </c>
      <c r="AP67">
        <v>0</v>
      </c>
      <c r="AQ67" s="5">
        <f>AP67/AP68</f>
        <v>0</v>
      </c>
      <c r="AR67" s="5">
        <f>0/$AR$1</f>
        <v>0</v>
      </c>
      <c r="AT67">
        <v>0</v>
      </c>
      <c r="AU67" s="5">
        <f>AT67/AT68</f>
        <v>0</v>
      </c>
      <c r="AV67" s="5">
        <f>0/$AV$1</f>
        <v>0</v>
      </c>
      <c r="AX67">
        <v>0</v>
      </c>
      <c r="AY67" s="5">
        <f>AX67/AX68</f>
        <v>0</v>
      </c>
      <c r="AZ67" s="5">
        <f>0/$AZ$1</f>
        <v>0</v>
      </c>
      <c r="BA67" s="5"/>
      <c r="BB67">
        <v>0</v>
      </c>
      <c r="BC67" s="5">
        <f>BB67/BB68</f>
        <v>0</v>
      </c>
      <c r="BD67" s="5">
        <f>0/$BD$1</f>
        <v>0</v>
      </c>
      <c r="BF67">
        <v>0</v>
      </c>
      <c r="BG67" s="5">
        <f>BF67/BF68</f>
        <v>0</v>
      </c>
      <c r="BH67" s="5">
        <f>0/$BH$1</f>
        <v>0</v>
      </c>
      <c r="BJ67">
        <v>0</v>
      </c>
      <c r="BK67" s="5">
        <f>BJ67/BJ68</f>
        <v>0</v>
      </c>
      <c r="BL67" s="5">
        <f>0/$BL$1</f>
        <v>0</v>
      </c>
      <c r="BN67">
        <v>0</v>
      </c>
      <c r="BO67" s="5">
        <f>BN67/BN68</f>
        <v>0</v>
      </c>
      <c r="BP67" s="5">
        <f>0/$BP$1</f>
        <v>0</v>
      </c>
      <c r="BR67">
        <v>0</v>
      </c>
      <c r="BS67" s="5">
        <f>BR67/BR68</f>
        <v>0</v>
      </c>
      <c r="BT67" s="5">
        <f>0/$BT$1</f>
        <v>0</v>
      </c>
      <c r="BV67">
        <v>0</v>
      </c>
      <c r="BW67" s="5">
        <f>BV67/BV68</f>
        <v>0</v>
      </c>
      <c r="BX67" s="5">
        <f>0/$BX$1</f>
        <v>0</v>
      </c>
      <c r="BZ67">
        <v>0</v>
      </c>
      <c r="CA67" s="5">
        <f>BZ67/BZ68</f>
        <v>0</v>
      </c>
      <c r="CB67" s="5">
        <f>0/$CB$1</f>
        <v>0</v>
      </c>
      <c r="CD67">
        <v>0</v>
      </c>
      <c r="CE67" s="5">
        <f>CD67/CD68</f>
        <v>0</v>
      </c>
      <c r="CF67" s="5">
        <f>0/$CF$1</f>
        <v>0</v>
      </c>
      <c r="CH67">
        <v>0</v>
      </c>
      <c r="CI67" s="5">
        <f>CH67/CH68</f>
        <v>0</v>
      </c>
      <c r="CJ67" s="5">
        <f>0/$CJ$1</f>
        <v>0</v>
      </c>
      <c r="CL67">
        <v>0</v>
      </c>
      <c r="CM67" s="5">
        <f>CL67/CL68</f>
        <v>0</v>
      </c>
      <c r="CN67" s="5">
        <f>0/$CN$1</f>
        <v>0</v>
      </c>
      <c r="CP67">
        <v>0</v>
      </c>
      <c r="CQ67" s="5">
        <f>CP67/CP68</f>
        <v>0</v>
      </c>
      <c r="CR67" s="5">
        <f>0/$CR$1</f>
        <v>0</v>
      </c>
      <c r="CT67">
        <v>0</v>
      </c>
      <c r="CU67" s="5">
        <f>CT67/CT68</f>
        <v>0</v>
      </c>
      <c r="CV67" s="5">
        <f>0/$CV$1</f>
        <v>0</v>
      </c>
      <c r="CX67">
        <v>0</v>
      </c>
      <c r="CY67" s="5">
        <f>CX67/CX68</f>
        <v>0</v>
      </c>
      <c r="CZ67" s="5">
        <f>0/$CZ$1</f>
        <v>0</v>
      </c>
    </row>
    <row r="68" spans="1:104" s="6" customFormat="1" x14ac:dyDescent="0.25">
      <c r="A68" s="7" t="s">
        <v>33</v>
      </c>
      <c r="B68" s="6">
        <v>1000</v>
      </c>
      <c r="D68" s="8">
        <f>1000/$D$1</f>
        <v>1</v>
      </c>
      <c r="F68" s="6">
        <v>501</v>
      </c>
      <c r="H68" s="8">
        <f>501/$H$1</f>
        <v>1</v>
      </c>
      <c r="J68" s="6">
        <v>499</v>
      </c>
      <c r="L68" s="8">
        <f>499/$L$1</f>
        <v>1</v>
      </c>
      <c r="N68" s="6">
        <v>97</v>
      </c>
      <c r="P68" s="8">
        <f>97/$P$1</f>
        <v>1</v>
      </c>
      <c r="R68" s="6">
        <v>198</v>
      </c>
      <c r="T68" s="8">
        <f>198/$T$1</f>
        <v>1</v>
      </c>
      <c r="V68" s="6">
        <v>241</v>
      </c>
      <c r="X68" s="8">
        <f>241/$X$1</f>
        <v>1</v>
      </c>
      <c r="Z68" s="6">
        <v>198</v>
      </c>
      <c r="AB68" s="8">
        <f>198/$AB$1</f>
        <v>1</v>
      </c>
      <c r="AD68" s="6">
        <v>154</v>
      </c>
      <c r="AF68" s="8">
        <f>154/$AF$1</f>
        <v>1</v>
      </c>
      <c r="AH68" s="6">
        <v>120</v>
      </c>
      <c r="AJ68" s="8">
        <f>120/$AJ$1</f>
        <v>1</v>
      </c>
      <c r="AL68" s="6">
        <v>370</v>
      </c>
      <c r="AN68" s="8">
        <f>370/$AN$1</f>
        <v>1</v>
      </c>
      <c r="AP68" s="6">
        <v>378</v>
      </c>
      <c r="AR68" s="8">
        <f>378/$AR$1</f>
        <v>1</v>
      </c>
      <c r="AT68" s="6">
        <v>252</v>
      </c>
      <c r="AV68" s="8">
        <f>252/$AV$1</f>
        <v>1</v>
      </c>
      <c r="AX68" s="6">
        <v>273</v>
      </c>
      <c r="AZ68" s="8">
        <f>273/$AZ$1</f>
        <v>1</v>
      </c>
      <c r="BA68" s="8"/>
      <c r="BB68" s="6">
        <v>203</v>
      </c>
      <c r="BD68" s="8">
        <f>203/$BD$1</f>
        <v>1</v>
      </c>
      <c r="BF68" s="6">
        <v>215</v>
      </c>
      <c r="BH68" s="8">
        <f>215/$BH$1</f>
        <v>1</v>
      </c>
      <c r="BJ68" s="6">
        <v>309</v>
      </c>
      <c r="BL68" s="8">
        <f>309/$BL$1</f>
        <v>1</v>
      </c>
      <c r="BN68" s="6">
        <v>47</v>
      </c>
      <c r="BP68" s="8">
        <f>47/$BP$1</f>
        <v>1</v>
      </c>
      <c r="BR68" s="6">
        <v>314</v>
      </c>
      <c r="BT68" s="8">
        <f>314/$BT$1</f>
        <v>1</v>
      </c>
      <c r="BV68" s="6">
        <v>393</v>
      </c>
      <c r="BX68" s="8">
        <f>393/$BX$1</f>
        <v>1</v>
      </c>
      <c r="BZ68" s="6">
        <v>246</v>
      </c>
      <c r="CB68" s="8">
        <f>246/$CB$1</f>
        <v>1</v>
      </c>
      <c r="CD68" s="6">
        <v>123</v>
      </c>
      <c r="CF68" s="8">
        <f>123/$CF$1</f>
        <v>1</v>
      </c>
      <c r="CH68" s="6">
        <v>688</v>
      </c>
      <c r="CJ68" s="8">
        <f>688/$CJ$1</f>
        <v>1</v>
      </c>
      <c r="CL68" s="6">
        <v>758</v>
      </c>
      <c r="CN68" s="8">
        <f>758/$CN$1</f>
        <v>1</v>
      </c>
      <c r="CP68" s="6">
        <v>242</v>
      </c>
      <c r="CR68" s="8">
        <f>242/$CR$1</f>
        <v>1</v>
      </c>
      <c r="CT68" s="6">
        <v>333</v>
      </c>
      <c r="CV68" s="8">
        <f>333/$CV$1</f>
        <v>1</v>
      </c>
      <c r="CX68" s="6">
        <v>667</v>
      </c>
      <c r="CZ68" s="8">
        <f>667/$CZ$1</f>
        <v>1</v>
      </c>
    </row>
    <row r="69" spans="1:104" ht="15" hidden="1" customHeight="1" x14ac:dyDescent="0.25">
      <c r="A69" s="9" t="s">
        <v>34</v>
      </c>
      <c r="B69">
        <v>0</v>
      </c>
      <c r="D69" s="10">
        <f>0/$D$1</f>
        <v>0</v>
      </c>
      <c r="F69">
        <v>0</v>
      </c>
      <c r="H69" s="10">
        <f>0/$H$1</f>
        <v>0</v>
      </c>
      <c r="J69">
        <v>0</v>
      </c>
      <c r="L69" s="10">
        <f>0/$L$1</f>
        <v>0</v>
      </c>
      <c r="N69">
        <v>0</v>
      </c>
      <c r="P69" s="10">
        <f>0/$P$1</f>
        <v>0</v>
      </c>
      <c r="R69">
        <v>0</v>
      </c>
      <c r="T69" s="10">
        <f>0/$T$1</f>
        <v>0</v>
      </c>
      <c r="V69">
        <v>0</v>
      </c>
      <c r="X69" s="10">
        <f>0/$X$1</f>
        <v>0</v>
      </c>
      <c r="Z69">
        <v>0</v>
      </c>
      <c r="AB69" s="10">
        <f>0/$AB$1</f>
        <v>0</v>
      </c>
      <c r="AD69">
        <v>0</v>
      </c>
      <c r="AF69" s="10">
        <f>0/$AF$1</f>
        <v>0</v>
      </c>
      <c r="AH69">
        <v>0</v>
      </c>
      <c r="AJ69" s="10">
        <f>0/$AJ$1</f>
        <v>0</v>
      </c>
      <c r="AL69">
        <v>0</v>
      </c>
      <c r="AN69" s="10">
        <f>0/$AN$1</f>
        <v>0</v>
      </c>
      <c r="AP69">
        <v>0</v>
      </c>
      <c r="AR69" s="10">
        <f>0/$AR$1</f>
        <v>0</v>
      </c>
      <c r="AT69">
        <v>0</v>
      </c>
      <c r="AV69" s="10">
        <f>0/$AV$1</f>
        <v>0</v>
      </c>
      <c r="AX69">
        <v>0</v>
      </c>
      <c r="AZ69" s="10">
        <f>0/$AZ$1</f>
        <v>0</v>
      </c>
      <c r="BA69" s="10"/>
      <c r="BB69">
        <v>0</v>
      </c>
      <c r="BD69" s="10">
        <f>0/$BD$1</f>
        <v>0</v>
      </c>
      <c r="BF69">
        <v>0</v>
      </c>
      <c r="BH69" s="10">
        <f>0/$BH$1</f>
        <v>0</v>
      </c>
      <c r="BJ69">
        <v>0</v>
      </c>
      <c r="BL69" s="10">
        <f>0/$BL$1</f>
        <v>0</v>
      </c>
      <c r="BN69">
        <v>0</v>
      </c>
      <c r="BP69" s="10">
        <f>0/$BP$1</f>
        <v>0</v>
      </c>
      <c r="BR69">
        <v>0</v>
      </c>
      <c r="BT69" s="10">
        <f>0/$BT$1</f>
        <v>0</v>
      </c>
      <c r="BV69">
        <v>0</v>
      </c>
      <c r="BX69" s="10">
        <f>0/$BX$1</f>
        <v>0</v>
      </c>
      <c r="BZ69">
        <v>0</v>
      </c>
      <c r="CB69" s="10">
        <f>0/$CB$1</f>
        <v>0</v>
      </c>
      <c r="CD69">
        <v>0</v>
      </c>
      <c r="CF69" s="10">
        <f>0/$CF$1</f>
        <v>0</v>
      </c>
      <c r="CH69">
        <v>0</v>
      </c>
      <c r="CJ69" s="10">
        <f>0/$CJ$1</f>
        <v>0</v>
      </c>
      <c r="CL69">
        <v>0</v>
      </c>
      <c r="CN69" s="10">
        <f>0/$CN$1</f>
        <v>0</v>
      </c>
      <c r="CP69">
        <v>0</v>
      </c>
      <c r="CR69" s="10">
        <f>0/$CR$1</f>
        <v>0</v>
      </c>
      <c r="CT69">
        <v>0</v>
      </c>
      <c r="CV69" s="10">
        <f>0/$CV$1</f>
        <v>0</v>
      </c>
      <c r="CX69">
        <v>0</v>
      </c>
      <c r="CZ69" s="10">
        <f>0/$CZ$1</f>
        <v>0</v>
      </c>
    </row>
    <row r="70" spans="1:104" ht="15" hidden="1" customHeight="1" x14ac:dyDescent="0.25">
      <c r="A70" s="9" t="s">
        <v>35</v>
      </c>
      <c r="B70">
        <v>0</v>
      </c>
      <c r="D70" s="10">
        <f>0/$D$1</f>
        <v>0</v>
      </c>
      <c r="F70">
        <v>0</v>
      </c>
      <c r="H70" s="10">
        <f>0/$H$1</f>
        <v>0</v>
      </c>
      <c r="J70">
        <v>0</v>
      </c>
      <c r="L70" s="10">
        <f>0/$L$1</f>
        <v>0</v>
      </c>
      <c r="N70">
        <v>0</v>
      </c>
      <c r="P70" s="10">
        <f>0/$P$1</f>
        <v>0</v>
      </c>
      <c r="R70">
        <v>0</v>
      </c>
      <c r="T70" s="10">
        <f>0/$T$1</f>
        <v>0</v>
      </c>
      <c r="V70">
        <v>0</v>
      </c>
      <c r="X70" s="10">
        <f>0/$X$1</f>
        <v>0</v>
      </c>
      <c r="Z70">
        <v>0</v>
      </c>
      <c r="AB70" s="10">
        <f>0/$AB$1</f>
        <v>0</v>
      </c>
      <c r="AD70">
        <v>0</v>
      </c>
      <c r="AF70" s="10">
        <f>0/$AF$1</f>
        <v>0</v>
      </c>
      <c r="AH70">
        <v>0</v>
      </c>
      <c r="AJ70" s="10">
        <f>0/$AJ$1</f>
        <v>0</v>
      </c>
      <c r="AL70">
        <v>0</v>
      </c>
      <c r="AN70" s="10">
        <f>0/$AN$1</f>
        <v>0</v>
      </c>
      <c r="AP70">
        <v>0</v>
      </c>
      <c r="AR70" s="10">
        <f>0/$AR$1</f>
        <v>0</v>
      </c>
      <c r="AT70">
        <v>0</v>
      </c>
      <c r="AV70" s="10">
        <f>0/$AV$1</f>
        <v>0</v>
      </c>
      <c r="AX70">
        <v>0</v>
      </c>
      <c r="AZ70" s="10">
        <f>0/$AZ$1</f>
        <v>0</v>
      </c>
      <c r="BA70" s="10"/>
      <c r="BB70">
        <v>0</v>
      </c>
      <c r="BD70" s="10">
        <f>0/$BD$1</f>
        <v>0</v>
      </c>
      <c r="BF70">
        <v>0</v>
      </c>
      <c r="BH70" s="10">
        <f>0/$BH$1</f>
        <v>0</v>
      </c>
      <c r="BJ70">
        <v>0</v>
      </c>
      <c r="BL70" s="10">
        <f>0/$BL$1</f>
        <v>0</v>
      </c>
      <c r="BN70">
        <v>0</v>
      </c>
      <c r="BP70" s="10">
        <f>0/$BP$1</f>
        <v>0</v>
      </c>
      <c r="BR70">
        <v>0</v>
      </c>
      <c r="BT70" s="10">
        <f>0/$BT$1</f>
        <v>0</v>
      </c>
      <c r="BV70">
        <v>0</v>
      </c>
      <c r="BX70" s="10">
        <f>0/$BX$1</f>
        <v>0</v>
      </c>
      <c r="BZ70">
        <v>0</v>
      </c>
      <c r="CB70" s="10">
        <f>0/$CB$1</f>
        <v>0</v>
      </c>
      <c r="CD70">
        <v>0</v>
      </c>
      <c r="CF70" s="10">
        <f>0/$CF$1</f>
        <v>0</v>
      </c>
      <c r="CH70">
        <v>0</v>
      </c>
      <c r="CJ70" s="10">
        <f>0/$CJ$1</f>
        <v>0</v>
      </c>
      <c r="CL70">
        <v>0</v>
      </c>
      <c r="CN70" s="10">
        <f>0/$CN$1</f>
        <v>0</v>
      </c>
      <c r="CP70">
        <v>0</v>
      </c>
      <c r="CR70" s="10">
        <f>0/$CR$1</f>
        <v>0</v>
      </c>
      <c r="CT70">
        <v>0</v>
      </c>
      <c r="CV70" s="10">
        <f>0/$CV$1</f>
        <v>0</v>
      </c>
      <c r="CX70">
        <v>0</v>
      </c>
      <c r="CZ70" s="10">
        <f>0/$CZ$1</f>
        <v>0</v>
      </c>
    </row>
    <row r="72" spans="1:104" s="3" customFormat="1" x14ac:dyDescent="0.25">
      <c r="A72" s="3" t="s">
        <v>1032</v>
      </c>
      <c r="D72" s="4" t="s">
        <v>27</v>
      </c>
      <c r="H72" s="4" t="s">
        <v>27</v>
      </c>
      <c r="L72" s="4" t="s">
        <v>27</v>
      </c>
      <c r="P72" s="4" t="s">
        <v>27</v>
      </c>
      <c r="T72" s="4" t="s">
        <v>27</v>
      </c>
      <c r="X72" s="4" t="s">
        <v>27</v>
      </c>
      <c r="AB72" s="4" t="s">
        <v>27</v>
      </c>
      <c r="AF72" s="4" t="s">
        <v>27</v>
      </c>
      <c r="AJ72" s="4" t="s">
        <v>27</v>
      </c>
      <c r="AN72" s="4" t="s">
        <v>27</v>
      </c>
      <c r="AR72" s="4" t="s">
        <v>27</v>
      </c>
      <c r="AV72" s="4" t="s">
        <v>27</v>
      </c>
      <c r="AZ72" s="4" t="s">
        <v>27</v>
      </c>
      <c r="BA72" s="4"/>
      <c r="BD72" s="4" t="s">
        <v>27</v>
      </c>
      <c r="BH72" s="4" t="s">
        <v>27</v>
      </c>
      <c r="BL72" s="4" t="s">
        <v>27</v>
      </c>
      <c r="BP72" s="4" t="s">
        <v>27</v>
      </c>
      <c r="BT72" s="4" t="s">
        <v>27</v>
      </c>
      <c r="BX72" s="4" t="s">
        <v>27</v>
      </c>
      <c r="CB72" s="4" t="s">
        <v>27</v>
      </c>
      <c r="CF72" s="4" t="s">
        <v>27</v>
      </c>
      <c r="CJ72" s="4" t="s">
        <v>27</v>
      </c>
      <c r="CN72" s="4" t="s">
        <v>27</v>
      </c>
      <c r="CR72" s="4" t="s">
        <v>27</v>
      </c>
      <c r="CV72" s="4" t="s">
        <v>27</v>
      </c>
      <c r="CZ72" s="4" t="s">
        <v>27</v>
      </c>
    </row>
    <row r="73" spans="1:104" x14ac:dyDescent="0.25">
      <c r="A73" s="1" t="s">
        <v>1033</v>
      </c>
      <c r="B73">
        <v>628</v>
      </c>
      <c r="C73" s="5">
        <f>B73/B186</f>
        <v>0.628</v>
      </c>
      <c r="D73" s="5">
        <f>628/$D$1</f>
        <v>0.628</v>
      </c>
      <c r="F73">
        <v>285</v>
      </c>
      <c r="G73" s="5">
        <f>F73/F186</f>
        <v>0.56886227544910184</v>
      </c>
      <c r="H73" s="5">
        <f>285/$H$1</f>
        <v>0.56886227544910184</v>
      </c>
      <c r="J73">
        <v>343</v>
      </c>
      <c r="K73" s="5">
        <f>J73/J186</f>
        <v>0.68737474949899802</v>
      </c>
      <c r="L73" s="5">
        <f>343/$L$1</f>
        <v>0.68737474949899802</v>
      </c>
      <c r="N73">
        <v>68</v>
      </c>
      <c r="O73" s="5">
        <f>N73/N186</f>
        <v>0.7010309278350515</v>
      </c>
      <c r="P73" s="5">
        <f>68/$P$1</f>
        <v>0.7010309278350515</v>
      </c>
      <c r="R73">
        <v>103</v>
      </c>
      <c r="S73" s="5">
        <f>R73/R186</f>
        <v>0.52020202020202022</v>
      </c>
      <c r="T73" s="5">
        <f>103/$T$1</f>
        <v>0.52020202020202022</v>
      </c>
      <c r="V73">
        <v>141</v>
      </c>
      <c r="W73" s="5">
        <f>V73/V186</f>
        <v>0.58506224066390045</v>
      </c>
      <c r="X73" s="5">
        <f>141/$X$1</f>
        <v>0.58506224066390045</v>
      </c>
      <c r="Z73">
        <v>142</v>
      </c>
      <c r="AA73" s="5">
        <f>Z73/Z186</f>
        <v>0.71717171717171713</v>
      </c>
      <c r="AB73" s="5">
        <f>142/$AB$1</f>
        <v>0.71717171717171713</v>
      </c>
      <c r="AD73">
        <v>100</v>
      </c>
      <c r="AE73" s="5">
        <f>AD73/AD186</f>
        <v>0.64935064935064934</v>
      </c>
      <c r="AF73" s="5">
        <f>100/$AF$1</f>
        <v>0.64935064935064934</v>
      </c>
      <c r="AH73">
        <v>77</v>
      </c>
      <c r="AI73" s="5">
        <f>AH73/AH186</f>
        <v>0.64166666666666672</v>
      </c>
      <c r="AJ73" s="5">
        <f>77/$AJ$1</f>
        <v>0.64166666666666672</v>
      </c>
      <c r="AL73">
        <v>265</v>
      </c>
      <c r="AM73" s="5">
        <f>AL73/AL186</f>
        <v>0.71621621621621623</v>
      </c>
      <c r="AN73" s="5">
        <f>265/$AN$1</f>
        <v>0.71621621621621623</v>
      </c>
      <c r="AP73">
        <v>219</v>
      </c>
      <c r="AQ73" s="5">
        <f>AP73/AP186</f>
        <v>0.57936507936507942</v>
      </c>
      <c r="AR73" s="5">
        <f>219/$AR$1</f>
        <v>0.57936507936507942</v>
      </c>
      <c r="AT73">
        <v>144</v>
      </c>
      <c r="AU73" s="5">
        <f>AT73/AT186</f>
        <v>0.5714285714285714</v>
      </c>
      <c r="AV73" s="5">
        <f>144/$AV$1</f>
        <v>0.5714285714285714</v>
      </c>
      <c r="AX73">
        <v>179</v>
      </c>
      <c r="AY73" s="5">
        <f>AX73/AX186</f>
        <v>0.65567765567765568</v>
      </c>
      <c r="AZ73" s="5">
        <f>179/$AZ$1</f>
        <v>0.65567765567765568</v>
      </c>
      <c r="BA73" s="5"/>
      <c r="BB73">
        <v>136</v>
      </c>
      <c r="BC73" s="5">
        <f>BB73/BB186</f>
        <v>0.66995073891625612</v>
      </c>
      <c r="BD73" s="5">
        <f>136/$BD$1</f>
        <v>0.66995073891625612</v>
      </c>
      <c r="BF73">
        <v>148</v>
      </c>
      <c r="BG73" s="5">
        <f>BF73/BF186</f>
        <v>0.68837209302325586</v>
      </c>
      <c r="BH73" s="5">
        <f>148/$BH$1</f>
        <v>0.68837209302325586</v>
      </c>
      <c r="BJ73">
        <v>165</v>
      </c>
      <c r="BK73" s="5">
        <f>BJ73/BJ186</f>
        <v>0.53398058252427183</v>
      </c>
      <c r="BL73" s="5">
        <f>165/$BL$1</f>
        <v>0.53398058252427183</v>
      </c>
      <c r="BN73">
        <v>31</v>
      </c>
      <c r="BO73" s="5">
        <f>BN73/BN186</f>
        <v>0.65957446808510634</v>
      </c>
      <c r="BP73" s="5">
        <f>31/$BP$1</f>
        <v>0.65957446808510634</v>
      </c>
      <c r="BR73">
        <v>234</v>
      </c>
      <c r="BS73" s="5">
        <f>BR73/BR186</f>
        <v>0.74522292993630568</v>
      </c>
      <c r="BT73" s="5">
        <f>234/$BT$1</f>
        <v>0.74522292993630568</v>
      </c>
      <c r="BV73">
        <v>238</v>
      </c>
      <c r="BW73" s="5">
        <f>BV73/BV186</f>
        <v>0.6055979643765903</v>
      </c>
      <c r="BX73" s="5">
        <f>238/$BX$1</f>
        <v>0.6055979643765903</v>
      </c>
      <c r="BZ73">
        <v>125</v>
      </c>
      <c r="CA73" s="5">
        <f>BZ73/BZ186</f>
        <v>0.50813008130081305</v>
      </c>
      <c r="CB73" s="5">
        <f>125/$CB$1</f>
        <v>0.50813008130081305</v>
      </c>
      <c r="CD73">
        <v>63</v>
      </c>
      <c r="CE73" s="5">
        <f>CD73/CD186</f>
        <v>0.51219512195121952</v>
      </c>
      <c r="CF73" s="5">
        <f>63/$CF$1</f>
        <v>0.51219512195121952</v>
      </c>
      <c r="CH73">
        <v>453</v>
      </c>
      <c r="CI73" s="5">
        <f>CH73/CH186</f>
        <v>0.65843023255813948</v>
      </c>
      <c r="CJ73" s="5">
        <f>453/$CJ$1</f>
        <v>0.65843023255813948</v>
      </c>
      <c r="CL73">
        <v>501</v>
      </c>
      <c r="CM73" s="5">
        <f>CL73/CL186</f>
        <v>0.66094986807387868</v>
      </c>
      <c r="CN73" s="5">
        <f>501/$CN$1</f>
        <v>0.66094986807387868</v>
      </c>
      <c r="CP73">
        <v>127</v>
      </c>
      <c r="CQ73" s="5">
        <f>CP73/CP186</f>
        <v>0.52479338842975209</v>
      </c>
      <c r="CR73" s="5">
        <f>127/$CR$1</f>
        <v>0.52479338842975209</v>
      </c>
      <c r="CT73">
        <v>202</v>
      </c>
      <c r="CU73" s="5">
        <f>CT73/CT186</f>
        <v>0.60660660660660659</v>
      </c>
      <c r="CV73" s="5">
        <f>202/$CV$1</f>
        <v>0.60660660660660659</v>
      </c>
      <c r="CX73">
        <v>426</v>
      </c>
      <c r="CY73" s="5">
        <f>CX73/CX186</f>
        <v>0.63868065967016496</v>
      </c>
      <c r="CZ73" s="5">
        <f>426/$CZ$1</f>
        <v>0.63868065967016496</v>
      </c>
    </row>
    <row r="74" spans="1:104" x14ac:dyDescent="0.25">
      <c r="A74" s="1" t="s">
        <v>1034</v>
      </c>
      <c r="B74">
        <v>295</v>
      </c>
      <c r="C74" s="5">
        <f>B74/B186</f>
        <v>0.29499999999999998</v>
      </c>
      <c r="D74" s="5">
        <f>295/$D$1</f>
        <v>0.29499999999999998</v>
      </c>
      <c r="F74">
        <v>170</v>
      </c>
      <c r="G74" s="5">
        <f>F74/F186</f>
        <v>0.33932135728542911</v>
      </c>
      <c r="H74" s="5">
        <f>170/$H$1</f>
        <v>0.33932135728542911</v>
      </c>
      <c r="J74">
        <v>125</v>
      </c>
      <c r="K74" s="5">
        <f>J74/J186</f>
        <v>0.25050100200400799</v>
      </c>
      <c r="L74" s="5">
        <f>125/$L$1</f>
        <v>0.25050100200400799</v>
      </c>
      <c r="N74">
        <v>20</v>
      </c>
      <c r="O74" s="5">
        <f>N74/N186</f>
        <v>0.20618556701030927</v>
      </c>
      <c r="P74" s="5">
        <f>20/$P$1</f>
        <v>0.20618556701030927</v>
      </c>
      <c r="R74">
        <v>75</v>
      </c>
      <c r="S74" s="5">
        <f>R74/R186</f>
        <v>0.37878787878787878</v>
      </c>
      <c r="T74" s="5">
        <f>75/$T$1</f>
        <v>0.37878787878787878</v>
      </c>
      <c r="V74">
        <v>78</v>
      </c>
      <c r="W74" s="5">
        <f>V74/V186</f>
        <v>0.32365145228215769</v>
      </c>
      <c r="X74" s="5">
        <f>78/$X$1</f>
        <v>0.32365145228215769</v>
      </c>
      <c r="Z74">
        <v>48</v>
      </c>
      <c r="AA74" s="5">
        <f>Z74/Z186</f>
        <v>0.24242424242424243</v>
      </c>
      <c r="AB74" s="5">
        <f>48/$AB$1</f>
        <v>0.24242424242424243</v>
      </c>
      <c r="AD74">
        <v>41</v>
      </c>
      <c r="AE74" s="5">
        <f>AD74/AD186</f>
        <v>0.26623376623376621</v>
      </c>
      <c r="AF74" s="5">
        <f>41/$AF$1</f>
        <v>0.26623376623376621</v>
      </c>
      <c r="AH74">
        <v>35</v>
      </c>
      <c r="AI74" s="5">
        <f>AH74/AH186</f>
        <v>0.29166666666666669</v>
      </c>
      <c r="AJ74" s="5">
        <f>35/$AJ$1</f>
        <v>0.29166666666666669</v>
      </c>
      <c r="AL74">
        <v>81</v>
      </c>
      <c r="AM74" s="5">
        <f>AL74/AL186</f>
        <v>0.21891891891891893</v>
      </c>
      <c r="AN74" s="5">
        <f>81/$AN$1</f>
        <v>0.21891891891891893</v>
      </c>
      <c r="AP74">
        <v>130</v>
      </c>
      <c r="AQ74" s="5">
        <f>AP74/AP186</f>
        <v>0.3439153439153439</v>
      </c>
      <c r="AR74" s="5">
        <f>130/$AR$1</f>
        <v>0.3439153439153439</v>
      </c>
      <c r="AT74">
        <v>84</v>
      </c>
      <c r="AU74" s="5">
        <f>AT74/AT186</f>
        <v>0.33333333333333331</v>
      </c>
      <c r="AV74" s="5">
        <f>84/$AV$1</f>
        <v>0.33333333333333331</v>
      </c>
      <c r="AX74">
        <v>77</v>
      </c>
      <c r="AY74" s="5">
        <f>AX74/AX186</f>
        <v>0.28205128205128205</v>
      </c>
      <c r="AZ74" s="5">
        <f>77/$AZ$1</f>
        <v>0.28205128205128205</v>
      </c>
      <c r="BA74" s="5"/>
      <c r="BB74">
        <v>51</v>
      </c>
      <c r="BC74" s="5">
        <f>BB74/BB186</f>
        <v>0.25123152709359609</v>
      </c>
      <c r="BD74" s="5">
        <f>51/$BD$1</f>
        <v>0.25123152709359609</v>
      </c>
      <c r="BF74">
        <v>53</v>
      </c>
      <c r="BG74" s="5">
        <f>BF74/BF186</f>
        <v>0.24651162790697675</v>
      </c>
      <c r="BH74" s="5">
        <f>53/$BH$1</f>
        <v>0.24651162790697675</v>
      </c>
      <c r="BJ74">
        <v>114</v>
      </c>
      <c r="BK74" s="5">
        <f>BJ74/BJ186</f>
        <v>0.36893203883495146</v>
      </c>
      <c r="BL74" s="5">
        <f>114/$BL$1</f>
        <v>0.36893203883495146</v>
      </c>
      <c r="BN74">
        <v>13</v>
      </c>
      <c r="BO74" s="5">
        <f>BN74/BN186</f>
        <v>0.27659574468085107</v>
      </c>
      <c r="BP74" s="5">
        <f>13/$BP$1</f>
        <v>0.27659574468085107</v>
      </c>
      <c r="BR74">
        <v>66</v>
      </c>
      <c r="BS74" s="5">
        <f>BR74/BR186</f>
        <v>0.21019108280254778</v>
      </c>
      <c r="BT74" s="5">
        <f>66/$BT$1</f>
        <v>0.21019108280254778</v>
      </c>
      <c r="BV74">
        <v>126</v>
      </c>
      <c r="BW74" s="5">
        <f>BV74/BV186</f>
        <v>0.32061068702290074</v>
      </c>
      <c r="BX74" s="5">
        <f>126/$BX$1</f>
        <v>0.32061068702290074</v>
      </c>
      <c r="BZ74">
        <v>90</v>
      </c>
      <c r="CA74" s="5">
        <f>BZ74/BZ186</f>
        <v>0.36585365853658536</v>
      </c>
      <c r="CB74" s="5">
        <f>90/$CB$1</f>
        <v>0.36585365853658536</v>
      </c>
      <c r="CD74">
        <v>47</v>
      </c>
      <c r="CE74" s="5">
        <f>CD74/CD186</f>
        <v>0.38211382113821141</v>
      </c>
      <c r="CF74" s="5">
        <f>47/$CF$1</f>
        <v>0.38211382113821141</v>
      </c>
      <c r="CH74">
        <v>193</v>
      </c>
      <c r="CI74" s="5">
        <f>CH74/CH186</f>
        <v>0.28052325581395349</v>
      </c>
      <c r="CJ74" s="5">
        <f>193/$CJ$1</f>
        <v>0.28052325581395349</v>
      </c>
      <c r="CL74">
        <v>209</v>
      </c>
      <c r="CM74" s="5">
        <f>CL74/CL186</f>
        <v>0.27572559366754618</v>
      </c>
      <c r="CN74" s="5">
        <f>209/$CN$1</f>
        <v>0.27572559366754618</v>
      </c>
      <c r="CP74">
        <v>86</v>
      </c>
      <c r="CQ74" s="5">
        <f>CP74/CP186</f>
        <v>0.35537190082644626</v>
      </c>
      <c r="CR74" s="5">
        <f>86/$CR$1</f>
        <v>0.35537190082644626</v>
      </c>
      <c r="CT74">
        <v>98</v>
      </c>
      <c r="CU74" s="5">
        <f>CT74/CT186</f>
        <v>0.29429429429429427</v>
      </c>
      <c r="CV74" s="5">
        <f>98/$CV$1</f>
        <v>0.29429429429429427</v>
      </c>
      <c r="CX74">
        <v>197</v>
      </c>
      <c r="CY74" s="5">
        <f>CX74/CX186</f>
        <v>0.29535232383808097</v>
      </c>
      <c r="CZ74" s="5">
        <f>197/$CZ$1</f>
        <v>0.29535232383808097</v>
      </c>
    </row>
    <row r="75" spans="1:104" x14ac:dyDescent="0.25">
      <c r="A75" s="1" t="s">
        <v>1035</v>
      </c>
      <c r="B75">
        <v>50</v>
      </c>
      <c r="C75" s="5">
        <f>B75/B186</f>
        <v>0.05</v>
      </c>
      <c r="D75" s="5">
        <f>50/$D$1</f>
        <v>0.05</v>
      </c>
      <c r="F75">
        <v>32</v>
      </c>
      <c r="G75" s="5">
        <f>F75/F186</f>
        <v>6.3872255489021951E-2</v>
      </c>
      <c r="H75" s="5">
        <f>32/$H$1</f>
        <v>6.3872255489021951E-2</v>
      </c>
      <c r="J75">
        <v>18</v>
      </c>
      <c r="K75" s="5">
        <f>J75/J186</f>
        <v>3.6072144288577156E-2</v>
      </c>
      <c r="L75" s="5">
        <f>18/$L$1</f>
        <v>3.6072144288577156E-2</v>
      </c>
      <c r="N75">
        <v>7</v>
      </c>
      <c r="O75" s="5">
        <f>N75/N186</f>
        <v>7.2164948453608241E-2</v>
      </c>
      <c r="P75" s="5">
        <f>7/$P$1</f>
        <v>7.2164948453608241E-2</v>
      </c>
      <c r="R75">
        <v>12</v>
      </c>
      <c r="S75" s="5">
        <f>R75/R186</f>
        <v>6.0606060606060608E-2</v>
      </c>
      <c r="T75" s="5">
        <f>12/$T$1</f>
        <v>6.0606060606060608E-2</v>
      </c>
      <c r="V75">
        <v>15</v>
      </c>
      <c r="W75" s="5">
        <f>V75/V186</f>
        <v>6.2240663900414939E-2</v>
      </c>
      <c r="X75" s="5">
        <f>15/$X$1</f>
        <v>6.2240663900414939E-2</v>
      </c>
      <c r="Z75">
        <v>4</v>
      </c>
      <c r="AA75" s="5">
        <f>Z75/Z186</f>
        <v>2.0202020202020204E-2</v>
      </c>
      <c r="AB75" s="5">
        <f>4/$AB$1</f>
        <v>2.0202020202020204E-2</v>
      </c>
      <c r="AD75">
        <v>8</v>
      </c>
      <c r="AE75" s="5">
        <f>AD75/AD186</f>
        <v>5.1948051948051951E-2</v>
      </c>
      <c r="AF75" s="5">
        <f>8/$AF$1</f>
        <v>5.1948051948051951E-2</v>
      </c>
      <c r="AH75">
        <v>5</v>
      </c>
      <c r="AI75" s="5">
        <f>AH75/AH186</f>
        <v>4.1666666666666664E-2</v>
      </c>
      <c r="AJ75" s="5">
        <f>5/$AJ$1</f>
        <v>4.1666666666666664E-2</v>
      </c>
      <c r="AL75">
        <v>16</v>
      </c>
      <c r="AM75" s="5">
        <f>AL75/AL186</f>
        <v>4.3243243243243246E-2</v>
      </c>
      <c r="AN75" s="5">
        <f>16/$AN$1</f>
        <v>4.3243243243243246E-2</v>
      </c>
      <c r="AP75">
        <v>16</v>
      </c>
      <c r="AQ75" s="5">
        <f>AP75/AP186</f>
        <v>4.2328042328042326E-2</v>
      </c>
      <c r="AR75" s="5">
        <f>16/$AR$1</f>
        <v>4.2328042328042326E-2</v>
      </c>
      <c r="AT75">
        <v>18</v>
      </c>
      <c r="AU75" s="5">
        <f>AT75/AT186</f>
        <v>7.1428571428571425E-2</v>
      </c>
      <c r="AV75" s="5">
        <f>18/$AV$1</f>
        <v>7.1428571428571425E-2</v>
      </c>
      <c r="AX75">
        <v>12</v>
      </c>
      <c r="AY75" s="5">
        <f>AX75/AX186</f>
        <v>4.3956043956043959E-2</v>
      </c>
      <c r="AZ75" s="5">
        <f>12/$AZ$1</f>
        <v>4.3956043956043959E-2</v>
      </c>
      <c r="BA75" s="5"/>
      <c r="BB75">
        <v>12</v>
      </c>
      <c r="BC75" s="5">
        <f>BB75/BB186</f>
        <v>5.9113300492610835E-2</v>
      </c>
      <c r="BD75" s="5">
        <f>12/$BD$1</f>
        <v>5.9113300492610835E-2</v>
      </c>
      <c r="BF75">
        <v>7</v>
      </c>
      <c r="BG75" s="5">
        <f>BF75/BF186</f>
        <v>3.255813953488372E-2</v>
      </c>
      <c r="BH75" s="5">
        <f>7/$BH$1</f>
        <v>3.255813953488372E-2</v>
      </c>
      <c r="BJ75">
        <v>19</v>
      </c>
      <c r="BK75" s="5">
        <f>BJ75/BJ186</f>
        <v>6.1488673139158574E-2</v>
      </c>
      <c r="BL75" s="5">
        <f>19/$BL$1</f>
        <v>6.1488673139158574E-2</v>
      </c>
      <c r="BN75">
        <v>3</v>
      </c>
      <c r="BO75" s="5">
        <f>BN75/BN186</f>
        <v>6.3829787234042548E-2</v>
      </c>
      <c r="BP75" s="5">
        <f>3/$BP$1</f>
        <v>6.3829787234042548E-2</v>
      </c>
      <c r="BR75">
        <v>5</v>
      </c>
      <c r="BS75" s="5">
        <f>BR75/BR186</f>
        <v>1.5923566878980892E-2</v>
      </c>
      <c r="BT75" s="5">
        <f>5/$BT$1</f>
        <v>1.5923566878980892E-2</v>
      </c>
      <c r="BV75">
        <v>22</v>
      </c>
      <c r="BW75" s="5">
        <f>BV75/BV186</f>
        <v>5.5979643765903309E-2</v>
      </c>
      <c r="BX75" s="5">
        <f>22/$BX$1</f>
        <v>5.5979643765903309E-2</v>
      </c>
      <c r="BZ75">
        <v>20</v>
      </c>
      <c r="CA75" s="5">
        <f>BZ75/BZ186</f>
        <v>8.1300813008130079E-2</v>
      </c>
      <c r="CB75" s="5">
        <f>20/$CB$1</f>
        <v>8.1300813008130079E-2</v>
      </c>
      <c r="CD75">
        <v>10</v>
      </c>
      <c r="CE75" s="5">
        <f>CD75/CD186</f>
        <v>8.1300813008130079E-2</v>
      </c>
      <c r="CF75" s="5">
        <f>10/$CF$1</f>
        <v>8.1300813008130079E-2</v>
      </c>
      <c r="CH75">
        <v>30</v>
      </c>
      <c r="CI75" s="5">
        <f>CH75/CH186</f>
        <v>4.3604651162790699E-2</v>
      </c>
      <c r="CJ75" s="5">
        <f>30/$CJ$1</f>
        <v>4.3604651162790699E-2</v>
      </c>
      <c r="CL75">
        <v>32</v>
      </c>
      <c r="CM75" s="5">
        <f>CL75/CL186</f>
        <v>4.221635883905013E-2</v>
      </c>
      <c r="CN75" s="5">
        <f>32/$CN$1</f>
        <v>4.221635883905013E-2</v>
      </c>
      <c r="CP75">
        <v>18</v>
      </c>
      <c r="CQ75" s="5">
        <f>CP75/CP186</f>
        <v>7.43801652892562E-2</v>
      </c>
      <c r="CR75" s="5">
        <f>18/$CR$1</f>
        <v>7.43801652892562E-2</v>
      </c>
      <c r="CT75">
        <v>22</v>
      </c>
      <c r="CU75" s="5">
        <f>CT75/CT186</f>
        <v>6.6066066066066062E-2</v>
      </c>
      <c r="CV75" s="5">
        <f>22/$CV$1</f>
        <v>6.6066066066066062E-2</v>
      </c>
      <c r="CX75">
        <v>28</v>
      </c>
      <c r="CY75" s="5">
        <f>CX75/CX186</f>
        <v>4.1979010494752625E-2</v>
      </c>
      <c r="CZ75" s="5">
        <f>28/$CZ$1</f>
        <v>4.1979010494752625E-2</v>
      </c>
    </row>
    <row r="76" spans="1:104" x14ac:dyDescent="0.25">
      <c r="A76" s="1" t="s">
        <v>1036</v>
      </c>
      <c r="B76">
        <v>27</v>
      </c>
      <c r="C76" s="5">
        <f>B76/B186</f>
        <v>2.7E-2</v>
      </c>
      <c r="D76" s="5">
        <f>27/$D$1</f>
        <v>2.7E-2</v>
      </c>
      <c r="F76">
        <v>14</v>
      </c>
      <c r="G76" s="5">
        <f>F76/F186</f>
        <v>2.7944111776447105E-2</v>
      </c>
      <c r="H76" s="5">
        <f>14/$H$1</f>
        <v>2.7944111776447105E-2</v>
      </c>
      <c r="J76">
        <v>13</v>
      </c>
      <c r="K76" s="5">
        <f>J76/J186</f>
        <v>2.6052104208416832E-2</v>
      </c>
      <c r="L76" s="5">
        <f>13/$L$1</f>
        <v>2.6052104208416832E-2</v>
      </c>
      <c r="N76">
        <v>2</v>
      </c>
      <c r="O76" s="5">
        <f>N76/N186</f>
        <v>2.0618556701030927E-2</v>
      </c>
      <c r="P76" s="5">
        <f>2/$P$1</f>
        <v>2.0618556701030927E-2</v>
      </c>
      <c r="R76">
        <v>8</v>
      </c>
      <c r="S76" s="5">
        <f>R76/R186</f>
        <v>4.0404040404040407E-2</v>
      </c>
      <c r="T76" s="5">
        <f>8/$T$1</f>
        <v>4.0404040404040407E-2</v>
      </c>
      <c r="V76">
        <v>7</v>
      </c>
      <c r="W76" s="5">
        <f>V76/V186</f>
        <v>2.9045643153526972E-2</v>
      </c>
      <c r="X76" s="5">
        <f>7/$X$1</f>
        <v>2.9045643153526972E-2</v>
      </c>
      <c r="Z76">
        <v>4</v>
      </c>
      <c r="AA76" s="5">
        <f>Z76/Z186</f>
        <v>2.0202020202020204E-2</v>
      </c>
      <c r="AB76" s="5">
        <f>4/$AB$1</f>
        <v>2.0202020202020204E-2</v>
      </c>
      <c r="AD76">
        <v>5</v>
      </c>
      <c r="AE76" s="5">
        <f>AD76/AD186</f>
        <v>3.2467532467532464E-2</v>
      </c>
      <c r="AF76" s="5">
        <f>5/$AF$1</f>
        <v>3.2467532467532464E-2</v>
      </c>
      <c r="AH76">
        <v>3</v>
      </c>
      <c r="AI76" s="5">
        <f>AH76/AH186</f>
        <v>2.5000000000000001E-2</v>
      </c>
      <c r="AJ76" s="5">
        <f>3/$AJ$1</f>
        <v>2.5000000000000001E-2</v>
      </c>
      <c r="AL76">
        <v>8</v>
      </c>
      <c r="AM76" s="5">
        <f>AL76/AL186</f>
        <v>2.1621621621621623E-2</v>
      </c>
      <c r="AN76" s="5">
        <f>8/$AN$1</f>
        <v>2.1621621621621623E-2</v>
      </c>
      <c r="AP76">
        <v>13</v>
      </c>
      <c r="AQ76" s="5">
        <f>AP76/AP186</f>
        <v>3.439153439153439E-2</v>
      </c>
      <c r="AR76" s="5">
        <f>13/$AR$1</f>
        <v>3.439153439153439E-2</v>
      </c>
      <c r="AT76">
        <v>6</v>
      </c>
      <c r="AU76" s="5">
        <f>AT76/AT186</f>
        <v>2.3809523809523808E-2</v>
      </c>
      <c r="AV76" s="5">
        <f>6/$AV$1</f>
        <v>2.3809523809523808E-2</v>
      </c>
      <c r="AX76">
        <v>5</v>
      </c>
      <c r="AY76" s="5">
        <f>AX76/AX186</f>
        <v>1.8315018315018316E-2</v>
      </c>
      <c r="AZ76" s="5">
        <f>5/$AZ$1</f>
        <v>1.8315018315018316E-2</v>
      </c>
      <c r="BA76" s="5"/>
      <c r="BB76">
        <v>4</v>
      </c>
      <c r="BC76" s="5">
        <f>BB76/BB186</f>
        <v>1.9704433497536946E-2</v>
      </c>
      <c r="BD76" s="5">
        <f>4/$BD$1</f>
        <v>1.9704433497536946E-2</v>
      </c>
      <c r="BF76">
        <v>7</v>
      </c>
      <c r="BG76" s="5">
        <f>BF76/BF186</f>
        <v>3.255813953488372E-2</v>
      </c>
      <c r="BH76" s="5">
        <f>7/$BH$1</f>
        <v>3.255813953488372E-2</v>
      </c>
      <c r="BJ76">
        <v>11</v>
      </c>
      <c r="BK76" s="5">
        <f>BJ76/BJ186</f>
        <v>3.5598705501618123E-2</v>
      </c>
      <c r="BL76" s="5">
        <f>11/$BL$1</f>
        <v>3.5598705501618123E-2</v>
      </c>
      <c r="BN76">
        <v>0</v>
      </c>
      <c r="BO76" s="5">
        <f>BN76/BN186</f>
        <v>0</v>
      </c>
      <c r="BP76" s="5">
        <f>0/$BP$1</f>
        <v>0</v>
      </c>
      <c r="BR76">
        <v>9</v>
      </c>
      <c r="BS76" s="5">
        <f>BR76/BR186</f>
        <v>2.8662420382165606E-2</v>
      </c>
      <c r="BT76" s="5">
        <f>9/$BT$1</f>
        <v>2.8662420382165606E-2</v>
      </c>
      <c r="BV76">
        <v>7</v>
      </c>
      <c r="BW76" s="5">
        <f>BV76/BV186</f>
        <v>1.7811704834605598E-2</v>
      </c>
      <c r="BX76" s="5">
        <f>7/$BX$1</f>
        <v>1.7811704834605598E-2</v>
      </c>
      <c r="BZ76">
        <v>11</v>
      </c>
      <c r="CA76" s="5">
        <f>BZ76/BZ186</f>
        <v>4.4715447154471545E-2</v>
      </c>
      <c r="CB76" s="5">
        <f>11/$CB$1</f>
        <v>4.4715447154471545E-2</v>
      </c>
      <c r="CD76">
        <v>3</v>
      </c>
      <c r="CE76" s="5">
        <f>CD76/CD186</f>
        <v>2.4390243902439025E-2</v>
      </c>
      <c r="CF76" s="5">
        <f>3/$CF$1</f>
        <v>2.4390243902439025E-2</v>
      </c>
      <c r="CH76">
        <v>12</v>
      </c>
      <c r="CI76" s="5">
        <f>CH76/CH186</f>
        <v>1.7441860465116279E-2</v>
      </c>
      <c r="CJ76" s="5">
        <f>12/$CJ$1</f>
        <v>1.7441860465116279E-2</v>
      </c>
      <c r="CL76">
        <v>16</v>
      </c>
      <c r="CM76" s="5">
        <f>CL76/CL186</f>
        <v>2.1108179419525065E-2</v>
      </c>
      <c r="CN76" s="5">
        <f>16/$CN$1</f>
        <v>2.1108179419525065E-2</v>
      </c>
      <c r="CP76">
        <v>11</v>
      </c>
      <c r="CQ76" s="5">
        <f>CP76/CP186</f>
        <v>4.5454545454545456E-2</v>
      </c>
      <c r="CR76" s="5">
        <f>11/$CR$1</f>
        <v>4.5454545454545456E-2</v>
      </c>
      <c r="CT76">
        <v>11</v>
      </c>
      <c r="CU76" s="5">
        <f>CT76/CT186</f>
        <v>3.3033033033033031E-2</v>
      </c>
      <c r="CV76" s="5">
        <f>11/$CV$1</f>
        <v>3.3033033033033031E-2</v>
      </c>
      <c r="CX76">
        <v>16</v>
      </c>
      <c r="CY76" s="5">
        <f>CX76/CX186</f>
        <v>2.3988005997001498E-2</v>
      </c>
      <c r="CZ76" s="5">
        <f>16/$CZ$1</f>
        <v>2.3988005997001498E-2</v>
      </c>
    </row>
    <row r="78" spans="1:104" x14ac:dyDescent="0.25">
      <c r="A78" s="1" t="s">
        <v>1037</v>
      </c>
      <c r="B78">
        <v>562</v>
      </c>
      <c r="C78" s="5">
        <f>B78/B186</f>
        <v>0.56200000000000006</v>
      </c>
      <c r="D78" s="5">
        <f>562/$D$1</f>
        <v>0.56200000000000006</v>
      </c>
      <c r="F78">
        <v>289</v>
      </c>
      <c r="G78" s="5">
        <f>F78/F186</f>
        <v>0.57684630738522957</v>
      </c>
      <c r="H78" s="5">
        <f>289/$H$1</f>
        <v>0.57684630738522957</v>
      </c>
      <c r="J78">
        <v>273</v>
      </c>
      <c r="K78" s="5">
        <f>J78/J186</f>
        <v>0.5470941883767535</v>
      </c>
      <c r="L78" s="5">
        <f>273/$L$1</f>
        <v>0.5470941883767535</v>
      </c>
      <c r="N78">
        <v>44</v>
      </c>
      <c r="O78" s="5">
        <f>N78/N186</f>
        <v>0.45360824742268041</v>
      </c>
      <c r="P78" s="5">
        <f>44/$P$1</f>
        <v>0.45360824742268041</v>
      </c>
      <c r="R78">
        <v>94</v>
      </c>
      <c r="S78" s="5">
        <f>R78/R186</f>
        <v>0.47474747474747475</v>
      </c>
      <c r="T78" s="5">
        <f>94/$T$1</f>
        <v>0.47474747474747475</v>
      </c>
      <c r="V78">
        <v>131</v>
      </c>
      <c r="W78" s="5">
        <f>V78/V186</f>
        <v>0.54356846473029041</v>
      </c>
      <c r="X78" s="5">
        <f>131/$X$1</f>
        <v>0.54356846473029041</v>
      </c>
      <c r="Z78">
        <v>120</v>
      </c>
      <c r="AA78" s="5">
        <f>Z78/Z186</f>
        <v>0.60606060606060608</v>
      </c>
      <c r="AB78" s="5">
        <f>120/$AB$1</f>
        <v>0.60606060606060608</v>
      </c>
      <c r="AD78">
        <v>96</v>
      </c>
      <c r="AE78" s="5">
        <f>AD78/AD186</f>
        <v>0.62337662337662336</v>
      </c>
      <c r="AF78" s="5">
        <f>96/$AF$1</f>
        <v>0.62337662337662336</v>
      </c>
      <c r="AH78">
        <v>82</v>
      </c>
      <c r="AI78" s="5">
        <f>AH78/AH186</f>
        <v>0.68333333333333335</v>
      </c>
      <c r="AJ78" s="5">
        <f>82/$AJ$1</f>
        <v>0.68333333333333335</v>
      </c>
      <c r="AL78">
        <v>223</v>
      </c>
      <c r="AM78" s="5">
        <f>AL78/AL186</f>
        <v>0.60270270270270265</v>
      </c>
      <c r="AN78" s="5">
        <f>223/$AN$1</f>
        <v>0.60270270270270265</v>
      </c>
      <c r="AP78">
        <v>210</v>
      </c>
      <c r="AQ78" s="5">
        <f>AP78/AP186</f>
        <v>0.55555555555555558</v>
      </c>
      <c r="AR78" s="5">
        <f>210/$AR$1</f>
        <v>0.55555555555555558</v>
      </c>
      <c r="AT78">
        <v>129</v>
      </c>
      <c r="AU78" s="5">
        <f>AT78/AT186</f>
        <v>0.51190476190476186</v>
      </c>
      <c r="AV78" s="5">
        <f>129/$AV$1</f>
        <v>0.51190476190476186</v>
      </c>
      <c r="AX78">
        <v>161</v>
      </c>
      <c r="AY78" s="5">
        <f>AX78/AX186</f>
        <v>0.58974358974358976</v>
      </c>
      <c r="AZ78" s="5">
        <f>161/$AZ$1</f>
        <v>0.58974358974358976</v>
      </c>
      <c r="BA78" s="5"/>
      <c r="BB78">
        <v>115</v>
      </c>
      <c r="BC78" s="5">
        <f>BB78/BB186</f>
        <v>0.56650246305418717</v>
      </c>
      <c r="BD78" s="5">
        <f>115/$BD$1</f>
        <v>0.56650246305418717</v>
      </c>
      <c r="BF78">
        <v>135</v>
      </c>
      <c r="BG78" s="5">
        <f>BF78/BF186</f>
        <v>0.62790697674418605</v>
      </c>
      <c r="BH78" s="5">
        <f>135/$BH$1</f>
        <v>0.62790697674418605</v>
      </c>
      <c r="BJ78">
        <v>151</v>
      </c>
      <c r="BK78" s="5">
        <f>BJ78/BJ186</f>
        <v>0.48867313915857608</v>
      </c>
      <c r="BL78" s="5">
        <f>151/$BL$1</f>
        <v>0.48867313915857608</v>
      </c>
      <c r="BN78">
        <v>32</v>
      </c>
      <c r="BO78" s="5">
        <f>BN78/BN186</f>
        <v>0.68085106382978722</v>
      </c>
      <c r="BP78" s="5">
        <f>32/$BP$1</f>
        <v>0.68085106382978722</v>
      </c>
      <c r="BR78">
        <v>221</v>
      </c>
      <c r="BS78" s="5">
        <f>BR78/BR186</f>
        <v>0.70382165605095537</v>
      </c>
      <c r="BT78" s="5">
        <f>221/$BT$1</f>
        <v>0.70382165605095537</v>
      </c>
      <c r="BV78">
        <v>195</v>
      </c>
      <c r="BW78" s="5">
        <f>BV78/BV186</f>
        <v>0.49618320610687022</v>
      </c>
      <c r="BX78" s="5">
        <f>195/$BX$1</f>
        <v>0.49618320610687022</v>
      </c>
      <c r="BZ78">
        <v>114</v>
      </c>
      <c r="CA78" s="5">
        <f>BZ78/BZ186</f>
        <v>0.46341463414634149</v>
      </c>
      <c r="CB78" s="5">
        <f>114/$CB$1</f>
        <v>0.46341463414634149</v>
      </c>
      <c r="CD78">
        <v>57</v>
      </c>
      <c r="CE78" s="5">
        <f>CD78/CD186</f>
        <v>0.46341463414634149</v>
      </c>
      <c r="CF78" s="5">
        <f>57/$CF$1</f>
        <v>0.46341463414634149</v>
      </c>
      <c r="CH78">
        <v>414</v>
      </c>
      <c r="CI78" s="5">
        <f>CH78/CH186</f>
        <v>0.60174418604651159</v>
      </c>
      <c r="CJ78" s="5">
        <f>414/$CJ$1</f>
        <v>0.60174418604651159</v>
      </c>
      <c r="CL78">
        <v>453</v>
      </c>
      <c r="CM78" s="5">
        <f>CL78/CL186</f>
        <v>0.59762532981530347</v>
      </c>
      <c r="CN78" s="5">
        <f>453/$CN$1</f>
        <v>0.59762532981530347</v>
      </c>
      <c r="CP78">
        <v>109</v>
      </c>
      <c r="CQ78" s="5">
        <f>CP78/CP186</f>
        <v>0.45041322314049587</v>
      </c>
      <c r="CR78" s="5">
        <f>109/$CR$1</f>
        <v>0.45041322314049587</v>
      </c>
      <c r="CT78">
        <v>176</v>
      </c>
      <c r="CU78" s="5">
        <f>CT78/CT186</f>
        <v>0.5285285285285285</v>
      </c>
      <c r="CV78" s="5">
        <f>176/$CV$1</f>
        <v>0.5285285285285285</v>
      </c>
      <c r="CX78">
        <v>386</v>
      </c>
      <c r="CY78" s="5">
        <f>CX78/CX186</f>
        <v>0.5787106446776612</v>
      </c>
      <c r="CZ78" s="5">
        <f>386/$CZ$1</f>
        <v>0.5787106446776612</v>
      </c>
    </row>
    <row r="79" spans="1:104" x14ac:dyDescent="0.25">
      <c r="A79" s="1" t="s">
        <v>1038</v>
      </c>
      <c r="B79">
        <v>292</v>
      </c>
      <c r="C79" s="5">
        <f>B79/B186</f>
        <v>0.29199999999999998</v>
      </c>
      <c r="D79" s="5">
        <f>292/$D$1</f>
        <v>0.29199999999999998</v>
      </c>
      <c r="F79">
        <v>142</v>
      </c>
      <c r="G79" s="5">
        <f>F79/F186</f>
        <v>0.28343313373253493</v>
      </c>
      <c r="H79" s="5">
        <f>142/$H$1</f>
        <v>0.28343313373253493</v>
      </c>
      <c r="J79">
        <v>150</v>
      </c>
      <c r="K79" s="5">
        <f>J79/J186</f>
        <v>0.30060120240480964</v>
      </c>
      <c r="L79" s="5">
        <f>150/$L$1</f>
        <v>0.30060120240480964</v>
      </c>
      <c r="N79">
        <v>26</v>
      </c>
      <c r="O79" s="5">
        <f>N79/N186</f>
        <v>0.26804123711340205</v>
      </c>
      <c r="P79" s="5">
        <f>26/$P$1</f>
        <v>0.26804123711340205</v>
      </c>
      <c r="R79">
        <v>64</v>
      </c>
      <c r="S79" s="5">
        <f>R79/R186</f>
        <v>0.32323232323232326</v>
      </c>
      <c r="T79" s="5">
        <f>64/$T$1</f>
        <v>0.32323232323232326</v>
      </c>
      <c r="V79">
        <v>73</v>
      </c>
      <c r="W79" s="5">
        <f>V79/V186</f>
        <v>0.30290456431535268</v>
      </c>
      <c r="X79" s="5">
        <f>73/$X$1</f>
        <v>0.30290456431535268</v>
      </c>
      <c r="Z79">
        <v>52</v>
      </c>
      <c r="AA79" s="5">
        <f>Z79/Z186</f>
        <v>0.26262626262626265</v>
      </c>
      <c r="AB79" s="5">
        <f>52/$AB$1</f>
        <v>0.26262626262626265</v>
      </c>
      <c r="AD79">
        <v>46</v>
      </c>
      <c r="AE79" s="5">
        <f>AD79/AD186</f>
        <v>0.29870129870129869</v>
      </c>
      <c r="AF79" s="5">
        <f>46/$AF$1</f>
        <v>0.29870129870129869</v>
      </c>
      <c r="AH79">
        <v>34</v>
      </c>
      <c r="AI79" s="5">
        <f>AH79/AH186</f>
        <v>0.28333333333333333</v>
      </c>
      <c r="AJ79" s="5">
        <f>34/$AJ$1</f>
        <v>0.28333333333333333</v>
      </c>
      <c r="AL79">
        <v>101</v>
      </c>
      <c r="AM79" s="5">
        <f>AL79/AL186</f>
        <v>0.27297297297297296</v>
      </c>
      <c r="AN79" s="5">
        <f>101/$AN$1</f>
        <v>0.27297297297297296</v>
      </c>
      <c r="AP79">
        <v>114</v>
      </c>
      <c r="AQ79" s="5">
        <f>AP79/AP186</f>
        <v>0.30158730158730157</v>
      </c>
      <c r="AR79" s="5">
        <f>114/$AR$1</f>
        <v>0.30158730158730157</v>
      </c>
      <c r="AT79">
        <v>77</v>
      </c>
      <c r="AU79" s="5">
        <f>AT79/AT186</f>
        <v>0.30555555555555558</v>
      </c>
      <c r="AV79" s="5">
        <f>77/$AV$1</f>
        <v>0.30555555555555558</v>
      </c>
      <c r="AX79">
        <v>78</v>
      </c>
      <c r="AY79" s="5">
        <f>AX79/AX186</f>
        <v>0.2857142857142857</v>
      </c>
      <c r="AZ79" s="5">
        <f>78/$AZ$1</f>
        <v>0.2857142857142857</v>
      </c>
      <c r="BA79" s="5"/>
      <c r="BB79">
        <v>62</v>
      </c>
      <c r="BC79" s="5">
        <f>BB79/BB186</f>
        <v>0.30541871921182268</v>
      </c>
      <c r="BD79" s="5">
        <f>62/$BD$1</f>
        <v>0.30541871921182268</v>
      </c>
      <c r="BF79">
        <v>54</v>
      </c>
      <c r="BG79" s="5">
        <f>BF79/BF186</f>
        <v>0.25116279069767444</v>
      </c>
      <c r="BH79" s="5">
        <f>54/$BH$1</f>
        <v>0.25116279069767444</v>
      </c>
      <c r="BJ79">
        <v>98</v>
      </c>
      <c r="BK79" s="5">
        <f>BJ79/BJ186</f>
        <v>0.31715210355987056</v>
      </c>
      <c r="BL79" s="5">
        <f>98/$BL$1</f>
        <v>0.31715210355987056</v>
      </c>
      <c r="BN79">
        <v>11</v>
      </c>
      <c r="BO79" s="5">
        <f>BN79/BN186</f>
        <v>0.23404255319148937</v>
      </c>
      <c r="BP79" s="5">
        <f>11/$BP$1</f>
        <v>0.23404255319148937</v>
      </c>
      <c r="BR79">
        <v>61</v>
      </c>
      <c r="BS79" s="5">
        <f>BR79/BR186</f>
        <v>0.19426751592356689</v>
      </c>
      <c r="BT79" s="5">
        <f>61/$BT$1</f>
        <v>0.19426751592356689</v>
      </c>
      <c r="BV79">
        <v>135</v>
      </c>
      <c r="BW79" s="5">
        <f>BV79/BV186</f>
        <v>0.34351145038167941</v>
      </c>
      <c r="BX79" s="5">
        <f>135/$BX$1</f>
        <v>0.34351145038167941</v>
      </c>
      <c r="BZ79">
        <v>85</v>
      </c>
      <c r="CA79" s="5">
        <f>BZ79/BZ186</f>
        <v>0.34552845528455284</v>
      </c>
      <c r="CB79" s="5">
        <f>85/$CB$1</f>
        <v>0.34552845528455284</v>
      </c>
      <c r="CD79">
        <v>39</v>
      </c>
      <c r="CE79" s="5">
        <f>CD79/CD186</f>
        <v>0.31707317073170732</v>
      </c>
      <c r="CF79" s="5">
        <f>39/$CF$1</f>
        <v>0.31707317073170732</v>
      </c>
      <c r="CH79">
        <v>191</v>
      </c>
      <c r="CI79" s="5">
        <f>CH79/CH186</f>
        <v>0.27761627906976744</v>
      </c>
      <c r="CJ79" s="5">
        <f>191/$CJ$1</f>
        <v>0.27761627906976744</v>
      </c>
      <c r="CL79">
        <v>214</v>
      </c>
      <c r="CM79" s="5">
        <f>CL79/CL186</f>
        <v>0.28232189973614774</v>
      </c>
      <c r="CN79" s="5">
        <f>214/$CN$1</f>
        <v>0.28232189973614774</v>
      </c>
      <c r="CP79">
        <v>78</v>
      </c>
      <c r="CQ79" s="5">
        <f>CP79/CP186</f>
        <v>0.32231404958677684</v>
      </c>
      <c r="CR79" s="5">
        <f>78/$CR$1</f>
        <v>0.32231404958677684</v>
      </c>
      <c r="CT79">
        <v>92</v>
      </c>
      <c r="CU79" s="5">
        <f>CT79/CT186</f>
        <v>0.27627627627627627</v>
      </c>
      <c r="CV79" s="5">
        <f>92/$CV$1</f>
        <v>0.27627627627627627</v>
      </c>
      <c r="CX79">
        <v>200</v>
      </c>
      <c r="CY79" s="5">
        <f>CX79/CX186</f>
        <v>0.29985007496251875</v>
      </c>
      <c r="CZ79" s="5">
        <f>200/$CZ$1</f>
        <v>0.29985007496251875</v>
      </c>
    </row>
    <row r="80" spans="1:104" x14ac:dyDescent="0.25">
      <c r="A80" s="1" t="s">
        <v>1039</v>
      </c>
      <c r="B80">
        <v>109</v>
      </c>
      <c r="C80" s="5">
        <f>B80/B186</f>
        <v>0.109</v>
      </c>
      <c r="D80" s="5">
        <f>109/$D$1</f>
        <v>0.109</v>
      </c>
      <c r="F80">
        <v>56</v>
      </c>
      <c r="G80" s="5">
        <f>F80/F186</f>
        <v>0.11177644710578842</v>
      </c>
      <c r="H80" s="5">
        <f>56/$H$1</f>
        <v>0.11177644710578842</v>
      </c>
      <c r="J80">
        <v>53</v>
      </c>
      <c r="K80" s="5">
        <f>J80/J186</f>
        <v>0.10621242484969939</v>
      </c>
      <c r="L80" s="5">
        <f>53/$L$1</f>
        <v>0.10621242484969939</v>
      </c>
      <c r="N80">
        <v>23</v>
      </c>
      <c r="O80" s="5">
        <f>N80/N186</f>
        <v>0.23711340206185566</v>
      </c>
      <c r="P80" s="5">
        <f>23/$P$1</f>
        <v>0.23711340206185566</v>
      </c>
      <c r="R80">
        <v>30</v>
      </c>
      <c r="S80" s="5">
        <f>R80/R186</f>
        <v>0.15151515151515152</v>
      </c>
      <c r="T80" s="5">
        <f>30/$T$1</f>
        <v>0.15151515151515152</v>
      </c>
      <c r="V80">
        <v>28</v>
      </c>
      <c r="W80" s="5">
        <f>V80/V186</f>
        <v>0.11618257261410789</v>
      </c>
      <c r="X80" s="5">
        <f>28/$X$1</f>
        <v>0.11618257261410789</v>
      </c>
      <c r="Z80">
        <v>17</v>
      </c>
      <c r="AA80" s="5">
        <f>Z80/Z186</f>
        <v>8.5858585858585856E-2</v>
      </c>
      <c r="AB80" s="5">
        <f>17/$AB$1</f>
        <v>8.5858585858585856E-2</v>
      </c>
      <c r="AD80">
        <v>8</v>
      </c>
      <c r="AE80" s="5">
        <f>AD80/AD186</f>
        <v>5.1948051948051951E-2</v>
      </c>
      <c r="AF80" s="5">
        <f>8/$AF$1</f>
        <v>5.1948051948051951E-2</v>
      </c>
      <c r="AH80">
        <v>3</v>
      </c>
      <c r="AI80" s="5">
        <f>AH80/AH186</f>
        <v>2.5000000000000001E-2</v>
      </c>
      <c r="AJ80" s="5">
        <f>3/$AJ$1</f>
        <v>2.5000000000000001E-2</v>
      </c>
      <c r="AL80">
        <v>31</v>
      </c>
      <c r="AM80" s="5">
        <f>AL80/AL186</f>
        <v>8.3783783783783788E-2</v>
      </c>
      <c r="AN80" s="5">
        <f>31/$AN$1</f>
        <v>8.3783783783783788E-2</v>
      </c>
      <c r="AP80">
        <v>35</v>
      </c>
      <c r="AQ80" s="5">
        <f>AP80/AP186</f>
        <v>9.2592592592592587E-2</v>
      </c>
      <c r="AR80" s="5">
        <f>35/$AR$1</f>
        <v>9.2592592592592587E-2</v>
      </c>
      <c r="AT80">
        <v>43</v>
      </c>
      <c r="AU80" s="5">
        <f>AT80/AT186</f>
        <v>0.17063492063492064</v>
      </c>
      <c r="AV80" s="5">
        <f>43/$AV$1</f>
        <v>0.17063492063492064</v>
      </c>
      <c r="AX80">
        <v>26</v>
      </c>
      <c r="AY80" s="5">
        <f>AX80/AX186</f>
        <v>9.5238095238095233E-2</v>
      </c>
      <c r="AZ80" s="5">
        <f>26/$AZ$1</f>
        <v>9.5238095238095233E-2</v>
      </c>
      <c r="BA80" s="5"/>
      <c r="BB80">
        <v>17</v>
      </c>
      <c r="BC80" s="5">
        <f>BB80/BB186</f>
        <v>8.3743842364532015E-2</v>
      </c>
      <c r="BD80" s="5">
        <f>17/$BD$1</f>
        <v>8.3743842364532015E-2</v>
      </c>
      <c r="BF80">
        <v>18</v>
      </c>
      <c r="BG80" s="5">
        <f>BF80/BF186</f>
        <v>8.3720930232558138E-2</v>
      </c>
      <c r="BH80" s="5">
        <f>18/$BH$1</f>
        <v>8.3720930232558138E-2</v>
      </c>
      <c r="BJ80">
        <v>48</v>
      </c>
      <c r="BK80" s="5">
        <f>BJ80/BJ186</f>
        <v>0.1553398058252427</v>
      </c>
      <c r="BL80" s="5">
        <f>48/$BL$1</f>
        <v>0.1553398058252427</v>
      </c>
      <c r="BN80">
        <v>2</v>
      </c>
      <c r="BO80" s="5">
        <f>BN80/BN186</f>
        <v>4.2553191489361701E-2</v>
      </c>
      <c r="BP80" s="5">
        <f>2/$BP$1</f>
        <v>4.2553191489361701E-2</v>
      </c>
      <c r="BR80">
        <v>18</v>
      </c>
      <c r="BS80" s="5">
        <f>BR80/BR186</f>
        <v>5.7324840764331211E-2</v>
      </c>
      <c r="BT80" s="5">
        <f>18/$BT$1</f>
        <v>5.7324840764331211E-2</v>
      </c>
      <c r="BV80">
        <v>55</v>
      </c>
      <c r="BW80" s="5">
        <f>BV80/BV186</f>
        <v>0.13994910941475827</v>
      </c>
      <c r="BX80" s="5">
        <f>55/$BX$1</f>
        <v>0.13994910941475827</v>
      </c>
      <c r="BZ80">
        <v>34</v>
      </c>
      <c r="CA80" s="5">
        <f>BZ80/BZ186</f>
        <v>0.13821138211382114</v>
      </c>
      <c r="CB80" s="5">
        <f>34/$CB$1</f>
        <v>0.13821138211382114</v>
      </c>
      <c r="CD80">
        <v>20</v>
      </c>
      <c r="CE80" s="5">
        <f>CD80/CD186</f>
        <v>0.16260162601626016</v>
      </c>
      <c r="CF80" s="5">
        <f>20/$CF$1</f>
        <v>0.16260162601626016</v>
      </c>
      <c r="CH80">
        <v>63</v>
      </c>
      <c r="CI80" s="5">
        <f>CH80/CH186</f>
        <v>9.1569767441860461E-2</v>
      </c>
      <c r="CJ80" s="5">
        <f>63/$CJ$1</f>
        <v>9.1569767441860461E-2</v>
      </c>
      <c r="CL80">
        <v>68</v>
      </c>
      <c r="CM80" s="5">
        <f>CL80/CL186</f>
        <v>8.9709762532981532E-2</v>
      </c>
      <c r="CN80" s="5">
        <f>68/$CN$1</f>
        <v>8.9709762532981532E-2</v>
      </c>
      <c r="CP80">
        <v>41</v>
      </c>
      <c r="CQ80" s="5">
        <f>CP80/CP186</f>
        <v>0.16942148760330578</v>
      </c>
      <c r="CR80" s="5">
        <f>41/$CR$1</f>
        <v>0.16942148760330578</v>
      </c>
      <c r="CT80">
        <v>55</v>
      </c>
      <c r="CU80" s="5">
        <f>CT80/CT186</f>
        <v>0.16516516516516516</v>
      </c>
      <c r="CV80" s="5">
        <f>55/$CV$1</f>
        <v>0.16516516516516516</v>
      </c>
      <c r="CX80">
        <v>54</v>
      </c>
      <c r="CY80" s="5">
        <f>CX80/CX186</f>
        <v>8.0959520239880053E-2</v>
      </c>
      <c r="CZ80" s="5">
        <f>54/$CZ$1</f>
        <v>8.0959520239880053E-2</v>
      </c>
    </row>
    <row r="81" spans="1:104" x14ac:dyDescent="0.25">
      <c r="A81" s="1" t="s">
        <v>1040</v>
      </c>
      <c r="B81">
        <v>37</v>
      </c>
      <c r="C81" s="5">
        <f>B81/B186</f>
        <v>3.6999999999999998E-2</v>
      </c>
      <c r="D81" s="5">
        <f>37/$D$1</f>
        <v>3.6999999999999998E-2</v>
      </c>
      <c r="F81">
        <v>14</v>
      </c>
      <c r="G81" s="5">
        <f>F81/F186</f>
        <v>2.7944111776447105E-2</v>
      </c>
      <c r="H81" s="5">
        <f>14/$H$1</f>
        <v>2.7944111776447105E-2</v>
      </c>
      <c r="J81">
        <v>23</v>
      </c>
      <c r="K81" s="5">
        <f>J81/J186</f>
        <v>4.6092184368737472E-2</v>
      </c>
      <c r="L81" s="5">
        <f>23/$L$1</f>
        <v>4.6092184368737472E-2</v>
      </c>
      <c r="N81">
        <v>4</v>
      </c>
      <c r="O81" s="5">
        <f>N81/N186</f>
        <v>4.1237113402061855E-2</v>
      </c>
      <c r="P81" s="5">
        <f>4/$P$1</f>
        <v>4.1237113402061855E-2</v>
      </c>
      <c r="R81">
        <v>10</v>
      </c>
      <c r="S81" s="5">
        <f>R81/R186</f>
        <v>5.0505050505050504E-2</v>
      </c>
      <c r="T81" s="5">
        <f>10/$T$1</f>
        <v>5.0505050505050504E-2</v>
      </c>
      <c r="V81">
        <v>9</v>
      </c>
      <c r="W81" s="5">
        <f>V81/V186</f>
        <v>3.7344398340248962E-2</v>
      </c>
      <c r="X81" s="5">
        <f>9/$X$1</f>
        <v>3.7344398340248962E-2</v>
      </c>
      <c r="Z81">
        <v>9</v>
      </c>
      <c r="AA81" s="5">
        <f>Z81/Z186</f>
        <v>4.5454545454545456E-2</v>
      </c>
      <c r="AB81" s="5">
        <f>9/$AB$1</f>
        <v>4.5454545454545456E-2</v>
      </c>
      <c r="AD81">
        <v>4</v>
      </c>
      <c r="AE81" s="5">
        <f>AD81/AD186</f>
        <v>2.5974025974025976E-2</v>
      </c>
      <c r="AF81" s="5">
        <f>4/$AF$1</f>
        <v>2.5974025974025976E-2</v>
      </c>
      <c r="AH81">
        <v>1</v>
      </c>
      <c r="AI81" s="5">
        <f>AH81/AH186</f>
        <v>8.3333333333333332E-3</v>
      </c>
      <c r="AJ81" s="5">
        <f>1/$AJ$1</f>
        <v>8.3333333333333332E-3</v>
      </c>
      <c r="AL81">
        <v>15</v>
      </c>
      <c r="AM81" s="5">
        <f>AL81/AL186</f>
        <v>4.0540540540540543E-2</v>
      </c>
      <c r="AN81" s="5">
        <f>15/$AN$1</f>
        <v>4.0540540540540543E-2</v>
      </c>
      <c r="AP81">
        <v>19</v>
      </c>
      <c r="AQ81" s="5">
        <f>AP81/AP186</f>
        <v>5.0264550264550262E-2</v>
      </c>
      <c r="AR81" s="5">
        <f>19/$AR$1</f>
        <v>5.0264550264550262E-2</v>
      </c>
      <c r="AT81">
        <v>3</v>
      </c>
      <c r="AU81" s="5">
        <f>AT81/AT186</f>
        <v>1.1904761904761904E-2</v>
      </c>
      <c r="AV81" s="5">
        <f>3/$AV$1</f>
        <v>1.1904761904761904E-2</v>
      </c>
      <c r="AX81">
        <v>8</v>
      </c>
      <c r="AY81" s="5">
        <f>AX81/AX186</f>
        <v>2.9304029304029304E-2</v>
      </c>
      <c r="AZ81" s="5">
        <f>8/$AZ$1</f>
        <v>2.9304029304029304E-2</v>
      </c>
      <c r="BA81" s="5"/>
      <c r="BB81">
        <v>9</v>
      </c>
      <c r="BC81" s="5">
        <f>BB81/BB186</f>
        <v>4.4334975369458129E-2</v>
      </c>
      <c r="BD81" s="5">
        <f>9/$BD$1</f>
        <v>4.4334975369458129E-2</v>
      </c>
      <c r="BF81">
        <v>8</v>
      </c>
      <c r="BG81" s="5">
        <f>BF81/BF186</f>
        <v>3.7209302325581395E-2</v>
      </c>
      <c r="BH81" s="5">
        <f>8/$BH$1</f>
        <v>3.7209302325581395E-2</v>
      </c>
      <c r="BJ81">
        <v>12</v>
      </c>
      <c r="BK81" s="5">
        <f>BJ81/BJ186</f>
        <v>3.8834951456310676E-2</v>
      </c>
      <c r="BL81" s="5">
        <f>12/$BL$1</f>
        <v>3.8834951456310676E-2</v>
      </c>
      <c r="BN81">
        <v>2</v>
      </c>
      <c r="BO81" s="5">
        <f>BN81/BN186</f>
        <v>4.2553191489361701E-2</v>
      </c>
      <c r="BP81" s="5">
        <f>2/$BP$1</f>
        <v>4.2553191489361701E-2</v>
      </c>
      <c r="BR81">
        <v>14</v>
      </c>
      <c r="BS81" s="5">
        <f>BR81/BR186</f>
        <v>4.4585987261146494E-2</v>
      </c>
      <c r="BT81" s="5">
        <f>14/$BT$1</f>
        <v>4.4585987261146494E-2</v>
      </c>
      <c r="BV81">
        <v>8</v>
      </c>
      <c r="BW81" s="5">
        <f>BV81/BV186</f>
        <v>2.0356234096692113E-2</v>
      </c>
      <c r="BX81" s="5">
        <f>8/$BX$1</f>
        <v>2.0356234096692113E-2</v>
      </c>
      <c r="BZ81">
        <v>13</v>
      </c>
      <c r="CA81" s="5">
        <f>BZ81/BZ186</f>
        <v>5.2845528455284556E-2</v>
      </c>
      <c r="CB81" s="5">
        <f>13/$CB$1</f>
        <v>5.2845528455284556E-2</v>
      </c>
      <c r="CD81">
        <v>7</v>
      </c>
      <c r="CE81" s="5">
        <f>CD81/CD186</f>
        <v>5.6910569105691054E-2</v>
      </c>
      <c r="CF81" s="5">
        <f>7/$CF$1</f>
        <v>5.6910569105691054E-2</v>
      </c>
      <c r="CH81">
        <v>20</v>
      </c>
      <c r="CI81" s="5">
        <f>CH81/CH186</f>
        <v>2.9069767441860465E-2</v>
      </c>
      <c r="CJ81" s="5">
        <f>20/$CJ$1</f>
        <v>2.9069767441860465E-2</v>
      </c>
      <c r="CL81">
        <v>23</v>
      </c>
      <c r="CM81" s="5">
        <f>CL81/CL186</f>
        <v>3.0343007915567283E-2</v>
      </c>
      <c r="CN81" s="5">
        <f>23/$CN$1</f>
        <v>3.0343007915567283E-2</v>
      </c>
      <c r="CP81">
        <v>14</v>
      </c>
      <c r="CQ81" s="5">
        <f>CP81/CP186</f>
        <v>5.7851239669421489E-2</v>
      </c>
      <c r="CR81" s="5">
        <f>14/$CR$1</f>
        <v>5.7851239669421489E-2</v>
      </c>
      <c r="CT81">
        <v>10</v>
      </c>
      <c r="CU81" s="5">
        <f>CT81/CT186</f>
        <v>3.003003003003003E-2</v>
      </c>
      <c r="CV81" s="5">
        <f>10/$CV$1</f>
        <v>3.003003003003003E-2</v>
      </c>
      <c r="CX81">
        <v>27</v>
      </c>
      <c r="CY81" s="5">
        <f>CX81/CX186</f>
        <v>4.0479760119940027E-2</v>
      </c>
      <c r="CZ81" s="5">
        <f>27/$CZ$1</f>
        <v>4.0479760119940027E-2</v>
      </c>
    </row>
    <row r="83" spans="1:104" x14ac:dyDescent="0.25">
      <c r="A83" s="1" t="s">
        <v>1041</v>
      </c>
      <c r="B83">
        <v>661</v>
      </c>
      <c r="C83" s="5">
        <f>B83/B186</f>
        <v>0.66100000000000003</v>
      </c>
      <c r="D83" s="5">
        <f>661/$D$1</f>
        <v>0.66100000000000003</v>
      </c>
      <c r="F83">
        <v>318</v>
      </c>
      <c r="G83" s="5">
        <f>F83/F186</f>
        <v>0.6347305389221557</v>
      </c>
      <c r="H83" s="5">
        <f>318/$H$1</f>
        <v>0.6347305389221557</v>
      </c>
      <c r="J83">
        <v>343</v>
      </c>
      <c r="K83" s="5">
        <f>J83/J186</f>
        <v>0.68737474949899802</v>
      </c>
      <c r="L83" s="5">
        <f>343/$L$1</f>
        <v>0.68737474949899802</v>
      </c>
      <c r="N83">
        <v>52</v>
      </c>
      <c r="O83" s="5">
        <f>N83/N186</f>
        <v>0.53608247422680411</v>
      </c>
      <c r="P83" s="5">
        <f>52/$P$1</f>
        <v>0.53608247422680411</v>
      </c>
      <c r="R83">
        <v>120</v>
      </c>
      <c r="S83" s="5">
        <f>R83/R186</f>
        <v>0.60606060606060608</v>
      </c>
      <c r="T83" s="5">
        <f>120/$T$1</f>
        <v>0.60606060606060608</v>
      </c>
      <c r="V83">
        <v>161</v>
      </c>
      <c r="W83" s="5">
        <f>V83/V186</f>
        <v>0.66804979253112029</v>
      </c>
      <c r="X83" s="5">
        <f>161/$X$1</f>
        <v>0.66804979253112029</v>
      </c>
      <c r="Z83">
        <v>145</v>
      </c>
      <c r="AA83" s="5">
        <f>Z83/Z186</f>
        <v>0.73232323232323238</v>
      </c>
      <c r="AB83" s="5">
        <f>145/$AB$1</f>
        <v>0.73232323232323238</v>
      </c>
      <c r="AD83">
        <v>113</v>
      </c>
      <c r="AE83" s="5">
        <f>AD83/AD186</f>
        <v>0.73376623376623373</v>
      </c>
      <c r="AF83" s="5">
        <f>113/$AF$1</f>
        <v>0.73376623376623373</v>
      </c>
      <c r="AH83">
        <v>76</v>
      </c>
      <c r="AI83" s="5">
        <f>AH83/AH186</f>
        <v>0.6333333333333333</v>
      </c>
      <c r="AJ83" s="5">
        <f>76/$AJ$1</f>
        <v>0.6333333333333333</v>
      </c>
      <c r="AL83">
        <v>252</v>
      </c>
      <c r="AM83" s="5">
        <f>AL83/AL186</f>
        <v>0.68108108108108112</v>
      </c>
      <c r="AN83" s="5">
        <f>252/$AN$1</f>
        <v>0.68108108108108112</v>
      </c>
      <c r="AP83">
        <v>235</v>
      </c>
      <c r="AQ83" s="5">
        <f>AP83/AP186</f>
        <v>0.62169312169312174</v>
      </c>
      <c r="AR83" s="5">
        <f>235/$AR$1</f>
        <v>0.62169312169312174</v>
      </c>
      <c r="AT83">
        <v>174</v>
      </c>
      <c r="AU83" s="5">
        <f>AT83/AT186</f>
        <v>0.69047619047619047</v>
      </c>
      <c r="AV83" s="5">
        <f>174/$AV$1</f>
        <v>0.69047619047619047</v>
      </c>
      <c r="AX83">
        <v>199</v>
      </c>
      <c r="AY83" s="5">
        <f>AX83/AX186</f>
        <v>0.7289377289377289</v>
      </c>
      <c r="AZ83" s="5">
        <f>199/$AZ$1</f>
        <v>0.7289377289377289</v>
      </c>
      <c r="BA83" s="5"/>
      <c r="BB83">
        <v>140</v>
      </c>
      <c r="BC83" s="5">
        <f>BB83/BB186</f>
        <v>0.68965517241379315</v>
      </c>
      <c r="BD83" s="5">
        <f>140/$BD$1</f>
        <v>0.68965517241379315</v>
      </c>
      <c r="BF83">
        <v>146</v>
      </c>
      <c r="BG83" s="5">
        <f>BF83/BF186</f>
        <v>0.67906976744186043</v>
      </c>
      <c r="BH83" s="5">
        <f>146/$BH$1</f>
        <v>0.67906976744186043</v>
      </c>
      <c r="BJ83">
        <v>176</v>
      </c>
      <c r="BK83" s="5">
        <f>BJ83/BJ186</f>
        <v>0.56957928802588997</v>
      </c>
      <c r="BL83" s="5">
        <f>176/$BL$1</f>
        <v>0.56957928802588997</v>
      </c>
      <c r="BN83">
        <v>33</v>
      </c>
      <c r="BO83" s="5">
        <f>BN83/BN186</f>
        <v>0.7021276595744681</v>
      </c>
      <c r="BP83" s="5">
        <f>33/$BP$1</f>
        <v>0.7021276595744681</v>
      </c>
      <c r="BR83">
        <v>221</v>
      </c>
      <c r="BS83" s="5">
        <f>BR83/BR186</f>
        <v>0.70382165605095537</v>
      </c>
      <c r="BT83" s="5">
        <f>221/$BT$1</f>
        <v>0.70382165605095537</v>
      </c>
      <c r="BV83">
        <v>264</v>
      </c>
      <c r="BW83" s="5">
        <f>BV83/BV186</f>
        <v>0.6717557251908397</v>
      </c>
      <c r="BX83" s="5">
        <f>264/$BX$1</f>
        <v>0.6717557251908397</v>
      </c>
      <c r="BZ83">
        <v>143</v>
      </c>
      <c r="CA83" s="5">
        <f>BZ83/BZ186</f>
        <v>0.58130081300813008</v>
      </c>
      <c r="CB83" s="5">
        <f>143/$CB$1</f>
        <v>0.58130081300813008</v>
      </c>
      <c r="CD83">
        <v>67</v>
      </c>
      <c r="CE83" s="5">
        <f>CD83/CD186</f>
        <v>0.54471544715447151</v>
      </c>
      <c r="CF83" s="5">
        <f>67/$CF$1</f>
        <v>0.54471544715447151</v>
      </c>
      <c r="CH83">
        <v>475</v>
      </c>
      <c r="CI83" s="5">
        <f>CH83/CH186</f>
        <v>0.69040697674418605</v>
      </c>
      <c r="CJ83" s="5">
        <f>475/$CJ$1</f>
        <v>0.69040697674418605</v>
      </c>
      <c r="CL83">
        <v>532</v>
      </c>
      <c r="CM83" s="5">
        <f>CL83/CL186</f>
        <v>0.70184696569920846</v>
      </c>
      <c r="CN83" s="5">
        <f>532/$CN$1</f>
        <v>0.70184696569920846</v>
      </c>
      <c r="CP83">
        <v>129</v>
      </c>
      <c r="CQ83" s="5">
        <f>CP83/CP186</f>
        <v>0.53305785123966942</v>
      </c>
      <c r="CR83" s="5">
        <f>129/$CR$1</f>
        <v>0.53305785123966942</v>
      </c>
      <c r="CT83">
        <v>231</v>
      </c>
      <c r="CU83" s="5">
        <f>CT83/CT186</f>
        <v>0.69369369369369371</v>
      </c>
      <c r="CV83" s="5">
        <f>231/$CV$1</f>
        <v>0.69369369369369371</v>
      </c>
      <c r="CX83">
        <v>430</v>
      </c>
      <c r="CY83" s="5">
        <f>CX83/CX186</f>
        <v>0.64467766116941527</v>
      </c>
      <c r="CZ83" s="5">
        <f>430/$CZ$1</f>
        <v>0.64467766116941527</v>
      </c>
    </row>
    <row r="84" spans="1:104" x14ac:dyDescent="0.25">
      <c r="A84" s="1" t="s">
        <v>1042</v>
      </c>
      <c r="B84">
        <v>273</v>
      </c>
      <c r="C84" s="5">
        <f>B84/B186</f>
        <v>0.27300000000000002</v>
      </c>
      <c r="D84" s="5">
        <f>273/$D$1</f>
        <v>0.27300000000000002</v>
      </c>
      <c r="F84">
        <v>150</v>
      </c>
      <c r="G84" s="5">
        <f>F84/F186</f>
        <v>0.29940119760479039</v>
      </c>
      <c r="H84" s="5">
        <f>150/$H$1</f>
        <v>0.29940119760479039</v>
      </c>
      <c r="J84">
        <v>123</v>
      </c>
      <c r="K84" s="5">
        <f>J84/J186</f>
        <v>0.24649298597194388</v>
      </c>
      <c r="L84" s="5">
        <f>123/$L$1</f>
        <v>0.24649298597194388</v>
      </c>
      <c r="N84">
        <v>34</v>
      </c>
      <c r="O84" s="5">
        <f>N84/N186</f>
        <v>0.35051546391752575</v>
      </c>
      <c r="P84" s="5">
        <f>34/$P$1</f>
        <v>0.35051546391752575</v>
      </c>
      <c r="R84">
        <v>60</v>
      </c>
      <c r="S84" s="5">
        <f>R84/R186</f>
        <v>0.30303030303030304</v>
      </c>
      <c r="T84" s="5">
        <f>60/$T$1</f>
        <v>0.30303030303030304</v>
      </c>
      <c r="V84">
        <v>63</v>
      </c>
      <c r="W84" s="5">
        <f>V84/V186</f>
        <v>0.26141078838174275</v>
      </c>
      <c r="X84" s="5">
        <f>63/$X$1</f>
        <v>0.26141078838174275</v>
      </c>
      <c r="Z84">
        <v>44</v>
      </c>
      <c r="AA84" s="5">
        <f>Z84/Z186</f>
        <v>0.22222222222222221</v>
      </c>
      <c r="AB84" s="5">
        <f>44/$AB$1</f>
        <v>0.22222222222222221</v>
      </c>
      <c r="AD84">
        <v>34</v>
      </c>
      <c r="AE84" s="5">
        <f>AD84/AD186</f>
        <v>0.22077922077922077</v>
      </c>
      <c r="AF84" s="5">
        <f>34/$AF$1</f>
        <v>0.22077922077922077</v>
      </c>
      <c r="AH84">
        <v>40</v>
      </c>
      <c r="AI84" s="5">
        <f>AH84/AH186</f>
        <v>0.33333333333333331</v>
      </c>
      <c r="AJ84" s="5">
        <f>40/$AJ$1</f>
        <v>0.33333333333333331</v>
      </c>
      <c r="AL84">
        <v>96</v>
      </c>
      <c r="AM84" s="5">
        <f>AL84/AL186</f>
        <v>0.25945945945945947</v>
      </c>
      <c r="AN84" s="5">
        <f>96/$AN$1</f>
        <v>0.25945945945945947</v>
      </c>
      <c r="AP84">
        <v>115</v>
      </c>
      <c r="AQ84" s="5">
        <f>AP84/AP186</f>
        <v>0.30423280423280424</v>
      </c>
      <c r="AR84" s="5">
        <f>115/$AR$1</f>
        <v>0.30423280423280424</v>
      </c>
      <c r="AT84">
        <v>62</v>
      </c>
      <c r="AU84" s="5">
        <f>AT84/AT186</f>
        <v>0.24603174603174602</v>
      </c>
      <c r="AV84" s="5">
        <f>62/$AV$1</f>
        <v>0.24603174603174602</v>
      </c>
      <c r="AX84">
        <v>59</v>
      </c>
      <c r="AY84" s="5">
        <f>AX84/AX186</f>
        <v>0.21611721611721613</v>
      </c>
      <c r="AZ84" s="5">
        <f>59/$AZ$1</f>
        <v>0.21611721611721613</v>
      </c>
      <c r="BA84" s="5"/>
      <c r="BB84">
        <v>51</v>
      </c>
      <c r="BC84" s="5">
        <f>BB84/BB186</f>
        <v>0.25123152709359609</v>
      </c>
      <c r="BD84" s="5">
        <f>51/$BD$1</f>
        <v>0.25123152709359609</v>
      </c>
      <c r="BF84">
        <v>54</v>
      </c>
      <c r="BG84" s="5">
        <f>BF84/BF186</f>
        <v>0.25116279069767444</v>
      </c>
      <c r="BH84" s="5">
        <f>54/$BH$1</f>
        <v>0.25116279069767444</v>
      </c>
      <c r="BJ84">
        <v>109</v>
      </c>
      <c r="BK84" s="5">
        <f>BJ84/BJ186</f>
        <v>0.35275080906148865</v>
      </c>
      <c r="BL84" s="5">
        <f>109/$BL$1</f>
        <v>0.35275080906148865</v>
      </c>
      <c r="BN84">
        <v>11</v>
      </c>
      <c r="BO84" s="5">
        <f>BN84/BN186</f>
        <v>0.23404255319148937</v>
      </c>
      <c r="BP84" s="5">
        <f>11/$BP$1</f>
        <v>0.23404255319148937</v>
      </c>
      <c r="BR84">
        <v>78</v>
      </c>
      <c r="BS84" s="5">
        <f>BR84/BR186</f>
        <v>0.24840764331210191</v>
      </c>
      <c r="BT84" s="5">
        <f>78/$BT$1</f>
        <v>0.24840764331210191</v>
      </c>
      <c r="BV84">
        <v>100</v>
      </c>
      <c r="BW84" s="5">
        <f>BV84/BV186</f>
        <v>0.2544529262086514</v>
      </c>
      <c r="BX84" s="5">
        <f>100/$BX$1</f>
        <v>0.2544529262086514</v>
      </c>
      <c r="BZ84">
        <v>84</v>
      </c>
      <c r="CA84" s="5">
        <f>BZ84/BZ186</f>
        <v>0.34146341463414637</v>
      </c>
      <c r="CB84" s="5">
        <f>84/$CB$1</f>
        <v>0.34146341463414637</v>
      </c>
      <c r="CD84">
        <v>43</v>
      </c>
      <c r="CE84" s="5">
        <f>CD84/CD186</f>
        <v>0.34959349593495936</v>
      </c>
      <c r="CF84" s="5">
        <f>43/$CF$1</f>
        <v>0.34959349593495936</v>
      </c>
      <c r="CH84">
        <v>180</v>
      </c>
      <c r="CI84" s="5">
        <f>CH84/CH186</f>
        <v>0.26162790697674421</v>
      </c>
      <c r="CJ84" s="5">
        <f>180/$CJ$1</f>
        <v>0.26162790697674421</v>
      </c>
      <c r="CL84">
        <v>185</v>
      </c>
      <c r="CM84" s="5">
        <f>CL84/CL186</f>
        <v>0.24406332453825857</v>
      </c>
      <c r="CN84" s="5">
        <f>185/$CN$1</f>
        <v>0.24406332453825857</v>
      </c>
      <c r="CP84">
        <v>88</v>
      </c>
      <c r="CQ84" s="5">
        <f>CP84/CP186</f>
        <v>0.36363636363636365</v>
      </c>
      <c r="CR84" s="5">
        <f>88/$CR$1</f>
        <v>0.36363636363636365</v>
      </c>
      <c r="CT84">
        <v>75</v>
      </c>
      <c r="CU84" s="5">
        <f>CT84/CT186</f>
        <v>0.22522522522522523</v>
      </c>
      <c r="CV84" s="5">
        <f>75/$CV$1</f>
        <v>0.22522522522522523</v>
      </c>
      <c r="CX84">
        <v>198</v>
      </c>
      <c r="CY84" s="5">
        <f>CX84/CX186</f>
        <v>0.29685157421289354</v>
      </c>
      <c r="CZ84" s="5">
        <f>198/$CZ$1</f>
        <v>0.29685157421289354</v>
      </c>
    </row>
    <row r="85" spans="1:104" x14ac:dyDescent="0.25">
      <c r="A85" s="1" t="s">
        <v>1043</v>
      </c>
      <c r="B85">
        <v>28</v>
      </c>
      <c r="C85" s="5">
        <f>B85/B186</f>
        <v>2.8000000000000001E-2</v>
      </c>
      <c r="D85" s="5">
        <f>28/$D$1</f>
        <v>2.8000000000000001E-2</v>
      </c>
      <c r="F85">
        <v>18</v>
      </c>
      <c r="G85" s="5">
        <f>F85/F186</f>
        <v>3.5928143712574849E-2</v>
      </c>
      <c r="H85" s="5">
        <f>18/$H$1</f>
        <v>3.5928143712574849E-2</v>
      </c>
      <c r="J85">
        <v>10</v>
      </c>
      <c r="K85" s="5">
        <f>J85/J186</f>
        <v>2.004008016032064E-2</v>
      </c>
      <c r="L85" s="5">
        <f>10/$L$1</f>
        <v>2.004008016032064E-2</v>
      </c>
      <c r="N85">
        <v>5</v>
      </c>
      <c r="O85" s="5">
        <f>N85/N186</f>
        <v>5.1546391752577317E-2</v>
      </c>
      <c r="P85" s="5">
        <f>5/$P$1</f>
        <v>5.1546391752577317E-2</v>
      </c>
      <c r="R85">
        <v>7</v>
      </c>
      <c r="S85" s="5">
        <f>R85/R186</f>
        <v>3.5353535353535352E-2</v>
      </c>
      <c r="T85" s="5">
        <f>7/$T$1</f>
        <v>3.5353535353535352E-2</v>
      </c>
      <c r="V85">
        <v>9</v>
      </c>
      <c r="W85" s="5">
        <f>V85/V186</f>
        <v>3.7344398340248962E-2</v>
      </c>
      <c r="X85" s="5">
        <f>9/$X$1</f>
        <v>3.7344398340248962E-2</v>
      </c>
      <c r="Z85">
        <v>3</v>
      </c>
      <c r="AA85" s="5">
        <f>Z85/Z186</f>
        <v>1.5151515151515152E-2</v>
      </c>
      <c r="AB85" s="5">
        <f>3/$AB$1</f>
        <v>1.5151515151515152E-2</v>
      </c>
      <c r="AD85">
        <v>2</v>
      </c>
      <c r="AE85" s="5">
        <f>AD85/AD186</f>
        <v>1.2987012987012988E-2</v>
      </c>
      <c r="AF85" s="5">
        <f>2/$AF$1</f>
        <v>1.2987012987012988E-2</v>
      </c>
      <c r="AH85">
        <v>2</v>
      </c>
      <c r="AI85" s="5">
        <f>AH85/AH186</f>
        <v>1.6666666666666666E-2</v>
      </c>
      <c r="AJ85" s="5">
        <f>2/$AJ$1</f>
        <v>1.6666666666666666E-2</v>
      </c>
      <c r="AL85">
        <v>11</v>
      </c>
      <c r="AM85" s="5">
        <f>AL85/AL186</f>
        <v>2.9729729729729731E-2</v>
      </c>
      <c r="AN85" s="5">
        <f>11/$AN$1</f>
        <v>2.9729729729729731E-2</v>
      </c>
      <c r="AP85">
        <v>13</v>
      </c>
      <c r="AQ85" s="5">
        <f>AP85/AP186</f>
        <v>3.439153439153439E-2</v>
      </c>
      <c r="AR85" s="5">
        <f>13/$AR$1</f>
        <v>3.439153439153439E-2</v>
      </c>
      <c r="AT85">
        <v>4</v>
      </c>
      <c r="AU85" s="5">
        <f>AT85/AT186</f>
        <v>1.5873015873015872E-2</v>
      </c>
      <c r="AV85" s="5">
        <f>4/$AV$1</f>
        <v>1.5873015873015872E-2</v>
      </c>
      <c r="AX85">
        <v>8</v>
      </c>
      <c r="AY85" s="5">
        <f>AX85/AX186</f>
        <v>2.9304029304029304E-2</v>
      </c>
      <c r="AZ85" s="5">
        <f>8/$AZ$1</f>
        <v>2.9304029304029304E-2</v>
      </c>
      <c r="BA85" s="5"/>
      <c r="BB85">
        <v>5</v>
      </c>
      <c r="BC85" s="5">
        <f>BB85/BB186</f>
        <v>2.4630541871921183E-2</v>
      </c>
      <c r="BD85" s="5">
        <f>5/$BD$1</f>
        <v>2.4630541871921183E-2</v>
      </c>
      <c r="BF85">
        <v>5</v>
      </c>
      <c r="BG85" s="5">
        <f>BF85/BF186</f>
        <v>2.3255813953488372E-2</v>
      </c>
      <c r="BH85" s="5">
        <f>5/$BH$1</f>
        <v>2.3255813953488372E-2</v>
      </c>
      <c r="BJ85">
        <v>10</v>
      </c>
      <c r="BK85" s="5">
        <f>BJ85/BJ186</f>
        <v>3.2362459546925564E-2</v>
      </c>
      <c r="BL85" s="5">
        <f>10/$BL$1</f>
        <v>3.2362459546925564E-2</v>
      </c>
      <c r="BN85">
        <v>1</v>
      </c>
      <c r="BO85" s="5">
        <f>BN85/BN186</f>
        <v>2.1276595744680851E-2</v>
      </c>
      <c r="BP85" s="5">
        <f>1/$BP$1</f>
        <v>2.1276595744680851E-2</v>
      </c>
      <c r="BR85">
        <v>5</v>
      </c>
      <c r="BS85" s="5">
        <f>BR85/BR186</f>
        <v>1.5923566878980892E-2</v>
      </c>
      <c r="BT85" s="5">
        <f>5/$BT$1</f>
        <v>1.5923566878980892E-2</v>
      </c>
      <c r="BV85">
        <v>11</v>
      </c>
      <c r="BW85" s="5">
        <f>BV85/BV186</f>
        <v>2.7989821882951654E-2</v>
      </c>
      <c r="BX85" s="5">
        <f>11/$BX$1</f>
        <v>2.7989821882951654E-2</v>
      </c>
      <c r="BZ85">
        <v>11</v>
      </c>
      <c r="CA85" s="5">
        <f>BZ85/BZ186</f>
        <v>4.4715447154471545E-2</v>
      </c>
      <c r="CB85" s="5">
        <f>11/$CB$1</f>
        <v>4.4715447154471545E-2</v>
      </c>
      <c r="CD85">
        <v>8</v>
      </c>
      <c r="CE85" s="5">
        <f>CD85/CD186</f>
        <v>6.5040650406504072E-2</v>
      </c>
      <c r="CF85" s="5">
        <f>8/$CF$1</f>
        <v>6.5040650406504072E-2</v>
      </c>
      <c r="CH85">
        <v>11</v>
      </c>
      <c r="CI85" s="5">
        <f>CH85/CH186</f>
        <v>1.5988372093023256E-2</v>
      </c>
      <c r="CJ85" s="5">
        <f>11/$CJ$1</f>
        <v>1.5988372093023256E-2</v>
      </c>
      <c r="CL85">
        <v>16</v>
      </c>
      <c r="CM85" s="5">
        <f>CL85/CL186</f>
        <v>2.1108179419525065E-2</v>
      </c>
      <c r="CN85" s="5">
        <f>16/$CN$1</f>
        <v>2.1108179419525065E-2</v>
      </c>
      <c r="CP85">
        <v>12</v>
      </c>
      <c r="CQ85" s="5">
        <f>CP85/CP186</f>
        <v>4.9586776859504134E-2</v>
      </c>
      <c r="CR85" s="5">
        <f>12/$CR$1</f>
        <v>4.9586776859504134E-2</v>
      </c>
      <c r="CT85">
        <v>13</v>
      </c>
      <c r="CU85" s="5">
        <f>CT85/CT186</f>
        <v>3.903903903903904E-2</v>
      </c>
      <c r="CV85" s="5">
        <f>13/$CV$1</f>
        <v>3.903903903903904E-2</v>
      </c>
      <c r="CX85">
        <v>15</v>
      </c>
      <c r="CY85" s="5">
        <f>CX85/CX186</f>
        <v>2.2488755622188907E-2</v>
      </c>
      <c r="CZ85" s="5">
        <f>15/$CZ$1</f>
        <v>2.2488755622188907E-2</v>
      </c>
    </row>
    <row r="86" spans="1:104" x14ac:dyDescent="0.25">
      <c r="A86" s="1" t="s">
        <v>1044</v>
      </c>
      <c r="B86">
        <v>38</v>
      </c>
      <c r="C86" s="5">
        <f>B86/B186</f>
        <v>3.7999999999999999E-2</v>
      </c>
      <c r="D86" s="5">
        <f>38/$D$1</f>
        <v>3.7999999999999999E-2</v>
      </c>
      <c r="F86">
        <v>15</v>
      </c>
      <c r="G86" s="5">
        <f>F86/F186</f>
        <v>2.9940119760479042E-2</v>
      </c>
      <c r="H86" s="5">
        <f>15/$H$1</f>
        <v>2.9940119760479042E-2</v>
      </c>
      <c r="J86">
        <v>23</v>
      </c>
      <c r="K86" s="5">
        <f>J86/J186</f>
        <v>4.6092184368737472E-2</v>
      </c>
      <c r="L86" s="5">
        <f>23/$L$1</f>
        <v>4.6092184368737472E-2</v>
      </c>
      <c r="N86">
        <v>6</v>
      </c>
      <c r="O86" s="5">
        <f>N86/N186</f>
        <v>6.1855670103092786E-2</v>
      </c>
      <c r="P86" s="5">
        <f>6/$P$1</f>
        <v>6.1855670103092786E-2</v>
      </c>
      <c r="R86">
        <v>11</v>
      </c>
      <c r="S86" s="5">
        <f>R86/R186</f>
        <v>5.5555555555555552E-2</v>
      </c>
      <c r="T86" s="5">
        <f>11/$T$1</f>
        <v>5.5555555555555552E-2</v>
      </c>
      <c r="V86">
        <v>8</v>
      </c>
      <c r="W86" s="5">
        <f>V86/V186</f>
        <v>3.3195020746887967E-2</v>
      </c>
      <c r="X86" s="5">
        <f>8/$X$1</f>
        <v>3.3195020746887967E-2</v>
      </c>
      <c r="Z86">
        <v>6</v>
      </c>
      <c r="AA86" s="5">
        <f>Z86/Z186</f>
        <v>3.0303030303030304E-2</v>
      </c>
      <c r="AB86" s="5">
        <f>6/$AB$1</f>
        <v>3.0303030303030304E-2</v>
      </c>
      <c r="AD86">
        <v>5</v>
      </c>
      <c r="AE86" s="5">
        <f>AD86/AD186</f>
        <v>3.2467532467532464E-2</v>
      </c>
      <c r="AF86" s="5">
        <f>5/$AF$1</f>
        <v>3.2467532467532464E-2</v>
      </c>
      <c r="AH86">
        <v>2</v>
      </c>
      <c r="AI86" s="5">
        <f>AH86/AH186</f>
        <v>1.6666666666666666E-2</v>
      </c>
      <c r="AJ86" s="5">
        <f>2/$AJ$1</f>
        <v>1.6666666666666666E-2</v>
      </c>
      <c r="AL86">
        <v>11</v>
      </c>
      <c r="AM86" s="5">
        <f>AL86/AL186</f>
        <v>2.9729729729729731E-2</v>
      </c>
      <c r="AN86" s="5">
        <f>11/$AN$1</f>
        <v>2.9729729729729731E-2</v>
      </c>
      <c r="AP86">
        <v>15</v>
      </c>
      <c r="AQ86" s="5">
        <f>AP86/AP186</f>
        <v>3.968253968253968E-2</v>
      </c>
      <c r="AR86" s="5">
        <f>15/$AR$1</f>
        <v>3.968253968253968E-2</v>
      </c>
      <c r="AT86">
        <v>12</v>
      </c>
      <c r="AU86" s="5">
        <f>AT86/AT186</f>
        <v>4.7619047619047616E-2</v>
      </c>
      <c r="AV86" s="5">
        <f>12/$AV$1</f>
        <v>4.7619047619047616E-2</v>
      </c>
      <c r="AX86">
        <v>7</v>
      </c>
      <c r="AY86" s="5">
        <f>AX86/AX186</f>
        <v>2.564102564102564E-2</v>
      </c>
      <c r="AZ86" s="5">
        <f>7/$AZ$1</f>
        <v>2.564102564102564E-2</v>
      </c>
      <c r="BA86" s="5"/>
      <c r="BB86">
        <v>7</v>
      </c>
      <c r="BC86" s="5">
        <f>BB86/BB186</f>
        <v>3.4482758620689655E-2</v>
      </c>
      <c r="BD86" s="5">
        <f>7/$BD$1</f>
        <v>3.4482758620689655E-2</v>
      </c>
      <c r="BF86">
        <v>10</v>
      </c>
      <c r="BG86" s="5">
        <f>BF86/BF186</f>
        <v>4.6511627906976744E-2</v>
      </c>
      <c r="BH86" s="5">
        <f>10/$BH$1</f>
        <v>4.6511627906976744E-2</v>
      </c>
      <c r="BJ86">
        <v>14</v>
      </c>
      <c r="BK86" s="5">
        <f>BJ86/BJ186</f>
        <v>4.5307443365695796E-2</v>
      </c>
      <c r="BL86" s="5">
        <f>14/$BL$1</f>
        <v>4.5307443365695796E-2</v>
      </c>
      <c r="BN86">
        <v>2</v>
      </c>
      <c r="BO86" s="5">
        <f>BN86/BN186</f>
        <v>4.2553191489361701E-2</v>
      </c>
      <c r="BP86" s="5">
        <f>2/$BP$1</f>
        <v>4.2553191489361701E-2</v>
      </c>
      <c r="BR86">
        <v>10</v>
      </c>
      <c r="BS86" s="5">
        <f>BR86/BR186</f>
        <v>3.1847133757961783E-2</v>
      </c>
      <c r="BT86" s="5">
        <f>10/$BT$1</f>
        <v>3.1847133757961783E-2</v>
      </c>
      <c r="BV86">
        <v>18</v>
      </c>
      <c r="BW86" s="5">
        <f>BV86/BV186</f>
        <v>4.5801526717557252E-2</v>
      </c>
      <c r="BX86" s="5">
        <f>18/$BX$1</f>
        <v>4.5801526717557252E-2</v>
      </c>
      <c r="BZ86">
        <v>8</v>
      </c>
      <c r="CA86" s="5">
        <f>BZ86/BZ186</f>
        <v>3.2520325203252036E-2</v>
      </c>
      <c r="CB86" s="5">
        <f>8/$CB$1</f>
        <v>3.2520325203252036E-2</v>
      </c>
      <c r="CD86">
        <v>5</v>
      </c>
      <c r="CE86" s="5">
        <f>CD86/CD186</f>
        <v>4.065040650406504E-2</v>
      </c>
      <c r="CF86" s="5">
        <f>5/$CF$1</f>
        <v>4.065040650406504E-2</v>
      </c>
      <c r="CH86">
        <v>22</v>
      </c>
      <c r="CI86" s="5">
        <f>CH86/CH186</f>
        <v>3.1976744186046513E-2</v>
      </c>
      <c r="CJ86" s="5">
        <f>22/$CJ$1</f>
        <v>3.1976744186046513E-2</v>
      </c>
      <c r="CL86">
        <v>25</v>
      </c>
      <c r="CM86" s="5">
        <f>CL86/CL186</f>
        <v>3.2981530343007916E-2</v>
      </c>
      <c r="CN86" s="5">
        <f>25/$CN$1</f>
        <v>3.2981530343007916E-2</v>
      </c>
      <c r="CP86">
        <v>13</v>
      </c>
      <c r="CQ86" s="5">
        <f>CP86/CP186</f>
        <v>5.3719008264462811E-2</v>
      </c>
      <c r="CR86" s="5">
        <f>13/$CR$1</f>
        <v>5.3719008264462811E-2</v>
      </c>
      <c r="CT86">
        <v>14</v>
      </c>
      <c r="CU86" s="5">
        <f>CT86/CT186</f>
        <v>4.2042042042042045E-2</v>
      </c>
      <c r="CV86" s="5">
        <f>14/$CV$1</f>
        <v>4.2042042042042045E-2</v>
      </c>
      <c r="CX86">
        <v>24</v>
      </c>
      <c r="CY86" s="5">
        <f>CX86/CX186</f>
        <v>3.5982008995502246E-2</v>
      </c>
      <c r="CZ86" s="5">
        <f>24/$CZ$1</f>
        <v>3.5982008995502246E-2</v>
      </c>
    </row>
    <row r="88" spans="1:104" x14ac:dyDescent="0.25">
      <c r="A88" s="1" t="s">
        <v>1045</v>
      </c>
      <c r="B88">
        <v>603</v>
      </c>
      <c r="C88" s="5">
        <f>B88/B186</f>
        <v>0.60299999999999998</v>
      </c>
      <c r="D88" s="5">
        <f>603/$D$1</f>
        <v>0.60299999999999998</v>
      </c>
      <c r="F88">
        <v>287</v>
      </c>
      <c r="G88" s="5">
        <f>F88/F186</f>
        <v>0.57285429141716571</v>
      </c>
      <c r="H88" s="5">
        <f>287/$H$1</f>
        <v>0.57285429141716571</v>
      </c>
      <c r="J88">
        <v>316</v>
      </c>
      <c r="K88" s="5">
        <f>J88/J186</f>
        <v>0.63326653306613223</v>
      </c>
      <c r="L88" s="5">
        <f>316/$L$1</f>
        <v>0.63326653306613223</v>
      </c>
      <c r="N88">
        <v>52</v>
      </c>
      <c r="O88" s="5">
        <f>N88/N186</f>
        <v>0.53608247422680411</v>
      </c>
      <c r="P88" s="5">
        <f>52/$P$1</f>
        <v>0.53608247422680411</v>
      </c>
      <c r="R88">
        <v>92</v>
      </c>
      <c r="S88" s="5">
        <f>R88/R186</f>
        <v>0.46464646464646464</v>
      </c>
      <c r="T88" s="5">
        <f>92/$T$1</f>
        <v>0.46464646464646464</v>
      </c>
      <c r="V88">
        <v>154</v>
      </c>
      <c r="W88" s="5">
        <f>V88/V186</f>
        <v>0.63900414937759331</v>
      </c>
      <c r="X88" s="5">
        <f>154/$X$1</f>
        <v>0.63900414937759331</v>
      </c>
      <c r="Z88">
        <v>124</v>
      </c>
      <c r="AA88" s="5">
        <f>Z88/Z186</f>
        <v>0.6262626262626263</v>
      </c>
      <c r="AB88" s="5">
        <f>124/$AB$1</f>
        <v>0.6262626262626263</v>
      </c>
      <c r="AD88">
        <v>108</v>
      </c>
      <c r="AE88" s="5">
        <f>AD88/AD186</f>
        <v>0.70129870129870131</v>
      </c>
      <c r="AF88" s="5">
        <f>108/$AF$1</f>
        <v>0.70129870129870131</v>
      </c>
      <c r="AH88">
        <v>78</v>
      </c>
      <c r="AI88" s="5">
        <f>AH88/AH186</f>
        <v>0.65</v>
      </c>
      <c r="AJ88" s="5">
        <f>78/$AJ$1</f>
        <v>0.65</v>
      </c>
      <c r="AL88">
        <v>228</v>
      </c>
      <c r="AM88" s="5">
        <f>AL88/AL186</f>
        <v>0.61621621621621625</v>
      </c>
      <c r="AN88" s="5">
        <f>228/$AN$1</f>
        <v>0.61621621621621625</v>
      </c>
      <c r="AP88">
        <v>227</v>
      </c>
      <c r="AQ88" s="5">
        <f>AP88/AP186</f>
        <v>0.60052910052910058</v>
      </c>
      <c r="AR88" s="5">
        <f>227/$AR$1</f>
        <v>0.60052910052910058</v>
      </c>
      <c r="AT88">
        <v>148</v>
      </c>
      <c r="AU88" s="5">
        <f>AT88/AT186</f>
        <v>0.58730158730158732</v>
      </c>
      <c r="AV88" s="5">
        <f>148/$AV$1</f>
        <v>0.58730158730158732</v>
      </c>
      <c r="AX88">
        <v>165</v>
      </c>
      <c r="AY88" s="5">
        <f>AX88/AX186</f>
        <v>0.60439560439560436</v>
      </c>
      <c r="AZ88" s="5">
        <f>165/$AZ$1</f>
        <v>0.60439560439560436</v>
      </c>
      <c r="BA88" s="5"/>
      <c r="BB88">
        <v>121</v>
      </c>
      <c r="BC88" s="5">
        <f>BB88/BB186</f>
        <v>0.59605911330049266</v>
      </c>
      <c r="BD88" s="5">
        <f>121/$BD$1</f>
        <v>0.59605911330049266</v>
      </c>
      <c r="BF88">
        <v>140</v>
      </c>
      <c r="BG88" s="5">
        <f>BF88/BF186</f>
        <v>0.65116279069767447</v>
      </c>
      <c r="BH88" s="5">
        <f>140/$BH$1</f>
        <v>0.65116279069767447</v>
      </c>
      <c r="BJ88">
        <v>177</v>
      </c>
      <c r="BK88" s="5">
        <f>BJ88/BJ186</f>
        <v>0.57281553398058249</v>
      </c>
      <c r="BL88" s="5">
        <f>177/$BL$1</f>
        <v>0.57281553398058249</v>
      </c>
      <c r="BN88">
        <v>24</v>
      </c>
      <c r="BO88" s="5">
        <f>BN88/BN186</f>
        <v>0.51063829787234039</v>
      </c>
      <c r="BP88" s="5">
        <f>24/$BP$1</f>
        <v>0.51063829787234039</v>
      </c>
      <c r="BR88">
        <v>203</v>
      </c>
      <c r="BS88" s="5">
        <f>BR88/BR186</f>
        <v>0.64649681528662417</v>
      </c>
      <c r="BT88" s="5">
        <f>203/$BT$1</f>
        <v>0.64649681528662417</v>
      </c>
      <c r="BV88">
        <v>234</v>
      </c>
      <c r="BW88" s="5">
        <f>BV88/BV186</f>
        <v>0.59541984732824427</v>
      </c>
      <c r="BX88" s="5">
        <f>234/$BX$1</f>
        <v>0.59541984732824427</v>
      </c>
      <c r="BZ88">
        <v>142</v>
      </c>
      <c r="CA88" s="5">
        <f>BZ88/BZ186</f>
        <v>0.57723577235772361</v>
      </c>
      <c r="CB88" s="5">
        <f>142/$CB$1</f>
        <v>0.57723577235772361</v>
      </c>
      <c r="CD88">
        <v>64</v>
      </c>
      <c r="CE88" s="5">
        <f>CD88/CD186</f>
        <v>0.52032520325203258</v>
      </c>
      <c r="CF88" s="5">
        <f>64/$CF$1</f>
        <v>0.52032520325203258</v>
      </c>
      <c r="CH88">
        <v>440</v>
      </c>
      <c r="CI88" s="5">
        <f>CH88/CH186</f>
        <v>0.63953488372093026</v>
      </c>
      <c r="CJ88" s="5">
        <f>440/$CJ$1</f>
        <v>0.63953488372093026</v>
      </c>
      <c r="CL88">
        <v>489</v>
      </c>
      <c r="CM88" s="5">
        <f>CL88/CL186</f>
        <v>0.64511873350923488</v>
      </c>
      <c r="CN88" s="5">
        <f>489/$CN$1</f>
        <v>0.64511873350923488</v>
      </c>
      <c r="CP88">
        <v>114</v>
      </c>
      <c r="CQ88" s="5">
        <f>CP88/CP186</f>
        <v>0.47107438016528924</v>
      </c>
      <c r="CR88" s="5">
        <f>114/$CR$1</f>
        <v>0.47107438016528924</v>
      </c>
      <c r="CT88">
        <v>207</v>
      </c>
      <c r="CU88" s="5">
        <f>CT88/CT186</f>
        <v>0.6216216216216216</v>
      </c>
      <c r="CV88" s="5">
        <f>207/$CV$1</f>
        <v>0.6216216216216216</v>
      </c>
      <c r="CX88">
        <v>396</v>
      </c>
      <c r="CY88" s="5">
        <f>CX88/CX186</f>
        <v>0.59370314842578709</v>
      </c>
      <c r="CZ88" s="5">
        <f>396/$CZ$1</f>
        <v>0.59370314842578709</v>
      </c>
    </row>
    <row r="89" spans="1:104" x14ac:dyDescent="0.25">
      <c r="A89" s="1" t="s">
        <v>1046</v>
      </c>
      <c r="B89">
        <v>293</v>
      </c>
      <c r="C89" s="5">
        <f>B89/B186</f>
        <v>0.29299999999999998</v>
      </c>
      <c r="D89" s="5">
        <f>293/$D$1</f>
        <v>0.29299999999999998</v>
      </c>
      <c r="F89">
        <v>166</v>
      </c>
      <c r="G89" s="5">
        <f>F89/F186</f>
        <v>0.33133732534930138</v>
      </c>
      <c r="H89" s="5">
        <f>166/$H$1</f>
        <v>0.33133732534930138</v>
      </c>
      <c r="J89">
        <v>127</v>
      </c>
      <c r="K89" s="5">
        <f>J89/J186</f>
        <v>0.25450901803607212</v>
      </c>
      <c r="L89" s="5">
        <f>127/$L$1</f>
        <v>0.25450901803607212</v>
      </c>
      <c r="N89">
        <v>32</v>
      </c>
      <c r="O89" s="5">
        <f>N89/N186</f>
        <v>0.32989690721649484</v>
      </c>
      <c r="P89" s="5">
        <f>32/$P$1</f>
        <v>0.32989690721649484</v>
      </c>
      <c r="R89">
        <v>78</v>
      </c>
      <c r="S89" s="5">
        <f>R89/R186</f>
        <v>0.39393939393939392</v>
      </c>
      <c r="T89" s="5">
        <f>78/$T$1</f>
        <v>0.39393939393939392</v>
      </c>
      <c r="V89">
        <v>62</v>
      </c>
      <c r="W89" s="5">
        <f>V89/V186</f>
        <v>0.25726141078838172</v>
      </c>
      <c r="X89" s="5">
        <f>62/$X$1</f>
        <v>0.25726141078838172</v>
      </c>
      <c r="Z89">
        <v>58</v>
      </c>
      <c r="AA89" s="5">
        <f>Z89/Z186</f>
        <v>0.29292929292929293</v>
      </c>
      <c r="AB89" s="5">
        <f>58/$AB$1</f>
        <v>0.29292929292929293</v>
      </c>
      <c r="AD89">
        <v>31</v>
      </c>
      <c r="AE89" s="5">
        <f>AD89/AD186</f>
        <v>0.20129870129870131</v>
      </c>
      <c r="AF89" s="5">
        <f>31/$AF$1</f>
        <v>0.20129870129870131</v>
      </c>
      <c r="AH89">
        <v>35</v>
      </c>
      <c r="AI89" s="5">
        <f>AH89/AH186</f>
        <v>0.29166666666666669</v>
      </c>
      <c r="AJ89" s="5">
        <f>35/$AJ$1</f>
        <v>0.29166666666666669</v>
      </c>
      <c r="AL89">
        <v>101</v>
      </c>
      <c r="AM89" s="5">
        <f>AL89/AL186</f>
        <v>0.27297297297297296</v>
      </c>
      <c r="AN89" s="5">
        <f>101/$AN$1</f>
        <v>0.27297297297297296</v>
      </c>
      <c r="AP89">
        <v>112</v>
      </c>
      <c r="AQ89" s="5">
        <f>AP89/AP186</f>
        <v>0.29629629629629628</v>
      </c>
      <c r="AR89" s="5">
        <f>112/$AR$1</f>
        <v>0.29629629629629628</v>
      </c>
      <c r="AT89">
        <v>80</v>
      </c>
      <c r="AU89" s="5">
        <f>AT89/AT186</f>
        <v>0.31746031746031744</v>
      </c>
      <c r="AV89" s="5">
        <f>80/$AV$1</f>
        <v>0.31746031746031744</v>
      </c>
      <c r="AX89">
        <v>81</v>
      </c>
      <c r="AY89" s="5">
        <f>AX89/AX186</f>
        <v>0.2967032967032967</v>
      </c>
      <c r="AZ89" s="5">
        <f>81/$AZ$1</f>
        <v>0.2967032967032967</v>
      </c>
      <c r="BA89" s="5"/>
      <c r="BB89">
        <v>64</v>
      </c>
      <c r="BC89" s="5">
        <f>BB89/BB186</f>
        <v>0.31527093596059114</v>
      </c>
      <c r="BD89" s="5">
        <f>64/$BD$1</f>
        <v>0.31527093596059114</v>
      </c>
      <c r="BF89">
        <v>57</v>
      </c>
      <c r="BG89" s="5">
        <f>BF89/BF186</f>
        <v>0.26511627906976742</v>
      </c>
      <c r="BH89" s="5">
        <f>57/$BH$1</f>
        <v>0.26511627906976742</v>
      </c>
      <c r="BJ89">
        <v>91</v>
      </c>
      <c r="BK89" s="5">
        <f>BJ89/BJ186</f>
        <v>0.29449838187702265</v>
      </c>
      <c r="BL89" s="5">
        <f>91/$BL$1</f>
        <v>0.29449838187702265</v>
      </c>
      <c r="BN89">
        <v>18</v>
      </c>
      <c r="BO89" s="5">
        <f>BN89/BN186</f>
        <v>0.38297872340425532</v>
      </c>
      <c r="BP89" s="5">
        <f>18/$BP$1</f>
        <v>0.38297872340425532</v>
      </c>
      <c r="BR89">
        <v>76</v>
      </c>
      <c r="BS89" s="5">
        <f>BR89/BR186</f>
        <v>0.24203821656050956</v>
      </c>
      <c r="BT89" s="5">
        <f>76/$BT$1</f>
        <v>0.24203821656050956</v>
      </c>
      <c r="BV89">
        <v>119</v>
      </c>
      <c r="BW89" s="5">
        <f>BV89/BV186</f>
        <v>0.30279898218829515</v>
      </c>
      <c r="BX89" s="5">
        <f>119/$BX$1</f>
        <v>0.30279898218829515</v>
      </c>
      <c r="BZ89">
        <v>80</v>
      </c>
      <c r="CA89" s="5">
        <f>BZ89/BZ186</f>
        <v>0.32520325203252032</v>
      </c>
      <c r="CB89" s="5">
        <f>80/$CB$1</f>
        <v>0.32520325203252032</v>
      </c>
      <c r="CD89">
        <v>39</v>
      </c>
      <c r="CE89" s="5">
        <f>CD89/CD186</f>
        <v>0.31707317073170732</v>
      </c>
      <c r="CF89" s="5">
        <f>39/$CF$1</f>
        <v>0.31707317073170732</v>
      </c>
      <c r="CH89">
        <v>192</v>
      </c>
      <c r="CI89" s="5">
        <f>CH89/CH186</f>
        <v>0.27906976744186046</v>
      </c>
      <c r="CJ89" s="5">
        <f>192/$CJ$1</f>
        <v>0.27906976744186046</v>
      </c>
      <c r="CL89">
        <v>201</v>
      </c>
      <c r="CM89" s="5">
        <f>CL89/CL186</f>
        <v>0.26517150395778366</v>
      </c>
      <c r="CN89" s="5">
        <f>201/$CN$1</f>
        <v>0.26517150395778366</v>
      </c>
      <c r="CP89">
        <v>92</v>
      </c>
      <c r="CQ89" s="5">
        <f>CP89/CP186</f>
        <v>0.38016528925619836</v>
      </c>
      <c r="CR89" s="5">
        <f>92/$CR$1</f>
        <v>0.38016528925619836</v>
      </c>
      <c r="CT89">
        <v>90</v>
      </c>
      <c r="CU89" s="5">
        <f>CT89/CT186</f>
        <v>0.27027027027027029</v>
      </c>
      <c r="CV89" s="5">
        <f>90/$CV$1</f>
        <v>0.27027027027027029</v>
      </c>
      <c r="CX89">
        <v>203</v>
      </c>
      <c r="CY89" s="5">
        <f>CX89/CX186</f>
        <v>0.30434782608695654</v>
      </c>
      <c r="CZ89" s="5">
        <f>203/$CZ$1</f>
        <v>0.30434782608695654</v>
      </c>
    </row>
    <row r="90" spans="1:104" x14ac:dyDescent="0.25">
      <c r="A90" s="1" t="s">
        <v>1047</v>
      </c>
      <c r="B90">
        <v>59</v>
      </c>
      <c r="C90" s="5">
        <f>B90/B186</f>
        <v>5.8999999999999997E-2</v>
      </c>
      <c r="D90" s="5">
        <f>59/$D$1</f>
        <v>5.8999999999999997E-2</v>
      </c>
      <c r="F90">
        <v>34</v>
      </c>
      <c r="G90" s="5">
        <f>F90/F186</f>
        <v>6.7864271457085831E-2</v>
      </c>
      <c r="H90" s="5">
        <f>34/$H$1</f>
        <v>6.7864271457085831E-2</v>
      </c>
      <c r="J90">
        <v>25</v>
      </c>
      <c r="K90" s="5">
        <f>J90/J186</f>
        <v>5.0100200400801605E-2</v>
      </c>
      <c r="L90" s="5">
        <f>25/$L$1</f>
        <v>5.0100200400801605E-2</v>
      </c>
      <c r="N90">
        <v>9</v>
      </c>
      <c r="O90" s="5">
        <f>N90/N186</f>
        <v>9.2783505154639179E-2</v>
      </c>
      <c r="P90" s="5">
        <f>9/$P$1</f>
        <v>9.2783505154639179E-2</v>
      </c>
      <c r="R90">
        <v>13</v>
      </c>
      <c r="S90" s="5">
        <f>R90/R186</f>
        <v>6.5656565656565663E-2</v>
      </c>
      <c r="T90" s="5">
        <f>13/$T$1</f>
        <v>6.5656565656565663E-2</v>
      </c>
      <c r="V90">
        <v>11</v>
      </c>
      <c r="W90" s="5">
        <f>V90/V186</f>
        <v>4.5643153526970952E-2</v>
      </c>
      <c r="X90" s="5">
        <f>11/$X$1</f>
        <v>4.5643153526970952E-2</v>
      </c>
      <c r="Z90">
        <v>12</v>
      </c>
      <c r="AA90" s="5">
        <f>Z90/Z186</f>
        <v>6.0606060606060608E-2</v>
      </c>
      <c r="AB90" s="5">
        <f>12/$AB$1</f>
        <v>6.0606060606060608E-2</v>
      </c>
      <c r="AD90">
        <v>10</v>
      </c>
      <c r="AE90" s="5">
        <f>AD90/AD186</f>
        <v>6.4935064935064929E-2</v>
      </c>
      <c r="AF90" s="5">
        <f>10/$AF$1</f>
        <v>6.4935064935064929E-2</v>
      </c>
      <c r="AH90">
        <v>4</v>
      </c>
      <c r="AI90" s="5">
        <f>AH90/AH186</f>
        <v>3.3333333333333333E-2</v>
      </c>
      <c r="AJ90" s="5">
        <f>4/$AJ$1</f>
        <v>3.3333333333333333E-2</v>
      </c>
      <c r="AL90">
        <v>24</v>
      </c>
      <c r="AM90" s="5">
        <f>AL90/AL186</f>
        <v>6.4864864864864868E-2</v>
      </c>
      <c r="AN90" s="5">
        <f>24/$AN$1</f>
        <v>6.4864864864864868E-2</v>
      </c>
      <c r="AP90">
        <v>20</v>
      </c>
      <c r="AQ90" s="5">
        <f>AP90/AP186</f>
        <v>5.2910052910052907E-2</v>
      </c>
      <c r="AR90" s="5">
        <f>20/$AR$1</f>
        <v>5.2910052910052907E-2</v>
      </c>
      <c r="AT90">
        <v>15</v>
      </c>
      <c r="AU90" s="5">
        <f>AT90/AT186</f>
        <v>5.9523809523809521E-2</v>
      </c>
      <c r="AV90" s="5">
        <f>15/$AV$1</f>
        <v>5.9523809523809521E-2</v>
      </c>
      <c r="AX90">
        <v>20</v>
      </c>
      <c r="AY90" s="5">
        <f>AX90/AX186</f>
        <v>7.3260073260073263E-2</v>
      </c>
      <c r="AZ90" s="5">
        <f>20/$AZ$1</f>
        <v>7.3260073260073263E-2</v>
      </c>
      <c r="BA90" s="5"/>
      <c r="BB90">
        <v>9</v>
      </c>
      <c r="BC90" s="5">
        <f>BB90/BB186</f>
        <v>4.4334975369458129E-2</v>
      </c>
      <c r="BD90" s="5">
        <f>9/$BD$1</f>
        <v>4.4334975369458129E-2</v>
      </c>
      <c r="BF90">
        <v>11</v>
      </c>
      <c r="BG90" s="5">
        <f>BF90/BF186</f>
        <v>5.1162790697674418E-2</v>
      </c>
      <c r="BH90" s="5">
        <f>11/$BH$1</f>
        <v>5.1162790697674418E-2</v>
      </c>
      <c r="BJ90">
        <v>19</v>
      </c>
      <c r="BK90" s="5">
        <f>BJ90/BJ186</f>
        <v>6.1488673139158574E-2</v>
      </c>
      <c r="BL90" s="5">
        <f>19/$BL$1</f>
        <v>6.1488673139158574E-2</v>
      </c>
      <c r="BN90">
        <v>1</v>
      </c>
      <c r="BO90" s="5">
        <f>BN90/BN186</f>
        <v>2.1276595744680851E-2</v>
      </c>
      <c r="BP90" s="5">
        <f>1/$BP$1</f>
        <v>2.1276595744680851E-2</v>
      </c>
      <c r="BR90">
        <v>19</v>
      </c>
      <c r="BS90" s="5">
        <f>BR90/BR186</f>
        <v>6.0509554140127389E-2</v>
      </c>
      <c r="BT90" s="5">
        <f>19/$BT$1</f>
        <v>6.0509554140127389E-2</v>
      </c>
      <c r="BV90">
        <v>24</v>
      </c>
      <c r="BW90" s="5">
        <f>BV90/BV186</f>
        <v>6.1068702290076333E-2</v>
      </c>
      <c r="BX90" s="5">
        <f>24/$BX$1</f>
        <v>6.1068702290076333E-2</v>
      </c>
      <c r="BZ90">
        <v>15</v>
      </c>
      <c r="CA90" s="5">
        <f>BZ90/BZ186</f>
        <v>6.097560975609756E-2</v>
      </c>
      <c r="CB90" s="5">
        <f>15/$CB$1</f>
        <v>6.097560975609756E-2</v>
      </c>
      <c r="CD90">
        <v>14</v>
      </c>
      <c r="CE90" s="5">
        <f>CD90/CD186</f>
        <v>0.11382113821138211</v>
      </c>
      <c r="CF90" s="5">
        <f>14/$CF$1</f>
        <v>0.11382113821138211</v>
      </c>
      <c r="CH90">
        <v>29</v>
      </c>
      <c r="CI90" s="5">
        <f>CH90/CH186</f>
        <v>4.2151162790697673E-2</v>
      </c>
      <c r="CJ90" s="5">
        <f>29/$CJ$1</f>
        <v>4.2151162790697673E-2</v>
      </c>
      <c r="CL90">
        <v>31</v>
      </c>
      <c r="CM90" s="5">
        <f>CL90/CL186</f>
        <v>4.0897097625329816E-2</v>
      </c>
      <c r="CN90" s="5">
        <f>31/$CN$1</f>
        <v>4.0897097625329816E-2</v>
      </c>
      <c r="CP90">
        <v>28</v>
      </c>
      <c r="CQ90" s="5">
        <f>CP90/CP186</f>
        <v>0.11570247933884298</v>
      </c>
      <c r="CR90" s="5">
        <f>28/$CR$1</f>
        <v>0.11570247933884298</v>
      </c>
      <c r="CT90">
        <v>25</v>
      </c>
      <c r="CU90" s="5">
        <f>CT90/CT186</f>
        <v>7.5075075075075076E-2</v>
      </c>
      <c r="CV90" s="5">
        <f>25/$CV$1</f>
        <v>7.5075075075075076E-2</v>
      </c>
      <c r="CX90">
        <v>34</v>
      </c>
      <c r="CY90" s="5">
        <f>CX90/CX186</f>
        <v>5.0974512743628186E-2</v>
      </c>
      <c r="CZ90" s="5">
        <f>34/$CZ$1</f>
        <v>5.0974512743628186E-2</v>
      </c>
    </row>
    <row r="91" spans="1:104" x14ac:dyDescent="0.25">
      <c r="A91" s="1" t="s">
        <v>1048</v>
      </c>
      <c r="B91">
        <v>45</v>
      </c>
      <c r="C91" s="5">
        <f>B91/B186</f>
        <v>4.4999999999999998E-2</v>
      </c>
      <c r="D91" s="5">
        <f>45/$D$1</f>
        <v>4.4999999999999998E-2</v>
      </c>
      <c r="F91">
        <v>14</v>
      </c>
      <c r="G91" s="5">
        <f>F91/F186</f>
        <v>2.7944111776447105E-2</v>
      </c>
      <c r="H91" s="5">
        <f>14/$H$1</f>
        <v>2.7944111776447105E-2</v>
      </c>
      <c r="J91">
        <v>31</v>
      </c>
      <c r="K91" s="5">
        <f>J91/J186</f>
        <v>6.2124248496993988E-2</v>
      </c>
      <c r="L91" s="5">
        <f>31/$L$1</f>
        <v>6.2124248496993988E-2</v>
      </c>
      <c r="N91">
        <v>4</v>
      </c>
      <c r="O91" s="5">
        <f>N91/N186</f>
        <v>4.1237113402061855E-2</v>
      </c>
      <c r="P91" s="5">
        <f>4/$P$1</f>
        <v>4.1237113402061855E-2</v>
      </c>
      <c r="R91">
        <v>15</v>
      </c>
      <c r="S91" s="5">
        <f>R91/R186</f>
        <v>7.575757575757576E-2</v>
      </c>
      <c r="T91" s="5">
        <f>15/$T$1</f>
        <v>7.575757575757576E-2</v>
      </c>
      <c r="V91">
        <v>14</v>
      </c>
      <c r="W91" s="5">
        <f>V91/V186</f>
        <v>5.8091286307053944E-2</v>
      </c>
      <c r="X91" s="5">
        <f>14/$X$1</f>
        <v>5.8091286307053944E-2</v>
      </c>
      <c r="Z91">
        <v>4</v>
      </c>
      <c r="AA91" s="5">
        <f>Z91/Z186</f>
        <v>2.0202020202020204E-2</v>
      </c>
      <c r="AB91" s="5">
        <f>4/$AB$1</f>
        <v>2.0202020202020204E-2</v>
      </c>
      <c r="AD91">
        <v>5</v>
      </c>
      <c r="AE91" s="5">
        <f>AD91/AD186</f>
        <v>3.2467532467532464E-2</v>
      </c>
      <c r="AF91" s="5">
        <f>5/$AF$1</f>
        <v>3.2467532467532464E-2</v>
      </c>
      <c r="AH91">
        <v>3</v>
      </c>
      <c r="AI91" s="5">
        <f>AH91/AH186</f>
        <v>2.5000000000000001E-2</v>
      </c>
      <c r="AJ91" s="5">
        <f>3/$AJ$1</f>
        <v>2.5000000000000001E-2</v>
      </c>
      <c r="AL91">
        <v>17</v>
      </c>
      <c r="AM91" s="5">
        <f>AL91/AL186</f>
        <v>4.5945945945945948E-2</v>
      </c>
      <c r="AN91" s="5">
        <f>17/$AN$1</f>
        <v>4.5945945945945948E-2</v>
      </c>
      <c r="AP91">
        <v>19</v>
      </c>
      <c r="AQ91" s="5">
        <f>AP91/AP186</f>
        <v>5.0264550264550262E-2</v>
      </c>
      <c r="AR91" s="5">
        <f>19/$AR$1</f>
        <v>5.0264550264550262E-2</v>
      </c>
      <c r="AT91">
        <v>9</v>
      </c>
      <c r="AU91" s="5">
        <f>AT91/AT186</f>
        <v>3.5714285714285712E-2</v>
      </c>
      <c r="AV91" s="5">
        <f>9/$AV$1</f>
        <v>3.5714285714285712E-2</v>
      </c>
      <c r="AX91">
        <v>7</v>
      </c>
      <c r="AY91" s="5">
        <f>AX91/AX186</f>
        <v>2.564102564102564E-2</v>
      </c>
      <c r="AZ91" s="5">
        <f>7/$AZ$1</f>
        <v>2.564102564102564E-2</v>
      </c>
      <c r="BA91" s="5"/>
      <c r="BB91">
        <v>9</v>
      </c>
      <c r="BC91" s="5">
        <f>BB91/BB186</f>
        <v>4.4334975369458129E-2</v>
      </c>
      <c r="BD91" s="5">
        <f>9/$BD$1</f>
        <v>4.4334975369458129E-2</v>
      </c>
      <c r="BF91">
        <v>7</v>
      </c>
      <c r="BG91" s="5">
        <f>BF91/BF186</f>
        <v>3.255813953488372E-2</v>
      </c>
      <c r="BH91" s="5">
        <f>7/$BH$1</f>
        <v>3.255813953488372E-2</v>
      </c>
      <c r="BJ91">
        <v>22</v>
      </c>
      <c r="BK91" s="5">
        <f>BJ91/BJ186</f>
        <v>7.1197411003236247E-2</v>
      </c>
      <c r="BL91" s="5">
        <f>22/$BL$1</f>
        <v>7.1197411003236247E-2</v>
      </c>
      <c r="BN91">
        <v>4</v>
      </c>
      <c r="BO91" s="5">
        <f>BN91/BN186</f>
        <v>8.5106382978723402E-2</v>
      </c>
      <c r="BP91" s="5">
        <f>4/$BP$1</f>
        <v>8.5106382978723402E-2</v>
      </c>
      <c r="BR91">
        <v>16</v>
      </c>
      <c r="BS91" s="5">
        <f>BR91/BR186</f>
        <v>5.0955414012738856E-2</v>
      </c>
      <c r="BT91" s="5">
        <f>16/$BT$1</f>
        <v>5.0955414012738856E-2</v>
      </c>
      <c r="BV91">
        <v>16</v>
      </c>
      <c r="BW91" s="5">
        <f>BV91/BV186</f>
        <v>4.0712468193384227E-2</v>
      </c>
      <c r="BX91" s="5">
        <f>16/$BX$1</f>
        <v>4.0712468193384227E-2</v>
      </c>
      <c r="BZ91">
        <v>9</v>
      </c>
      <c r="CA91" s="5">
        <f>BZ91/BZ186</f>
        <v>3.6585365853658534E-2</v>
      </c>
      <c r="CB91" s="5">
        <f>9/$CB$1</f>
        <v>3.6585365853658534E-2</v>
      </c>
      <c r="CD91">
        <v>6</v>
      </c>
      <c r="CE91" s="5">
        <f>CD91/CD186</f>
        <v>4.878048780487805E-2</v>
      </c>
      <c r="CF91" s="5">
        <f>6/$CF$1</f>
        <v>4.878048780487805E-2</v>
      </c>
      <c r="CH91">
        <v>27</v>
      </c>
      <c r="CI91" s="5">
        <f>CH91/CH186</f>
        <v>3.9244186046511628E-2</v>
      </c>
      <c r="CJ91" s="5">
        <f>27/$CJ$1</f>
        <v>3.9244186046511628E-2</v>
      </c>
      <c r="CL91">
        <v>37</v>
      </c>
      <c r="CM91" s="5">
        <f>CL91/CL186</f>
        <v>4.8812664907651716E-2</v>
      </c>
      <c r="CN91" s="5">
        <f>37/$CN$1</f>
        <v>4.8812664907651716E-2</v>
      </c>
      <c r="CP91">
        <v>8</v>
      </c>
      <c r="CQ91" s="5">
        <f>CP91/CP186</f>
        <v>3.3057851239669422E-2</v>
      </c>
      <c r="CR91" s="5">
        <f>8/$CR$1</f>
        <v>3.3057851239669422E-2</v>
      </c>
      <c r="CT91">
        <v>11</v>
      </c>
      <c r="CU91" s="5">
        <f>CT91/CT186</f>
        <v>3.3033033033033031E-2</v>
      </c>
      <c r="CV91" s="5">
        <f>11/$CV$1</f>
        <v>3.3033033033033031E-2</v>
      </c>
      <c r="CX91">
        <v>34</v>
      </c>
      <c r="CY91" s="5">
        <f>CX91/CX186</f>
        <v>5.0974512743628186E-2</v>
      </c>
      <c r="CZ91" s="5">
        <f>34/$CZ$1</f>
        <v>5.0974512743628186E-2</v>
      </c>
    </row>
    <row r="93" spans="1:104" x14ac:dyDescent="0.25">
      <c r="A93" s="1" t="s">
        <v>1049</v>
      </c>
      <c r="B93">
        <v>600</v>
      </c>
      <c r="C93" s="5">
        <f>B93/B186</f>
        <v>0.6</v>
      </c>
      <c r="D93" s="5">
        <f>600/$D$1</f>
        <v>0.6</v>
      </c>
      <c r="F93">
        <v>289</v>
      </c>
      <c r="G93" s="5">
        <f>F93/F186</f>
        <v>0.57684630738522957</v>
      </c>
      <c r="H93" s="5">
        <f>289/$H$1</f>
        <v>0.57684630738522957</v>
      </c>
      <c r="J93">
        <v>311</v>
      </c>
      <c r="K93" s="5">
        <f>J93/J186</f>
        <v>0.6232464929859719</v>
      </c>
      <c r="L93" s="5">
        <f>311/$L$1</f>
        <v>0.6232464929859719</v>
      </c>
      <c r="N93">
        <v>50</v>
      </c>
      <c r="O93" s="5">
        <f>N93/N186</f>
        <v>0.51546391752577314</v>
      </c>
      <c r="P93" s="5">
        <f>50/$P$1</f>
        <v>0.51546391752577314</v>
      </c>
      <c r="R93">
        <v>100</v>
      </c>
      <c r="S93" s="5">
        <f>R93/R186</f>
        <v>0.50505050505050508</v>
      </c>
      <c r="T93" s="5">
        <f>100/$T$1</f>
        <v>0.50505050505050508</v>
      </c>
      <c r="V93">
        <v>145</v>
      </c>
      <c r="W93" s="5">
        <f>V93/V186</f>
        <v>0.60165975103734437</v>
      </c>
      <c r="X93" s="5">
        <f>145/$X$1</f>
        <v>0.60165975103734437</v>
      </c>
      <c r="Z93">
        <v>128</v>
      </c>
      <c r="AA93" s="5">
        <f>Z93/Z186</f>
        <v>0.64646464646464652</v>
      </c>
      <c r="AB93" s="5">
        <f>128/$AB$1</f>
        <v>0.64646464646464652</v>
      </c>
      <c r="AD93">
        <v>93</v>
      </c>
      <c r="AE93" s="5">
        <f>AD93/AD186</f>
        <v>0.60389610389610393</v>
      </c>
      <c r="AF93" s="5">
        <f>93/$AF$1</f>
        <v>0.60389610389610393</v>
      </c>
      <c r="AH93">
        <v>88</v>
      </c>
      <c r="AI93" s="5">
        <f>AH93/AH186</f>
        <v>0.73333333333333328</v>
      </c>
      <c r="AJ93" s="5">
        <f>88/$AJ$1</f>
        <v>0.73333333333333328</v>
      </c>
      <c r="AL93">
        <v>237</v>
      </c>
      <c r="AM93" s="5">
        <f>AL93/AL186</f>
        <v>0.64054054054054055</v>
      </c>
      <c r="AN93" s="5">
        <f>237/$AN$1</f>
        <v>0.64054054054054055</v>
      </c>
      <c r="AP93">
        <v>232</v>
      </c>
      <c r="AQ93" s="5">
        <f>AP93/AP186</f>
        <v>0.61375661375661372</v>
      </c>
      <c r="AR93" s="5">
        <f>232/$AR$1</f>
        <v>0.61375661375661372</v>
      </c>
      <c r="AT93">
        <v>131</v>
      </c>
      <c r="AU93" s="5">
        <f>AT93/AT186</f>
        <v>0.51984126984126988</v>
      </c>
      <c r="AV93" s="5">
        <f>131/$AV$1</f>
        <v>0.51984126984126988</v>
      </c>
      <c r="AX93">
        <v>163</v>
      </c>
      <c r="AY93" s="5">
        <f>AX93/AX186</f>
        <v>0.59706959706959706</v>
      </c>
      <c r="AZ93" s="5">
        <f>163/$AZ$1</f>
        <v>0.59706959706959706</v>
      </c>
      <c r="BA93" s="5"/>
      <c r="BB93">
        <v>128</v>
      </c>
      <c r="BC93" s="5">
        <f>BB93/BB186</f>
        <v>0.63054187192118227</v>
      </c>
      <c r="BD93" s="5">
        <f>128/$BD$1</f>
        <v>0.63054187192118227</v>
      </c>
      <c r="BF93">
        <v>148</v>
      </c>
      <c r="BG93" s="5">
        <f>BF93/BF186</f>
        <v>0.68837209302325586</v>
      </c>
      <c r="BH93" s="5">
        <f>148/$BH$1</f>
        <v>0.68837209302325586</v>
      </c>
      <c r="BJ93">
        <v>161</v>
      </c>
      <c r="BK93" s="5">
        <f>BJ93/BJ186</f>
        <v>0.52103559870550165</v>
      </c>
      <c r="BL93" s="5">
        <f>161/$BL$1</f>
        <v>0.52103559870550165</v>
      </c>
      <c r="BN93">
        <v>33</v>
      </c>
      <c r="BO93" s="5">
        <f>BN93/BN186</f>
        <v>0.7021276595744681</v>
      </c>
      <c r="BP93" s="5">
        <f>33/$BP$1</f>
        <v>0.7021276595744681</v>
      </c>
      <c r="BR93">
        <v>228</v>
      </c>
      <c r="BS93" s="5">
        <f>BR93/BR186</f>
        <v>0.72611464968152861</v>
      </c>
      <c r="BT93" s="5">
        <f>228/$BT$1</f>
        <v>0.72611464968152861</v>
      </c>
      <c r="BV93">
        <v>224</v>
      </c>
      <c r="BW93" s="5">
        <f>BV93/BV186</f>
        <v>0.56997455470737912</v>
      </c>
      <c r="BX93" s="5">
        <f>224/$BX$1</f>
        <v>0.56997455470737912</v>
      </c>
      <c r="BZ93">
        <v>115</v>
      </c>
      <c r="CA93" s="5">
        <f>BZ93/BZ186</f>
        <v>0.46747967479674796</v>
      </c>
      <c r="CB93" s="5">
        <f>115/$CB$1</f>
        <v>0.46747967479674796</v>
      </c>
      <c r="CD93">
        <v>71</v>
      </c>
      <c r="CE93" s="5">
        <f>CD93/CD186</f>
        <v>0.57723577235772361</v>
      </c>
      <c r="CF93" s="5">
        <f>71/$CF$1</f>
        <v>0.57723577235772361</v>
      </c>
      <c r="CH93">
        <v>441</v>
      </c>
      <c r="CI93" s="5">
        <f>CH93/CH186</f>
        <v>0.64098837209302328</v>
      </c>
      <c r="CJ93" s="5">
        <f>441/$CJ$1</f>
        <v>0.64098837209302328</v>
      </c>
      <c r="CL93">
        <v>489</v>
      </c>
      <c r="CM93" s="5">
        <f>CL93/CL186</f>
        <v>0.64511873350923488</v>
      </c>
      <c r="CN93" s="5">
        <f>489/$CN$1</f>
        <v>0.64511873350923488</v>
      </c>
      <c r="CP93">
        <v>111</v>
      </c>
      <c r="CQ93" s="5">
        <f>CP93/CP186</f>
        <v>0.45867768595041325</v>
      </c>
      <c r="CR93" s="5">
        <f>111/$CR$1</f>
        <v>0.45867768595041325</v>
      </c>
      <c r="CT93">
        <v>190</v>
      </c>
      <c r="CU93" s="5">
        <f>CT93/CT186</f>
        <v>0.57057057057057059</v>
      </c>
      <c r="CV93" s="5">
        <f>190/$CV$1</f>
        <v>0.57057057057057059</v>
      </c>
      <c r="CX93">
        <v>410</v>
      </c>
      <c r="CY93" s="5">
        <f>CX93/CX186</f>
        <v>0.61469265367316339</v>
      </c>
      <c r="CZ93" s="5">
        <f>410/$CZ$1</f>
        <v>0.61469265367316339</v>
      </c>
    </row>
    <row r="94" spans="1:104" x14ac:dyDescent="0.25">
      <c r="A94" s="1" t="s">
        <v>1050</v>
      </c>
      <c r="B94">
        <v>319</v>
      </c>
      <c r="C94" s="5">
        <f>B94/B186</f>
        <v>0.31900000000000001</v>
      </c>
      <c r="D94" s="5">
        <f>319/$D$1</f>
        <v>0.31900000000000001</v>
      </c>
      <c r="F94">
        <v>167</v>
      </c>
      <c r="G94" s="5">
        <f>F94/F186</f>
        <v>0.33333333333333331</v>
      </c>
      <c r="H94" s="5">
        <f>167/$H$1</f>
        <v>0.33333333333333331</v>
      </c>
      <c r="J94">
        <v>152</v>
      </c>
      <c r="K94" s="5">
        <f>J94/J186</f>
        <v>0.30460921843687377</v>
      </c>
      <c r="L94" s="5">
        <f>152/$L$1</f>
        <v>0.30460921843687377</v>
      </c>
      <c r="N94">
        <v>38</v>
      </c>
      <c r="O94" s="5">
        <f>N94/N186</f>
        <v>0.39175257731958762</v>
      </c>
      <c r="P94" s="5">
        <f>38/$P$1</f>
        <v>0.39175257731958762</v>
      </c>
      <c r="R94">
        <v>74</v>
      </c>
      <c r="S94" s="5">
        <f>R94/R186</f>
        <v>0.37373737373737376</v>
      </c>
      <c r="T94" s="5">
        <f>74/$T$1</f>
        <v>0.37373737373737376</v>
      </c>
      <c r="V94">
        <v>81</v>
      </c>
      <c r="W94" s="5">
        <f>V94/V186</f>
        <v>0.33609958506224069</v>
      </c>
      <c r="X94" s="5">
        <f>81/$X$1</f>
        <v>0.33609958506224069</v>
      </c>
      <c r="Z94">
        <v>57</v>
      </c>
      <c r="AA94" s="5">
        <f>Z94/Z186</f>
        <v>0.2878787878787879</v>
      </c>
      <c r="AB94" s="5">
        <f>57/$AB$1</f>
        <v>0.2878787878787879</v>
      </c>
      <c r="AD94">
        <v>49</v>
      </c>
      <c r="AE94" s="5">
        <f>AD94/AD186</f>
        <v>0.31818181818181818</v>
      </c>
      <c r="AF94" s="5">
        <f>49/$AF$1</f>
        <v>0.31818181818181818</v>
      </c>
      <c r="AH94">
        <v>23</v>
      </c>
      <c r="AI94" s="5">
        <f>AH94/AH186</f>
        <v>0.19166666666666668</v>
      </c>
      <c r="AJ94" s="5">
        <f>23/$AJ$1</f>
        <v>0.19166666666666668</v>
      </c>
      <c r="AL94">
        <v>107</v>
      </c>
      <c r="AM94" s="5">
        <f>AL94/AL186</f>
        <v>0.28918918918918918</v>
      </c>
      <c r="AN94" s="5">
        <f>107/$AN$1</f>
        <v>0.28918918918918918</v>
      </c>
      <c r="AP94">
        <v>114</v>
      </c>
      <c r="AQ94" s="5">
        <f>AP94/AP186</f>
        <v>0.30158730158730157</v>
      </c>
      <c r="AR94" s="5">
        <f>114/$AR$1</f>
        <v>0.30158730158730157</v>
      </c>
      <c r="AT94">
        <v>98</v>
      </c>
      <c r="AU94" s="5">
        <f>AT94/AT186</f>
        <v>0.3888888888888889</v>
      </c>
      <c r="AV94" s="5">
        <f>98/$AV$1</f>
        <v>0.3888888888888889</v>
      </c>
      <c r="AX94">
        <v>90</v>
      </c>
      <c r="AY94" s="5">
        <f>AX94/AX186</f>
        <v>0.32967032967032966</v>
      </c>
      <c r="AZ94" s="5">
        <f>90/$AZ$1</f>
        <v>0.32967032967032966</v>
      </c>
      <c r="BA94" s="5"/>
      <c r="BB94">
        <v>65</v>
      </c>
      <c r="BC94" s="5">
        <f>BB94/BB186</f>
        <v>0.32019704433497537</v>
      </c>
      <c r="BD94" s="5">
        <f>65/$BD$1</f>
        <v>0.32019704433497537</v>
      </c>
      <c r="BF94">
        <v>48</v>
      </c>
      <c r="BG94" s="5">
        <f>BF94/BF186</f>
        <v>0.22325581395348837</v>
      </c>
      <c r="BH94" s="5">
        <f>48/$BH$1</f>
        <v>0.22325581395348837</v>
      </c>
      <c r="BJ94">
        <v>116</v>
      </c>
      <c r="BK94" s="5">
        <f>BJ94/BJ186</f>
        <v>0.37540453074433655</v>
      </c>
      <c r="BL94" s="5">
        <f>116/$BL$1</f>
        <v>0.37540453074433655</v>
      </c>
      <c r="BN94">
        <v>12</v>
      </c>
      <c r="BO94" s="5">
        <f>BN94/BN186</f>
        <v>0.25531914893617019</v>
      </c>
      <c r="BP94" s="5">
        <f>12/$BP$1</f>
        <v>0.25531914893617019</v>
      </c>
      <c r="BR94">
        <v>74</v>
      </c>
      <c r="BS94" s="5">
        <f>BR94/BR186</f>
        <v>0.2356687898089172</v>
      </c>
      <c r="BT94" s="5">
        <f>74/$BT$1</f>
        <v>0.2356687898089172</v>
      </c>
      <c r="BV94">
        <v>129</v>
      </c>
      <c r="BW94" s="5">
        <f>BV94/BV186</f>
        <v>0.3282442748091603</v>
      </c>
      <c r="BX94" s="5">
        <f>129/$BX$1</f>
        <v>0.3282442748091603</v>
      </c>
      <c r="BZ94">
        <v>104</v>
      </c>
      <c r="CA94" s="5">
        <f>BZ94/BZ186</f>
        <v>0.42276422764227645</v>
      </c>
      <c r="CB94" s="5">
        <f>104/$CB$1</f>
        <v>0.42276422764227645</v>
      </c>
      <c r="CD94">
        <v>34</v>
      </c>
      <c r="CE94" s="5">
        <f>CD94/CD186</f>
        <v>0.27642276422764228</v>
      </c>
      <c r="CF94" s="5">
        <f>34/$CF$1</f>
        <v>0.27642276422764228</v>
      </c>
      <c r="CH94">
        <v>215</v>
      </c>
      <c r="CI94" s="5">
        <f>CH94/CH186</f>
        <v>0.3125</v>
      </c>
      <c r="CJ94" s="5">
        <f>215/$CJ$1</f>
        <v>0.3125</v>
      </c>
      <c r="CL94">
        <v>225</v>
      </c>
      <c r="CM94" s="5">
        <f>CL94/CL186</f>
        <v>0.29683377308707126</v>
      </c>
      <c r="CN94" s="5">
        <f>225/$CN$1</f>
        <v>0.29683377308707126</v>
      </c>
      <c r="CP94">
        <v>94</v>
      </c>
      <c r="CQ94" s="5">
        <f>CP94/CP186</f>
        <v>0.38842975206611569</v>
      </c>
      <c r="CR94" s="5">
        <f>94/$CR$1</f>
        <v>0.38842975206611569</v>
      </c>
      <c r="CT94">
        <v>114</v>
      </c>
      <c r="CU94" s="5">
        <f>CT94/CT186</f>
        <v>0.34234234234234234</v>
      </c>
      <c r="CV94" s="5">
        <f>114/$CV$1</f>
        <v>0.34234234234234234</v>
      </c>
      <c r="CX94">
        <v>205</v>
      </c>
      <c r="CY94" s="5">
        <f>CX94/CX186</f>
        <v>0.3073463268365817</v>
      </c>
      <c r="CZ94" s="5">
        <f>205/$CZ$1</f>
        <v>0.3073463268365817</v>
      </c>
    </row>
    <row r="95" spans="1:104" x14ac:dyDescent="0.25">
      <c r="A95" s="1" t="s">
        <v>1051</v>
      </c>
      <c r="B95">
        <v>60</v>
      </c>
      <c r="C95" s="5">
        <f>B95/B186</f>
        <v>0.06</v>
      </c>
      <c r="D95" s="5">
        <f>60/$D$1</f>
        <v>0.06</v>
      </c>
      <c r="F95">
        <v>38</v>
      </c>
      <c r="G95" s="5">
        <f>F95/F186</f>
        <v>7.5848303393213579E-2</v>
      </c>
      <c r="H95" s="5">
        <f>38/$H$1</f>
        <v>7.5848303393213579E-2</v>
      </c>
      <c r="J95">
        <v>22</v>
      </c>
      <c r="K95" s="5">
        <f>J95/J186</f>
        <v>4.4088176352705413E-2</v>
      </c>
      <c r="L95" s="5">
        <f>22/$L$1</f>
        <v>4.4088176352705413E-2</v>
      </c>
      <c r="N95">
        <v>7</v>
      </c>
      <c r="O95" s="5">
        <f>N95/N186</f>
        <v>7.2164948453608241E-2</v>
      </c>
      <c r="P95" s="5">
        <f>7/$P$1</f>
        <v>7.2164948453608241E-2</v>
      </c>
      <c r="R95">
        <v>14</v>
      </c>
      <c r="S95" s="5">
        <f>R95/R186</f>
        <v>7.0707070707070704E-2</v>
      </c>
      <c r="T95" s="5">
        <f>14/$T$1</f>
        <v>7.0707070707070704E-2</v>
      </c>
      <c r="V95">
        <v>13</v>
      </c>
      <c r="W95" s="5">
        <f>V95/V186</f>
        <v>5.3941908713692949E-2</v>
      </c>
      <c r="X95" s="5">
        <f>13/$X$1</f>
        <v>5.3941908713692949E-2</v>
      </c>
      <c r="Z95">
        <v>11</v>
      </c>
      <c r="AA95" s="5">
        <f>Z95/Z186</f>
        <v>5.5555555555555552E-2</v>
      </c>
      <c r="AB95" s="5">
        <f>11/$AB$1</f>
        <v>5.5555555555555552E-2</v>
      </c>
      <c r="AD95">
        <v>9</v>
      </c>
      <c r="AE95" s="5">
        <f>AD95/AD186</f>
        <v>5.844155844155844E-2</v>
      </c>
      <c r="AF95" s="5">
        <f>9/$AF$1</f>
        <v>5.844155844155844E-2</v>
      </c>
      <c r="AH95">
        <v>6</v>
      </c>
      <c r="AI95" s="5">
        <f>AH95/AH186</f>
        <v>0.05</v>
      </c>
      <c r="AJ95" s="5">
        <f>6/$AJ$1</f>
        <v>0.05</v>
      </c>
      <c r="AL95">
        <v>18</v>
      </c>
      <c r="AM95" s="5">
        <f>AL95/AL186</f>
        <v>4.8648648648648651E-2</v>
      </c>
      <c r="AN95" s="5">
        <f>18/$AN$1</f>
        <v>4.8648648648648651E-2</v>
      </c>
      <c r="AP95">
        <v>24</v>
      </c>
      <c r="AQ95" s="5">
        <f>AP95/AP186</f>
        <v>6.3492063492063489E-2</v>
      </c>
      <c r="AR95" s="5">
        <f>24/$AR$1</f>
        <v>6.3492063492063489E-2</v>
      </c>
      <c r="AT95">
        <v>18</v>
      </c>
      <c r="AU95" s="5">
        <f>AT95/AT186</f>
        <v>7.1428571428571425E-2</v>
      </c>
      <c r="AV95" s="5">
        <f>18/$AV$1</f>
        <v>7.1428571428571425E-2</v>
      </c>
      <c r="AX95">
        <v>16</v>
      </c>
      <c r="AY95" s="5">
        <f>AX95/AX186</f>
        <v>5.8608058608058608E-2</v>
      </c>
      <c r="AZ95" s="5">
        <f>16/$AZ$1</f>
        <v>5.8608058608058608E-2</v>
      </c>
      <c r="BA95" s="5"/>
      <c r="BB95">
        <v>9</v>
      </c>
      <c r="BC95" s="5">
        <f>BB95/BB186</f>
        <v>4.4334975369458129E-2</v>
      </c>
      <c r="BD95" s="5">
        <f>9/$BD$1</f>
        <v>4.4334975369458129E-2</v>
      </c>
      <c r="BF95">
        <v>10</v>
      </c>
      <c r="BG95" s="5">
        <f>BF95/BF186</f>
        <v>4.6511627906976744E-2</v>
      </c>
      <c r="BH95" s="5">
        <f>10/$BH$1</f>
        <v>4.6511627906976744E-2</v>
      </c>
      <c r="BJ95">
        <v>25</v>
      </c>
      <c r="BK95" s="5">
        <f>BJ95/BJ186</f>
        <v>8.0906148867313912E-2</v>
      </c>
      <c r="BL95" s="5">
        <f>25/$BL$1</f>
        <v>8.0906148867313912E-2</v>
      </c>
      <c r="BN95">
        <v>2</v>
      </c>
      <c r="BO95" s="5">
        <f>BN95/BN186</f>
        <v>4.2553191489361701E-2</v>
      </c>
      <c r="BP95" s="5">
        <f>2/$BP$1</f>
        <v>4.2553191489361701E-2</v>
      </c>
      <c r="BR95">
        <v>10</v>
      </c>
      <c r="BS95" s="5">
        <f>BR95/BR186</f>
        <v>3.1847133757961783E-2</v>
      </c>
      <c r="BT95" s="5">
        <f>10/$BT$1</f>
        <v>3.1847133757961783E-2</v>
      </c>
      <c r="BV95">
        <v>29</v>
      </c>
      <c r="BW95" s="5">
        <f>BV95/BV186</f>
        <v>7.3791348600508899E-2</v>
      </c>
      <c r="BX95" s="5">
        <f>29/$BX$1</f>
        <v>7.3791348600508899E-2</v>
      </c>
      <c r="BZ95">
        <v>19</v>
      </c>
      <c r="CA95" s="5">
        <f>BZ95/BZ186</f>
        <v>7.7235772357723581E-2</v>
      </c>
      <c r="CB95" s="5">
        <f>19/$CB$1</f>
        <v>7.7235772357723581E-2</v>
      </c>
      <c r="CD95">
        <v>18</v>
      </c>
      <c r="CE95" s="5">
        <f>CD95/CD186</f>
        <v>0.14634146341463414</v>
      </c>
      <c r="CF95" s="5">
        <f>18/$CF$1</f>
        <v>0.14634146341463414</v>
      </c>
      <c r="CH95">
        <v>20</v>
      </c>
      <c r="CI95" s="5">
        <f>CH95/CH186</f>
        <v>2.9069767441860465E-2</v>
      </c>
      <c r="CJ95" s="5">
        <f>20/$CJ$1</f>
        <v>2.9069767441860465E-2</v>
      </c>
      <c r="CL95">
        <v>31</v>
      </c>
      <c r="CM95" s="5">
        <f>CL95/CL186</f>
        <v>4.0897097625329816E-2</v>
      </c>
      <c r="CN95" s="5">
        <f>31/$CN$1</f>
        <v>4.0897097625329816E-2</v>
      </c>
      <c r="CP95">
        <v>29</v>
      </c>
      <c r="CQ95" s="5">
        <f>CP95/CP186</f>
        <v>0.11983471074380166</v>
      </c>
      <c r="CR95" s="5">
        <f>29/$CR$1</f>
        <v>0.11983471074380166</v>
      </c>
      <c r="CT95">
        <v>21</v>
      </c>
      <c r="CU95" s="5">
        <f>CT95/CT186</f>
        <v>6.3063063063063057E-2</v>
      </c>
      <c r="CV95" s="5">
        <f>21/$CV$1</f>
        <v>6.3063063063063057E-2</v>
      </c>
      <c r="CX95">
        <v>39</v>
      </c>
      <c r="CY95" s="5">
        <f>CX95/CX186</f>
        <v>5.8470764617691157E-2</v>
      </c>
      <c r="CZ95" s="5">
        <f>39/$CZ$1</f>
        <v>5.8470764617691157E-2</v>
      </c>
    </row>
    <row r="96" spans="1:104" x14ac:dyDescent="0.25">
      <c r="A96" s="1" t="s">
        <v>1052</v>
      </c>
      <c r="B96">
        <v>21</v>
      </c>
      <c r="C96" s="5">
        <f>B96/B186</f>
        <v>2.1000000000000001E-2</v>
      </c>
      <c r="D96" s="5">
        <f>21/$D$1</f>
        <v>2.1000000000000001E-2</v>
      </c>
      <c r="F96">
        <v>7</v>
      </c>
      <c r="G96" s="5">
        <f>F96/F186</f>
        <v>1.3972055888223553E-2</v>
      </c>
      <c r="H96" s="5">
        <f>7/$H$1</f>
        <v>1.3972055888223553E-2</v>
      </c>
      <c r="J96">
        <v>14</v>
      </c>
      <c r="K96" s="5">
        <f>J96/J186</f>
        <v>2.8056112224448898E-2</v>
      </c>
      <c r="L96" s="5">
        <f>14/$L$1</f>
        <v>2.8056112224448898E-2</v>
      </c>
      <c r="N96">
        <v>2</v>
      </c>
      <c r="O96" s="5">
        <f>N96/N186</f>
        <v>2.0618556701030927E-2</v>
      </c>
      <c r="P96" s="5">
        <f>2/$P$1</f>
        <v>2.0618556701030927E-2</v>
      </c>
      <c r="R96">
        <v>10</v>
      </c>
      <c r="S96" s="5">
        <f>R96/R186</f>
        <v>5.0505050505050504E-2</v>
      </c>
      <c r="T96" s="5">
        <f>10/$T$1</f>
        <v>5.0505050505050504E-2</v>
      </c>
      <c r="V96">
        <v>2</v>
      </c>
      <c r="W96" s="5">
        <f>V96/V186</f>
        <v>8.2987551867219917E-3</v>
      </c>
      <c r="X96" s="5">
        <f>2/$X$1</f>
        <v>8.2987551867219917E-3</v>
      </c>
      <c r="Z96">
        <v>2</v>
      </c>
      <c r="AA96" s="5">
        <f>Z96/Z186</f>
        <v>1.0101010101010102E-2</v>
      </c>
      <c r="AB96" s="5">
        <f>2/$AB$1</f>
        <v>1.0101010101010102E-2</v>
      </c>
      <c r="AD96">
        <v>3</v>
      </c>
      <c r="AE96" s="5">
        <f>AD96/AD186</f>
        <v>1.948051948051948E-2</v>
      </c>
      <c r="AF96" s="5">
        <f>3/$AF$1</f>
        <v>1.948051948051948E-2</v>
      </c>
      <c r="AH96">
        <v>3</v>
      </c>
      <c r="AI96" s="5">
        <f>AH96/AH186</f>
        <v>2.5000000000000001E-2</v>
      </c>
      <c r="AJ96" s="5">
        <f>3/$AJ$1</f>
        <v>2.5000000000000001E-2</v>
      </c>
      <c r="AL96">
        <v>8</v>
      </c>
      <c r="AM96" s="5">
        <f>AL96/AL186</f>
        <v>2.1621621621621623E-2</v>
      </c>
      <c r="AN96" s="5">
        <f>8/$AN$1</f>
        <v>2.1621621621621623E-2</v>
      </c>
      <c r="AP96">
        <v>8</v>
      </c>
      <c r="AQ96" s="5">
        <f>AP96/AP186</f>
        <v>2.1164021164021163E-2</v>
      </c>
      <c r="AR96" s="5">
        <f>8/$AR$1</f>
        <v>2.1164021164021163E-2</v>
      </c>
      <c r="AT96">
        <v>5</v>
      </c>
      <c r="AU96" s="5">
        <f>AT96/AT186</f>
        <v>1.984126984126984E-2</v>
      </c>
      <c r="AV96" s="5">
        <f>5/$AV$1</f>
        <v>1.984126984126984E-2</v>
      </c>
      <c r="AX96">
        <v>4</v>
      </c>
      <c r="AY96" s="5">
        <f>AX96/AX186</f>
        <v>1.4652014652014652E-2</v>
      </c>
      <c r="AZ96" s="5">
        <f>4/$AZ$1</f>
        <v>1.4652014652014652E-2</v>
      </c>
      <c r="BA96" s="5"/>
      <c r="BB96">
        <v>1</v>
      </c>
      <c r="BC96" s="5">
        <f>BB96/BB186</f>
        <v>4.9261083743842365E-3</v>
      </c>
      <c r="BD96" s="5">
        <f>1/$BD$1</f>
        <v>4.9261083743842365E-3</v>
      </c>
      <c r="BF96">
        <v>9</v>
      </c>
      <c r="BG96" s="5">
        <f>BF96/BF186</f>
        <v>4.1860465116279069E-2</v>
      </c>
      <c r="BH96" s="5">
        <f>9/$BH$1</f>
        <v>4.1860465116279069E-2</v>
      </c>
      <c r="BJ96">
        <v>7</v>
      </c>
      <c r="BK96" s="5">
        <f>BJ96/BJ186</f>
        <v>2.2653721682847898E-2</v>
      </c>
      <c r="BL96" s="5">
        <f>7/$BL$1</f>
        <v>2.2653721682847898E-2</v>
      </c>
      <c r="BN96">
        <v>0</v>
      </c>
      <c r="BO96" s="5">
        <f>BN96/BN186</f>
        <v>0</v>
      </c>
      <c r="BP96" s="5">
        <f>0/$BP$1</f>
        <v>0</v>
      </c>
      <c r="BR96">
        <v>2</v>
      </c>
      <c r="BS96" s="5">
        <f>BR96/BR186</f>
        <v>6.369426751592357E-3</v>
      </c>
      <c r="BT96" s="5">
        <f>2/$BT$1</f>
        <v>6.369426751592357E-3</v>
      </c>
      <c r="BV96">
        <v>11</v>
      </c>
      <c r="BW96" s="5">
        <f>BV96/BV186</f>
        <v>2.7989821882951654E-2</v>
      </c>
      <c r="BX96" s="5">
        <f>11/$BX$1</f>
        <v>2.7989821882951654E-2</v>
      </c>
      <c r="BZ96">
        <v>8</v>
      </c>
      <c r="CA96" s="5">
        <f>BZ96/BZ186</f>
        <v>3.2520325203252036E-2</v>
      </c>
      <c r="CB96" s="5">
        <f>8/$CB$1</f>
        <v>3.2520325203252036E-2</v>
      </c>
      <c r="CD96">
        <v>0</v>
      </c>
      <c r="CE96" s="5">
        <f>CD96/CD186</f>
        <v>0</v>
      </c>
      <c r="CF96" s="5">
        <f>0/$CF$1</f>
        <v>0</v>
      </c>
      <c r="CH96">
        <v>12</v>
      </c>
      <c r="CI96" s="5">
        <f>CH96/CH186</f>
        <v>1.7441860465116279E-2</v>
      </c>
      <c r="CJ96" s="5">
        <f>12/$CJ$1</f>
        <v>1.7441860465116279E-2</v>
      </c>
      <c r="CL96">
        <v>13</v>
      </c>
      <c r="CM96" s="5">
        <f>CL96/CL186</f>
        <v>1.7150395778364115E-2</v>
      </c>
      <c r="CN96" s="5">
        <f>13/$CN$1</f>
        <v>1.7150395778364115E-2</v>
      </c>
      <c r="CP96">
        <v>8</v>
      </c>
      <c r="CQ96" s="5">
        <f>CP96/CP186</f>
        <v>3.3057851239669422E-2</v>
      </c>
      <c r="CR96" s="5">
        <f>8/$CR$1</f>
        <v>3.3057851239669422E-2</v>
      </c>
      <c r="CT96">
        <v>8</v>
      </c>
      <c r="CU96" s="5">
        <f>CT96/CT186</f>
        <v>2.4024024024024024E-2</v>
      </c>
      <c r="CV96" s="5">
        <f>8/$CV$1</f>
        <v>2.4024024024024024E-2</v>
      </c>
      <c r="CX96">
        <v>13</v>
      </c>
      <c r="CY96" s="5">
        <f>CX96/CX186</f>
        <v>1.9490254872563718E-2</v>
      </c>
      <c r="CZ96" s="5">
        <f>13/$CZ$1</f>
        <v>1.9490254872563718E-2</v>
      </c>
    </row>
    <row r="98" spans="1:104" x14ac:dyDescent="0.25">
      <c r="A98" s="1" t="s">
        <v>1053</v>
      </c>
      <c r="B98">
        <v>563</v>
      </c>
      <c r="C98" s="5">
        <f>B98/B186</f>
        <v>0.56299999999999994</v>
      </c>
      <c r="D98" s="5">
        <f>563/$D$1</f>
        <v>0.56299999999999994</v>
      </c>
      <c r="F98">
        <v>261</v>
      </c>
      <c r="G98" s="5">
        <f>F98/F186</f>
        <v>0.52095808383233533</v>
      </c>
      <c r="H98" s="5">
        <f>261/$H$1</f>
        <v>0.52095808383233533</v>
      </c>
      <c r="J98">
        <v>302</v>
      </c>
      <c r="K98" s="5">
        <f>J98/J186</f>
        <v>0.60521042084168342</v>
      </c>
      <c r="L98" s="5">
        <f>302/$L$1</f>
        <v>0.60521042084168342</v>
      </c>
      <c r="N98">
        <v>50</v>
      </c>
      <c r="O98" s="5">
        <f>N98/N186</f>
        <v>0.51546391752577314</v>
      </c>
      <c r="P98" s="5">
        <f>50/$P$1</f>
        <v>0.51546391752577314</v>
      </c>
      <c r="R98">
        <v>97</v>
      </c>
      <c r="S98" s="5">
        <f>R98/R186</f>
        <v>0.48989898989898989</v>
      </c>
      <c r="T98" s="5">
        <f>97/$T$1</f>
        <v>0.48989898989898989</v>
      </c>
      <c r="V98">
        <v>128</v>
      </c>
      <c r="W98" s="5">
        <f>V98/V186</f>
        <v>0.53112033195020747</v>
      </c>
      <c r="X98" s="5">
        <f>128/$X$1</f>
        <v>0.53112033195020747</v>
      </c>
      <c r="Z98">
        <v>120</v>
      </c>
      <c r="AA98" s="5">
        <f>Z98/Z186</f>
        <v>0.60606060606060608</v>
      </c>
      <c r="AB98" s="5">
        <f>120/$AB$1</f>
        <v>0.60606060606060608</v>
      </c>
      <c r="AD98">
        <v>97</v>
      </c>
      <c r="AE98" s="5">
        <f>AD98/AD186</f>
        <v>0.62987012987012991</v>
      </c>
      <c r="AF98" s="5">
        <f>97/$AF$1</f>
        <v>0.62987012987012991</v>
      </c>
      <c r="AH98">
        <v>76</v>
      </c>
      <c r="AI98" s="5">
        <f>AH98/AH186</f>
        <v>0.6333333333333333</v>
      </c>
      <c r="AJ98" s="5">
        <f>76/$AJ$1</f>
        <v>0.6333333333333333</v>
      </c>
      <c r="AL98">
        <v>240</v>
      </c>
      <c r="AM98" s="5">
        <f>AL98/AL186</f>
        <v>0.64864864864864868</v>
      </c>
      <c r="AN98" s="5">
        <f>240/$AN$1</f>
        <v>0.64864864864864868</v>
      </c>
      <c r="AP98">
        <v>211</v>
      </c>
      <c r="AQ98" s="5">
        <f>AP98/AP186</f>
        <v>0.55820105820105825</v>
      </c>
      <c r="AR98" s="5">
        <f>211/$AR$1</f>
        <v>0.55820105820105825</v>
      </c>
      <c r="AT98">
        <v>112</v>
      </c>
      <c r="AU98" s="5">
        <f>AT98/AT186</f>
        <v>0.44444444444444442</v>
      </c>
      <c r="AV98" s="5">
        <f>112/$AV$1</f>
        <v>0.44444444444444442</v>
      </c>
      <c r="AX98">
        <v>160</v>
      </c>
      <c r="AY98" s="5">
        <f>AX98/AX186</f>
        <v>0.58608058608058611</v>
      </c>
      <c r="AZ98" s="5">
        <f>160/$AZ$1</f>
        <v>0.58608058608058611</v>
      </c>
      <c r="BA98" s="5"/>
      <c r="BB98">
        <v>118</v>
      </c>
      <c r="BC98" s="5">
        <f>BB98/BB186</f>
        <v>0.58128078817733986</v>
      </c>
      <c r="BD98" s="5">
        <f>118/$BD$1</f>
        <v>0.58128078817733986</v>
      </c>
      <c r="BF98">
        <v>130</v>
      </c>
      <c r="BG98" s="5">
        <f>BF98/BF186</f>
        <v>0.60465116279069764</v>
      </c>
      <c r="BH98" s="5">
        <f>130/$BH$1</f>
        <v>0.60465116279069764</v>
      </c>
      <c r="BJ98">
        <v>155</v>
      </c>
      <c r="BK98" s="5">
        <f>BJ98/BJ186</f>
        <v>0.50161812297734631</v>
      </c>
      <c r="BL98" s="5">
        <f>155/$BL$1</f>
        <v>0.50161812297734631</v>
      </c>
      <c r="BN98">
        <v>34</v>
      </c>
      <c r="BO98" s="5">
        <f>BN98/BN186</f>
        <v>0.72340425531914898</v>
      </c>
      <c r="BP98" s="5">
        <f>34/$BP$1</f>
        <v>0.72340425531914898</v>
      </c>
      <c r="BR98">
        <v>215</v>
      </c>
      <c r="BS98" s="5">
        <f>BR98/BR186</f>
        <v>0.6847133757961783</v>
      </c>
      <c r="BT98" s="5">
        <f>215/$BT$1</f>
        <v>0.6847133757961783</v>
      </c>
      <c r="BV98">
        <v>217</v>
      </c>
      <c r="BW98" s="5">
        <f>BV98/BV186</f>
        <v>0.55216284987277353</v>
      </c>
      <c r="BX98" s="5">
        <f>217/$BX$1</f>
        <v>0.55216284987277353</v>
      </c>
      <c r="BZ98">
        <v>97</v>
      </c>
      <c r="CA98" s="5">
        <f>BZ98/BZ186</f>
        <v>0.39430894308943087</v>
      </c>
      <c r="CB98" s="5">
        <f>97/$CB$1</f>
        <v>0.39430894308943087</v>
      </c>
      <c r="CD98">
        <v>59</v>
      </c>
      <c r="CE98" s="5">
        <f>CD98/CD186</f>
        <v>0.47967479674796748</v>
      </c>
      <c r="CF98" s="5">
        <f>59/$CF$1</f>
        <v>0.47967479674796748</v>
      </c>
      <c r="CH98">
        <v>421</v>
      </c>
      <c r="CI98" s="5">
        <f>CH98/CH186</f>
        <v>0.61191860465116277</v>
      </c>
      <c r="CJ98" s="5">
        <f>421/$CJ$1</f>
        <v>0.61191860465116277</v>
      </c>
      <c r="CL98">
        <v>478</v>
      </c>
      <c r="CM98" s="5">
        <f>CL98/CL186</f>
        <v>0.63060686015831136</v>
      </c>
      <c r="CN98" s="5">
        <f>478/$CN$1</f>
        <v>0.63060686015831136</v>
      </c>
      <c r="CP98">
        <v>85</v>
      </c>
      <c r="CQ98" s="5">
        <f>CP98/CP186</f>
        <v>0.3512396694214876</v>
      </c>
      <c r="CR98" s="5">
        <f>85/$CR$1</f>
        <v>0.3512396694214876</v>
      </c>
      <c r="CT98">
        <v>180</v>
      </c>
      <c r="CU98" s="5">
        <f>CT98/CT186</f>
        <v>0.54054054054054057</v>
      </c>
      <c r="CV98" s="5">
        <f>180/$CV$1</f>
        <v>0.54054054054054057</v>
      </c>
      <c r="CX98">
        <v>383</v>
      </c>
      <c r="CY98" s="5">
        <f>CX98/CX186</f>
        <v>0.57421289355322336</v>
      </c>
      <c r="CZ98" s="5">
        <f>383/$CZ$1</f>
        <v>0.57421289355322336</v>
      </c>
    </row>
    <row r="99" spans="1:104" x14ac:dyDescent="0.25">
      <c r="A99" s="1" t="s">
        <v>1054</v>
      </c>
      <c r="B99">
        <v>369</v>
      </c>
      <c r="C99" s="5">
        <f>B99/B186</f>
        <v>0.36899999999999999</v>
      </c>
      <c r="D99" s="5">
        <f>369/$D$1</f>
        <v>0.36899999999999999</v>
      </c>
      <c r="F99">
        <v>199</v>
      </c>
      <c r="G99" s="5">
        <f>F99/F186</f>
        <v>0.39720558882235529</v>
      </c>
      <c r="H99" s="5">
        <f>199/$H$1</f>
        <v>0.39720558882235529</v>
      </c>
      <c r="J99">
        <v>170</v>
      </c>
      <c r="K99" s="5">
        <f>J99/J186</f>
        <v>0.34068136272545091</v>
      </c>
      <c r="L99" s="5">
        <f>170/$L$1</f>
        <v>0.34068136272545091</v>
      </c>
      <c r="N99">
        <v>41</v>
      </c>
      <c r="O99" s="5">
        <f>N99/N186</f>
        <v>0.42268041237113402</v>
      </c>
      <c r="P99" s="5">
        <f>41/$P$1</f>
        <v>0.42268041237113402</v>
      </c>
      <c r="R99">
        <v>86</v>
      </c>
      <c r="S99" s="5">
        <f>R99/R186</f>
        <v>0.43434343434343436</v>
      </c>
      <c r="T99" s="5">
        <f>86/$T$1</f>
        <v>0.43434343434343436</v>
      </c>
      <c r="V99">
        <v>98</v>
      </c>
      <c r="W99" s="5">
        <f>V99/V186</f>
        <v>0.40663900414937759</v>
      </c>
      <c r="X99" s="5">
        <f>98/$X$1</f>
        <v>0.40663900414937759</v>
      </c>
      <c r="Z99">
        <v>66</v>
      </c>
      <c r="AA99" s="5">
        <f>Z99/Z186</f>
        <v>0.33333333333333331</v>
      </c>
      <c r="AB99" s="5">
        <f>66/$AB$1</f>
        <v>0.33333333333333331</v>
      </c>
      <c r="AD99">
        <v>44</v>
      </c>
      <c r="AE99" s="5">
        <f>AD99/AD186</f>
        <v>0.2857142857142857</v>
      </c>
      <c r="AF99" s="5">
        <f>44/$AF$1</f>
        <v>0.2857142857142857</v>
      </c>
      <c r="AH99">
        <v>37</v>
      </c>
      <c r="AI99" s="5">
        <f>AH99/AH186</f>
        <v>0.30833333333333335</v>
      </c>
      <c r="AJ99" s="5">
        <f>37/$AJ$1</f>
        <v>0.30833333333333335</v>
      </c>
      <c r="AL99">
        <v>110</v>
      </c>
      <c r="AM99" s="5">
        <f>AL99/AL186</f>
        <v>0.29729729729729731</v>
      </c>
      <c r="AN99" s="5">
        <f>110/$AN$1</f>
        <v>0.29729729729729731</v>
      </c>
      <c r="AP99">
        <v>142</v>
      </c>
      <c r="AQ99" s="5">
        <f>AP99/AP186</f>
        <v>0.37566137566137564</v>
      </c>
      <c r="AR99" s="5">
        <f>142/$AR$1</f>
        <v>0.37566137566137564</v>
      </c>
      <c r="AT99">
        <v>117</v>
      </c>
      <c r="AU99" s="5">
        <f>AT99/AT186</f>
        <v>0.4642857142857143</v>
      </c>
      <c r="AV99" s="5">
        <f>117/$AV$1</f>
        <v>0.4642857142857143</v>
      </c>
      <c r="AX99">
        <v>96</v>
      </c>
      <c r="AY99" s="5">
        <f>AX99/AX186</f>
        <v>0.35164835164835168</v>
      </c>
      <c r="AZ99" s="5">
        <f>96/$AZ$1</f>
        <v>0.35164835164835168</v>
      </c>
      <c r="BA99" s="5"/>
      <c r="BB99">
        <v>71</v>
      </c>
      <c r="BC99" s="5">
        <f>BB99/BB186</f>
        <v>0.34975369458128081</v>
      </c>
      <c r="BD99" s="5">
        <f>71/$BD$1</f>
        <v>0.34975369458128081</v>
      </c>
      <c r="BF99">
        <v>73</v>
      </c>
      <c r="BG99" s="5">
        <f>BF99/BF186</f>
        <v>0.33953488372093021</v>
      </c>
      <c r="BH99" s="5">
        <f>73/$BH$1</f>
        <v>0.33953488372093021</v>
      </c>
      <c r="BJ99">
        <v>129</v>
      </c>
      <c r="BK99" s="5">
        <f>BJ99/BJ186</f>
        <v>0.41747572815533979</v>
      </c>
      <c r="BL99" s="5">
        <f>129/$BL$1</f>
        <v>0.41747572815533979</v>
      </c>
      <c r="BN99">
        <v>12</v>
      </c>
      <c r="BO99" s="5">
        <f>BN99/BN186</f>
        <v>0.25531914893617019</v>
      </c>
      <c r="BP99" s="5">
        <f>12/$BP$1</f>
        <v>0.25531914893617019</v>
      </c>
      <c r="BR99">
        <v>89</v>
      </c>
      <c r="BS99" s="5">
        <f>BR99/BR186</f>
        <v>0.28343949044585987</v>
      </c>
      <c r="BT99" s="5">
        <f>89/$BT$1</f>
        <v>0.28343949044585987</v>
      </c>
      <c r="BV99">
        <v>150</v>
      </c>
      <c r="BW99" s="5">
        <f>BV99/BV186</f>
        <v>0.38167938931297712</v>
      </c>
      <c r="BX99" s="5">
        <f>150/$BX$1</f>
        <v>0.38167938931297712</v>
      </c>
      <c r="BZ99">
        <v>118</v>
      </c>
      <c r="CA99" s="5">
        <f>BZ99/BZ186</f>
        <v>0.47967479674796748</v>
      </c>
      <c r="CB99" s="5">
        <f>118/$CB$1</f>
        <v>0.47967479674796748</v>
      </c>
      <c r="CD99">
        <v>49</v>
      </c>
      <c r="CE99" s="5">
        <f>CD99/CD186</f>
        <v>0.3983739837398374</v>
      </c>
      <c r="CF99" s="5">
        <f>49/$CF$1</f>
        <v>0.3983739837398374</v>
      </c>
      <c r="CH99">
        <v>233</v>
      </c>
      <c r="CI99" s="5">
        <f>CH99/CH186</f>
        <v>0.33866279069767441</v>
      </c>
      <c r="CJ99" s="5">
        <f>233/$CJ$1</f>
        <v>0.33866279069767441</v>
      </c>
      <c r="CL99">
        <v>256</v>
      </c>
      <c r="CM99" s="5">
        <f>CL99/CL186</f>
        <v>0.33773087071240104</v>
      </c>
      <c r="CN99" s="5">
        <f>256/$CN$1</f>
        <v>0.33773087071240104</v>
      </c>
      <c r="CP99">
        <v>113</v>
      </c>
      <c r="CQ99" s="5">
        <f>CP99/CP186</f>
        <v>0.46694214876033058</v>
      </c>
      <c r="CR99" s="5">
        <f>113/$CR$1</f>
        <v>0.46694214876033058</v>
      </c>
      <c r="CT99">
        <v>123</v>
      </c>
      <c r="CU99" s="5">
        <f>CT99/CT186</f>
        <v>0.36936936936936937</v>
      </c>
      <c r="CV99" s="5">
        <f>123/$CV$1</f>
        <v>0.36936936936936937</v>
      </c>
      <c r="CX99">
        <v>246</v>
      </c>
      <c r="CY99" s="5">
        <f>CX99/CX186</f>
        <v>0.36881559220389803</v>
      </c>
      <c r="CZ99" s="5">
        <f>246/$CZ$1</f>
        <v>0.36881559220389803</v>
      </c>
    </row>
    <row r="100" spans="1:104" x14ac:dyDescent="0.25">
      <c r="A100" s="1" t="s">
        <v>1055</v>
      </c>
      <c r="B100">
        <v>54</v>
      </c>
      <c r="C100" s="5">
        <f>B100/B186</f>
        <v>5.3999999999999999E-2</v>
      </c>
      <c r="D100" s="5">
        <f>54/$D$1</f>
        <v>5.3999999999999999E-2</v>
      </c>
      <c r="F100">
        <v>35</v>
      </c>
      <c r="G100" s="5">
        <f>F100/F186</f>
        <v>6.9860279441117765E-2</v>
      </c>
      <c r="H100" s="5">
        <f>35/$H$1</f>
        <v>6.9860279441117765E-2</v>
      </c>
      <c r="J100">
        <v>19</v>
      </c>
      <c r="K100" s="5">
        <f>J100/J186</f>
        <v>3.8076152304609222E-2</v>
      </c>
      <c r="L100" s="5">
        <f>19/$L$1</f>
        <v>3.8076152304609222E-2</v>
      </c>
      <c r="N100">
        <v>5</v>
      </c>
      <c r="O100" s="5">
        <f>N100/N186</f>
        <v>5.1546391752577317E-2</v>
      </c>
      <c r="P100" s="5">
        <f>5/$P$1</f>
        <v>5.1546391752577317E-2</v>
      </c>
      <c r="R100">
        <v>11</v>
      </c>
      <c r="S100" s="5">
        <f>R100/R186</f>
        <v>5.5555555555555552E-2</v>
      </c>
      <c r="T100" s="5">
        <f>11/$T$1</f>
        <v>5.5555555555555552E-2</v>
      </c>
      <c r="V100">
        <v>13</v>
      </c>
      <c r="W100" s="5">
        <f>V100/V186</f>
        <v>5.3941908713692949E-2</v>
      </c>
      <c r="X100" s="5">
        <f>13/$X$1</f>
        <v>5.3941908713692949E-2</v>
      </c>
      <c r="Z100">
        <v>8</v>
      </c>
      <c r="AA100" s="5">
        <f>Z100/Z186</f>
        <v>4.0404040404040407E-2</v>
      </c>
      <c r="AB100" s="5">
        <f>8/$AB$1</f>
        <v>4.0404040404040407E-2</v>
      </c>
      <c r="AD100">
        <v>12</v>
      </c>
      <c r="AE100" s="5">
        <f>AD100/AD186</f>
        <v>7.792207792207792E-2</v>
      </c>
      <c r="AF100" s="5">
        <f>12/$AF$1</f>
        <v>7.792207792207792E-2</v>
      </c>
      <c r="AH100">
        <v>5</v>
      </c>
      <c r="AI100" s="5">
        <f>AH100/AH186</f>
        <v>4.1666666666666664E-2</v>
      </c>
      <c r="AJ100" s="5">
        <f>5/$AJ$1</f>
        <v>4.1666666666666664E-2</v>
      </c>
      <c r="AL100">
        <v>15</v>
      </c>
      <c r="AM100" s="5">
        <f>AL100/AL186</f>
        <v>4.0540540540540543E-2</v>
      </c>
      <c r="AN100" s="5">
        <f>15/$AN$1</f>
        <v>4.0540540540540543E-2</v>
      </c>
      <c r="AP100">
        <v>20</v>
      </c>
      <c r="AQ100" s="5">
        <f>AP100/AP186</f>
        <v>5.2910052910052907E-2</v>
      </c>
      <c r="AR100" s="5">
        <f>20/$AR$1</f>
        <v>5.2910052910052907E-2</v>
      </c>
      <c r="AT100">
        <v>19</v>
      </c>
      <c r="AU100" s="5">
        <f>AT100/AT186</f>
        <v>7.5396825396825393E-2</v>
      </c>
      <c r="AV100" s="5">
        <f>19/$AV$1</f>
        <v>7.5396825396825393E-2</v>
      </c>
      <c r="AX100">
        <v>12</v>
      </c>
      <c r="AY100" s="5">
        <f>AX100/AX186</f>
        <v>4.3956043956043959E-2</v>
      </c>
      <c r="AZ100" s="5">
        <f>12/$AZ$1</f>
        <v>4.3956043956043959E-2</v>
      </c>
      <c r="BA100" s="5"/>
      <c r="BB100">
        <v>11</v>
      </c>
      <c r="BC100" s="5">
        <f>BB100/BB186</f>
        <v>5.4187192118226604E-2</v>
      </c>
      <c r="BD100" s="5">
        <f>11/$BD$1</f>
        <v>5.4187192118226604E-2</v>
      </c>
      <c r="BF100">
        <v>11</v>
      </c>
      <c r="BG100" s="5">
        <f>BF100/BF186</f>
        <v>5.1162790697674418E-2</v>
      </c>
      <c r="BH100" s="5">
        <f>11/$BH$1</f>
        <v>5.1162790697674418E-2</v>
      </c>
      <c r="BJ100">
        <v>20</v>
      </c>
      <c r="BK100" s="5">
        <f>BJ100/BJ186</f>
        <v>6.4724919093851127E-2</v>
      </c>
      <c r="BL100" s="5">
        <f>20/$BL$1</f>
        <v>6.4724919093851127E-2</v>
      </c>
      <c r="BN100">
        <v>1</v>
      </c>
      <c r="BO100" s="5">
        <f>BN100/BN186</f>
        <v>2.1276595744680851E-2</v>
      </c>
      <c r="BP100" s="5">
        <f>1/$BP$1</f>
        <v>2.1276595744680851E-2</v>
      </c>
      <c r="BR100">
        <v>8</v>
      </c>
      <c r="BS100" s="5">
        <f>BR100/BR186</f>
        <v>2.5477707006369428E-2</v>
      </c>
      <c r="BT100" s="5">
        <f>8/$BT$1</f>
        <v>2.5477707006369428E-2</v>
      </c>
      <c r="BV100">
        <v>22</v>
      </c>
      <c r="BW100" s="5">
        <f>BV100/BV186</f>
        <v>5.5979643765903309E-2</v>
      </c>
      <c r="BX100" s="5">
        <f>22/$BX$1</f>
        <v>5.5979643765903309E-2</v>
      </c>
      <c r="BZ100">
        <v>23</v>
      </c>
      <c r="CA100" s="5">
        <f>BZ100/BZ186</f>
        <v>9.3495934959349589E-2</v>
      </c>
      <c r="CB100" s="5">
        <f>23/$CB$1</f>
        <v>9.3495934959349589E-2</v>
      </c>
      <c r="CD100">
        <v>11</v>
      </c>
      <c r="CE100" s="5">
        <f>CD100/CD186</f>
        <v>8.943089430894309E-2</v>
      </c>
      <c r="CF100" s="5">
        <f>11/$CF$1</f>
        <v>8.943089430894309E-2</v>
      </c>
      <c r="CH100">
        <v>25</v>
      </c>
      <c r="CI100" s="5">
        <f>CH100/CH186</f>
        <v>3.6337209302325583E-2</v>
      </c>
      <c r="CJ100" s="5">
        <f>25/$CJ$1</f>
        <v>3.6337209302325583E-2</v>
      </c>
      <c r="CL100">
        <v>18</v>
      </c>
      <c r="CM100" s="5">
        <f>CL100/CL186</f>
        <v>2.3746701846965697E-2</v>
      </c>
      <c r="CN100" s="5">
        <f>18/$CN$1</f>
        <v>2.3746701846965697E-2</v>
      </c>
      <c r="CP100">
        <v>36</v>
      </c>
      <c r="CQ100" s="5">
        <f>CP100/CP186</f>
        <v>0.1487603305785124</v>
      </c>
      <c r="CR100" s="5">
        <f>36/$CR$1</f>
        <v>0.1487603305785124</v>
      </c>
      <c r="CT100">
        <v>24</v>
      </c>
      <c r="CU100" s="5">
        <f>CT100/CT186</f>
        <v>7.2072072072072071E-2</v>
      </c>
      <c r="CV100" s="5">
        <f>24/$CV$1</f>
        <v>7.2072072072072071E-2</v>
      </c>
      <c r="CX100">
        <v>30</v>
      </c>
      <c r="CY100" s="5">
        <f>CX100/CX186</f>
        <v>4.4977511244377814E-2</v>
      </c>
      <c r="CZ100" s="5">
        <f>30/$CZ$1</f>
        <v>4.4977511244377814E-2</v>
      </c>
    </row>
    <row r="101" spans="1:104" x14ac:dyDescent="0.25">
      <c r="A101" s="1" t="s">
        <v>1056</v>
      </c>
      <c r="B101">
        <v>14</v>
      </c>
      <c r="C101" s="5">
        <f>B101/B186</f>
        <v>1.4E-2</v>
      </c>
      <c r="D101" s="5">
        <f>14/$D$1</f>
        <v>1.4E-2</v>
      </c>
      <c r="F101">
        <v>6</v>
      </c>
      <c r="G101" s="5">
        <f>F101/F186</f>
        <v>1.1976047904191617E-2</v>
      </c>
      <c r="H101" s="5">
        <f>6/$H$1</f>
        <v>1.1976047904191617E-2</v>
      </c>
      <c r="J101">
        <v>8</v>
      </c>
      <c r="K101" s="5">
        <f>J101/J186</f>
        <v>1.6032064128256512E-2</v>
      </c>
      <c r="L101" s="5">
        <f>8/$L$1</f>
        <v>1.6032064128256512E-2</v>
      </c>
      <c r="N101">
        <v>1</v>
      </c>
      <c r="O101" s="5">
        <f>N101/N186</f>
        <v>1.0309278350515464E-2</v>
      </c>
      <c r="P101" s="5">
        <f>1/$P$1</f>
        <v>1.0309278350515464E-2</v>
      </c>
      <c r="R101">
        <v>4</v>
      </c>
      <c r="S101" s="5">
        <f>R101/R186</f>
        <v>2.0202020202020204E-2</v>
      </c>
      <c r="T101" s="5">
        <f>4/$T$1</f>
        <v>2.0202020202020204E-2</v>
      </c>
      <c r="V101">
        <v>2</v>
      </c>
      <c r="W101" s="5">
        <f>V101/V186</f>
        <v>8.2987551867219917E-3</v>
      </c>
      <c r="X101" s="5">
        <f>2/$X$1</f>
        <v>8.2987551867219917E-3</v>
      </c>
      <c r="Z101">
        <v>4</v>
      </c>
      <c r="AA101" s="5">
        <f>Z101/Z186</f>
        <v>2.0202020202020204E-2</v>
      </c>
      <c r="AB101" s="5">
        <f>4/$AB$1</f>
        <v>2.0202020202020204E-2</v>
      </c>
      <c r="AD101">
        <v>1</v>
      </c>
      <c r="AE101" s="5">
        <f>AD101/AD186</f>
        <v>6.4935064935064939E-3</v>
      </c>
      <c r="AF101" s="5">
        <f>1/$AF$1</f>
        <v>6.4935064935064939E-3</v>
      </c>
      <c r="AH101">
        <v>2</v>
      </c>
      <c r="AI101" s="5">
        <f>AH101/AH186</f>
        <v>1.6666666666666666E-2</v>
      </c>
      <c r="AJ101" s="5">
        <f>2/$AJ$1</f>
        <v>1.6666666666666666E-2</v>
      </c>
      <c r="AL101">
        <v>5</v>
      </c>
      <c r="AM101" s="5">
        <f>AL101/AL186</f>
        <v>1.3513513513513514E-2</v>
      </c>
      <c r="AN101" s="5">
        <f>5/$AN$1</f>
        <v>1.3513513513513514E-2</v>
      </c>
      <c r="AP101">
        <v>5</v>
      </c>
      <c r="AQ101" s="5">
        <f>AP101/AP186</f>
        <v>1.3227513227513227E-2</v>
      </c>
      <c r="AR101" s="5">
        <f>5/$AR$1</f>
        <v>1.3227513227513227E-2</v>
      </c>
      <c r="AT101">
        <v>4</v>
      </c>
      <c r="AU101" s="5">
        <f>AT101/AT186</f>
        <v>1.5873015873015872E-2</v>
      </c>
      <c r="AV101" s="5">
        <f>4/$AV$1</f>
        <v>1.5873015873015872E-2</v>
      </c>
      <c r="AX101">
        <v>5</v>
      </c>
      <c r="AY101" s="5">
        <f>AX101/AX186</f>
        <v>1.8315018315018316E-2</v>
      </c>
      <c r="AZ101" s="5">
        <f>5/$AZ$1</f>
        <v>1.8315018315018316E-2</v>
      </c>
      <c r="BA101" s="5"/>
      <c r="BB101">
        <v>3</v>
      </c>
      <c r="BC101" s="5">
        <f>BB101/BB186</f>
        <v>1.4778325123152709E-2</v>
      </c>
      <c r="BD101" s="5">
        <f>3/$BD$1</f>
        <v>1.4778325123152709E-2</v>
      </c>
      <c r="BF101">
        <v>1</v>
      </c>
      <c r="BG101" s="5">
        <f>BF101/BF186</f>
        <v>4.6511627906976744E-3</v>
      </c>
      <c r="BH101" s="5">
        <f>1/$BH$1</f>
        <v>4.6511627906976744E-3</v>
      </c>
      <c r="BJ101">
        <v>5</v>
      </c>
      <c r="BK101" s="5">
        <f>BJ101/BJ186</f>
        <v>1.6181229773462782E-2</v>
      </c>
      <c r="BL101" s="5">
        <f>5/$BL$1</f>
        <v>1.6181229773462782E-2</v>
      </c>
      <c r="BN101">
        <v>0</v>
      </c>
      <c r="BO101" s="5">
        <f>BN101/BN186</f>
        <v>0</v>
      </c>
      <c r="BP101" s="5">
        <f>0/$BP$1</f>
        <v>0</v>
      </c>
      <c r="BR101">
        <v>2</v>
      </c>
      <c r="BS101" s="5">
        <f>BR101/BR186</f>
        <v>6.369426751592357E-3</v>
      </c>
      <c r="BT101" s="5">
        <f>2/$BT$1</f>
        <v>6.369426751592357E-3</v>
      </c>
      <c r="BV101">
        <v>4</v>
      </c>
      <c r="BW101" s="5">
        <f>BV101/BV186</f>
        <v>1.0178117048346057E-2</v>
      </c>
      <c r="BX101" s="5">
        <f>4/$BX$1</f>
        <v>1.0178117048346057E-2</v>
      </c>
      <c r="BZ101">
        <v>8</v>
      </c>
      <c r="CA101" s="5">
        <f>BZ101/BZ186</f>
        <v>3.2520325203252036E-2</v>
      </c>
      <c r="CB101" s="5">
        <f>8/$CB$1</f>
        <v>3.2520325203252036E-2</v>
      </c>
      <c r="CD101">
        <v>4</v>
      </c>
      <c r="CE101" s="5">
        <f>CD101/CD186</f>
        <v>3.2520325203252036E-2</v>
      </c>
      <c r="CF101" s="5">
        <f>4/$CF$1</f>
        <v>3.2520325203252036E-2</v>
      </c>
      <c r="CH101">
        <v>9</v>
      </c>
      <c r="CI101" s="5">
        <f>CH101/CH186</f>
        <v>1.308139534883721E-2</v>
      </c>
      <c r="CJ101" s="5">
        <f>9/$CJ$1</f>
        <v>1.308139534883721E-2</v>
      </c>
      <c r="CL101">
        <v>6</v>
      </c>
      <c r="CM101" s="5">
        <f>CL101/CL186</f>
        <v>7.9155672823219003E-3</v>
      </c>
      <c r="CN101" s="5">
        <f>6/$CN$1</f>
        <v>7.9155672823219003E-3</v>
      </c>
      <c r="CP101">
        <v>8</v>
      </c>
      <c r="CQ101" s="5">
        <f>CP101/CP186</f>
        <v>3.3057851239669422E-2</v>
      </c>
      <c r="CR101" s="5">
        <f>8/$CR$1</f>
        <v>3.3057851239669422E-2</v>
      </c>
      <c r="CT101">
        <v>6</v>
      </c>
      <c r="CU101" s="5">
        <f>CT101/CT186</f>
        <v>1.8018018018018018E-2</v>
      </c>
      <c r="CV101" s="5">
        <f>6/$CV$1</f>
        <v>1.8018018018018018E-2</v>
      </c>
      <c r="CX101">
        <v>8</v>
      </c>
      <c r="CY101" s="5">
        <f>CX101/CX186</f>
        <v>1.1994002998500749E-2</v>
      </c>
      <c r="CZ101" s="5">
        <f>8/$CZ$1</f>
        <v>1.1994002998500749E-2</v>
      </c>
    </row>
    <row r="103" spans="1:104" x14ac:dyDescent="0.25">
      <c r="A103" s="1" t="s">
        <v>1057</v>
      </c>
      <c r="B103">
        <v>544</v>
      </c>
      <c r="C103" s="5">
        <f>B103/B186</f>
        <v>0.54400000000000004</v>
      </c>
      <c r="D103" s="5">
        <f>544/$D$1</f>
        <v>0.54400000000000004</v>
      </c>
      <c r="F103">
        <v>259</v>
      </c>
      <c r="G103" s="5">
        <f>F103/F186</f>
        <v>0.51696606786427146</v>
      </c>
      <c r="H103" s="5">
        <f>259/$H$1</f>
        <v>0.51696606786427146</v>
      </c>
      <c r="J103">
        <v>285</v>
      </c>
      <c r="K103" s="5">
        <f>J103/J186</f>
        <v>0.57114228456913829</v>
      </c>
      <c r="L103" s="5">
        <f>285/$L$1</f>
        <v>0.57114228456913829</v>
      </c>
      <c r="N103">
        <v>48</v>
      </c>
      <c r="O103" s="5">
        <f>N103/N186</f>
        <v>0.49484536082474229</v>
      </c>
      <c r="P103" s="5">
        <f>48/$P$1</f>
        <v>0.49484536082474229</v>
      </c>
      <c r="R103">
        <v>82</v>
      </c>
      <c r="S103" s="5">
        <f>R103/R186</f>
        <v>0.41414141414141414</v>
      </c>
      <c r="T103" s="5">
        <f>82/$T$1</f>
        <v>0.41414141414141414</v>
      </c>
      <c r="V103">
        <v>130</v>
      </c>
      <c r="W103" s="5">
        <f>V103/V186</f>
        <v>0.53941908713692943</v>
      </c>
      <c r="X103" s="5">
        <f>130/$X$1</f>
        <v>0.53941908713692943</v>
      </c>
      <c r="Z103">
        <v>112</v>
      </c>
      <c r="AA103" s="5">
        <f>Z103/Z186</f>
        <v>0.56565656565656564</v>
      </c>
      <c r="AB103" s="5">
        <f>112/$AB$1</f>
        <v>0.56565656565656564</v>
      </c>
      <c r="AD103">
        <v>97</v>
      </c>
      <c r="AE103" s="5">
        <f>AD103/AD186</f>
        <v>0.62987012987012991</v>
      </c>
      <c r="AF103" s="5">
        <f>97/$AF$1</f>
        <v>0.62987012987012991</v>
      </c>
      <c r="AH103">
        <v>81</v>
      </c>
      <c r="AI103" s="5">
        <f>AH103/AH186</f>
        <v>0.67500000000000004</v>
      </c>
      <c r="AJ103" s="5">
        <f>81/$AJ$1</f>
        <v>0.67500000000000004</v>
      </c>
      <c r="AL103">
        <v>193</v>
      </c>
      <c r="AM103" s="5">
        <f>AL103/AL186</f>
        <v>0.52162162162162162</v>
      </c>
      <c r="AN103" s="5">
        <f>193/$AN$1</f>
        <v>0.52162162162162162</v>
      </c>
      <c r="AP103">
        <v>224</v>
      </c>
      <c r="AQ103" s="5">
        <f>AP103/AP186</f>
        <v>0.59259259259259256</v>
      </c>
      <c r="AR103" s="5">
        <f>224/$AR$1</f>
        <v>0.59259259259259256</v>
      </c>
      <c r="AT103">
        <v>127</v>
      </c>
      <c r="AU103" s="5">
        <f>AT103/AT186</f>
        <v>0.50396825396825395</v>
      </c>
      <c r="AV103" s="5">
        <f>127/$AV$1</f>
        <v>0.50396825396825395</v>
      </c>
      <c r="AX103">
        <v>157</v>
      </c>
      <c r="AY103" s="5">
        <f>AX103/AX186</f>
        <v>0.57509157509157505</v>
      </c>
      <c r="AZ103" s="5">
        <f>157/$AZ$1</f>
        <v>0.57509157509157505</v>
      </c>
      <c r="BA103" s="5"/>
      <c r="BB103">
        <v>107</v>
      </c>
      <c r="BC103" s="5">
        <f>BB103/BB186</f>
        <v>0.52709359605911332</v>
      </c>
      <c r="BD103" s="5">
        <f>107/$BD$1</f>
        <v>0.52709359605911332</v>
      </c>
      <c r="BF103">
        <v>115</v>
      </c>
      <c r="BG103" s="5">
        <f>BF103/BF186</f>
        <v>0.53488372093023251</v>
      </c>
      <c r="BH103" s="5">
        <f>115/$BH$1</f>
        <v>0.53488372093023251</v>
      </c>
      <c r="BJ103">
        <v>165</v>
      </c>
      <c r="BK103" s="5">
        <f>BJ103/BJ186</f>
        <v>0.53398058252427183</v>
      </c>
      <c r="BL103" s="5">
        <f>165/$BL$1</f>
        <v>0.53398058252427183</v>
      </c>
      <c r="BN103">
        <v>23</v>
      </c>
      <c r="BO103" s="5">
        <f>BN103/BN186</f>
        <v>0.48936170212765956</v>
      </c>
      <c r="BP103" s="5">
        <f>23/$BP$1</f>
        <v>0.48936170212765956</v>
      </c>
      <c r="BR103">
        <v>178</v>
      </c>
      <c r="BS103" s="5">
        <f>BR103/BR186</f>
        <v>0.56687898089171973</v>
      </c>
      <c r="BT103" s="5">
        <f>178/$BT$1</f>
        <v>0.56687898089171973</v>
      </c>
      <c r="BV103">
        <v>225</v>
      </c>
      <c r="BW103" s="5">
        <f>BV103/BV186</f>
        <v>0.5725190839694656</v>
      </c>
      <c r="BX103" s="5">
        <f>225/$BX$1</f>
        <v>0.5725190839694656</v>
      </c>
      <c r="BZ103">
        <v>118</v>
      </c>
      <c r="CA103" s="5">
        <f>BZ103/BZ186</f>
        <v>0.47967479674796748</v>
      </c>
      <c r="CB103" s="5">
        <f>118/$CB$1</f>
        <v>0.47967479674796748</v>
      </c>
      <c r="CD103">
        <v>57</v>
      </c>
      <c r="CE103" s="5">
        <f>CD103/CD186</f>
        <v>0.46341463414634149</v>
      </c>
      <c r="CF103" s="5">
        <f>57/$CF$1</f>
        <v>0.46341463414634149</v>
      </c>
      <c r="CH103">
        <v>390</v>
      </c>
      <c r="CI103" s="5">
        <f>CH103/CH186</f>
        <v>0.56686046511627908</v>
      </c>
      <c r="CJ103" s="5">
        <f>390/$CJ$1</f>
        <v>0.56686046511627908</v>
      </c>
      <c r="CL103">
        <v>411</v>
      </c>
      <c r="CM103" s="5">
        <f>CL103/CL186</f>
        <v>0.54221635883905017</v>
      </c>
      <c r="CN103" s="5">
        <f>411/$CN$1</f>
        <v>0.54221635883905017</v>
      </c>
      <c r="CP103">
        <v>133</v>
      </c>
      <c r="CQ103" s="5">
        <f>CP103/CP186</f>
        <v>0.54958677685950408</v>
      </c>
      <c r="CR103" s="5">
        <f>133/$CR$1</f>
        <v>0.54958677685950408</v>
      </c>
      <c r="CT103">
        <v>175</v>
      </c>
      <c r="CU103" s="5">
        <f>CT103/CT186</f>
        <v>0.52552552552552556</v>
      </c>
      <c r="CV103" s="5">
        <f>175/$CV$1</f>
        <v>0.52552552552552556</v>
      </c>
      <c r="CX103">
        <v>369</v>
      </c>
      <c r="CY103" s="5">
        <f>CX103/CX186</f>
        <v>0.55322338830584705</v>
      </c>
      <c r="CZ103" s="5">
        <f>369/$CZ$1</f>
        <v>0.55322338830584705</v>
      </c>
    </row>
    <row r="104" spans="1:104" x14ac:dyDescent="0.25">
      <c r="A104" s="1" t="s">
        <v>1058</v>
      </c>
      <c r="B104">
        <v>341</v>
      </c>
      <c r="C104" s="5">
        <f>B104/B186</f>
        <v>0.34100000000000003</v>
      </c>
      <c r="D104" s="5">
        <f>341/$D$1</f>
        <v>0.34100000000000003</v>
      </c>
      <c r="F104">
        <v>188</v>
      </c>
      <c r="G104" s="5">
        <f>F104/F186</f>
        <v>0.37524950099800397</v>
      </c>
      <c r="H104" s="5">
        <f>188/$H$1</f>
        <v>0.37524950099800397</v>
      </c>
      <c r="J104">
        <v>153</v>
      </c>
      <c r="K104" s="5">
        <f>J104/J186</f>
        <v>0.30661322645290578</v>
      </c>
      <c r="L104" s="5">
        <f>153/$L$1</f>
        <v>0.30661322645290578</v>
      </c>
      <c r="N104">
        <v>32</v>
      </c>
      <c r="O104" s="5">
        <f>N104/N186</f>
        <v>0.32989690721649484</v>
      </c>
      <c r="P104" s="5">
        <f>32/$P$1</f>
        <v>0.32989690721649484</v>
      </c>
      <c r="R104">
        <v>85</v>
      </c>
      <c r="S104" s="5">
        <f>R104/R186</f>
        <v>0.42929292929292928</v>
      </c>
      <c r="T104" s="5">
        <f>85/$T$1</f>
        <v>0.42929292929292928</v>
      </c>
      <c r="V104">
        <v>83</v>
      </c>
      <c r="W104" s="5">
        <f>V104/V186</f>
        <v>0.34439834024896265</v>
      </c>
      <c r="X104" s="5">
        <f>83/$X$1</f>
        <v>0.34439834024896265</v>
      </c>
      <c r="Z104">
        <v>66</v>
      </c>
      <c r="AA104" s="5">
        <f>Z104/Z186</f>
        <v>0.33333333333333331</v>
      </c>
      <c r="AB104" s="5">
        <f>66/$AB$1</f>
        <v>0.33333333333333331</v>
      </c>
      <c r="AD104">
        <v>43</v>
      </c>
      <c r="AE104" s="5">
        <f>AD104/AD186</f>
        <v>0.2792207792207792</v>
      </c>
      <c r="AF104" s="5">
        <f>43/$AF$1</f>
        <v>0.2792207792207792</v>
      </c>
      <c r="AH104">
        <v>32</v>
      </c>
      <c r="AI104" s="5">
        <f>AH104/AH186</f>
        <v>0.26666666666666666</v>
      </c>
      <c r="AJ104" s="5">
        <f>32/$AJ$1</f>
        <v>0.26666666666666666</v>
      </c>
      <c r="AL104">
        <v>127</v>
      </c>
      <c r="AM104" s="5">
        <f>AL104/AL186</f>
        <v>0.34324324324324323</v>
      </c>
      <c r="AN104" s="5">
        <f>127/$AN$1</f>
        <v>0.34324324324324323</v>
      </c>
      <c r="AP104">
        <v>118</v>
      </c>
      <c r="AQ104" s="5">
        <f>AP104/AP186</f>
        <v>0.31216931216931215</v>
      </c>
      <c r="AR104" s="5">
        <f>118/$AR$1</f>
        <v>0.31216931216931215</v>
      </c>
      <c r="AT104">
        <v>96</v>
      </c>
      <c r="AU104" s="5">
        <f>AT104/AT186</f>
        <v>0.38095238095238093</v>
      </c>
      <c r="AV104" s="5">
        <f>96/$AV$1</f>
        <v>0.38095238095238093</v>
      </c>
      <c r="AX104">
        <v>86</v>
      </c>
      <c r="AY104" s="5">
        <f>AX104/AX186</f>
        <v>0.31501831501831501</v>
      </c>
      <c r="AZ104" s="5">
        <f>86/$AZ$1</f>
        <v>0.31501831501831501</v>
      </c>
      <c r="BA104" s="5"/>
      <c r="BB104">
        <v>76</v>
      </c>
      <c r="BC104" s="5">
        <f>BB104/BB186</f>
        <v>0.37438423645320196</v>
      </c>
      <c r="BD104" s="5">
        <f>76/$BD$1</f>
        <v>0.37438423645320196</v>
      </c>
      <c r="BF104">
        <v>75</v>
      </c>
      <c r="BG104" s="5">
        <f>BF104/BF186</f>
        <v>0.34883720930232559</v>
      </c>
      <c r="BH104" s="5">
        <f>75/$BH$1</f>
        <v>0.34883720930232559</v>
      </c>
      <c r="BJ104">
        <v>104</v>
      </c>
      <c r="BK104" s="5">
        <f>BJ104/BJ186</f>
        <v>0.33656957928802589</v>
      </c>
      <c r="BL104" s="5">
        <f>104/$BL$1</f>
        <v>0.33656957928802589</v>
      </c>
      <c r="BN104">
        <v>18</v>
      </c>
      <c r="BO104" s="5">
        <f>BN104/BN186</f>
        <v>0.38297872340425532</v>
      </c>
      <c r="BP104" s="5">
        <f>18/$BP$1</f>
        <v>0.38297872340425532</v>
      </c>
      <c r="BR104">
        <v>101</v>
      </c>
      <c r="BS104" s="5">
        <f>BR104/BR186</f>
        <v>0.321656050955414</v>
      </c>
      <c r="BT104" s="5">
        <f>101/$BT$1</f>
        <v>0.321656050955414</v>
      </c>
      <c r="BV104">
        <v>124</v>
      </c>
      <c r="BW104" s="5">
        <f>BV104/BV186</f>
        <v>0.31552162849872772</v>
      </c>
      <c r="BX104" s="5">
        <f>124/$BX$1</f>
        <v>0.31552162849872772</v>
      </c>
      <c r="BZ104">
        <v>98</v>
      </c>
      <c r="CA104" s="5">
        <f>BZ104/BZ186</f>
        <v>0.3983739837398374</v>
      </c>
      <c r="CB104" s="5">
        <f>98/$CB$1</f>
        <v>0.3983739837398374</v>
      </c>
      <c r="CD104">
        <v>49</v>
      </c>
      <c r="CE104" s="5">
        <f>CD104/CD186</f>
        <v>0.3983739837398374</v>
      </c>
      <c r="CF104" s="5">
        <f>49/$CF$1</f>
        <v>0.3983739837398374</v>
      </c>
      <c r="CH104">
        <v>229</v>
      </c>
      <c r="CI104" s="5">
        <f>CH104/CH186</f>
        <v>0.33284883720930231</v>
      </c>
      <c r="CJ104" s="5">
        <f>229/$CJ$1</f>
        <v>0.33284883720930231</v>
      </c>
      <c r="CL104">
        <v>268</v>
      </c>
      <c r="CM104" s="5">
        <f>CL104/CL186</f>
        <v>0.35356200527704484</v>
      </c>
      <c r="CN104" s="5">
        <f>268/$CN$1</f>
        <v>0.35356200527704484</v>
      </c>
      <c r="CP104">
        <v>73</v>
      </c>
      <c r="CQ104" s="5">
        <f>CP104/CP186</f>
        <v>0.30165289256198347</v>
      </c>
      <c r="CR104" s="5">
        <f>73/$CR$1</f>
        <v>0.30165289256198347</v>
      </c>
      <c r="CT104">
        <v>116</v>
      </c>
      <c r="CU104" s="5">
        <f>CT104/CT186</f>
        <v>0.34834834834834832</v>
      </c>
      <c r="CV104" s="5">
        <f>116/$CV$1</f>
        <v>0.34834834834834832</v>
      </c>
      <c r="CX104">
        <v>225</v>
      </c>
      <c r="CY104" s="5">
        <f>CX104/CX186</f>
        <v>0.33733133433283358</v>
      </c>
      <c r="CZ104" s="5">
        <f>225/$CZ$1</f>
        <v>0.33733133433283358</v>
      </c>
    </row>
    <row r="105" spans="1:104" x14ac:dyDescent="0.25">
      <c r="A105" s="1" t="s">
        <v>1059</v>
      </c>
      <c r="B105">
        <v>65</v>
      </c>
      <c r="C105" s="5">
        <f>B105/B186</f>
        <v>6.5000000000000002E-2</v>
      </c>
      <c r="D105" s="5">
        <f>65/$D$1</f>
        <v>6.5000000000000002E-2</v>
      </c>
      <c r="F105">
        <v>40</v>
      </c>
      <c r="G105" s="5">
        <f>F105/F186</f>
        <v>7.9840319361277445E-2</v>
      </c>
      <c r="H105" s="5">
        <f>40/$H$1</f>
        <v>7.9840319361277445E-2</v>
      </c>
      <c r="J105">
        <v>25</v>
      </c>
      <c r="K105" s="5">
        <f>J105/J186</f>
        <v>5.0100200400801605E-2</v>
      </c>
      <c r="L105" s="5">
        <f>25/$L$1</f>
        <v>5.0100200400801605E-2</v>
      </c>
      <c r="N105">
        <v>9</v>
      </c>
      <c r="O105" s="5">
        <f>N105/N186</f>
        <v>9.2783505154639179E-2</v>
      </c>
      <c r="P105" s="5">
        <f>9/$P$1</f>
        <v>9.2783505154639179E-2</v>
      </c>
      <c r="R105">
        <v>19</v>
      </c>
      <c r="S105" s="5">
        <f>R105/R186</f>
        <v>9.5959595959595953E-2</v>
      </c>
      <c r="T105" s="5">
        <f>19/$T$1</f>
        <v>9.5959595959595953E-2</v>
      </c>
      <c r="V105">
        <v>15</v>
      </c>
      <c r="W105" s="5">
        <f>V105/V186</f>
        <v>6.2240663900414939E-2</v>
      </c>
      <c r="X105" s="5">
        <f>15/$X$1</f>
        <v>6.2240663900414939E-2</v>
      </c>
      <c r="Z105">
        <v>12</v>
      </c>
      <c r="AA105" s="5">
        <f>Z105/Z186</f>
        <v>6.0606060606060608E-2</v>
      </c>
      <c r="AB105" s="5">
        <f>12/$AB$1</f>
        <v>6.0606060606060608E-2</v>
      </c>
      <c r="AD105">
        <v>8</v>
      </c>
      <c r="AE105" s="5">
        <f>AD105/AD186</f>
        <v>5.1948051948051951E-2</v>
      </c>
      <c r="AF105" s="5">
        <f>8/$AF$1</f>
        <v>5.1948051948051951E-2</v>
      </c>
      <c r="AH105">
        <v>3</v>
      </c>
      <c r="AI105" s="5">
        <f>AH105/AH186</f>
        <v>2.5000000000000001E-2</v>
      </c>
      <c r="AJ105" s="5">
        <f>3/$AJ$1</f>
        <v>2.5000000000000001E-2</v>
      </c>
      <c r="AL105">
        <v>25</v>
      </c>
      <c r="AM105" s="5">
        <f>AL105/AL186</f>
        <v>6.7567567567567571E-2</v>
      </c>
      <c r="AN105" s="5">
        <f>25/$AN$1</f>
        <v>6.7567567567567571E-2</v>
      </c>
      <c r="AP105">
        <v>22</v>
      </c>
      <c r="AQ105" s="5">
        <f>AP105/AP186</f>
        <v>5.8201058201058198E-2</v>
      </c>
      <c r="AR105" s="5">
        <f>22/$AR$1</f>
        <v>5.8201058201058198E-2</v>
      </c>
      <c r="AT105">
        <v>18</v>
      </c>
      <c r="AU105" s="5">
        <f>AT105/AT186</f>
        <v>7.1428571428571425E-2</v>
      </c>
      <c r="AV105" s="5">
        <f>18/$AV$1</f>
        <v>7.1428571428571425E-2</v>
      </c>
      <c r="AX105">
        <v>18</v>
      </c>
      <c r="AY105" s="5">
        <f>AX105/AX186</f>
        <v>6.5934065934065936E-2</v>
      </c>
      <c r="AZ105" s="5">
        <f>18/$AZ$1</f>
        <v>6.5934065934065936E-2</v>
      </c>
      <c r="BA105" s="5"/>
      <c r="BB105">
        <v>12</v>
      </c>
      <c r="BC105" s="5">
        <f>BB105/BB186</f>
        <v>5.9113300492610835E-2</v>
      </c>
      <c r="BD105" s="5">
        <f>12/$BD$1</f>
        <v>5.9113300492610835E-2</v>
      </c>
      <c r="BF105">
        <v>14</v>
      </c>
      <c r="BG105" s="5">
        <f>BF105/BF186</f>
        <v>6.5116279069767441E-2</v>
      </c>
      <c r="BH105" s="5">
        <f>14/$BH$1</f>
        <v>6.5116279069767441E-2</v>
      </c>
      <c r="BJ105">
        <v>21</v>
      </c>
      <c r="BK105" s="5">
        <f>BJ105/BJ186</f>
        <v>6.7961165048543687E-2</v>
      </c>
      <c r="BL105" s="5">
        <f>21/$BL$1</f>
        <v>6.7961165048543687E-2</v>
      </c>
      <c r="BN105">
        <v>1</v>
      </c>
      <c r="BO105" s="5">
        <f>BN105/BN186</f>
        <v>2.1276595744680851E-2</v>
      </c>
      <c r="BP105" s="5">
        <f>1/$BP$1</f>
        <v>2.1276595744680851E-2</v>
      </c>
      <c r="BR105">
        <v>19</v>
      </c>
      <c r="BS105" s="5">
        <f>BR105/BR186</f>
        <v>6.0509554140127389E-2</v>
      </c>
      <c r="BT105" s="5">
        <f>19/$BT$1</f>
        <v>6.0509554140127389E-2</v>
      </c>
      <c r="BV105">
        <v>28</v>
      </c>
      <c r="BW105" s="5">
        <f>BV105/BV186</f>
        <v>7.124681933842239E-2</v>
      </c>
      <c r="BX105" s="5">
        <f>28/$BX$1</f>
        <v>7.124681933842239E-2</v>
      </c>
      <c r="BZ105">
        <v>17</v>
      </c>
      <c r="CA105" s="5">
        <f>BZ105/BZ186</f>
        <v>6.910569105691057E-2</v>
      </c>
      <c r="CB105" s="5">
        <f>17/$CB$1</f>
        <v>6.910569105691057E-2</v>
      </c>
      <c r="CD105">
        <v>13</v>
      </c>
      <c r="CE105" s="5">
        <f>CD105/CD186</f>
        <v>0.10569105691056911</v>
      </c>
      <c r="CF105" s="5">
        <f>13/$CF$1</f>
        <v>0.10569105691056911</v>
      </c>
      <c r="CH105">
        <v>35</v>
      </c>
      <c r="CI105" s="5">
        <f>CH105/CH186</f>
        <v>5.0872093023255814E-2</v>
      </c>
      <c r="CJ105" s="5">
        <f>35/$CJ$1</f>
        <v>5.0872093023255814E-2</v>
      </c>
      <c r="CL105">
        <v>40</v>
      </c>
      <c r="CM105" s="5">
        <f>CL105/CL186</f>
        <v>5.2770448548812667E-2</v>
      </c>
      <c r="CN105" s="5">
        <f>40/$CN$1</f>
        <v>5.2770448548812667E-2</v>
      </c>
      <c r="CP105">
        <v>25</v>
      </c>
      <c r="CQ105" s="5">
        <f>CP105/CP186</f>
        <v>0.10330578512396695</v>
      </c>
      <c r="CR105" s="5">
        <f>25/$CR$1</f>
        <v>0.10330578512396695</v>
      </c>
      <c r="CT105">
        <v>25</v>
      </c>
      <c r="CU105" s="5">
        <f>CT105/CT186</f>
        <v>7.5075075075075076E-2</v>
      </c>
      <c r="CV105" s="5">
        <f>25/$CV$1</f>
        <v>7.5075075075075076E-2</v>
      </c>
      <c r="CX105">
        <v>40</v>
      </c>
      <c r="CY105" s="5">
        <f>CX105/CX186</f>
        <v>5.9970014992503748E-2</v>
      </c>
      <c r="CZ105" s="5">
        <f>40/$CZ$1</f>
        <v>5.9970014992503748E-2</v>
      </c>
    </row>
    <row r="106" spans="1:104" x14ac:dyDescent="0.25">
      <c r="A106" s="1" t="s">
        <v>1060</v>
      </c>
      <c r="B106">
        <v>50</v>
      </c>
      <c r="C106" s="5">
        <f>B106/B186</f>
        <v>0.05</v>
      </c>
      <c r="D106" s="5">
        <f>50/$D$1</f>
        <v>0.05</v>
      </c>
      <c r="F106">
        <v>14</v>
      </c>
      <c r="G106" s="5">
        <f>F106/F186</f>
        <v>2.7944111776447105E-2</v>
      </c>
      <c r="H106" s="5">
        <f>14/$H$1</f>
        <v>2.7944111776447105E-2</v>
      </c>
      <c r="J106">
        <v>36</v>
      </c>
      <c r="K106" s="5">
        <f>J106/J186</f>
        <v>7.2144288577154311E-2</v>
      </c>
      <c r="L106" s="5">
        <f>36/$L$1</f>
        <v>7.2144288577154311E-2</v>
      </c>
      <c r="N106">
        <v>8</v>
      </c>
      <c r="O106" s="5">
        <f>N106/N186</f>
        <v>8.247422680412371E-2</v>
      </c>
      <c r="P106" s="5">
        <f>8/$P$1</f>
        <v>8.247422680412371E-2</v>
      </c>
      <c r="R106">
        <v>12</v>
      </c>
      <c r="S106" s="5">
        <f>R106/R186</f>
        <v>6.0606060606060608E-2</v>
      </c>
      <c r="T106" s="5">
        <f>12/$T$1</f>
        <v>6.0606060606060608E-2</v>
      </c>
      <c r="V106">
        <v>13</v>
      </c>
      <c r="W106" s="5">
        <f>V106/V186</f>
        <v>5.3941908713692949E-2</v>
      </c>
      <c r="X106" s="5">
        <f>13/$X$1</f>
        <v>5.3941908713692949E-2</v>
      </c>
      <c r="Z106">
        <v>8</v>
      </c>
      <c r="AA106" s="5">
        <f>Z106/Z186</f>
        <v>4.0404040404040407E-2</v>
      </c>
      <c r="AB106" s="5">
        <f>8/$AB$1</f>
        <v>4.0404040404040407E-2</v>
      </c>
      <c r="AD106">
        <v>6</v>
      </c>
      <c r="AE106" s="5">
        <f>AD106/AD186</f>
        <v>3.896103896103896E-2</v>
      </c>
      <c r="AF106" s="5">
        <f>6/$AF$1</f>
        <v>3.896103896103896E-2</v>
      </c>
      <c r="AH106">
        <v>4</v>
      </c>
      <c r="AI106" s="5">
        <f>AH106/AH186</f>
        <v>3.3333333333333333E-2</v>
      </c>
      <c r="AJ106" s="5">
        <f>4/$AJ$1</f>
        <v>3.3333333333333333E-2</v>
      </c>
      <c r="AL106">
        <v>25</v>
      </c>
      <c r="AM106" s="5">
        <f>AL106/AL186</f>
        <v>6.7567567567567571E-2</v>
      </c>
      <c r="AN106" s="5">
        <f>25/$AN$1</f>
        <v>6.7567567567567571E-2</v>
      </c>
      <c r="AP106">
        <v>14</v>
      </c>
      <c r="AQ106" s="5">
        <f>AP106/AP186</f>
        <v>3.7037037037037035E-2</v>
      </c>
      <c r="AR106" s="5">
        <f>14/$AR$1</f>
        <v>3.7037037037037035E-2</v>
      </c>
      <c r="AT106">
        <v>11</v>
      </c>
      <c r="AU106" s="5">
        <f>AT106/AT186</f>
        <v>4.3650793650793648E-2</v>
      </c>
      <c r="AV106" s="5">
        <f>11/$AV$1</f>
        <v>4.3650793650793648E-2</v>
      </c>
      <c r="AX106">
        <v>12</v>
      </c>
      <c r="AY106" s="5">
        <f>AX106/AX186</f>
        <v>4.3956043956043959E-2</v>
      </c>
      <c r="AZ106" s="5">
        <f>12/$AZ$1</f>
        <v>4.3956043956043959E-2</v>
      </c>
      <c r="BA106" s="5"/>
      <c r="BB106">
        <v>8</v>
      </c>
      <c r="BC106" s="5">
        <f>BB106/BB186</f>
        <v>3.9408866995073892E-2</v>
      </c>
      <c r="BD106" s="5">
        <f>8/$BD$1</f>
        <v>3.9408866995073892E-2</v>
      </c>
      <c r="BF106">
        <v>11</v>
      </c>
      <c r="BG106" s="5">
        <f>BF106/BF186</f>
        <v>5.1162790697674418E-2</v>
      </c>
      <c r="BH106" s="5">
        <f>11/$BH$1</f>
        <v>5.1162790697674418E-2</v>
      </c>
      <c r="BJ106">
        <v>19</v>
      </c>
      <c r="BK106" s="5">
        <f>BJ106/BJ186</f>
        <v>6.1488673139158574E-2</v>
      </c>
      <c r="BL106" s="5">
        <f>19/$BL$1</f>
        <v>6.1488673139158574E-2</v>
      </c>
      <c r="BN106">
        <v>5</v>
      </c>
      <c r="BO106" s="5">
        <f>BN106/BN186</f>
        <v>0.10638297872340426</v>
      </c>
      <c r="BP106" s="5">
        <f>5/$BP$1</f>
        <v>0.10638297872340426</v>
      </c>
      <c r="BR106">
        <v>16</v>
      </c>
      <c r="BS106" s="5">
        <f>BR106/BR186</f>
        <v>5.0955414012738856E-2</v>
      </c>
      <c r="BT106" s="5">
        <f>16/$BT$1</f>
        <v>5.0955414012738856E-2</v>
      </c>
      <c r="BV106">
        <v>16</v>
      </c>
      <c r="BW106" s="5">
        <f>BV106/BV186</f>
        <v>4.0712468193384227E-2</v>
      </c>
      <c r="BX106" s="5">
        <f>16/$BX$1</f>
        <v>4.0712468193384227E-2</v>
      </c>
      <c r="BZ106">
        <v>13</v>
      </c>
      <c r="CA106" s="5">
        <f>BZ106/BZ186</f>
        <v>5.2845528455284556E-2</v>
      </c>
      <c r="CB106" s="5">
        <f>13/$CB$1</f>
        <v>5.2845528455284556E-2</v>
      </c>
      <c r="CD106">
        <v>4</v>
      </c>
      <c r="CE106" s="5">
        <f>CD106/CD186</f>
        <v>3.2520325203252036E-2</v>
      </c>
      <c r="CF106" s="5">
        <f>4/$CF$1</f>
        <v>3.2520325203252036E-2</v>
      </c>
      <c r="CH106">
        <v>34</v>
      </c>
      <c r="CI106" s="5">
        <f>CH106/CH186</f>
        <v>4.9418604651162788E-2</v>
      </c>
      <c r="CJ106" s="5">
        <f>34/$CJ$1</f>
        <v>4.9418604651162788E-2</v>
      </c>
      <c r="CL106">
        <v>39</v>
      </c>
      <c r="CM106" s="5">
        <f>CL106/CL186</f>
        <v>5.1451187335092345E-2</v>
      </c>
      <c r="CN106" s="5">
        <f>39/$CN$1</f>
        <v>5.1451187335092345E-2</v>
      </c>
      <c r="CP106">
        <v>11</v>
      </c>
      <c r="CQ106" s="5">
        <f>CP106/CP186</f>
        <v>4.5454545454545456E-2</v>
      </c>
      <c r="CR106" s="5">
        <f>11/$CR$1</f>
        <v>4.5454545454545456E-2</v>
      </c>
      <c r="CT106">
        <v>17</v>
      </c>
      <c r="CU106" s="5">
        <f>CT106/CT186</f>
        <v>5.1051051051051052E-2</v>
      </c>
      <c r="CV106" s="5">
        <f>17/$CV$1</f>
        <v>5.1051051051051052E-2</v>
      </c>
      <c r="CX106">
        <v>33</v>
      </c>
      <c r="CY106" s="5">
        <f>CX106/CX186</f>
        <v>4.9475262368815595E-2</v>
      </c>
      <c r="CZ106" s="5">
        <f>33/$CZ$1</f>
        <v>4.9475262368815595E-2</v>
      </c>
    </row>
    <row r="108" spans="1:104" x14ac:dyDescent="0.25">
      <c r="A108" s="1" t="s">
        <v>1061</v>
      </c>
      <c r="B108">
        <v>216</v>
      </c>
      <c r="C108" s="5">
        <f>B108/B186</f>
        <v>0.216</v>
      </c>
      <c r="D108" s="5">
        <f>216/$D$1</f>
        <v>0.216</v>
      </c>
      <c r="F108">
        <v>109</v>
      </c>
      <c r="G108" s="5">
        <f>F108/F186</f>
        <v>0.21756487025948104</v>
      </c>
      <c r="H108" s="5">
        <f>109/$H$1</f>
        <v>0.21756487025948104</v>
      </c>
      <c r="J108">
        <v>107</v>
      </c>
      <c r="K108" s="5">
        <f>J108/J186</f>
        <v>0.21442885771543085</v>
      </c>
      <c r="L108" s="5">
        <f>107/$L$1</f>
        <v>0.21442885771543085</v>
      </c>
      <c r="N108">
        <v>21</v>
      </c>
      <c r="O108" s="5">
        <f>N108/N186</f>
        <v>0.21649484536082475</v>
      </c>
      <c r="P108" s="5">
        <f>21/$P$1</f>
        <v>0.21649484536082475</v>
      </c>
      <c r="R108">
        <v>42</v>
      </c>
      <c r="S108" s="5">
        <f>R108/R186</f>
        <v>0.21212121212121213</v>
      </c>
      <c r="T108" s="5">
        <f>42/$T$1</f>
        <v>0.21212121212121213</v>
      </c>
      <c r="V108">
        <v>59</v>
      </c>
      <c r="W108" s="5">
        <f>V108/V186</f>
        <v>0.24481327800829875</v>
      </c>
      <c r="X108" s="5">
        <f>59/$X$1</f>
        <v>0.24481327800829875</v>
      </c>
      <c r="Z108">
        <v>40</v>
      </c>
      <c r="AA108" s="5">
        <f>Z108/Z186</f>
        <v>0.20202020202020202</v>
      </c>
      <c r="AB108" s="5">
        <f>40/$AB$1</f>
        <v>0.20202020202020202</v>
      </c>
      <c r="AD108">
        <v>28</v>
      </c>
      <c r="AE108" s="5">
        <f>AD108/AD186</f>
        <v>0.18181818181818182</v>
      </c>
      <c r="AF108" s="5">
        <f>28/$AF$1</f>
        <v>0.18181818181818182</v>
      </c>
      <c r="AH108">
        <v>28</v>
      </c>
      <c r="AI108" s="5">
        <f>AH108/AH186</f>
        <v>0.23333333333333334</v>
      </c>
      <c r="AJ108" s="5">
        <f>28/$AJ$1</f>
        <v>0.23333333333333334</v>
      </c>
      <c r="AL108">
        <v>87</v>
      </c>
      <c r="AM108" s="5">
        <f>AL108/AL186</f>
        <v>0.23513513513513515</v>
      </c>
      <c r="AN108" s="5">
        <f>87/$AN$1</f>
        <v>0.23513513513513515</v>
      </c>
      <c r="AP108">
        <v>86</v>
      </c>
      <c r="AQ108" s="5">
        <f>AP108/AP186</f>
        <v>0.2275132275132275</v>
      </c>
      <c r="AR108" s="5">
        <f>86/$AR$1</f>
        <v>0.2275132275132275</v>
      </c>
      <c r="AT108">
        <v>43</v>
      </c>
      <c r="AU108" s="5">
        <f>AT108/AT186</f>
        <v>0.17063492063492064</v>
      </c>
      <c r="AV108" s="5">
        <f>43/$AV$1</f>
        <v>0.17063492063492064</v>
      </c>
      <c r="AX108">
        <v>47</v>
      </c>
      <c r="AY108" s="5">
        <f>AX108/AX186</f>
        <v>0.17216117216117216</v>
      </c>
      <c r="AZ108" s="5">
        <f>47/$AZ$1</f>
        <v>0.17216117216117216</v>
      </c>
      <c r="BA108" s="5"/>
      <c r="BB108">
        <v>48</v>
      </c>
      <c r="BC108" s="5">
        <f>BB108/BB186</f>
        <v>0.23645320197044334</v>
      </c>
      <c r="BD108" s="5">
        <f>48/$BD$1</f>
        <v>0.23645320197044334</v>
      </c>
      <c r="BF108">
        <v>56</v>
      </c>
      <c r="BG108" s="5">
        <f>BF108/BF186</f>
        <v>0.26046511627906976</v>
      </c>
      <c r="BH108" s="5">
        <f>56/$BH$1</f>
        <v>0.26046511627906976</v>
      </c>
      <c r="BJ108">
        <v>65</v>
      </c>
      <c r="BK108" s="5">
        <f>BJ108/BJ186</f>
        <v>0.21035598705501618</v>
      </c>
      <c r="BL108" s="5">
        <f>65/$BL$1</f>
        <v>0.21035598705501618</v>
      </c>
      <c r="BN108">
        <v>12</v>
      </c>
      <c r="BO108" s="5">
        <f>BN108/BN186</f>
        <v>0.25531914893617019</v>
      </c>
      <c r="BP108" s="5">
        <f>12/$BP$1</f>
        <v>0.25531914893617019</v>
      </c>
      <c r="BR108">
        <v>75</v>
      </c>
      <c r="BS108" s="5">
        <f>BR108/BR186</f>
        <v>0.23885350318471338</v>
      </c>
      <c r="BT108" s="5">
        <f>75/$BT$1</f>
        <v>0.23885350318471338</v>
      </c>
      <c r="BV108">
        <v>80</v>
      </c>
      <c r="BW108" s="5">
        <f>BV108/BV186</f>
        <v>0.20356234096692111</v>
      </c>
      <c r="BX108" s="5">
        <f>80/$BX$1</f>
        <v>0.20356234096692111</v>
      </c>
      <c r="BZ108">
        <v>49</v>
      </c>
      <c r="CA108" s="5">
        <f>BZ108/BZ186</f>
        <v>0.1991869918699187</v>
      </c>
      <c r="CB108" s="5">
        <f>49/$CB$1</f>
        <v>0.1991869918699187</v>
      </c>
      <c r="CD108">
        <v>31</v>
      </c>
      <c r="CE108" s="5">
        <f>CD108/CD186</f>
        <v>0.25203252032520324</v>
      </c>
      <c r="CF108" s="5">
        <f>31/$CF$1</f>
        <v>0.25203252032520324</v>
      </c>
      <c r="CH108">
        <v>149</v>
      </c>
      <c r="CI108" s="5">
        <f>CH108/CH186</f>
        <v>0.21656976744186046</v>
      </c>
      <c r="CJ108" s="5">
        <f>149/$CJ$1</f>
        <v>0.21656976744186046</v>
      </c>
      <c r="CL108">
        <v>186</v>
      </c>
      <c r="CM108" s="5">
        <f>CL108/CL186</f>
        <v>0.24538258575197888</v>
      </c>
      <c r="CN108" s="5">
        <f>186/$CN$1</f>
        <v>0.24538258575197888</v>
      </c>
      <c r="CP108">
        <v>30</v>
      </c>
      <c r="CQ108" s="5">
        <f>CP108/CP186</f>
        <v>0.12396694214876033</v>
      </c>
      <c r="CR108" s="5">
        <f>30/$CR$1</f>
        <v>0.12396694214876033</v>
      </c>
      <c r="CT108">
        <v>80</v>
      </c>
      <c r="CU108" s="5">
        <f>CT108/CT186</f>
        <v>0.24024024024024024</v>
      </c>
      <c r="CV108" s="5">
        <f>80/$CV$1</f>
        <v>0.24024024024024024</v>
      </c>
      <c r="CX108">
        <v>136</v>
      </c>
      <c r="CY108" s="5">
        <f>CX108/CX186</f>
        <v>0.20389805097451275</v>
      </c>
      <c r="CZ108" s="5">
        <f>136/$CZ$1</f>
        <v>0.20389805097451275</v>
      </c>
    </row>
    <row r="109" spans="1:104" x14ac:dyDescent="0.25">
      <c r="A109" s="1" t="s">
        <v>1062</v>
      </c>
      <c r="B109">
        <v>478</v>
      </c>
      <c r="C109" s="5">
        <f>B109/B186</f>
        <v>0.47799999999999998</v>
      </c>
      <c r="D109" s="5">
        <f>478/$D$1</f>
        <v>0.47799999999999998</v>
      </c>
      <c r="F109">
        <v>240</v>
      </c>
      <c r="G109" s="5">
        <f>F109/F186</f>
        <v>0.47904191616766467</v>
      </c>
      <c r="H109" s="5">
        <f>240/$H$1</f>
        <v>0.47904191616766467</v>
      </c>
      <c r="J109">
        <v>238</v>
      </c>
      <c r="K109" s="5">
        <f>J109/J186</f>
        <v>0.47695390781563124</v>
      </c>
      <c r="L109" s="5">
        <f>238/$L$1</f>
        <v>0.47695390781563124</v>
      </c>
      <c r="N109">
        <v>46</v>
      </c>
      <c r="O109" s="5">
        <f>N109/N186</f>
        <v>0.47422680412371132</v>
      </c>
      <c r="P109" s="5">
        <f>46/$P$1</f>
        <v>0.47422680412371132</v>
      </c>
      <c r="R109">
        <v>80</v>
      </c>
      <c r="S109" s="5">
        <f>R109/R186</f>
        <v>0.40404040404040403</v>
      </c>
      <c r="T109" s="5">
        <f>80/$T$1</f>
        <v>0.40404040404040403</v>
      </c>
      <c r="V109">
        <v>114</v>
      </c>
      <c r="W109" s="5">
        <f>V109/V186</f>
        <v>0.47302904564315351</v>
      </c>
      <c r="X109" s="5">
        <f>114/$X$1</f>
        <v>0.47302904564315351</v>
      </c>
      <c r="Z109">
        <v>107</v>
      </c>
      <c r="AA109" s="5">
        <f>Z109/Z186</f>
        <v>0.54040404040404044</v>
      </c>
      <c r="AB109" s="5">
        <f>107/$AB$1</f>
        <v>0.54040404040404044</v>
      </c>
      <c r="AD109">
        <v>73</v>
      </c>
      <c r="AE109" s="5">
        <f>AD109/AD186</f>
        <v>0.47402597402597402</v>
      </c>
      <c r="AF109" s="5">
        <f>73/$AF$1</f>
        <v>0.47402597402597402</v>
      </c>
      <c r="AH109">
        <v>61</v>
      </c>
      <c r="AI109" s="5">
        <f>AH109/AH186</f>
        <v>0.5083333333333333</v>
      </c>
      <c r="AJ109" s="5">
        <f>61/$AJ$1</f>
        <v>0.5083333333333333</v>
      </c>
      <c r="AL109">
        <v>177</v>
      </c>
      <c r="AM109" s="5">
        <f>AL109/AL186</f>
        <v>0.47837837837837838</v>
      </c>
      <c r="AN109" s="5">
        <f>177/$AN$1</f>
        <v>0.47837837837837838</v>
      </c>
      <c r="AP109">
        <v>174</v>
      </c>
      <c r="AQ109" s="5">
        <f>AP109/AP186</f>
        <v>0.46031746031746029</v>
      </c>
      <c r="AR109" s="5">
        <f>174/$AR$1</f>
        <v>0.46031746031746029</v>
      </c>
      <c r="AT109">
        <v>127</v>
      </c>
      <c r="AU109" s="5">
        <f>AT109/AT186</f>
        <v>0.50396825396825395</v>
      </c>
      <c r="AV109" s="5">
        <f>127/$AV$1</f>
        <v>0.50396825396825395</v>
      </c>
      <c r="AX109">
        <v>143</v>
      </c>
      <c r="AY109" s="5">
        <f>AX109/AX186</f>
        <v>0.52380952380952384</v>
      </c>
      <c r="AZ109" s="5">
        <f>143/$AZ$1</f>
        <v>0.52380952380952384</v>
      </c>
      <c r="BA109" s="5"/>
      <c r="BB109">
        <v>93</v>
      </c>
      <c r="BC109" s="5">
        <f>BB109/BB186</f>
        <v>0.45812807881773399</v>
      </c>
      <c r="BD109" s="5">
        <f>93/$BD$1</f>
        <v>0.45812807881773399</v>
      </c>
      <c r="BF109">
        <v>93</v>
      </c>
      <c r="BG109" s="5">
        <f>BF109/BF186</f>
        <v>0.4325581395348837</v>
      </c>
      <c r="BH109" s="5">
        <f>93/$BH$1</f>
        <v>0.4325581395348837</v>
      </c>
      <c r="BJ109">
        <v>149</v>
      </c>
      <c r="BK109" s="5">
        <f>BJ109/BJ186</f>
        <v>0.48220064724919093</v>
      </c>
      <c r="BL109" s="5">
        <f>149/$BL$1</f>
        <v>0.48220064724919093</v>
      </c>
      <c r="BN109">
        <v>22</v>
      </c>
      <c r="BO109" s="5">
        <f>BN109/BN186</f>
        <v>0.46808510638297873</v>
      </c>
      <c r="BP109" s="5">
        <f>22/$BP$1</f>
        <v>0.46808510638297873</v>
      </c>
      <c r="BR109">
        <v>154</v>
      </c>
      <c r="BS109" s="5">
        <f>BR109/BR186</f>
        <v>0.49044585987261147</v>
      </c>
      <c r="BT109" s="5">
        <f>154/$BT$1</f>
        <v>0.49044585987261147</v>
      </c>
      <c r="BV109">
        <v>186</v>
      </c>
      <c r="BW109" s="5">
        <f>BV109/BV186</f>
        <v>0.47328244274809161</v>
      </c>
      <c r="BX109" s="5">
        <f>186/$BX$1</f>
        <v>0.47328244274809161</v>
      </c>
      <c r="BZ109">
        <v>116</v>
      </c>
      <c r="CA109" s="5">
        <f>BZ109/BZ186</f>
        <v>0.47154471544715448</v>
      </c>
      <c r="CB109" s="5">
        <f>116/$CB$1</f>
        <v>0.47154471544715448</v>
      </c>
      <c r="CD109">
        <v>54</v>
      </c>
      <c r="CE109" s="5">
        <f>CD109/CD186</f>
        <v>0.43902439024390244</v>
      </c>
      <c r="CF109" s="5">
        <f>54/$CF$1</f>
        <v>0.43902439024390244</v>
      </c>
      <c r="CH109">
        <v>342</v>
      </c>
      <c r="CI109" s="5">
        <f>CH109/CH186</f>
        <v>0.49709302325581395</v>
      </c>
      <c r="CJ109" s="5">
        <f>342/$CJ$1</f>
        <v>0.49709302325581395</v>
      </c>
      <c r="CL109">
        <v>369</v>
      </c>
      <c r="CM109" s="5">
        <f>CL109/CL186</f>
        <v>0.48680738786279681</v>
      </c>
      <c r="CN109" s="5">
        <f>369/$CN$1</f>
        <v>0.48680738786279681</v>
      </c>
      <c r="CP109">
        <v>109</v>
      </c>
      <c r="CQ109" s="5">
        <f>CP109/CP186</f>
        <v>0.45041322314049587</v>
      </c>
      <c r="CR109" s="5">
        <f>109/$CR$1</f>
        <v>0.45041322314049587</v>
      </c>
      <c r="CT109">
        <v>163</v>
      </c>
      <c r="CU109" s="5">
        <f>CT109/CT186</f>
        <v>0.4894894894894895</v>
      </c>
      <c r="CV109" s="5">
        <f>163/$CV$1</f>
        <v>0.4894894894894895</v>
      </c>
      <c r="CX109">
        <v>315</v>
      </c>
      <c r="CY109" s="5">
        <f>CX109/CX186</f>
        <v>0.47226386806596704</v>
      </c>
      <c r="CZ109" s="5">
        <f>315/$CZ$1</f>
        <v>0.47226386806596704</v>
      </c>
    </row>
    <row r="110" spans="1:104" x14ac:dyDescent="0.25">
      <c r="A110" s="1" t="s">
        <v>1063</v>
      </c>
      <c r="B110">
        <v>208</v>
      </c>
      <c r="C110" s="5">
        <f>B110/B186</f>
        <v>0.20799999999999999</v>
      </c>
      <c r="D110" s="5">
        <f>208/$D$1</f>
        <v>0.20799999999999999</v>
      </c>
      <c r="F110">
        <v>126</v>
      </c>
      <c r="G110" s="5">
        <f>F110/F186</f>
        <v>0.25149700598802394</v>
      </c>
      <c r="H110" s="5">
        <f>126/$H$1</f>
        <v>0.25149700598802394</v>
      </c>
      <c r="J110">
        <v>82</v>
      </c>
      <c r="K110" s="5">
        <f>J110/J186</f>
        <v>0.16432865731462926</v>
      </c>
      <c r="L110" s="5">
        <f>82/$L$1</f>
        <v>0.16432865731462926</v>
      </c>
      <c r="N110">
        <v>14</v>
      </c>
      <c r="O110" s="5">
        <f>N110/N186</f>
        <v>0.14432989690721648</v>
      </c>
      <c r="P110" s="5">
        <f>14/$P$1</f>
        <v>0.14432989690721648</v>
      </c>
      <c r="R110">
        <v>44</v>
      </c>
      <c r="S110" s="5">
        <f>R110/R186</f>
        <v>0.22222222222222221</v>
      </c>
      <c r="T110" s="5">
        <f>44/$T$1</f>
        <v>0.22222222222222221</v>
      </c>
      <c r="V110">
        <v>46</v>
      </c>
      <c r="W110" s="5">
        <f>V110/V186</f>
        <v>0.1908713692946058</v>
      </c>
      <c r="X110" s="5">
        <f>46/$X$1</f>
        <v>0.1908713692946058</v>
      </c>
      <c r="Z110">
        <v>42</v>
      </c>
      <c r="AA110" s="5">
        <f>Z110/Z186</f>
        <v>0.21212121212121213</v>
      </c>
      <c r="AB110" s="5">
        <f>42/$AB$1</f>
        <v>0.21212121212121213</v>
      </c>
      <c r="AD110">
        <v>40</v>
      </c>
      <c r="AE110" s="5">
        <f>AD110/AD186</f>
        <v>0.25974025974025972</v>
      </c>
      <c r="AF110" s="5">
        <f>40/$AF$1</f>
        <v>0.25974025974025972</v>
      </c>
      <c r="AH110">
        <v>24</v>
      </c>
      <c r="AI110" s="5">
        <f>AH110/AH186</f>
        <v>0.2</v>
      </c>
      <c r="AJ110" s="5">
        <f>24/$AJ$1</f>
        <v>0.2</v>
      </c>
      <c r="AL110">
        <v>65</v>
      </c>
      <c r="AM110" s="5">
        <f>AL110/AL186</f>
        <v>0.17567567567567569</v>
      </c>
      <c r="AN110" s="5">
        <f>65/$AN$1</f>
        <v>0.17567567567567569</v>
      </c>
      <c r="AP110">
        <v>84</v>
      </c>
      <c r="AQ110" s="5">
        <f>AP110/AP186</f>
        <v>0.22222222222222221</v>
      </c>
      <c r="AR110" s="5">
        <f>84/$AR$1</f>
        <v>0.22222222222222221</v>
      </c>
      <c r="AT110">
        <v>59</v>
      </c>
      <c r="AU110" s="5">
        <f>AT110/AT186</f>
        <v>0.23412698412698413</v>
      </c>
      <c r="AV110" s="5">
        <f>59/$AV$1</f>
        <v>0.23412698412698413</v>
      </c>
      <c r="AX110">
        <v>61</v>
      </c>
      <c r="AY110" s="5">
        <f>AX110/AX186</f>
        <v>0.22344322344322345</v>
      </c>
      <c r="AZ110" s="5">
        <f>61/$AZ$1</f>
        <v>0.22344322344322345</v>
      </c>
      <c r="BA110" s="5"/>
      <c r="BB110">
        <v>40</v>
      </c>
      <c r="BC110" s="5">
        <f>BB110/BB186</f>
        <v>0.19704433497536947</v>
      </c>
      <c r="BD110" s="5">
        <f>40/$BD$1</f>
        <v>0.19704433497536947</v>
      </c>
      <c r="BF110">
        <v>42</v>
      </c>
      <c r="BG110" s="5">
        <f>BF110/BF186</f>
        <v>0.19534883720930232</v>
      </c>
      <c r="BH110" s="5">
        <f>42/$BH$1</f>
        <v>0.19534883720930232</v>
      </c>
      <c r="BJ110">
        <v>65</v>
      </c>
      <c r="BK110" s="5">
        <f>BJ110/BJ186</f>
        <v>0.21035598705501618</v>
      </c>
      <c r="BL110" s="5">
        <f>65/$BL$1</f>
        <v>0.21035598705501618</v>
      </c>
      <c r="BN110">
        <v>5</v>
      </c>
      <c r="BO110" s="5">
        <f>BN110/BN186</f>
        <v>0.10638297872340426</v>
      </c>
      <c r="BP110" s="5">
        <f>5/$BP$1</f>
        <v>0.10638297872340426</v>
      </c>
      <c r="BR110">
        <v>55</v>
      </c>
      <c r="BS110" s="5">
        <f>BR110/BR186</f>
        <v>0.1751592356687898</v>
      </c>
      <c r="BT110" s="5">
        <f>55/$BT$1</f>
        <v>0.1751592356687898</v>
      </c>
      <c r="BV110">
        <v>91</v>
      </c>
      <c r="BW110" s="5">
        <f>BV110/BV186</f>
        <v>0.23155216284987276</v>
      </c>
      <c r="BX110" s="5">
        <f>91/$BX$1</f>
        <v>0.23155216284987276</v>
      </c>
      <c r="BZ110">
        <v>57</v>
      </c>
      <c r="CA110" s="5">
        <f>BZ110/BZ186</f>
        <v>0.23170731707317074</v>
      </c>
      <c r="CB110" s="5">
        <f>57/$CB$1</f>
        <v>0.23170731707317074</v>
      </c>
      <c r="CD110">
        <v>29</v>
      </c>
      <c r="CE110" s="5">
        <f>CD110/CD186</f>
        <v>0.23577235772357724</v>
      </c>
      <c r="CF110" s="5">
        <f>29/$CF$1</f>
        <v>0.23577235772357724</v>
      </c>
      <c r="CH110">
        <v>127</v>
      </c>
      <c r="CI110" s="5">
        <f>CH110/CH186</f>
        <v>0.18459302325581395</v>
      </c>
      <c r="CJ110" s="5">
        <f>127/$CJ$1</f>
        <v>0.18459302325581395</v>
      </c>
      <c r="CL110">
        <v>126</v>
      </c>
      <c r="CM110" s="5">
        <f>CL110/CL186</f>
        <v>0.16622691292875991</v>
      </c>
      <c r="CN110" s="5">
        <f>126/$CN$1</f>
        <v>0.16622691292875991</v>
      </c>
      <c r="CP110">
        <v>82</v>
      </c>
      <c r="CQ110" s="5">
        <f>CP110/CP186</f>
        <v>0.33884297520661155</v>
      </c>
      <c r="CR110" s="5">
        <f>82/$CR$1</f>
        <v>0.33884297520661155</v>
      </c>
      <c r="CT110">
        <v>57</v>
      </c>
      <c r="CU110" s="5">
        <f>CT110/CT186</f>
        <v>0.17117117117117117</v>
      </c>
      <c r="CV110" s="5">
        <f>57/$CV$1</f>
        <v>0.17117117117117117</v>
      </c>
      <c r="CX110">
        <v>151</v>
      </c>
      <c r="CY110" s="5">
        <f>CX110/CX186</f>
        <v>0.22638680659670166</v>
      </c>
      <c r="CZ110" s="5">
        <f>151/$CZ$1</f>
        <v>0.22638680659670166</v>
      </c>
    </row>
    <row r="111" spans="1:104" x14ac:dyDescent="0.25">
      <c r="A111" s="1" t="s">
        <v>1064</v>
      </c>
      <c r="B111">
        <v>98</v>
      </c>
      <c r="C111" s="5">
        <f>B111/B186</f>
        <v>9.8000000000000004E-2</v>
      </c>
      <c r="D111" s="5">
        <f>98/$D$1</f>
        <v>9.8000000000000004E-2</v>
      </c>
      <c r="F111">
        <v>26</v>
      </c>
      <c r="G111" s="5">
        <f>F111/F186</f>
        <v>5.1896207584830337E-2</v>
      </c>
      <c r="H111" s="5">
        <f>26/$H$1</f>
        <v>5.1896207584830337E-2</v>
      </c>
      <c r="J111">
        <v>72</v>
      </c>
      <c r="K111" s="5">
        <f>J111/J186</f>
        <v>0.14428857715430862</v>
      </c>
      <c r="L111" s="5">
        <f>72/$L$1</f>
        <v>0.14428857715430862</v>
      </c>
      <c r="N111">
        <v>16</v>
      </c>
      <c r="O111" s="5">
        <f>N111/N186</f>
        <v>0.16494845360824742</v>
      </c>
      <c r="P111" s="5">
        <f>16/$P$1</f>
        <v>0.16494845360824742</v>
      </c>
      <c r="R111">
        <v>32</v>
      </c>
      <c r="S111" s="5">
        <f>R111/R186</f>
        <v>0.16161616161616163</v>
      </c>
      <c r="T111" s="5">
        <f>32/$T$1</f>
        <v>0.16161616161616163</v>
      </c>
      <c r="V111">
        <v>22</v>
      </c>
      <c r="W111" s="5">
        <f>V111/V186</f>
        <v>9.1286307053941904E-2</v>
      </c>
      <c r="X111" s="5">
        <f>22/$X$1</f>
        <v>9.1286307053941904E-2</v>
      </c>
      <c r="Z111">
        <v>9</v>
      </c>
      <c r="AA111" s="5">
        <f>Z111/Z186</f>
        <v>4.5454545454545456E-2</v>
      </c>
      <c r="AB111" s="5">
        <f>9/$AB$1</f>
        <v>4.5454545454545456E-2</v>
      </c>
      <c r="AD111">
        <v>13</v>
      </c>
      <c r="AE111" s="5">
        <f>AD111/AD186</f>
        <v>8.4415584415584416E-2</v>
      </c>
      <c r="AF111" s="5">
        <f>13/$AF$1</f>
        <v>8.4415584415584416E-2</v>
      </c>
      <c r="AH111">
        <v>7</v>
      </c>
      <c r="AI111" s="5">
        <f>AH111/AH186</f>
        <v>5.8333333333333334E-2</v>
      </c>
      <c r="AJ111" s="5">
        <f>7/$AJ$1</f>
        <v>5.8333333333333334E-2</v>
      </c>
      <c r="AL111">
        <v>41</v>
      </c>
      <c r="AM111" s="5">
        <f>AL111/AL186</f>
        <v>0.11081081081081082</v>
      </c>
      <c r="AN111" s="5">
        <f>41/$AN$1</f>
        <v>0.11081081081081082</v>
      </c>
      <c r="AP111">
        <v>34</v>
      </c>
      <c r="AQ111" s="5">
        <f>AP111/AP186</f>
        <v>8.9947089947089942E-2</v>
      </c>
      <c r="AR111" s="5">
        <f>34/$AR$1</f>
        <v>8.9947089947089942E-2</v>
      </c>
      <c r="AT111">
        <v>23</v>
      </c>
      <c r="AU111" s="5">
        <f>AT111/AT186</f>
        <v>9.1269841269841265E-2</v>
      </c>
      <c r="AV111" s="5">
        <f>23/$AV$1</f>
        <v>9.1269841269841265E-2</v>
      </c>
      <c r="AX111">
        <v>22</v>
      </c>
      <c r="AY111" s="5">
        <f>AX111/AX186</f>
        <v>8.0586080586080591E-2</v>
      </c>
      <c r="AZ111" s="5">
        <f>22/$AZ$1</f>
        <v>8.0586080586080591E-2</v>
      </c>
      <c r="BA111" s="5"/>
      <c r="BB111">
        <v>22</v>
      </c>
      <c r="BC111" s="5">
        <f>BB111/BB186</f>
        <v>0.10837438423645321</v>
      </c>
      <c r="BD111" s="5">
        <f>22/$BD$1</f>
        <v>0.10837438423645321</v>
      </c>
      <c r="BF111">
        <v>24</v>
      </c>
      <c r="BG111" s="5">
        <f>BF111/BF186</f>
        <v>0.11162790697674418</v>
      </c>
      <c r="BH111" s="5">
        <f>24/$BH$1</f>
        <v>0.11162790697674418</v>
      </c>
      <c r="BJ111">
        <v>30</v>
      </c>
      <c r="BK111" s="5">
        <f>BJ111/BJ186</f>
        <v>9.7087378640776698E-2</v>
      </c>
      <c r="BL111" s="5">
        <f>30/$BL$1</f>
        <v>9.7087378640776698E-2</v>
      </c>
      <c r="BN111">
        <v>8</v>
      </c>
      <c r="BO111" s="5">
        <f>BN111/BN186</f>
        <v>0.1702127659574468</v>
      </c>
      <c r="BP111" s="5">
        <f>8/$BP$1</f>
        <v>0.1702127659574468</v>
      </c>
      <c r="BR111">
        <v>30</v>
      </c>
      <c r="BS111" s="5">
        <f>BR111/BR186</f>
        <v>9.5541401273885357E-2</v>
      </c>
      <c r="BT111" s="5">
        <f>30/$BT$1</f>
        <v>9.5541401273885357E-2</v>
      </c>
      <c r="BV111">
        <v>36</v>
      </c>
      <c r="BW111" s="5">
        <f>BV111/BV186</f>
        <v>9.1603053435114504E-2</v>
      </c>
      <c r="BX111" s="5">
        <f>36/$BX$1</f>
        <v>9.1603053435114504E-2</v>
      </c>
      <c r="BZ111">
        <v>24</v>
      </c>
      <c r="CA111" s="5">
        <f>BZ111/BZ186</f>
        <v>9.7560975609756101E-2</v>
      </c>
      <c r="CB111" s="5">
        <f>24/$CB$1</f>
        <v>9.7560975609756101E-2</v>
      </c>
      <c r="CD111">
        <v>9</v>
      </c>
      <c r="CE111" s="5">
        <f>CD111/CD186</f>
        <v>7.3170731707317069E-2</v>
      </c>
      <c r="CF111" s="5">
        <f>9/$CF$1</f>
        <v>7.3170731707317069E-2</v>
      </c>
      <c r="CH111">
        <v>70</v>
      </c>
      <c r="CI111" s="5">
        <f>CH111/CH186</f>
        <v>0.10174418604651163</v>
      </c>
      <c r="CJ111" s="5">
        <f>70/$CJ$1</f>
        <v>0.10174418604651163</v>
      </c>
      <c r="CL111">
        <v>77</v>
      </c>
      <c r="CM111" s="5">
        <f>CL111/CL186</f>
        <v>0.10158311345646438</v>
      </c>
      <c r="CN111" s="5">
        <f>77/$CN$1</f>
        <v>0.10158311345646438</v>
      </c>
      <c r="CP111">
        <v>21</v>
      </c>
      <c r="CQ111" s="5">
        <f>CP111/CP186</f>
        <v>8.6776859504132234E-2</v>
      </c>
      <c r="CR111" s="5">
        <f>21/$CR$1</f>
        <v>8.6776859504132234E-2</v>
      </c>
      <c r="CT111">
        <v>33</v>
      </c>
      <c r="CU111" s="5">
        <f>CT111/CT186</f>
        <v>9.90990990990991E-2</v>
      </c>
      <c r="CV111" s="5">
        <f>33/$CV$1</f>
        <v>9.90990990990991E-2</v>
      </c>
      <c r="CX111">
        <v>65</v>
      </c>
      <c r="CY111" s="5">
        <f>CX111/CX186</f>
        <v>9.7451274362818585E-2</v>
      </c>
      <c r="CZ111" s="5">
        <f>65/$CZ$1</f>
        <v>9.7451274362818585E-2</v>
      </c>
    </row>
    <row r="113" spans="1:104" x14ac:dyDescent="0.25">
      <c r="A113" s="1" t="s">
        <v>1065</v>
      </c>
      <c r="B113">
        <v>619</v>
      </c>
      <c r="C113" s="5">
        <f>B113/B186</f>
        <v>0.61899999999999999</v>
      </c>
      <c r="D113" s="5">
        <f>619/$D$1</f>
        <v>0.61899999999999999</v>
      </c>
      <c r="F113">
        <v>305</v>
      </c>
      <c r="G113" s="5">
        <f>F113/F186</f>
        <v>0.60878243512974051</v>
      </c>
      <c r="H113" s="5">
        <f>305/$H$1</f>
        <v>0.60878243512974051</v>
      </c>
      <c r="J113">
        <v>314</v>
      </c>
      <c r="K113" s="5">
        <f>J113/J186</f>
        <v>0.6292585170340681</v>
      </c>
      <c r="L113" s="5">
        <f>314/$L$1</f>
        <v>0.6292585170340681</v>
      </c>
      <c r="N113">
        <v>56</v>
      </c>
      <c r="O113" s="5">
        <f>N113/N186</f>
        <v>0.57731958762886593</v>
      </c>
      <c r="P113" s="5">
        <f>56/$P$1</f>
        <v>0.57731958762886593</v>
      </c>
      <c r="R113">
        <v>125</v>
      </c>
      <c r="S113" s="5">
        <f>R113/R186</f>
        <v>0.63131313131313127</v>
      </c>
      <c r="T113" s="5">
        <f>125/$T$1</f>
        <v>0.63131313131313127</v>
      </c>
      <c r="V113">
        <v>153</v>
      </c>
      <c r="W113" s="5">
        <f>V113/V186</f>
        <v>0.63485477178423233</v>
      </c>
      <c r="X113" s="5">
        <f>153/$X$1</f>
        <v>0.63485477178423233</v>
      </c>
      <c r="Z113">
        <v>128</v>
      </c>
      <c r="AA113" s="5">
        <f>Z113/Z186</f>
        <v>0.64646464646464652</v>
      </c>
      <c r="AB113" s="5">
        <f>128/$AB$1</f>
        <v>0.64646464646464652</v>
      </c>
      <c r="AD113">
        <v>92</v>
      </c>
      <c r="AE113" s="5">
        <f>AD113/AD186</f>
        <v>0.59740259740259738</v>
      </c>
      <c r="AF113" s="5">
        <f>92/$AF$1</f>
        <v>0.59740259740259738</v>
      </c>
      <c r="AH113">
        <v>69</v>
      </c>
      <c r="AI113" s="5">
        <f>AH113/AH186</f>
        <v>0.57499999999999996</v>
      </c>
      <c r="AJ113" s="5">
        <f>69/$AJ$1</f>
        <v>0.57499999999999996</v>
      </c>
      <c r="AL113">
        <v>247</v>
      </c>
      <c r="AM113" s="5">
        <f>AL113/AL186</f>
        <v>0.66756756756756752</v>
      </c>
      <c r="AN113" s="5">
        <f>247/$AN$1</f>
        <v>0.66756756756756752</v>
      </c>
      <c r="AP113">
        <v>235</v>
      </c>
      <c r="AQ113" s="5">
        <f>AP113/AP186</f>
        <v>0.62169312169312174</v>
      </c>
      <c r="AR113" s="5">
        <f>235/$AR$1</f>
        <v>0.62169312169312174</v>
      </c>
      <c r="AT113">
        <v>137</v>
      </c>
      <c r="AU113" s="5">
        <f>AT113/AT186</f>
        <v>0.54365079365079361</v>
      </c>
      <c r="AV113" s="5">
        <f>137/$AV$1</f>
        <v>0.54365079365079361</v>
      </c>
      <c r="AX113">
        <v>155</v>
      </c>
      <c r="AY113" s="5">
        <f>AX113/AX186</f>
        <v>0.56776556776556775</v>
      </c>
      <c r="AZ113" s="5">
        <f>155/$AZ$1</f>
        <v>0.56776556776556775</v>
      </c>
      <c r="BA113" s="5"/>
      <c r="BB113">
        <v>132</v>
      </c>
      <c r="BC113" s="5">
        <f>BB113/BB186</f>
        <v>0.65024630541871919</v>
      </c>
      <c r="BD113" s="5">
        <f>132/$BD$1</f>
        <v>0.65024630541871919</v>
      </c>
      <c r="BF113">
        <v>144</v>
      </c>
      <c r="BG113" s="5">
        <f>BF113/BF186</f>
        <v>0.66976744186046511</v>
      </c>
      <c r="BH113" s="5">
        <f>144/$BH$1</f>
        <v>0.66976744186046511</v>
      </c>
      <c r="BJ113">
        <v>188</v>
      </c>
      <c r="BK113" s="5">
        <f>BJ113/BJ186</f>
        <v>0.60841423948220064</v>
      </c>
      <c r="BL113" s="5">
        <f>188/$BL$1</f>
        <v>0.60841423948220064</v>
      </c>
      <c r="BN113">
        <v>37</v>
      </c>
      <c r="BO113" s="5">
        <f>BN113/BN186</f>
        <v>0.78723404255319152</v>
      </c>
      <c r="BP113" s="5">
        <f>37/$BP$1</f>
        <v>0.78723404255319152</v>
      </c>
      <c r="BR113">
        <v>199</v>
      </c>
      <c r="BS113" s="5">
        <f>BR113/BR186</f>
        <v>0.63375796178343946</v>
      </c>
      <c r="BT113" s="5">
        <f>199/$BT$1</f>
        <v>0.63375796178343946</v>
      </c>
      <c r="BV113">
        <v>231</v>
      </c>
      <c r="BW113" s="5">
        <f>BV113/BV186</f>
        <v>0.58778625954198471</v>
      </c>
      <c r="BX113" s="5">
        <f>231/$BX$1</f>
        <v>0.58778625954198471</v>
      </c>
      <c r="BZ113">
        <v>152</v>
      </c>
      <c r="CA113" s="5">
        <f>BZ113/BZ186</f>
        <v>0.61788617886178865</v>
      </c>
      <c r="CB113" s="5">
        <f>152/$CB$1</f>
        <v>0.61788617886178865</v>
      </c>
      <c r="CD113">
        <v>72</v>
      </c>
      <c r="CE113" s="5">
        <f>CD113/CD186</f>
        <v>0.58536585365853655</v>
      </c>
      <c r="CF113" s="5">
        <f>72/$CF$1</f>
        <v>0.58536585365853655</v>
      </c>
      <c r="CH113">
        <v>456</v>
      </c>
      <c r="CI113" s="5">
        <f>CH113/CH186</f>
        <v>0.66279069767441856</v>
      </c>
      <c r="CJ113" s="5">
        <f>456/$CJ$1</f>
        <v>0.66279069767441856</v>
      </c>
      <c r="CL113">
        <v>533</v>
      </c>
      <c r="CM113" s="5">
        <f>CL113/CL186</f>
        <v>0.70316622691292874</v>
      </c>
      <c r="CN113" s="5">
        <f>533/$CN$1</f>
        <v>0.70316622691292874</v>
      </c>
      <c r="CP113">
        <v>86</v>
      </c>
      <c r="CQ113" s="5">
        <f>CP113/CP186</f>
        <v>0.35537190082644626</v>
      </c>
      <c r="CR113" s="5">
        <f>86/$CR$1</f>
        <v>0.35537190082644626</v>
      </c>
      <c r="CT113">
        <v>212</v>
      </c>
      <c r="CU113" s="5">
        <f>CT113/CT186</f>
        <v>0.63663663663663661</v>
      </c>
      <c r="CV113" s="5">
        <f>212/$CV$1</f>
        <v>0.63663663663663661</v>
      </c>
      <c r="CX113">
        <v>407</v>
      </c>
      <c r="CY113" s="5">
        <f>CX113/CX186</f>
        <v>0.61019490254872566</v>
      </c>
      <c r="CZ113" s="5">
        <f>407/$CZ$1</f>
        <v>0.61019490254872566</v>
      </c>
    </row>
    <row r="114" spans="1:104" x14ac:dyDescent="0.25">
      <c r="A114" s="1" t="s">
        <v>1066</v>
      </c>
      <c r="B114">
        <v>297</v>
      </c>
      <c r="C114" s="5">
        <f>B114/B186</f>
        <v>0.29699999999999999</v>
      </c>
      <c r="D114" s="5">
        <f>297/$D$1</f>
        <v>0.29699999999999999</v>
      </c>
      <c r="F114">
        <v>152</v>
      </c>
      <c r="G114" s="5">
        <f>F114/F186</f>
        <v>0.30339321357285431</v>
      </c>
      <c r="H114" s="5">
        <f>152/$H$1</f>
        <v>0.30339321357285431</v>
      </c>
      <c r="J114">
        <v>145</v>
      </c>
      <c r="K114" s="5">
        <f>J114/J186</f>
        <v>0.29058116232464931</v>
      </c>
      <c r="L114" s="5">
        <f>145/$L$1</f>
        <v>0.29058116232464931</v>
      </c>
      <c r="N114">
        <v>32</v>
      </c>
      <c r="O114" s="5">
        <f>N114/N186</f>
        <v>0.32989690721649484</v>
      </c>
      <c r="P114" s="5">
        <f>32/$P$1</f>
        <v>0.32989690721649484</v>
      </c>
      <c r="R114">
        <v>54</v>
      </c>
      <c r="S114" s="5">
        <f>R114/R186</f>
        <v>0.27272727272727271</v>
      </c>
      <c r="T114" s="5">
        <f>54/$T$1</f>
        <v>0.27272727272727271</v>
      </c>
      <c r="V114">
        <v>68</v>
      </c>
      <c r="W114" s="5">
        <f>V114/V186</f>
        <v>0.28215767634854771</v>
      </c>
      <c r="X114" s="5">
        <f>68/$X$1</f>
        <v>0.28215767634854771</v>
      </c>
      <c r="Z114">
        <v>57</v>
      </c>
      <c r="AA114" s="5">
        <f>Z114/Z186</f>
        <v>0.2878787878787879</v>
      </c>
      <c r="AB114" s="5">
        <f>57/$AB$1</f>
        <v>0.2878787878787879</v>
      </c>
      <c r="AD114">
        <v>46</v>
      </c>
      <c r="AE114" s="5">
        <f>AD114/AD186</f>
        <v>0.29870129870129869</v>
      </c>
      <c r="AF114" s="5">
        <f>46/$AF$1</f>
        <v>0.29870129870129869</v>
      </c>
      <c r="AH114">
        <v>43</v>
      </c>
      <c r="AI114" s="5">
        <f>AH114/AH186</f>
        <v>0.35833333333333334</v>
      </c>
      <c r="AJ114" s="5">
        <f>43/$AJ$1</f>
        <v>0.35833333333333334</v>
      </c>
      <c r="AL114">
        <v>97</v>
      </c>
      <c r="AM114" s="5">
        <f>AL114/AL186</f>
        <v>0.26216216216216215</v>
      </c>
      <c r="AN114" s="5">
        <f>97/$AN$1</f>
        <v>0.26216216216216215</v>
      </c>
      <c r="AP114">
        <v>116</v>
      </c>
      <c r="AQ114" s="5">
        <f>AP114/AP186</f>
        <v>0.30687830687830686</v>
      </c>
      <c r="AR114" s="5">
        <f>116/$AR$1</f>
        <v>0.30687830687830686</v>
      </c>
      <c r="AT114">
        <v>84</v>
      </c>
      <c r="AU114" s="5">
        <f>AT114/AT186</f>
        <v>0.33333333333333331</v>
      </c>
      <c r="AV114" s="5">
        <f>84/$AV$1</f>
        <v>0.33333333333333331</v>
      </c>
      <c r="AX114">
        <v>92</v>
      </c>
      <c r="AY114" s="5">
        <f>AX114/AX186</f>
        <v>0.33699633699633702</v>
      </c>
      <c r="AZ114" s="5">
        <f>92/$AZ$1</f>
        <v>0.33699633699633702</v>
      </c>
      <c r="BA114" s="5"/>
      <c r="BB114">
        <v>49</v>
      </c>
      <c r="BC114" s="5">
        <f>BB114/BB186</f>
        <v>0.2413793103448276</v>
      </c>
      <c r="BD114" s="5">
        <f>49/$BD$1</f>
        <v>0.2413793103448276</v>
      </c>
      <c r="BF114">
        <v>55</v>
      </c>
      <c r="BG114" s="5">
        <f>BF114/BF186</f>
        <v>0.2558139534883721</v>
      </c>
      <c r="BH114" s="5">
        <f>55/$BH$1</f>
        <v>0.2558139534883721</v>
      </c>
      <c r="BJ114">
        <v>101</v>
      </c>
      <c r="BK114" s="5">
        <f>BJ114/BJ186</f>
        <v>0.32686084142394822</v>
      </c>
      <c r="BL114" s="5">
        <f>101/$BL$1</f>
        <v>0.32686084142394822</v>
      </c>
      <c r="BN114">
        <v>6</v>
      </c>
      <c r="BO114" s="5">
        <f>BN114/BN186</f>
        <v>0.1276595744680851</v>
      </c>
      <c r="BP114" s="5">
        <f>6/$BP$1</f>
        <v>0.1276595744680851</v>
      </c>
      <c r="BR114">
        <v>92</v>
      </c>
      <c r="BS114" s="5">
        <f>BR114/BR186</f>
        <v>0.2929936305732484</v>
      </c>
      <c r="BT114" s="5">
        <f>92/$BT$1</f>
        <v>0.2929936305732484</v>
      </c>
      <c r="BV114">
        <v>130</v>
      </c>
      <c r="BW114" s="5">
        <f>BV114/BV186</f>
        <v>0.33078880407124683</v>
      </c>
      <c r="BX114" s="5">
        <f>130/$BX$1</f>
        <v>0.33078880407124683</v>
      </c>
      <c r="BZ114">
        <v>69</v>
      </c>
      <c r="CA114" s="5">
        <f>BZ114/BZ186</f>
        <v>0.28048780487804881</v>
      </c>
      <c r="CB114" s="5">
        <f>69/$CB$1</f>
        <v>0.28048780487804881</v>
      </c>
      <c r="CD114">
        <v>34</v>
      </c>
      <c r="CE114" s="5">
        <f>CD114/CD186</f>
        <v>0.27642276422764228</v>
      </c>
      <c r="CF114" s="5">
        <f>34/$CF$1</f>
        <v>0.27642276422764228</v>
      </c>
      <c r="CH114">
        <v>183</v>
      </c>
      <c r="CI114" s="5">
        <f>CH114/CH186</f>
        <v>0.26598837209302323</v>
      </c>
      <c r="CJ114" s="5">
        <f>183/$CJ$1</f>
        <v>0.26598837209302323</v>
      </c>
      <c r="CL114">
        <v>183</v>
      </c>
      <c r="CM114" s="5">
        <f>CL114/CL186</f>
        <v>0.24142480211081793</v>
      </c>
      <c r="CN114" s="5">
        <f>183/$CN$1</f>
        <v>0.24142480211081793</v>
      </c>
      <c r="CP114">
        <v>114</v>
      </c>
      <c r="CQ114" s="5">
        <f>CP114/CP186</f>
        <v>0.47107438016528924</v>
      </c>
      <c r="CR114" s="5">
        <f>114/$CR$1</f>
        <v>0.47107438016528924</v>
      </c>
      <c r="CT114">
        <v>86</v>
      </c>
      <c r="CU114" s="5">
        <f>CT114/CT186</f>
        <v>0.25825825825825827</v>
      </c>
      <c r="CV114" s="5">
        <f>86/$CV$1</f>
        <v>0.25825825825825827</v>
      </c>
      <c r="CX114">
        <v>211</v>
      </c>
      <c r="CY114" s="5">
        <f>CX114/CX186</f>
        <v>0.31634182908545727</v>
      </c>
      <c r="CZ114" s="5">
        <f>211/$CZ$1</f>
        <v>0.31634182908545727</v>
      </c>
    </row>
    <row r="115" spans="1:104" x14ac:dyDescent="0.25">
      <c r="A115" s="1" t="s">
        <v>1067</v>
      </c>
      <c r="B115">
        <v>66</v>
      </c>
      <c r="C115" s="5">
        <f>B115/B186</f>
        <v>6.6000000000000003E-2</v>
      </c>
      <c r="D115" s="5">
        <f>66/$D$1</f>
        <v>6.6000000000000003E-2</v>
      </c>
      <c r="F115">
        <v>33</v>
      </c>
      <c r="G115" s="5">
        <f>F115/F186</f>
        <v>6.5868263473053898E-2</v>
      </c>
      <c r="H115" s="5">
        <f>33/$H$1</f>
        <v>6.5868263473053898E-2</v>
      </c>
      <c r="J115">
        <v>33</v>
      </c>
      <c r="K115" s="5">
        <f>J115/J186</f>
        <v>6.6132264529058113E-2</v>
      </c>
      <c r="L115" s="5">
        <f>33/$L$1</f>
        <v>6.6132264529058113E-2</v>
      </c>
      <c r="N115">
        <v>7</v>
      </c>
      <c r="O115" s="5">
        <f>N115/N186</f>
        <v>7.2164948453608241E-2</v>
      </c>
      <c r="P115" s="5">
        <f>7/$P$1</f>
        <v>7.2164948453608241E-2</v>
      </c>
      <c r="R115">
        <v>13</v>
      </c>
      <c r="S115" s="5">
        <f>R115/R186</f>
        <v>6.5656565656565663E-2</v>
      </c>
      <c r="T115" s="5">
        <f>13/$T$1</f>
        <v>6.5656565656565663E-2</v>
      </c>
      <c r="V115">
        <v>14</v>
      </c>
      <c r="W115" s="5">
        <f>V115/V186</f>
        <v>5.8091286307053944E-2</v>
      </c>
      <c r="X115" s="5">
        <f>14/$X$1</f>
        <v>5.8091286307053944E-2</v>
      </c>
      <c r="Z115">
        <v>11</v>
      </c>
      <c r="AA115" s="5">
        <f>Z115/Z186</f>
        <v>5.5555555555555552E-2</v>
      </c>
      <c r="AB115" s="5">
        <f>11/$AB$1</f>
        <v>5.5555555555555552E-2</v>
      </c>
      <c r="AD115">
        <v>14</v>
      </c>
      <c r="AE115" s="5">
        <f>AD115/AD186</f>
        <v>9.0909090909090912E-2</v>
      </c>
      <c r="AF115" s="5">
        <f>14/$AF$1</f>
        <v>9.0909090909090912E-2</v>
      </c>
      <c r="AH115">
        <v>8</v>
      </c>
      <c r="AI115" s="5">
        <f>AH115/AH186</f>
        <v>6.6666666666666666E-2</v>
      </c>
      <c r="AJ115" s="5">
        <f>8/$AJ$1</f>
        <v>6.6666666666666666E-2</v>
      </c>
      <c r="AL115">
        <v>18</v>
      </c>
      <c r="AM115" s="5">
        <f>AL115/AL186</f>
        <v>4.8648648648648651E-2</v>
      </c>
      <c r="AN115" s="5">
        <f>18/$AN$1</f>
        <v>4.8648648648648651E-2</v>
      </c>
      <c r="AP115">
        <v>22</v>
      </c>
      <c r="AQ115" s="5">
        <f>AP115/AP186</f>
        <v>5.8201058201058198E-2</v>
      </c>
      <c r="AR115" s="5">
        <f>22/$AR$1</f>
        <v>5.8201058201058198E-2</v>
      </c>
      <c r="AT115">
        <v>26</v>
      </c>
      <c r="AU115" s="5">
        <f>AT115/AT186</f>
        <v>0.10317460317460317</v>
      </c>
      <c r="AV115" s="5">
        <f>26/$AV$1</f>
        <v>0.10317460317460317</v>
      </c>
      <c r="AX115">
        <v>21</v>
      </c>
      <c r="AY115" s="5">
        <f>AX115/AX186</f>
        <v>7.6923076923076927E-2</v>
      </c>
      <c r="AZ115" s="5">
        <f>21/$AZ$1</f>
        <v>7.6923076923076927E-2</v>
      </c>
      <c r="BA115" s="5"/>
      <c r="BB115">
        <v>19</v>
      </c>
      <c r="BC115" s="5">
        <f>BB115/BB186</f>
        <v>9.3596059113300489E-2</v>
      </c>
      <c r="BD115" s="5">
        <f>19/$BD$1</f>
        <v>9.3596059113300489E-2</v>
      </c>
      <c r="BF115">
        <v>10</v>
      </c>
      <c r="BG115" s="5">
        <f>BF115/BF186</f>
        <v>4.6511627906976744E-2</v>
      </c>
      <c r="BH115" s="5">
        <f>10/$BH$1</f>
        <v>4.6511627906976744E-2</v>
      </c>
      <c r="BJ115">
        <v>16</v>
      </c>
      <c r="BK115" s="5">
        <f>BJ115/BJ186</f>
        <v>5.1779935275080909E-2</v>
      </c>
      <c r="BL115" s="5">
        <f>16/$BL$1</f>
        <v>5.1779935275080909E-2</v>
      </c>
      <c r="BN115">
        <v>3</v>
      </c>
      <c r="BO115" s="5">
        <f>BN115/BN186</f>
        <v>6.3829787234042548E-2</v>
      </c>
      <c r="BP115" s="5">
        <f>3/$BP$1</f>
        <v>6.3829787234042548E-2</v>
      </c>
      <c r="BR115">
        <v>17</v>
      </c>
      <c r="BS115" s="5">
        <f>BR115/BR186</f>
        <v>5.4140127388535034E-2</v>
      </c>
      <c r="BT115" s="5">
        <f>17/$BT$1</f>
        <v>5.4140127388535034E-2</v>
      </c>
      <c r="BV115">
        <v>28</v>
      </c>
      <c r="BW115" s="5">
        <f>BV115/BV186</f>
        <v>7.124681933842239E-2</v>
      </c>
      <c r="BX115" s="5">
        <f>28/$BX$1</f>
        <v>7.124681933842239E-2</v>
      </c>
      <c r="BZ115">
        <v>18</v>
      </c>
      <c r="CA115" s="5">
        <f>BZ115/BZ186</f>
        <v>7.3170731707317069E-2</v>
      </c>
      <c r="CB115" s="5">
        <f>18/$CB$1</f>
        <v>7.3170731707317069E-2</v>
      </c>
      <c r="CD115">
        <v>12</v>
      </c>
      <c r="CE115" s="5">
        <f>CD115/CD186</f>
        <v>9.7560975609756101E-2</v>
      </c>
      <c r="CF115" s="5">
        <f>12/$CF$1</f>
        <v>9.7560975609756101E-2</v>
      </c>
      <c r="CH115">
        <v>42</v>
      </c>
      <c r="CI115" s="5">
        <f>CH115/CH186</f>
        <v>6.1046511627906974E-2</v>
      </c>
      <c r="CJ115" s="5">
        <f>42/$CJ$1</f>
        <v>6.1046511627906974E-2</v>
      </c>
      <c r="CL115">
        <v>30</v>
      </c>
      <c r="CM115" s="5">
        <f>CL115/CL186</f>
        <v>3.9577836411609502E-2</v>
      </c>
      <c r="CN115" s="5">
        <f>30/$CN$1</f>
        <v>3.9577836411609502E-2</v>
      </c>
      <c r="CP115">
        <v>36</v>
      </c>
      <c r="CQ115" s="5">
        <f>CP115/CP186</f>
        <v>0.1487603305785124</v>
      </c>
      <c r="CR115" s="5">
        <f>36/$CR$1</f>
        <v>0.1487603305785124</v>
      </c>
      <c r="CT115">
        <v>25</v>
      </c>
      <c r="CU115" s="5">
        <f>CT115/CT186</f>
        <v>7.5075075075075076E-2</v>
      </c>
      <c r="CV115" s="5">
        <f>25/$CV$1</f>
        <v>7.5075075075075076E-2</v>
      </c>
      <c r="CX115">
        <v>41</v>
      </c>
      <c r="CY115" s="5">
        <f>CX115/CX186</f>
        <v>6.1469265367316339E-2</v>
      </c>
      <c r="CZ115" s="5">
        <f>41/$CZ$1</f>
        <v>6.1469265367316339E-2</v>
      </c>
    </row>
    <row r="116" spans="1:104" x14ac:dyDescent="0.25">
      <c r="A116" s="1" t="s">
        <v>1068</v>
      </c>
      <c r="B116">
        <v>18</v>
      </c>
      <c r="C116" s="5">
        <f>B116/B186</f>
        <v>1.7999999999999999E-2</v>
      </c>
      <c r="D116" s="5">
        <f>18/$D$1</f>
        <v>1.7999999999999999E-2</v>
      </c>
      <c r="F116">
        <v>11</v>
      </c>
      <c r="G116" s="5">
        <f>F116/F186</f>
        <v>2.1956087824351298E-2</v>
      </c>
      <c r="H116" s="5">
        <f>11/$H$1</f>
        <v>2.1956087824351298E-2</v>
      </c>
      <c r="J116">
        <v>7</v>
      </c>
      <c r="K116" s="5">
        <f>J116/J186</f>
        <v>1.4028056112224449E-2</v>
      </c>
      <c r="L116" s="5">
        <f>7/$L$1</f>
        <v>1.4028056112224449E-2</v>
      </c>
      <c r="N116">
        <v>2</v>
      </c>
      <c r="O116" s="5">
        <f>N116/N186</f>
        <v>2.0618556701030927E-2</v>
      </c>
      <c r="P116" s="5">
        <f>2/$P$1</f>
        <v>2.0618556701030927E-2</v>
      </c>
      <c r="R116">
        <v>6</v>
      </c>
      <c r="S116" s="5">
        <f>R116/R186</f>
        <v>3.0303030303030304E-2</v>
      </c>
      <c r="T116" s="5">
        <f>6/$T$1</f>
        <v>3.0303030303030304E-2</v>
      </c>
      <c r="V116">
        <v>6</v>
      </c>
      <c r="W116" s="5">
        <f>V116/V186</f>
        <v>2.4896265560165973E-2</v>
      </c>
      <c r="X116" s="5">
        <f>6/$X$1</f>
        <v>2.4896265560165973E-2</v>
      </c>
      <c r="Z116">
        <v>2</v>
      </c>
      <c r="AA116" s="5">
        <f>Z116/Z186</f>
        <v>1.0101010101010102E-2</v>
      </c>
      <c r="AB116" s="5">
        <f>2/$AB$1</f>
        <v>1.0101010101010102E-2</v>
      </c>
      <c r="AD116">
        <v>2</v>
      </c>
      <c r="AE116" s="5">
        <f>AD116/AD186</f>
        <v>1.2987012987012988E-2</v>
      </c>
      <c r="AF116" s="5">
        <f>2/$AF$1</f>
        <v>1.2987012987012988E-2</v>
      </c>
      <c r="AH116">
        <v>0</v>
      </c>
      <c r="AI116" s="5">
        <f>AH116/AH186</f>
        <v>0</v>
      </c>
      <c r="AJ116" s="5">
        <f>0/$AJ$1</f>
        <v>0</v>
      </c>
      <c r="AL116">
        <v>8</v>
      </c>
      <c r="AM116" s="5">
        <f>AL116/AL186</f>
        <v>2.1621621621621623E-2</v>
      </c>
      <c r="AN116" s="5">
        <f>8/$AN$1</f>
        <v>2.1621621621621623E-2</v>
      </c>
      <c r="AP116">
        <v>5</v>
      </c>
      <c r="AQ116" s="5">
        <f>AP116/AP186</f>
        <v>1.3227513227513227E-2</v>
      </c>
      <c r="AR116" s="5">
        <f>5/$AR$1</f>
        <v>1.3227513227513227E-2</v>
      </c>
      <c r="AT116">
        <v>5</v>
      </c>
      <c r="AU116" s="5">
        <f>AT116/AT186</f>
        <v>1.984126984126984E-2</v>
      </c>
      <c r="AV116" s="5">
        <f>5/$AV$1</f>
        <v>1.984126984126984E-2</v>
      </c>
      <c r="AX116">
        <v>5</v>
      </c>
      <c r="AY116" s="5">
        <f>AX116/AX186</f>
        <v>1.8315018315018316E-2</v>
      </c>
      <c r="AZ116" s="5">
        <f>5/$AZ$1</f>
        <v>1.8315018315018316E-2</v>
      </c>
      <c r="BA116" s="5"/>
      <c r="BB116">
        <v>3</v>
      </c>
      <c r="BC116" s="5">
        <f>BB116/BB186</f>
        <v>1.4778325123152709E-2</v>
      </c>
      <c r="BD116" s="5">
        <f>3/$BD$1</f>
        <v>1.4778325123152709E-2</v>
      </c>
      <c r="BF116">
        <v>6</v>
      </c>
      <c r="BG116" s="5">
        <f>BF116/BF186</f>
        <v>2.7906976744186046E-2</v>
      </c>
      <c r="BH116" s="5">
        <f>6/$BH$1</f>
        <v>2.7906976744186046E-2</v>
      </c>
      <c r="BJ116">
        <v>4</v>
      </c>
      <c r="BK116" s="5">
        <f>BJ116/BJ186</f>
        <v>1.2944983818770227E-2</v>
      </c>
      <c r="BL116" s="5">
        <f>4/$BL$1</f>
        <v>1.2944983818770227E-2</v>
      </c>
      <c r="BN116">
        <v>1</v>
      </c>
      <c r="BO116" s="5">
        <f>BN116/BN186</f>
        <v>2.1276595744680851E-2</v>
      </c>
      <c r="BP116" s="5">
        <f>1/$BP$1</f>
        <v>2.1276595744680851E-2</v>
      </c>
      <c r="BR116">
        <v>6</v>
      </c>
      <c r="BS116" s="5">
        <f>BR116/BR186</f>
        <v>1.9108280254777069E-2</v>
      </c>
      <c r="BT116" s="5">
        <f>6/$BT$1</f>
        <v>1.9108280254777069E-2</v>
      </c>
      <c r="BV116">
        <v>4</v>
      </c>
      <c r="BW116" s="5">
        <f>BV116/BV186</f>
        <v>1.0178117048346057E-2</v>
      </c>
      <c r="BX116" s="5">
        <f>4/$BX$1</f>
        <v>1.0178117048346057E-2</v>
      </c>
      <c r="BZ116">
        <v>7</v>
      </c>
      <c r="CA116" s="5">
        <f>BZ116/BZ186</f>
        <v>2.8455284552845527E-2</v>
      </c>
      <c r="CB116" s="5">
        <f>7/$CB$1</f>
        <v>2.8455284552845527E-2</v>
      </c>
      <c r="CD116">
        <v>5</v>
      </c>
      <c r="CE116" s="5">
        <f>CD116/CD186</f>
        <v>4.065040650406504E-2</v>
      </c>
      <c r="CF116" s="5">
        <f>5/$CF$1</f>
        <v>4.065040650406504E-2</v>
      </c>
      <c r="CH116">
        <v>7</v>
      </c>
      <c r="CI116" s="5">
        <f>CH116/CH186</f>
        <v>1.0174418604651164E-2</v>
      </c>
      <c r="CJ116" s="5">
        <f>7/$CJ$1</f>
        <v>1.0174418604651164E-2</v>
      </c>
      <c r="CL116">
        <v>12</v>
      </c>
      <c r="CM116" s="5">
        <f>CL116/CL186</f>
        <v>1.5831134564643801E-2</v>
      </c>
      <c r="CN116" s="5">
        <f>12/$CN$1</f>
        <v>1.5831134564643801E-2</v>
      </c>
      <c r="CP116">
        <v>6</v>
      </c>
      <c r="CQ116" s="5">
        <f>CP116/CP186</f>
        <v>2.4793388429752067E-2</v>
      </c>
      <c r="CR116" s="5">
        <f>6/$CR$1</f>
        <v>2.4793388429752067E-2</v>
      </c>
      <c r="CT116">
        <v>10</v>
      </c>
      <c r="CU116" s="5">
        <f>CT116/CT186</f>
        <v>3.003003003003003E-2</v>
      </c>
      <c r="CV116" s="5">
        <f>10/$CV$1</f>
        <v>3.003003003003003E-2</v>
      </c>
      <c r="CX116">
        <v>8</v>
      </c>
      <c r="CY116" s="5">
        <f>CX116/CX186</f>
        <v>1.1994002998500749E-2</v>
      </c>
      <c r="CZ116" s="5">
        <f>8/$CZ$1</f>
        <v>1.1994002998500749E-2</v>
      </c>
    </row>
    <row r="118" spans="1:104" x14ac:dyDescent="0.25">
      <c r="A118" s="1" t="s">
        <v>1069</v>
      </c>
      <c r="B118">
        <v>561</v>
      </c>
      <c r="C118" s="5">
        <f>B118/B186</f>
        <v>0.56100000000000005</v>
      </c>
      <c r="D118" s="5">
        <f>561/$D$1</f>
        <v>0.56100000000000005</v>
      </c>
      <c r="F118">
        <v>269</v>
      </c>
      <c r="G118" s="5">
        <f>F118/F186</f>
        <v>0.53692614770459079</v>
      </c>
      <c r="H118" s="5">
        <f>269/$H$1</f>
        <v>0.53692614770459079</v>
      </c>
      <c r="J118">
        <v>292</v>
      </c>
      <c r="K118" s="5">
        <f>J118/J186</f>
        <v>0.58517034068136276</v>
      </c>
      <c r="L118" s="5">
        <f>292/$L$1</f>
        <v>0.58517034068136276</v>
      </c>
      <c r="N118">
        <v>46</v>
      </c>
      <c r="O118" s="5">
        <f>N118/N186</f>
        <v>0.47422680412371132</v>
      </c>
      <c r="P118" s="5">
        <f>46/$P$1</f>
        <v>0.47422680412371132</v>
      </c>
      <c r="R118">
        <v>99</v>
      </c>
      <c r="S118" s="5">
        <f>R118/R186</f>
        <v>0.5</v>
      </c>
      <c r="T118" s="5">
        <f>99/$T$1</f>
        <v>0.5</v>
      </c>
      <c r="V118">
        <v>131</v>
      </c>
      <c r="W118" s="5">
        <f>V118/V186</f>
        <v>0.54356846473029041</v>
      </c>
      <c r="X118" s="5">
        <f>131/$X$1</f>
        <v>0.54356846473029041</v>
      </c>
      <c r="Z118">
        <v>123</v>
      </c>
      <c r="AA118" s="5">
        <f>Z118/Z186</f>
        <v>0.62121212121212122</v>
      </c>
      <c r="AB118" s="5">
        <f>123/$AB$1</f>
        <v>0.62121212121212122</v>
      </c>
      <c r="AD118">
        <v>94</v>
      </c>
      <c r="AE118" s="5">
        <f>AD118/AD186</f>
        <v>0.61038961038961037</v>
      </c>
      <c r="AF118" s="5">
        <f>94/$AF$1</f>
        <v>0.61038961038961037</v>
      </c>
      <c r="AH118">
        <v>74</v>
      </c>
      <c r="AI118" s="5">
        <f>AH118/AH186</f>
        <v>0.6166666666666667</v>
      </c>
      <c r="AJ118" s="5">
        <f>74/$AJ$1</f>
        <v>0.6166666666666667</v>
      </c>
      <c r="AL118">
        <v>235</v>
      </c>
      <c r="AM118" s="5">
        <f>AL118/AL186</f>
        <v>0.63513513513513509</v>
      </c>
      <c r="AN118" s="5">
        <f>235/$AN$1</f>
        <v>0.63513513513513509</v>
      </c>
      <c r="AP118">
        <v>215</v>
      </c>
      <c r="AQ118" s="5">
        <f>AP118/AP186</f>
        <v>0.56878306878306883</v>
      </c>
      <c r="AR118" s="5">
        <f>215/$AR$1</f>
        <v>0.56878306878306883</v>
      </c>
      <c r="AT118">
        <v>111</v>
      </c>
      <c r="AU118" s="5">
        <f>AT118/AT186</f>
        <v>0.44047619047619047</v>
      </c>
      <c r="AV118" s="5">
        <f>111/$AV$1</f>
        <v>0.44047619047619047</v>
      </c>
      <c r="AX118">
        <v>172</v>
      </c>
      <c r="AY118" s="5">
        <f>AX118/AX186</f>
        <v>0.63003663003663002</v>
      </c>
      <c r="AZ118" s="5">
        <f>172/$AZ$1</f>
        <v>0.63003663003663002</v>
      </c>
      <c r="BA118" s="5"/>
      <c r="BB118">
        <v>120</v>
      </c>
      <c r="BC118" s="5">
        <f>BB118/BB186</f>
        <v>0.59113300492610843</v>
      </c>
      <c r="BD118" s="5">
        <f>120/$BD$1</f>
        <v>0.59113300492610843</v>
      </c>
      <c r="BF118">
        <v>119</v>
      </c>
      <c r="BG118" s="5">
        <f>BF118/BF186</f>
        <v>0.55348837209302326</v>
      </c>
      <c r="BH118" s="5">
        <f>119/$BH$1</f>
        <v>0.55348837209302326</v>
      </c>
      <c r="BJ118">
        <v>150</v>
      </c>
      <c r="BK118" s="5">
        <f>BJ118/BJ186</f>
        <v>0.4854368932038835</v>
      </c>
      <c r="BL118" s="5">
        <f>150/$BL$1</f>
        <v>0.4854368932038835</v>
      </c>
      <c r="BN118">
        <v>26</v>
      </c>
      <c r="BO118" s="5">
        <f>BN118/BN186</f>
        <v>0.55319148936170215</v>
      </c>
      <c r="BP118" s="5">
        <f>26/$BP$1</f>
        <v>0.55319148936170215</v>
      </c>
      <c r="BR118">
        <v>202</v>
      </c>
      <c r="BS118" s="5">
        <f>BR118/BR186</f>
        <v>0.64331210191082799</v>
      </c>
      <c r="BT118" s="5">
        <f>202/$BT$1</f>
        <v>0.64331210191082799</v>
      </c>
      <c r="BV118">
        <v>219</v>
      </c>
      <c r="BW118" s="5">
        <f>BV118/BV186</f>
        <v>0.5572519083969466</v>
      </c>
      <c r="BX118" s="5">
        <f>219/$BX$1</f>
        <v>0.5572519083969466</v>
      </c>
      <c r="BZ118">
        <v>114</v>
      </c>
      <c r="CA118" s="5">
        <f>BZ118/BZ186</f>
        <v>0.46341463414634149</v>
      </c>
      <c r="CB118" s="5">
        <f>114/$CB$1</f>
        <v>0.46341463414634149</v>
      </c>
      <c r="CD118">
        <v>73</v>
      </c>
      <c r="CE118" s="5">
        <f>CD118/CD186</f>
        <v>0.5934959349593496</v>
      </c>
      <c r="CF118" s="5">
        <f>73/$CF$1</f>
        <v>0.5934959349593496</v>
      </c>
      <c r="CH118">
        <v>392</v>
      </c>
      <c r="CI118" s="5">
        <f>CH118/CH186</f>
        <v>0.56976744186046513</v>
      </c>
      <c r="CJ118" s="5">
        <f>392/$CJ$1</f>
        <v>0.56976744186046513</v>
      </c>
      <c r="CL118">
        <v>437</v>
      </c>
      <c r="CM118" s="5">
        <f>CL118/CL186</f>
        <v>0.57651715039577833</v>
      </c>
      <c r="CN118" s="5">
        <f>437/$CN$1</f>
        <v>0.57651715039577833</v>
      </c>
      <c r="CP118">
        <v>124</v>
      </c>
      <c r="CQ118" s="5">
        <f>CP118/CP186</f>
        <v>0.51239669421487599</v>
      </c>
      <c r="CR118" s="5">
        <f>124/$CR$1</f>
        <v>0.51239669421487599</v>
      </c>
      <c r="CT118">
        <v>180</v>
      </c>
      <c r="CU118" s="5">
        <f>CT118/CT186</f>
        <v>0.54054054054054057</v>
      </c>
      <c r="CV118" s="5">
        <f>180/$CV$1</f>
        <v>0.54054054054054057</v>
      </c>
      <c r="CX118">
        <v>381</v>
      </c>
      <c r="CY118" s="5">
        <f>CX118/CX186</f>
        <v>0.5712143928035982</v>
      </c>
      <c r="CZ118" s="5">
        <f>381/$CZ$1</f>
        <v>0.5712143928035982</v>
      </c>
    </row>
    <row r="119" spans="1:104" x14ac:dyDescent="0.25">
      <c r="A119" s="1" t="s">
        <v>1070</v>
      </c>
      <c r="B119">
        <v>347</v>
      </c>
      <c r="C119" s="5">
        <f>B119/B186</f>
        <v>0.34699999999999998</v>
      </c>
      <c r="D119" s="5">
        <f>347/$D$1</f>
        <v>0.34699999999999998</v>
      </c>
      <c r="F119">
        <v>183</v>
      </c>
      <c r="G119" s="5">
        <f>F119/F186</f>
        <v>0.3652694610778443</v>
      </c>
      <c r="H119" s="5">
        <f>183/$H$1</f>
        <v>0.3652694610778443</v>
      </c>
      <c r="J119">
        <v>164</v>
      </c>
      <c r="K119" s="5">
        <f>J119/J186</f>
        <v>0.32865731462925851</v>
      </c>
      <c r="L119" s="5">
        <f>164/$L$1</f>
        <v>0.32865731462925851</v>
      </c>
      <c r="N119">
        <v>44</v>
      </c>
      <c r="O119" s="5">
        <f>N119/N186</f>
        <v>0.45360824742268041</v>
      </c>
      <c r="P119" s="5">
        <f>44/$P$1</f>
        <v>0.45360824742268041</v>
      </c>
      <c r="R119">
        <v>78</v>
      </c>
      <c r="S119" s="5">
        <f>R119/R186</f>
        <v>0.39393939393939392</v>
      </c>
      <c r="T119" s="5">
        <f>78/$T$1</f>
        <v>0.39393939393939392</v>
      </c>
      <c r="V119">
        <v>87</v>
      </c>
      <c r="W119" s="5">
        <f>V119/V186</f>
        <v>0.36099585062240663</v>
      </c>
      <c r="X119" s="5">
        <f>87/$X$1</f>
        <v>0.36099585062240663</v>
      </c>
      <c r="Z119">
        <v>55</v>
      </c>
      <c r="AA119" s="5">
        <f>Z119/Z186</f>
        <v>0.27777777777777779</v>
      </c>
      <c r="AB119" s="5">
        <f>55/$AB$1</f>
        <v>0.27777777777777779</v>
      </c>
      <c r="AD119">
        <v>47</v>
      </c>
      <c r="AE119" s="5">
        <f>AD119/AD186</f>
        <v>0.30519480519480519</v>
      </c>
      <c r="AF119" s="5">
        <f>47/$AF$1</f>
        <v>0.30519480519480519</v>
      </c>
      <c r="AH119">
        <v>37</v>
      </c>
      <c r="AI119" s="5">
        <f>AH119/AH186</f>
        <v>0.30833333333333335</v>
      </c>
      <c r="AJ119" s="5">
        <f>37/$AJ$1</f>
        <v>0.30833333333333335</v>
      </c>
      <c r="AL119">
        <v>105</v>
      </c>
      <c r="AM119" s="5">
        <f>AL119/AL186</f>
        <v>0.28378378378378377</v>
      </c>
      <c r="AN119" s="5">
        <f>105/$AN$1</f>
        <v>0.28378378378378377</v>
      </c>
      <c r="AP119">
        <v>128</v>
      </c>
      <c r="AQ119" s="5">
        <f>AP119/AP186</f>
        <v>0.33862433862433861</v>
      </c>
      <c r="AR119" s="5">
        <f>128/$AR$1</f>
        <v>0.33862433862433861</v>
      </c>
      <c r="AT119">
        <v>114</v>
      </c>
      <c r="AU119" s="5">
        <f>AT119/AT186</f>
        <v>0.45238095238095238</v>
      </c>
      <c r="AV119" s="5">
        <f>114/$AV$1</f>
        <v>0.45238095238095238</v>
      </c>
      <c r="AX119">
        <v>79</v>
      </c>
      <c r="AY119" s="5">
        <f>AX119/AX186</f>
        <v>0.2893772893772894</v>
      </c>
      <c r="AZ119" s="5">
        <f>79/$AZ$1</f>
        <v>0.2893772893772894</v>
      </c>
      <c r="BA119" s="5"/>
      <c r="BB119">
        <v>66</v>
      </c>
      <c r="BC119" s="5">
        <f>BB119/BB186</f>
        <v>0.3251231527093596</v>
      </c>
      <c r="BD119" s="5">
        <f>66/$BD$1</f>
        <v>0.3251231527093596</v>
      </c>
      <c r="BF119">
        <v>75</v>
      </c>
      <c r="BG119" s="5">
        <f>BF119/BF186</f>
        <v>0.34883720930232559</v>
      </c>
      <c r="BH119" s="5">
        <f>75/$BH$1</f>
        <v>0.34883720930232559</v>
      </c>
      <c r="BJ119">
        <v>127</v>
      </c>
      <c r="BK119" s="5">
        <f>BJ119/BJ186</f>
        <v>0.4110032362459547</v>
      </c>
      <c r="BL119" s="5">
        <f>127/$BL$1</f>
        <v>0.4110032362459547</v>
      </c>
      <c r="BN119">
        <v>16</v>
      </c>
      <c r="BO119" s="5">
        <f>BN119/BN186</f>
        <v>0.34042553191489361</v>
      </c>
      <c r="BP119" s="5">
        <f>16/$BP$1</f>
        <v>0.34042553191489361</v>
      </c>
      <c r="BR119">
        <v>92</v>
      </c>
      <c r="BS119" s="5">
        <f>BR119/BR186</f>
        <v>0.2929936305732484</v>
      </c>
      <c r="BT119" s="5">
        <f>92/$BT$1</f>
        <v>0.2929936305732484</v>
      </c>
      <c r="BV119">
        <v>134</v>
      </c>
      <c r="BW119" s="5">
        <f>BV119/BV186</f>
        <v>0.34096692111959287</v>
      </c>
      <c r="BX119" s="5">
        <f>134/$BX$1</f>
        <v>0.34096692111959287</v>
      </c>
      <c r="BZ119">
        <v>105</v>
      </c>
      <c r="CA119" s="5">
        <f>BZ119/BZ186</f>
        <v>0.42682926829268292</v>
      </c>
      <c r="CB119" s="5">
        <f>105/$CB$1</f>
        <v>0.42682926829268292</v>
      </c>
      <c r="CD119">
        <v>34</v>
      </c>
      <c r="CE119" s="5">
        <f>CD119/CD186</f>
        <v>0.27642276422764228</v>
      </c>
      <c r="CF119" s="5">
        <f>34/$CF$1</f>
        <v>0.27642276422764228</v>
      </c>
      <c r="CH119">
        <v>240</v>
      </c>
      <c r="CI119" s="5">
        <f>CH119/CH186</f>
        <v>0.34883720930232559</v>
      </c>
      <c r="CJ119" s="5">
        <f>240/$CJ$1</f>
        <v>0.34883720930232559</v>
      </c>
      <c r="CL119">
        <v>266</v>
      </c>
      <c r="CM119" s="5">
        <f>CL119/CL186</f>
        <v>0.35092348284960423</v>
      </c>
      <c r="CN119" s="5">
        <f>266/$CN$1</f>
        <v>0.35092348284960423</v>
      </c>
      <c r="CP119">
        <v>81</v>
      </c>
      <c r="CQ119" s="5">
        <f>CP119/CP186</f>
        <v>0.33471074380165289</v>
      </c>
      <c r="CR119" s="5">
        <f>81/$CR$1</f>
        <v>0.33471074380165289</v>
      </c>
      <c r="CT119">
        <v>118</v>
      </c>
      <c r="CU119" s="5">
        <f>CT119/CT186</f>
        <v>0.35435435435435436</v>
      </c>
      <c r="CV119" s="5">
        <f>118/$CV$1</f>
        <v>0.35435435435435436</v>
      </c>
      <c r="CX119">
        <v>229</v>
      </c>
      <c r="CY119" s="5">
        <f>CX119/CX186</f>
        <v>0.34332833583208394</v>
      </c>
      <c r="CZ119" s="5">
        <f>229/$CZ$1</f>
        <v>0.34332833583208394</v>
      </c>
    </row>
    <row r="120" spans="1:104" x14ac:dyDescent="0.25">
      <c r="A120" s="1" t="s">
        <v>1071</v>
      </c>
      <c r="B120">
        <v>60</v>
      </c>
      <c r="C120" s="5">
        <f>B120/B186</f>
        <v>0.06</v>
      </c>
      <c r="D120" s="5">
        <f>60/$D$1</f>
        <v>0.06</v>
      </c>
      <c r="F120">
        <v>35</v>
      </c>
      <c r="G120" s="5">
        <f>F120/F186</f>
        <v>6.9860279441117765E-2</v>
      </c>
      <c r="H120" s="5">
        <f>35/$H$1</f>
        <v>6.9860279441117765E-2</v>
      </c>
      <c r="J120">
        <v>25</v>
      </c>
      <c r="K120" s="5">
        <f>J120/J186</f>
        <v>5.0100200400801605E-2</v>
      </c>
      <c r="L120" s="5">
        <f>25/$L$1</f>
        <v>5.0100200400801605E-2</v>
      </c>
      <c r="N120">
        <v>2</v>
      </c>
      <c r="O120" s="5">
        <f>N120/N186</f>
        <v>2.0618556701030927E-2</v>
      </c>
      <c r="P120" s="5">
        <f>2/$P$1</f>
        <v>2.0618556701030927E-2</v>
      </c>
      <c r="R120">
        <v>13</v>
      </c>
      <c r="S120" s="5">
        <f>R120/R186</f>
        <v>6.5656565656565663E-2</v>
      </c>
      <c r="T120" s="5">
        <f>13/$T$1</f>
        <v>6.5656565656565663E-2</v>
      </c>
      <c r="V120">
        <v>13</v>
      </c>
      <c r="W120" s="5">
        <f>V120/V186</f>
        <v>5.3941908713692949E-2</v>
      </c>
      <c r="X120" s="5">
        <f>13/$X$1</f>
        <v>5.3941908713692949E-2</v>
      </c>
      <c r="Z120">
        <v>15</v>
      </c>
      <c r="AA120" s="5">
        <f>Z120/Z186</f>
        <v>7.575757575757576E-2</v>
      </c>
      <c r="AB120" s="5">
        <f>15/$AB$1</f>
        <v>7.575757575757576E-2</v>
      </c>
      <c r="AD120">
        <v>10</v>
      </c>
      <c r="AE120" s="5">
        <f>AD120/AD186</f>
        <v>6.4935064935064929E-2</v>
      </c>
      <c r="AF120" s="5">
        <f>10/$AF$1</f>
        <v>6.4935064935064929E-2</v>
      </c>
      <c r="AH120">
        <v>8</v>
      </c>
      <c r="AI120" s="5">
        <f>AH120/AH186</f>
        <v>6.6666666666666666E-2</v>
      </c>
      <c r="AJ120" s="5">
        <f>8/$AJ$1</f>
        <v>6.6666666666666666E-2</v>
      </c>
      <c r="AL120">
        <v>18</v>
      </c>
      <c r="AM120" s="5">
        <f>AL120/AL186</f>
        <v>4.8648648648648651E-2</v>
      </c>
      <c r="AN120" s="5">
        <f>18/$AN$1</f>
        <v>4.8648648648648651E-2</v>
      </c>
      <c r="AP120">
        <v>22</v>
      </c>
      <c r="AQ120" s="5">
        <f>AP120/AP186</f>
        <v>5.8201058201058198E-2</v>
      </c>
      <c r="AR120" s="5">
        <f>22/$AR$1</f>
        <v>5.8201058201058198E-2</v>
      </c>
      <c r="AT120">
        <v>20</v>
      </c>
      <c r="AU120" s="5">
        <f>AT120/AT186</f>
        <v>7.9365079365079361E-2</v>
      </c>
      <c r="AV120" s="5">
        <f>20/$AV$1</f>
        <v>7.9365079365079361E-2</v>
      </c>
      <c r="AX120">
        <v>17</v>
      </c>
      <c r="AY120" s="5">
        <f>AX120/AX186</f>
        <v>6.2271062271062272E-2</v>
      </c>
      <c r="AZ120" s="5">
        <f>17/$AZ$1</f>
        <v>6.2271062271062272E-2</v>
      </c>
      <c r="BA120" s="5"/>
      <c r="BB120">
        <v>12</v>
      </c>
      <c r="BC120" s="5">
        <f>BB120/BB186</f>
        <v>5.9113300492610835E-2</v>
      </c>
      <c r="BD120" s="5">
        <f>12/$BD$1</f>
        <v>5.9113300492610835E-2</v>
      </c>
      <c r="BF120">
        <v>9</v>
      </c>
      <c r="BG120" s="5">
        <f>BF120/BF186</f>
        <v>4.1860465116279069E-2</v>
      </c>
      <c r="BH120" s="5">
        <f>9/$BH$1</f>
        <v>4.1860465116279069E-2</v>
      </c>
      <c r="BJ120">
        <v>22</v>
      </c>
      <c r="BK120" s="5">
        <f>BJ120/BJ186</f>
        <v>7.1197411003236247E-2</v>
      </c>
      <c r="BL120" s="5">
        <f>22/$BL$1</f>
        <v>7.1197411003236247E-2</v>
      </c>
      <c r="BN120">
        <v>3</v>
      </c>
      <c r="BO120" s="5">
        <f>BN120/BN186</f>
        <v>6.3829787234042548E-2</v>
      </c>
      <c r="BP120" s="5">
        <f>3/$BP$1</f>
        <v>6.3829787234042548E-2</v>
      </c>
      <c r="BR120">
        <v>8</v>
      </c>
      <c r="BS120" s="5">
        <f>BR120/BR186</f>
        <v>2.5477707006369428E-2</v>
      </c>
      <c r="BT120" s="5">
        <f>8/$BT$1</f>
        <v>2.5477707006369428E-2</v>
      </c>
      <c r="BV120">
        <v>30</v>
      </c>
      <c r="BW120" s="5">
        <f>BV120/BV186</f>
        <v>7.6335877862595422E-2</v>
      </c>
      <c r="BX120" s="5">
        <f>30/$BX$1</f>
        <v>7.6335877862595422E-2</v>
      </c>
      <c r="BZ120">
        <v>19</v>
      </c>
      <c r="CA120" s="5">
        <f>BZ120/BZ186</f>
        <v>7.7235772357723581E-2</v>
      </c>
      <c r="CB120" s="5">
        <f>19/$CB$1</f>
        <v>7.7235772357723581E-2</v>
      </c>
      <c r="CD120">
        <v>10</v>
      </c>
      <c r="CE120" s="5">
        <f>CD120/CD186</f>
        <v>8.1300813008130079E-2</v>
      </c>
      <c r="CF120" s="5">
        <f>10/$CF$1</f>
        <v>8.1300813008130079E-2</v>
      </c>
      <c r="CH120">
        <v>38</v>
      </c>
      <c r="CI120" s="5">
        <f>CH120/CH186</f>
        <v>5.5232558139534885E-2</v>
      </c>
      <c r="CJ120" s="5">
        <f>38/$CJ$1</f>
        <v>5.5232558139534885E-2</v>
      </c>
      <c r="CL120">
        <v>30</v>
      </c>
      <c r="CM120" s="5">
        <f>CL120/CL186</f>
        <v>3.9577836411609502E-2</v>
      </c>
      <c r="CN120" s="5">
        <f>30/$CN$1</f>
        <v>3.9577836411609502E-2</v>
      </c>
      <c r="CP120">
        <v>30</v>
      </c>
      <c r="CQ120" s="5">
        <f>CP120/CP186</f>
        <v>0.12396694214876033</v>
      </c>
      <c r="CR120" s="5">
        <f>30/$CR$1</f>
        <v>0.12396694214876033</v>
      </c>
      <c r="CT120">
        <v>25</v>
      </c>
      <c r="CU120" s="5">
        <f>CT120/CT186</f>
        <v>7.5075075075075076E-2</v>
      </c>
      <c r="CV120" s="5">
        <f>25/$CV$1</f>
        <v>7.5075075075075076E-2</v>
      </c>
      <c r="CX120">
        <v>35</v>
      </c>
      <c r="CY120" s="5">
        <f>CX120/CX186</f>
        <v>5.2473763118440778E-2</v>
      </c>
      <c r="CZ120" s="5">
        <f>35/$CZ$1</f>
        <v>5.2473763118440778E-2</v>
      </c>
    </row>
    <row r="121" spans="1:104" x14ac:dyDescent="0.25">
      <c r="A121" s="1" t="s">
        <v>1072</v>
      </c>
      <c r="B121">
        <v>32</v>
      </c>
      <c r="C121" s="5">
        <f>B121/B186</f>
        <v>3.2000000000000001E-2</v>
      </c>
      <c r="D121" s="5">
        <f>32/$D$1</f>
        <v>3.2000000000000001E-2</v>
      </c>
      <c r="F121">
        <v>14</v>
      </c>
      <c r="G121" s="5">
        <f>F121/F186</f>
        <v>2.7944111776447105E-2</v>
      </c>
      <c r="H121" s="5">
        <f>14/$H$1</f>
        <v>2.7944111776447105E-2</v>
      </c>
      <c r="J121">
        <v>18</v>
      </c>
      <c r="K121" s="5">
        <f>J121/J186</f>
        <v>3.6072144288577156E-2</v>
      </c>
      <c r="L121" s="5">
        <f>18/$L$1</f>
        <v>3.6072144288577156E-2</v>
      </c>
      <c r="N121">
        <v>5</v>
      </c>
      <c r="O121" s="5">
        <f>N121/N186</f>
        <v>5.1546391752577317E-2</v>
      </c>
      <c r="P121" s="5">
        <f>5/$P$1</f>
        <v>5.1546391752577317E-2</v>
      </c>
      <c r="R121">
        <v>8</v>
      </c>
      <c r="S121" s="5">
        <f>R121/R186</f>
        <v>4.0404040404040407E-2</v>
      </c>
      <c r="T121" s="5">
        <f>8/$T$1</f>
        <v>4.0404040404040407E-2</v>
      </c>
      <c r="V121">
        <v>10</v>
      </c>
      <c r="W121" s="5">
        <f>V121/V186</f>
        <v>4.1493775933609957E-2</v>
      </c>
      <c r="X121" s="5">
        <f>10/$X$1</f>
        <v>4.1493775933609957E-2</v>
      </c>
      <c r="Z121">
        <v>5</v>
      </c>
      <c r="AA121" s="5">
        <f>Z121/Z186</f>
        <v>2.5252525252525252E-2</v>
      </c>
      <c r="AB121" s="5">
        <f>5/$AB$1</f>
        <v>2.5252525252525252E-2</v>
      </c>
      <c r="AD121">
        <v>3</v>
      </c>
      <c r="AE121" s="5">
        <f>AD121/AD186</f>
        <v>1.948051948051948E-2</v>
      </c>
      <c r="AF121" s="5">
        <f>3/$AF$1</f>
        <v>1.948051948051948E-2</v>
      </c>
      <c r="AH121">
        <v>1</v>
      </c>
      <c r="AI121" s="5">
        <f>AH121/AH186</f>
        <v>8.3333333333333332E-3</v>
      </c>
      <c r="AJ121" s="5">
        <f>1/$AJ$1</f>
        <v>8.3333333333333332E-3</v>
      </c>
      <c r="AL121">
        <v>12</v>
      </c>
      <c r="AM121" s="5">
        <f>AL121/AL186</f>
        <v>3.2432432432432434E-2</v>
      </c>
      <c r="AN121" s="5">
        <f>12/$AN$1</f>
        <v>3.2432432432432434E-2</v>
      </c>
      <c r="AP121">
        <v>13</v>
      </c>
      <c r="AQ121" s="5">
        <f>AP121/AP186</f>
        <v>3.439153439153439E-2</v>
      </c>
      <c r="AR121" s="5">
        <f>13/$AR$1</f>
        <v>3.439153439153439E-2</v>
      </c>
      <c r="AT121">
        <v>7</v>
      </c>
      <c r="AU121" s="5">
        <f>AT121/AT186</f>
        <v>2.7777777777777776E-2</v>
      </c>
      <c r="AV121" s="5">
        <f>7/$AV$1</f>
        <v>2.7777777777777776E-2</v>
      </c>
      <c r="AX121">
        <v>5</v>
      </c>
      <c r="AY121" s="5">
        <f>AX121/AX186</f>
        <v>1.8315018315018316E-2</v>
      </c>
      <c r="AZ121" s="5">
        <f>5/$AZ$1</f>
        <v>1.8315018315018316E-2</v>
      </c>
      <c r="BA121" s="5"/>
      <c r="BB121">
        <v>5</v>
      </c>
      <c r="BC121" s="5">
        <f>BB121/BB186</f>
        <v>2.4630541871921183E-2</v>
      </c>
      <c r="BD121" s="5">
        <f>5/$BD$1</f>
        <v>2.4630541871921183E-2</v>
      </c>
      <c r="BF121">
        <v>12</v>
      </c>
      <c r="BG121" s="5">
        <f>BF121/BF186</f>
        <v>5.5813953488372092E-2</v>
      </c>
      <c r="BH121" s="5">
        <f>12/$BH$1</f>
        <v>5.5813953488372092E-2</v>
      </c>
      <c r="BJ121">
        <v>10</v>
      </c>
      <c r="BK121" s="5">
        <f>BJ121/BJ186</f>
        <v>3.2362459546925564E-2</v>
      </c>
      <c r="BL121" s="5">
        <f>10/$BL$1</f>
        <v>3.2362459546925564E-2</v>
      </c>
      <c r="BN121">
        <v>2</v>
      </c>
      <c r="BO121" s="5">
        <f>BN121/BN186</f>
        <v>4.2553191489361701E-2</v>
      </c>
      <c r="BP121" s="5">
        <f>2/$BP$1</f>
        <v>4.2553191489361701E-2</v>
      </c>
      <c r="BR121">
        <v>12</v>
      </c>
      <c r="BS121" s="5">
        <f>BR121/BR186</f>
        <v>3.8216560509554139E-2</v>
      </c>
      <c r="BT121" s="5">
        <f>12/$BT$1</f>
        <v>3.8216560509554139E-2</v>
      </c>
      <c r="BV121">
        <v>10</v>
      </c>
      <c r="BW121" s="5">
        <f>BV121/BV186</f>
        <v>2.5445292620865138E-2</v>
      </c>
      <c r="BX121" s="5">
        <f>10/$BX$1</f>
        <v>2.5445292620865138E-2</v>
      </c>
      <c r="BZ121">
        <v>8</v>
      </c>
      <c r="CA121" s="5">
        <f>BZ121/BZ186</f>
        <v>3.2520325203252036E-2</v>
      </c>
      <c r="CB121" s="5">
        <f>8/$CB$1</f>
        <v>3.2520325203252036E-2</v>
      </c>
      <c r="CD121">
        <v>6</v>
      </c>
      <c r="CE121" s="5">
        <f>CD121/CD186</f>
        <v>4.878048780487805E-2</v>
      </c>
      <c r="CF121" s="5">
        <f>6/$CF$1</f>
        <v>4.878048780487805E-2</v>
      </c>
      <c r="CH121">
        <v>18</v>
      </c>
      <c r="CI121" s="5">
        <f>CH121/CH186</f>
        <v>2.616279069767442E-2</v>
      </c>
      <c r="CJ121" s="5">
        <f>18/$CJ$1</f>
        <v>2.616279069767442E-2</v>
      </c>
      <c r="CL121">
        <v>25</v>
      </c>
      <c r="CM121" s="5">
        <f>CL121/CL186</f>
        <v>3.2981530343007916E-2</v>
      </c>
      <c r="CN121" s="5">
        <f>25/$CN$1</f>
        <v>3.2981530343007916E-2</v>
      </c>
      <c r="CP121">
        <v>7</v>
      </c>
      <c r="CQ121" s="5">
        <f>CP121/CP186</f>
        <v>2.8925619834710745E-2</v>
      </c>
      <c r="CR121" s="5">
        <f>7/$CR$1</f>
        <v>2.8925619834710745E-2</v>
      </c>
      <c r="CT121">
        <v>10</v>
      </c>
      <c r="CU121" s="5">
        <f>CT121/CT186</f>
        <v>3.003003003003003E-2</v>
      </c>
      <c r="CV121" s="5">
        <f>10/$CV$1</f>
        <v>3.003003003003003E-2</v>
      </c>
      <c r="CX121">
        <v>22</v>
      </c>
      <c r="CY121" s="5">
        <f>CX121/CX186</f>
        <v>3.2983508245877063E-2</v>
      </c>
      <c r="CZ121" s="5">
        <f>22/$CZ$1</f>
        <v>3.2983508245877063E-2</v>
      </c>
    </row>
    <row r="123" spans="1:104" x14ac:dyDescent="0.25">
      <c r="A123" s="1" t="s">
        <v>1073</v>
      </c>
      <c r="B123">
        <v>629</v>
      </c>
      <c r="C123" s="5">
        <f>B123/B186</f>
        <v>0.629</v>
      </c>
      <c r="D123" s="5">
        <f>629/$D$1</f>
        <v>0.629</v>
      </c>
      <c r="F123">
        <v>290</v>
      </c>
      <c r="G123" s="5">
        <f>F123/F186</f>
        <v>0.57884231536926145</v>
      </c>
      <c r="H123" s="5">
        <f>290/$H$1</f>
        <v>0.57884231536926145</v>
      </c>
      <c r="J123">
        <v>339</v>
      </c>
      <c r="K123" s="5">
        <f>J123/J186</f>
        <v>0.67935871743486975</v>
      </c>
      <c r="L123" s="5">
        <f>339/$L$1</f>
        <v>0.67935871743486975</v>
      </c>
      <c r="N123">
        <v>63</v>
      </c>
      <c r="O123" s="5">
        <f>N123/N186</f>
        <v>0.64948453608247425</v>
      </c>
      <c r="P123" s="5">
        <f>63/$P$1</f>
        <v>0.64948453608247425</v>
      </c>
      <c r="R123">
        <v>107</v>
      </c>
      <c r="S123" s="5">
        <f>R123/R186</f>
        <v>0.54040404040404044</v>
      </c>
      <c r="T123" s="5">
        <f>107/$T$1</f>
        <v>0.54040404040404044</v>
      </c>
      <c r="V123">
        <v>150</v>
      </c>
      <c r="W123" s="5">
        <f>V123/V186</f>
        <v>0.62240663900414939</v>
      </c>
      <c r="X123" s="5">
        <f>150/$X$1</f>
        <v>0.62240663900414939</v>
      </c>
      <c r="Z123">
        <v>130</v>
      </c>
      <c r="AA123" s="5">
        <f>Z123/Z186</f>
        <v>0.65656565656565657</v>
      </c>
      <c r="AB123" s="5">
        <f>130/$AB$1</f>
        <v>0.65656565656565657</v>
      </c>
      <c r="AD123">
        <v>101</v>
      </c>
      <c r="AE123" s="5">
        <f>AD123/AD186</f>
        <v>0.6558441558441559</v>
      </c>
      <c r="AF123" s="5">
        <f>101/$AF$1</f>
        <v>0.6558441558441559</v>
      </c>
      <c r="AH123">
        <v>83</v>
      </c>
      <c r="AI123" s="5">
        <f>AH123/AH186</f>
        <v>0.69166666666666665</v>
      </c>
      <c r="AJ123" s="5">
        <f>83/$AJ$1</f>
        <v>0.69166666666666665</v>
      </c>
      <c r="AL123">
        <v>245</v>
      </c>
      <c r="AM123" s="5">
        <f>AL123/AL186</f>
        <v>0.66216216216216217</v>
      </c>
      <c r="AN123" s="5">
        <f>245/$AN$1</f>
        <v>0.66216216216216217</v>
      </c>
      <c r="AP123">
        <v>240</v>
      </c>
      <c r="AQ123" s="5">
        <f>AP123/AP186</f>
        <v>0.63492063492063489</v>
      </c>
      <c r="AR123" s="5">
        <f>240/$AR$1</f>
        <v>0.63492063492063489</v>
      </c>
      <c r="AT123">
        <v>144</v>
      </c>
      <c r="AU123" s="5">
        <f>AT123/AT186</f>
        <v>0.5714285714285714</v>
      </c>
      <c r="AV123" s="5">
        <f>144/$AV$1</f>
        <v>0.5714285714285714</v>
      </c>
      <c r="AX123">
        <v>174</v>
      </c>
      <c r="AY123" s="5">
        <f>AX123/AX186</f>
        <v>0.63736263736263732</v>
      </c>
      <c r="AZ123" s="5">
        <f>174/$AZ$1</f>
        <v>0.63736263736263732</v>
      </c>
      <c r="BA123" s="5"/>
      <c r="BB123">
        <v>134</v>
      </c>
      <c r="BC123" s="5">
        <f>BB123/BB186</f>
        <v>0.66009852216748766</v>
      </c>
      <c r="BD123" s="5">
        <f>134/$BD$1</f>
        <v>0.66009852216748766</v>
      </c>
      <c r="BF123">
        <v>145</v>
      </c>
      <c r="BG123" s="5">
        <f>BF123/BF186</f>
        <v>0.67441860465116277</v>
      </c>
      <c r="BH123" s="5">
        <f>145/$BH$1</f>
        <v>0.67441860465116277</v>
      </c>
      <c r="BJ123">
        <v>176</v>
      </c>
      <c r="BK123" s="5">
        <f>BJ123/BJ186</f>
        <v>0.56957928802588997</v>
      </c>
      <c r="BL123" s="5">
        <f>176/$BL$1</f>
        <v>0.56957928802588997</v>
      </c>
      <c r="BN123">
        <v>32</v>
      </c>
      <c r="BO123" s="5">
        <f>BN123/BN186</f>
        <v>0.68085106382978722</v>
      </c>
      <c r="BP123" s="5">
        <f>32/$BP$1</f>
        <v>0.68085106382978722</v>
      </c>
      <c r="BR123">
        <v>224</v>
      </c>
      <c r="BS123" s="5">
        <f>BR123/BR186</f>
        <v>0.7133757961783439</v>
      </c>
      <c r="BT123" s="5">
        <f>224/$BT$1</f>
        <v>0.7133757961783439</v>
      </c>
      <c r="BV123">
        <v>246</v>
      </c>
      <c r="BW123" s="5">
        <f>BV123/BV186</f>
        <v>0.62595419847328249</v>
      </c>
      <c r="BX123" s="5">
        <f>246/$BX$1</f>
        <v>0.62595419847328249</v>
      </c>
      <c r="BZ123">
        <v>127</v>
      </c>
      <c r="CA123" s="5">
        <f>BZ123/BZ186</f>
        <v>0.51626016260162599</v>
      </c>
      <c r="CB123" s="5">
        <f>127/$CB$1</f>
        <v>0.51626016260162599</v>
      </c>
      <c r="CD123">
        <v>73</v>
      </c>
      <c r="CE123" s="5">
        <f>CD123/CD186</f>
        <v>0.5934959349593496</v>
      </c>
      <c r="CF123" s="5">
        <f>73/$CF$1</f>
        <v>0.5934959349593496</v>
      </c>
      <c r="CH123">
        <v>468</v>
      </c>
      <c r="CI123" s="5">
        <f>CH123/CH186</f>
        <v>0.68023255813953487</v>
      </c>
      <c r="CJ123" s="5">
        <f>468/$CJ$1</f>
        <v>0.68023255813953487</v>
      </c>
      <c r="CL123">
        <v>506</v>
      </c>
      <c r="CM123" s="5">
        <f>CL123/CL186</f>
        <v>0.66754617414248019</v>
      </c>
      <c r="CN123" s="5">
        <f>506/$CN$1</f>
        <v>0.66754617414248019</v>
      </c>
      <c r="CP123">
        <v>123</v>
      </c>
      <c r="CQ123" s="5">
        <f>CP123/CP186</f>
        <v>0.50826446280991733</v>
      </c>
      <c r="CR123" s="5">
        <f>123/$CR$1</f>
        <v>0.50826446280991733</v>
      </c>
      <c r="CT123">
        <v>206</v>
      </c>
      <c r="CU123" s="5">
        <f>CT123/CT186</f>
        <v>0.61861861861861867</v>
      </c>
      <c r="CV123" s="5">
        <f>206/$CV$1</f>
        <v>0.61861861861861867</v>
      </c>
      <c r="CX123">
        <v>423</v>
      </c>
      <c r="CY123" s="5">
        <f>CX123/CX186</f>
        <v>0.63418290854572712</v>
      </c>
      <c r="CZ123" s="5">
        <f>423/$CZ$1</f>
        <v>0.63418290854572712</v>
      </c>
    </row>
    <row r="124" spans="1:104" x14ac:dyDescent="0.25">
      <c r="A124" s="1" t="s">
        <v>1074</v>
      </c>
      <c r="B124">
        <v>280</v>
      </c>
      <c r="C124" s="5">
        <f>B124/B186</f>
        <v>0.28000000000000003</v>
      </c>
      <c r="D124" s="5">
        <f>280/$D$1</f>
        <v>0.28000000000000003</v>
      </c>
      <c r="F124">
        <v>166</v>
      </c>
      <c r="G124" s="5">
        <f>F124/F186</f>
        <v>0.33133732534930138</v>
      </c>
      <c r="H124" s="5">
        <f>166/$H$1</f>
        <v>0.33133732534930138</v>
      </c>
      <c r="J124">
        <v>114</v>
      </c>
      <c r="K124" s="5">
        <f>J124/J186</f>
        <v>0.22845691382765532</v>
      </c>
      <c r="L124" s="5">
        <f>114/$L$1</f>
        <v>0.22845691382765532</v>
      </c>
      <c r="N124">
        <v>22</v>
      </c>
      <c r="O124" s="5">
        <f>N124/N186</f>
        <v>0.22680412371134021</v>
      </c>
      <c r="P124" s="5">
        <f>22/$P$1</f>
        <v>0.22680412371134021</v>
      </c>
      <c r="R124">
        <v>66</v>
      </c>
      <c r="S124" s="5">
        <f>R124/R186</f>
        <v>0.33333333333333331</v>
      </c>
      <c r="T124" s="5">
        <f>66/$T$1</f>
        <v>0.33333333333333331</v>
      </c>
      <c r="V124">
        <v>67</v>
      </c>
      <c r="W124" s="5">
        <f>V124/V186</f>
        <v>0.27800829875518673</v>
      </c>
      <c r="X124" s="5">
        <f>67/$X$1</f>
        <v>0.27800829875518673</v>
      </c>
      <c r="Z124">
        <v>56</v>
      </c>
      <c r="AA124" s="5">
        <f>Z124/Z186</f>
        <v>0.28282828282828282</v>
      </c>
      <c r="AB124" s="5">
        <f>56/$AB$1</f>
        <v>0.28282828282828282</v>
      </c>
      <c r="AD124">
        <v>43</v>
      </c>
      <c r="AE124" s="5">
        <f>AD124/AD186</f>
        <v>0.2792207792207792</v>
      </c>
      <c r="AF124" s="5">
        <f>43/$AF$1</f>
        <v>0.2792207792207792</v>
      </c>
      <c r="AH124">
        <v>28</v>
      </c>
      <c r="AI124" s="5">
        <f>AH124/AH186</f>
        <v>0.23333333333333334</v>
      </c>
      <c r="AJ124" s="5">
        <f>28/$AJ$1</f>
        <v>0.23333333333333334</v>
      </c>
      <c r="AL124">
        <v>95</v>
      </c>
      <c r="AM124" s="5">
        <f>AL124/AL186</f>
        <v>0.25675675675675674</v>
      </c>
      <c r="AN124" s="5">
        <f>95/$AN$1</f>
        <v>0.25675675675675674</v>
      </c>
      <c r="AP124">
        <v>104</v>
      </c>
      <c r="AQ124" s="5">
        <f>AP124/AP186</f>
        <v>0.27513227513227512</v>
      </c>
      <c r="AR124" s="5">
        <f>104/$AR$1</f>
        <v>0.27513227513227512</v>
      </c>
      <c r="AT124">
        <v>81</v>
      </c>
      <c r="AU124" s="5">
        <f>AT124/AT186</f>
        <v>0.32142857142857145</v>
      </c>
      <c r="AV124" s="5">
        <f>81/$AV$1</f>
        <v>0.32142857142857145</v>
      </c>
      <c r="AX124">
        <v>74</v>
      </c>
      <c r="AY124" s="5">
        <f>AX124/AX186</f>
        <v>0.27106227106227104</v>
      </c>
      <c r="AZ124" s="5">
        <f>74/$AZ$1</f>
        <v>0.27106227106227104</v>
      </c>
      <c r="BA124" s="5"/>
      <c r="BB124">
        <v>53</v>
      </c>
      <c r="BC124" s="5">
        <f>BB124/BB186</f>
        <v>0.26108374384236455</v>
      </c>
      <c r="BD124" s="5">
        <f>53/$BD$1</f>
        <v>0.26108374384236455</v>
      </c>
      <c r="BF124">
        <v>52</v>
      </c>
      <c r="BG124" s="5">
        <f>BF124/BF186</f>
        <v>0.24186046511627907</v>
      </c>
      <c r="BH124" s="5">
        <f>52/$BH$1</f>
        <v>0.24186046511627907</v>
      </c>
      <c r="BJ124">
        <v>101</v>
      </c>
      <c r="BK124" s="5">
        <f>BJ124/BJ186</f>
        <v>0.32686084142394822</v>
      </c>
      <c r="BL124" s="5">
        <f>101/$BL$1</f>
        <v>0.32686084142394822</v>
      </c>
      <c r="BN124">
        <v>10</v>
      </c>
      <c r="BO124" s="5">
        <f>BN124/BN186</f>
        <v>0.21276595744680851</v>
      </c>
      <c r="BP124" s="5">
        <f>10/$BP$1</f>
        <v>0.21276595744680851</v>
      </c>
      <c r="BR124">
        <v>69</v>
      </c>
      <c r="BS124" s="5">
        <f>BR124/BR186</f>
        <v>0.21974522292993631</v>
      </c>
      <c r="BT124" s="5">
        <f>69/$BT$1</f>
        <v>0.21974522292993631</v>
      </c>
      <c r="BV124">
        <v>115</v>
      </c>
      <c r="BW124" s="5">
        <f>BV124/BV186</f>
        <v>0.29262086513994912</v>
      </c>
      <c r="BX124" s="5">
        <f>115/$BX$1</f>
        <v>0.29262086513994912</v>
      </c>
      <c r="BZ124">
        <v>86</v>
      </c>
      <c r="CA124" s="5">
        <f>BZ124/BZ186</f>
        <v>0.34959349593495936</v>
      </c>
      <c r="CB124" s="5">
        <f>86/$CB$1</f>
        <v>0.34959349593495936</v>
      </c>
      <c r="CD124">
        <v>31</v>
      </c>
      <c r="CE124" s="5">
        <f>CD124/CD186</f>
        <v>0.25203252032520324</v>
      </c>
      <c r="CF124" s="5">
        <f>31/$CF$1</f>
        <v>0.25203252032520324</v>
      </c>
      <c r="CH124">
        <v>177</v>
      </c>
      <c r="CI124" s="5">
        <f>CH124/CH186</f>
        <v>0.25726744186046513</v>
      </c>
      <c r="CJ124" s="5">
        <f>177/$CJ$1</f>
        <v>0.25726744186046513</v>
      </c>
      <c r="CL124">
        <v>196</v>
      </c>
      <c r="CM124" s="5">
        <f>CL124/CL186</f>
        <v>0.25857519788918204</v>
      </c>
      <c r="CN124" s="5">
        <f>196/$CN$1</f>
        <v>0.25857519788918204</v>
      </c>
      <c r="CP124">
        <v>84</v>
      </c>
      <c r="CQ124" s="5">
        <f>CP124/CP186</f>
        <v>0.34710743801652894</v>
      </c>
      <c r="CR124" s="5">
        <f>84/$CR$1</f>
        <v>0.34710743801652894</v>
      </c>
      <c r="CT124">
        <v>82</v>
      </c>
      <c r="CU124" s="5">
        <f>CT124/CT186</f>
        <v>0.24624624624624625</v>
      </c>
      <c r="CV124" s="5">
        <f>82/$CV$1</f>
        <v>0.24624624624624625</v>
      </c>
      <c r="CX124">
        <v>198</v>
      </c>
      <c r="CY124" s="5">
        <f>CX124/CX186</f>
        <v>0.29685157421289354</v>
      </c>
      <c r="CZ124" s="5">
        <f>198/$CZ$1</f>
        <v>0.29685157421289354</v>
      </c>
    </row>
    <row r="125" spans="1:104" x14ac:dyDescent="0.25">
      <c r="A125" s="1" t="s">
        <v>1075</v>
      </c>
      <c r="B125">
        <v>54</v>
      </c>
      <c r="C125" s="5">
        <f>B125/B186</f>
        <v>5.3999999999999999E-2</v>
      </c>
      <c r="D125" s="5">
        <f>54/$D$1</f>
        <v>5.3999999999999999E-2</v>
      </c>
      <c r="F125">
        <v>33</v>
      </c>
      <c r="G125" s="5">
        <f>F125/F186</f>
        <v>6.5868263473053898E-2</v>
      </c>
      <c r="H125" s="5">
        <f>33/$H$1</f>
        <v>6.5868263473053898E-2</v>
      </c>
      <c r="J125">
        <v>21</v>
      </c>
      <c r="K125" s="5">
        <f>J125/J186</f>
        <v>4.2084168336673347E-2</v>
      </c>
      <c r="L125" s="5">
        <f>21/$L$1</f>
        <v>4.2084168336673347E-2</v>
      </c>
      <c r="N125">
        <v>9</v>
      </c>
      <c r="O125" s="5">
        <f>N125/N186</f>
        <v>9.2783505154639179E-2</v>
      </c>
      <c r="P125" s="5">
        <f>9/$P$1</f>
        <v>9.2783505154639179E-2</v>
      </c>
      <c r="R125">
        <v>17</v>
      </c>
      <c r="S125" s="5">
        <f>R125/R186</f>
        <v>8.5858585858585856E-2</v>
      </c>
      <c r="T125" s="5">
        <f>17/$T$1</f>
        <v>8.5858585858585856E-2</v>
      </c>
      <c r="V125">
        <v>14</v>
      </c>
      <c r="W125" s="5">
        <f>V125/V186</f>
        <v>5.8091286307053944E-2</v>
      </c>
      <c r="X125" s="5">
        <f>14/$X$1</f>
        <v>5.8091286307053944E-2</v>
      </c>
      <c r="Z125">
        <v>7</v>
      </c>
      <c r="AA125" s="5">
        <f>Z125/Z186</f>
        <v>3.5353535353535352E-2</v>
      </c>
      <c r="AB125" s="5">
        <f>7/$AB$1</f>
        <v>3.5353535353535352E-2</v>
      </c>
      <c r="AD125">
        <v>5</v>
      </c>
      <c r="AE125" s="5">
        <f>AD125/AD186</f>
        <v>3.2467532467532464E-2</v>
      </c>
      <c r="AF125" s="5">
        <f>5/$AF$1</f>
        <v>3.2467532467532464E-2</v>
      </c>
      <c r="AH125">
        <v>3</v>
      </c>
      <c r="AI125" s="5">
        <f>AH125/AH186</f>
        <v>2.5000000000000001E-2</v>
      </c>
      <c r="AJ125" s="5">
        <f>3/$AJ$1</f>
        <v>2.5000000000000001E-2</v>
      </c>
      <c r="AL125">
        <v>21</v>
      </c>
      <c r="AM125" s="5">
        <f>AL125/AL186</f>
        <v>5.675675675675676E-2</v>
      </c>
      <c r="AN125" s="5">
        <f>21/$AN$1</f>
        <v>5.675675675675676E-2</v>
      </c>
      <c r="AP125">
        <v>19</v>
      </c>
      <c r="AQ125" s="5">
        <f>AP125/AP186</f>
        <v>5.0264550264550262E-2</v>
      </c>
      <c r="AR125" s="5">
        <f>19/$AR$1</f>
        <v>5.0264550264550262E-2</v>
      </c>
      <c r="AT125">
        <v>14</v>
      </c>
      <c r="AU125" s="5">
        <f>AT125/AT186</f>
        <v>5.5555555555555552E-2</v>
      </c>
      <c r="AV125" s="5">
        <f>14/$AV$1</f>
        <v>5.5555555555555552E-2</v>
      </c>
      <c r="AX125">
        <v>18</v>
      </c>
      <c r="AY125" s="5">
        <f>AX125/AX186</f>
        <v>6.5934065934065936E-2</v>
      </c>
      <c r="AZ125" s="5">
        <f>18/$AZ$1</f>
        <v>6.5934065934065936E-2</v>
      </c>
      <c r="BA125" s="5"/>
      <c r="BB125">
        <v>11</v>
      </c>
      <c r="BC125" s="5">
        <f>BB125/BB186</f>
        <v>5.4187192118226604E-2</v>
      </c>
      <c r="BD125" s="5">
        <f>11/$BD$1</f>
        <v>5.4187192118226604E-2</v>
      </c>
      <c r="BF125">
        <v>10</v>
      </c>
      <c r="BG125" s="5">
        <f>BF125/BF186</f>
        <v>4.6511627906976744E-2</v>
      </c>
      <c r="BH125" s="5">
        <f>10/$BH$1</f>
        <v>4.6511627906976744E-2</v>
      </c>
      <c r="BJ125">
        <v>15</v>
      </c>
      <c r="BK125" s="5">
        <f>BJ125/BJ186</f>
        <v>4.8543689320388349E-2</v>
      </c>
      <c r="BL125" s="5">
        <f>15/$BL$1</f>
        <v>4.8543689320388349E-2</v>
      </c>
      <c r="BN125">
        <v>3</v>
      </c>
      <c r="BO125" s="5">
        <f>BN125/BN186</f>
        <v>6.3829787234042548E-2</v>
      </c>
      <c r="BP125" s="5">
        <f>3/$BP$1</f>
        <v>6.3829787234042548E-2</v>
      </c>
      <c r="BR125">
        <v>11</v>
      </c>
      <c r="BS125" s="5">
        <f>BR125/BR186</f>
        <v>3.5031847133757961E-2</v>
      </c>
      <c r="BT125" s="5">
        <f>11/$BT$1</f>
        <v>3.5031847133757961E-2</v>
      </c>
      <c r="BV125">
        <v>22</v>
      </c>
      <c r="BW125" s="5">
        <f>BV125/BV186</f>
        <v>5.5979643765903309E-2</v>
      </c>
      <c r="BX125" s="5">
        <f>22/$BX$1</f>
        <v>5.5979643765903309E-2</v>
      </c>
      <c r="BZ125">
        <v>18</v>
      </c>
      <c r="CA125" s="5">
        <f>BZ125/BZ186</f>
        <v>7.3170731707317069E-2</v>
      </c>
      <c r="CB125" s="5">
        <f>18/$CB$1</f>
        <v>7.3170731707317069E-2</v>
      </c>
      <c r="CD125">
        <v>12</v>
      </c>
      <c r="CE125" s="5">
        <f>CD125/CD186</f>
        <v>9.7560975609756101E-2</v>
      </c>
      <c r="CF125" s="5">
        <f>12/$CF$1</f>
        <v>9.7560975609756101E-2</v>
      </c>
      <c r="CH125">
        <v>24</v>
      </c>
      <c r="CI125" s="5">
        <f>CH125/CH186</f>
        <v>3.4883720930232558E-2</v>
      </c>
      <c r="CJ125" s="5">
        <f>24/$CJ$1</f>
        <v>3.4883720930232558E-2</v>
      </c>
      <c r="CL125">
        <v>29</v>
      </c>
      <c r="CM125" s="5">
        <f>CL125/CL186</f>
        <v>3.825857519788918E-2</v>
      </c>
      <c r="CN125" s="5">
        <f>29/$CN$1</f>
        <v>3.825857519788918E-2</v>
      </c>
      <c r="CP125">
        <v>25</v>
      </c>
      <c r="CQ125" s="5">
        <f>CP125/CP186</f>
        <v>0.10330578512396695</v>
      </c>
      <c r="CR125" s="5">
        <f>25/$CR$1</f>
        <v>0.10330578512396695</v>
      </c>
      <c r="CT125">
        <v>31</v>
      </c>
      <c r="CU125" s="5">
        <f>CT125/CT186</f>
        <v>9.3093093093093091E-2</v>
      </c>
      <c r="CV125" s="5">
        <f>31/$CV$1</f>
        <v>9.3093093093093091E-2</v>
      </c>
      <c r="CX125">
        <v>23</v>
      </c>
      <c r="CY125" s="5">
        <f>CX125/CX186</f>
        <v>3.4482758620689655E-2</v>
      </c>
      <c r="CZ125" s="5">
        <f>23/$CZ$1</f>
        <v>3.4482758620689655E-2</v>
      </c>
    </row>
    <row r="126" spans="1:104" x14ac:dyDescent="0.25">
      <c r="A126" s="1" t="s">
        <v>1076</v>
      </c>
      <c r="B126">
        <v>37</v>
      </c>
      <c r="C126" s="5">
        <f>B126/B186</f>
        <v>3.6999999999999998E-2</v>
      </c>
      <c r="D126" s="5">
        <f>37/$D$1</f>
        <v>3.6999999999999998E-2</v>
      </c>
      <c r="F126">
        <v>12</v>
      </c>
      <c r="G126" s="5">
        <f>F126/F186</f>
        <v>2.3952095808383235E-2</v>
      </c>
      <c r="H126" s="5">
        <f>12/$H$1</f>
        <v>2.3952095808383235E-2</v>
      </c>
      <c r="J126">
        <v>25</v>
      </c>
      <c r="K126" s="5">
        <f>J126/J186</f>
        <v>5.0100200400801605E-2</v>
      </c>
      <c r="L126" s="5">
        <f>25/$L$1</f>
        <v>5.0100200400801605E-2</v>
      </c>
      <c r="N126">
        <v>3</v>
      </c>
      <c r="O126" s="5">
        <f>N126/N186</f>
        <v>3.0927835051546393E-2</v>
      </c>
      <c r="P126" s="5">
        <f>3/$P$1</f>
        <v>3.0927835051546393E-2</v>
      </c>
      <c r="R126">
        <v>8</v>
      </c>
      <c r="S126" s="5">
        <f>R126/R186</f>
        <v>4.0404040404040407E-2</v>
      </c>
      <c r="T126" s="5">
        <f>8/$T$1</f>
        <v>4.0404040404040407E-2</v>
      </c>
      <c r="V126">
        <v>10</v>
      </c>
      <c r="W126" s="5">
        <f>V126/V186</f>
        <v>4.1493775933609957E-2</v>
      </c>
      <c r="X126" s="5">
        <f>10/$X$1</f>
        <v>4.1493775933609957E-2</v>
      </c>
      <c r="Z126">
        <v>5</v>
      </c>
      <c r="AA126" s="5">
        <f>Z126/Z186</f>
        <v>2.5252525252525252E-2</v>
      </c>
      <c r="AB126" s="5">
        <f>5/$AB$1</f>
        <v>2.5252525252525252E-2</v>
      </c>
      <c r="AD126">
        <v>5</v>
      </c>
      <c r="AE126" s="5">
        <f>AD126/AD186</f>
        <v>3.2467532467532464E-2</v>
      </c>
      <c r="AF126" s="5">
        <f>5/$AF$1</f>
        <v>3.2467532467532464E-2</v>
      </c>
      <c r="AH126">
        <v>6</v>
      </c>
      <c r="AI126" s="5">
        <f>AH126/AH186</f>
        <v>0.05</v>
      </c>
      <c r="AJ126" s="5">
        <f>6/$AJ$1</f>
        <v>0.05</v>
      </c>
      <c r="AL126">
        <v>9</v>
      </c>
      <c r="AM126" s="5">
        <f>AL126/AL186</f>
        <v>2.4324324324324326E-2</v>
      </c>
      <c r="AN126" s="5">
        <f>9/$AN$1</f>
        <v>2.4324324324324326E-2</v>
      </c>
      <c r="AP126">
        <v>15</v>
      </c>
      <c r="AQ126" s="5">
        <f>AP126/AP186</f>
        <v>3.968253968253968E-2</v>
      </c>
      <c r="AR126" s="5">
        <f>15/$AR$1</f>
        <v>3.968253968253968E-2</v>
      </c>
      <c r="AT126">
        <v>13</v>
      </c>
      <c r="AU126" s="5">
        <f>AT126/AT186</f>
        <v>5.1587301587301584E-2</v>
      </c>
      <c r="AV126" s="5">
        <f>13/$AV$1</f>
        <v>5.1587301587301584E-2</v>
      </c>
      <c r="AX126">
        <v>7</v>
      </c>
      <c r="AY126" s="5">
        <f>AX126/AX186</f>
        <v>2.564102564102564E-2</v>
      </c>
      <c r="AZ126" s="5">
        <f>7/$AZ$1</f>
        <v>2.564102564102564E-2</v>
      </c>
      <c r="BA126" s="5"/>
      <c r="BB126">
        <v>5</v>
      </c>
      <c r="BC126" s="5">
        <f>BB126/BB186</f>
        <v>2.4630541871921183E-2</v>
      </c>
      <c r="BD126" s="5">
        <f>5/$BD$1</f>
        <v>2.4630541871921183E-2</v>
      </c>
      <c r="BF126">
        <v>8</v>
      </c>
      <c r="BG126" s="5">
        <f>BF126/BF186</f>
        <v>3.7209302325581395E-2</v>
      </c>
      <c r="BH126" s="5">
        <f>8/$BH$1</f>
        <v>3.7209302325581395E-2</v>
      </c>
      <c r="BJ126">
        <v>17</v>
      </c>
      <c r="BK126" s="5">
        <f>BJ126/BJ186</f>
        <v>5.5016181229773461E-2</v>
      </c>
      <c r="BL126" s="5">
        <f>17/$BL$1</f>
        <v>5.5016181229773461E-2</v>
      </c>
      <c r="BN126">
        <v>2</v>
      </c>
      <c r="BO126" s="5">
        <f>BN126/BN186</f>
        <v>4.2553191489361701E-2</v>
      </c>
      <c r="BP126" s="5">
        <f>2/$BP$1</f>
        <v>4.2553191489361701E-2</v>
      </c>
      <c r="BR126">
        <v>10</v>
      </c>
      <c r="BS126" s="5">
        <f>BR126/BR186</f>
        <v>3.1847133757961783E-2</v>
      </c>
      <c r="BT126" s="5">
        <f>10/$BT$1</f>
        <v>3.1847133757961783E-2</v>
      </c>
      <c r="BV126">
        <v>10</v>
      </c>
      <c r="BW126" s="5">
        <f>BV126/BV186</f>
        <v>2.5445292620865138E-2</v>
      </c>
      <c r="BX126" s="5">
        <f>10/$BX$1</f>
        <v>2.5445292620865138E-2</v>
      </c>
      <c r="BZ126">
        <v>15</v>
      </c>
      <c r="CA126" s="5">
        <f>BZ126/BZ186</f>
        <v>6.097560975609756E-2</v>
      </c>
      <c r="CB126" s="5">
        <f>15/$CB$1</f>
        <v>6.097560975609756E-2</v>
      </c>
      <c r="CD126">
        <v>7</v>
      </c>
      <c r="CE126" s="5">
        <f>CD126/CD186</f>
        <v>5.6910569105691054E-2</v>
      </c>
      <c r="CF126" s="5">
        <f>7/$CF$1</f>
        <v>5.6910569105691054E-2</v>
      </c>
      <c r="CH126">
        <v>19</v>
      </c>
      <c r="CI126" s="5">
        <f>CH126/CH186</f>
        <v>2.7616279069767442E-2</v>
      </c>
      <c r="CJ126" s="5">
        <f>19/$CJ$1</f>
        <v>2.7616279069767442E-2</v>
      </c>
      <c r="CL126">
        <v>27</v>
      </c>
      <c r="CM126" s="5">
        <f>CL126/CL186</f>
        <v>3.5620052770448551E-2</v>
      </c>
      <c r="CN126" s="5">
        <f>27/$CN$1</f>
        <v>3.5620052770448551E-2</v>
      </c>
      <c r="CP126">
        <v>10</v>
      </c>
      <c r="CQ126" s="5">
        <f>CP126/CP186</f>
        <v>4.1322314049586778E-2</v>
      </c>
      <c r="CR126" s="5">
        <f>10/$CR$1</f>
        <v>4.1322314049586778E-2</v>
      </c>
      <c r="CT126">
        <v>14</v>
      </c>
      <c r="CU126" s="5">
        <f>CT126/CT186</f>
        <v>4.2042042042042045E-2</v>
      </c>
      <c r="CV126" s="5">
        <f>14/$CV$1</f>
        <v>4.2042042042042045E-2</v>
      </c>
      <c r="CX126">
        <v>23</v>
      </c>
      <c r="CY126" s="5">
        <f>CX126/CX186</f>
        <v>3.4482758620689655E-2</v>
      </c>
      <c r="CZ126" s="5">
        <f>23/$CZ$1</f>
        <v>3.4482758620689655E-2</v>
      </c>
    </row>
    <row r="128" spans="1:104" x14ac:dyDescent="0.25">
      <c r="A128" s="1" t="s">
        <v>1077</v>
      </c>
      <c r="B128">
        <v>700</v>
      </c>
      <c r="C128" s="5">
        <f>B128/B186</f>
        <v>0.7</v>
      </c>
      <c r="D128" s="5">
        <f>700/$D$1</f>
        <v>0.7</v>
      </c>
      <c r="F128">
        <v>345</v>
      </c>
      <c r="G128" s="5">
        <f>F128/F186</f>
        <v>0.68862275449101795</v>
      </c>
      <c r="H128" s="5">
        <f>345/$H$1</f>
        <v>0.68862275449101795</v>
      </c>
      <c r="J128">
        <v>355</v>
      </c>
      <c r="K128" s="5">
        <f>J128/J186</f>
        <v>0.71142284569138281</v>
      </c>
      <c r="L128" s="5">
        <f>355/$L$1</f>
        <v>0.71142284569138281</v>
      </c>
      <c r="N128">
        <v>66</v>
      </c>
      <c r="O128" s="5">
        <f>N128/N186</f>
        <v>0.68041237113402064</v>
      </c>
      <c r="P128" s="5">
        <f>66/$P$1</f>
        <v>0.68041237113402064</v>
      </c>
      <c r="R128">
        <v>117</v>
      </c>
      <c r="S128" s="5">
        <f>R128/R186</f>
        <v>0.59090909090909094</v>
      </c>
      <c r="T128" s="5">
        <f>117/$T$1</f>
        <v>0.59090909090909094</v>
      </c>
      <c r="V128">
        <v>173</v>
      </c>
      <c r="W128" s="5">
        <f>V128/V186</f>
        <v>0.71784232365145229</v>
      </c>
      <c r="X128" s="5">
        <f>173/$X$1</f>
        <v>0.71784232365145229</v>
      </c>
      <c r="Z128">
        <v>155</v>
      </c>
      <c r="AA128" s="5">
        <f>Z128/Z186</f>
        <v>0.78282828282828287</v>
      </c>
      <c r="AB128" s="5">
        <f>155/$AB$1</f>
        <v>0.78282828282828287</v>
      </c>
      <c r="AD128">
        <v>109</v>
      </c>
      <c r="AE128" s="5">
        <f>AD128/AD186</f>
        <v>0.70779220779220775</v>
      </c>
      <c r="AF128" s="5">
        <f>109/$AF$1</f>
        <v>0.70779220779220775</v>
      </c>
      <c r="AH128">
        <v>85</v>
      </c>
      <c r="AI128" s="5">
        <f>AH128/AH186</f>
        <v>0.70833333333333337</v>
      </c>
      <c r="AJ128" s="5">
        <f>85/$AJ$1</f>
        <v>0.70833333333333337</v>
      </c>
      <c r="AL128">
        <v>278</v>
      </c>
      <c r="AM128" s="5">
        <f>AL128/AL186</f>
        <v>0.75135135135135134</v>
      </c>
      <c r="AN128" s="5">
        <f>278/$AN$1</f>
        <v>0.75135135135135134</v>
      </c>
      <c r="AP128">
        <v>259</v>
      </c>
      <c r="AQ128" s="5">
        <f>AP128/AP186</f>
        <v>0.68518518518518523</v>
      </c>
      <c r="AR128" s="5">
        <f>259/$AR$1</f>
        <v>0.68518518518518523</v>
      </c>
      <c r="AT128">
        <v>163</v>
      </c>
      <c r="AU128" s="5">
        <f>AT128/AT186</f>
        <v>0.64682539682539686</v>
      </c>
      <c r="AV128" s="5">
        <f>163/$AV$1</f>
        <v>0.64682539682539686</v>
      </c>
      <c r="AX128">
        <v>195</v>
      </c>
      <c r="AY128" s="5">
        <f>AX128/AX186</f>
        <v>0.7142857142857143</v>
      </c>
      <c r="AZ128" s="5">
        <f>195/$AZ$1</f>
        <v>0.7142857142857143</v>
      </c>
      <c r="BA128" s="5"/>
      <c r="BB128">
        <v>147</v>
      </c>
      <c r="BC128" s="5">
        <f>BB128/BB186</f>
        <v>0.72413793103448276</v>
      </c>
      <c r="BD128" s="5">
        <f>147/$BD$1</f>
        <v>0.72413793103448276</v>
      </c>
      <c r="BF128">
        <v>160</v>
      </c>
      <c r="BG128" s="5">
        <f>BF128/BF186</f>
        <v>0.7441860465116279</v>
      </c>
      <c r="BH128" s="5">
        <f>160/$BH$1</f>
        <v>0.7441860465116279</v>
      </c>
      <c r="BJ128">
        <v>198</v>
      </c>
      <c r="BK128" s="5">
        <f>BJ128/BJ186</f>
        <v>0.64077669902912626</v>
      </c>
      <c r="BL128" s="5">
        <f>198/$BL$1</f>
        <v>0.64077669902912626</v>
      </c>
      <c r="BN128">
        <v>34</v>
      </c>
      <c r="BO128" s="5">
        <f>BN128/BN186</f>
        <v>0.72340425531914898</v>
      </c>
      <c r="BP128" s="5">
        <f>34/$BP$1</f>
        <v>0.72340425531914898</v>
      </c>
      <c r="BR128">
        <v>237</v>
      </c>
      <c r="BS128" s="5">
        <f>BR128/BR186</f>
        <v>0.75477707006369432</v>
      </c>
      <c r="BT128" s="5">
        <f>237/$BT$1</f>
        <v>0.75477707006369432</v>
      </c>
      <c r="BV128">
        <v>276</v>
      </c>
      <c r="BW128" s="5">
        <f>BV128/BV186</f>
        <v>0.70229007633587781</v>
      </c>
      <c r="BX128" s="5">
        <f>276/$BX$1</f>
        <v>0.70229007633587781</v>
      </c>
      <c r="BZ128">
        <v>153</v>
      </c>
      <c r="CA128" s="5">
        <f>BZ128/BZ186</f>
        <v>0.62195121951219512</v>
      </c>
      <c r="CB128" s="5">
        <f>153/$CB$1</f>
        <v>0.62195121951219512</v>
      </c>
      <c r="CD128">
        <v>77</v>
      </c>
      <c r="CE128" s="5">
        <f>CD128/CD186</f>
        <v>0.62601626016260159</v>
      </c>
      <c r="CF128" s="5">
        <f>77/$CF$1</f>
        <v>0.62601626016260159</v>
      </c>
      <c r="CH128">
        <v>502</v>
      </c>
      <c r="CI128" s="5">
        <f>CH128/CH186</f>
        <v>0.72965116279069764</v>
      </c>
      <c r="CJ128" s="5">
        <f>502/$CJ$1</f>
        <v>0.72965116279069764</v>
      </c>
      <c r="CL128">
        <v>552</v>
      </c>
      <c r="CM128" s="5">
        <f>CL128/CL186</f>
        <v>0.72823218997361483</v>
      </c>
      <c r="CN128" s="5">
        <f>552/$CN$1</f>
        <v>0.72823218997361483</v>
      </c>
      <c r="CP128">
        <v>148</v>
      </c>
      <c r="CQ128" s="5">
        <f>CP128/CP186</f>
        <v>0.61157024793388426</v>
      </c>
      <c r="CR128" s="5">
        <f>148/$CR$1</f>
        <v>0.61157024793388426</v>
      </c>
      <c r="CT128">
        <v>243</v>
      </c>
      <c r="CU128" s="5">
        <f>CT128/CT186</f>
        <v>0.72972972972972971</v>
      </c>
      <c r="CV128" s="5">
        <f>243/$CV$1</f>
        <v>0.72972972972972971</v>
      </c>
      <c r="CX128">
        <v>457</v>
      </c>
      <c r="CY128" s="5">
        <f>CX128/CX186</f>
        <v>0.68515742128935531</v>
      </c>
      <c r="CZ128" s="5">
        <f>457/$CZ$1</f>
        <v>0.68515742128935531</v>
      </c>
    </row>
    <row r="129" spans="1:104" x14ac:dyDescent="0.25">
      <c r="A129" s="1" t="s">
        <v>1078</v>
      </c>
      <c r="B129">
        <v>240</v>
      </c>
      <c r="C129" s="5">
        <f>B129/B186</f>
        <v>0.24</v>
      </c>
      <c r="D129" s="5">
        <f>240/$D$1</f>
        <v>0.24</v>
      </c>
      <c r="F129">
        <v>119</v>
      </c>
      <c r="G129" s="5">
        <f>F129/F186</f>
        <v>0.2375249500998004</v>
      </c>
      <c r="H129" s="5">
        <f>119/$H$1</f>
        <v>0.2375249500998004</v>
      </c>
      <c r="J129">
        <v>121</v>
      </c>
      <c r="K129" s="5">
        <f>J129/J186</f>
        <v>0.24248496993987975</v>
      </c>
      <c r="L129" s="5">
        <f>121/$L$1</f>
        <v>0.24248496993987975</v>
      </c>
      <c r="N129">
        <v>24</v>
      </c>
      <c r="O129" s="5">
        <f>N129/N186</f>
        <v>0.24742268041237114</v>
      </c>
      <c r="P129" s="5">
        <f>24/$P$1</f>
        <v>0.24742268041237114</v>
      </c>
      <c r="R129">
        <v>62</v>
      </c>
      <c r="S129" s="5">
        <f>R129/R186</f>
        <v>0.31313131313131315</v>
      </c>
      <c r="T129" s="5">
        <f>62/$T$1</f>
        <v>0.31313131313131315</v>
      </c>
      <c r="V129">
        <v>53</v>
      </c>
      <c r="W129" s="5">
        <f>V129/V186</f>
        <v>0.21991701244813278</v>
      </c>
      <c r="X129" s="5">
        <f>53/$X$1</f>
        <v>0.21991701244813278</v>
      </c>
      <c r="Z129">
        <v>38</v>
      </c>
      <c r="AA129" s="5">
        <f>Z129/Z186</f>
        <v>0.19191919191919191</v>
      </c>
      <c r="AB129" s="5">
        <f>38/$AB$1</f>
        <v>0.19191919191919191</v>
      </c>
      <c r="AD129">
        <v>36</v>
      </c>
      <c r="AE129" s="5">
        <f>AD129/AD186</f>
        <v>0.23376623376623376</v>
      </c>
      <c r="AF129" s="5">
        <f>36/$AF$1</f>
        <v>0.23376623376623376</v>
      </c>
      <c r="AH129">
        <v>30</v>
      </c>
      <c r="AI129" s="5">
        <f>AH129/AH186</f>
        <v>0.25</v>
      </c>
      <c r="AJ129" s="5">
        <f>30/$AJ$1</f>
        <v>0.25</v>
      </c>
      <c r="AL129">
        <v>73</v>
      </c>
      <c r="AM129" s="5">
        <f>AL129/AL186</f>
        <v>0.19729729729729731</v>
      </c>
      <c r="AN129" s="5">
        <f>73/$AN$1</f>
        <v>0.19729729729729731</v>
      </c>
      <c r="AP129">
        <v>102</v>
      </c>
      <c r="AQ129" s="5">
        <f>AP129/AP186</f>
        <v>0.26984126984126983</v>
      </c>
      <c r="AR129" s="5">
        <f>102/$AR$1</f>
        <v>0.26984126984126983</v>
      </c>
      <c r="AT129">
        <v>65</v>
      </c>
      <c r="AU129" s="5">
        <f>AT129/AT186</f>
        <v>0.25793650793650796</v>
      </c>
      <c r="AV129" s="5">
        <f>65/$AV$1</f>
        <v>0.25793650793650796</v>
      </c>
      <c r="AX129">
        <v>58</v>
      </c>
      <c r="AY129" s="5">
        <f>AX129/AX186</f>
        <v>0.21245421245421245</v>
      </c>
      <c r="AZ129" s="5">
        <f>58/$AZ$1</f>
        <v>0.21245421245421245</v>
      </c>
      <c r="BA129" s="5"/>
      <c r="BB129">
        <v>46</v>
      </c>
      <c r="BC129" s="5">
        <f>BB129/BB186</f>
        <v>0.22660098522167488</v>
      </c>
      <c r="BD129" s="5">
        <f>46/$BD$1</f>
        <v>0.22660098522167488</v>
      </c>
      <c r="BF129">
        <v>49</v>
      </c>
      <c r="BG129" s="5">
        <f>BF129/BF186</f>
        <v>0.22790697674418606</v>
      </c>
      <c r="BH129" s="5">
        <f>49/$BH$1</f>
        <v>0.22790697674418606</v>
      </c>
      <c r="BJ129">
        <v>87</v>
      </c>
      <c r="BK129" s="5">
        <f>BJ129/BJ186</f>
        <v>0.28155339805825241</v>
      </c>
      <c r="BL129" s="5">
        <f>87/$BL$1</f>
        <v>0.28155339805825241</v>
      </c>
      <c r="BN129">
        <v>7</v>
      </c>
      <c r="BO129" s="5">
        <f>BN129/BN186</f>
        <v>0.14893617021276595</v>
      </c>
      <c r="BP129" s="5">
        <f>7/$BP$1</f>
        <v>0.14893617021276595</v>
      </c>
      <c r="BR129">
        <v>63</v>
      </c>
      <c r="BS129" s="5">
        <f>BR129/BR186</f>
        <v>0.20063694267515925</v>
      </c>
      <c r="BT129" s="5">
        <f>63/$BT$1</f>
        <v>0.20063694267515925</v>
      </c>
      <c r="BV129">
        <v>96</v>
      </c>
      <c r="BW129" s="5">
        <f>BV129/BV186</f>
        <v>0.24427480916030533</v>
      </c>
      <c r="BX129" s="5">
        <f>96/$BX$1</f>
        <v>0.24427480916030533</v>
      </c>
      <c r="BZ129">
        <v>74</v>
      </c>
      <c r="CA129" s="5">
        <f>BZ129/BZ186</f>
        <v>0.30081300813008133</v>
      </c>
      <c r="CB129" s="5">
        <f>74/$CB$1</f>
        <v>0.30081300813008133</v>
      </c>
      <c r="CD129">
        <v>34</v>
      </c>
      <c r="CE129" s="5">
        <f>CD129/CD186</f>
        <v>0.27642276422764228</v>
      </c>
      <c r="CF129" s="5">
        <f>34/$CF$1</f>
        <v>0.27642276422764228</v>
      </c>
      <c r="CH129">
        <v>157</v>
      </c>
      <c r="CI129" s="5">
        <f>CH129/CH186</f>
        <v>0.22819767441860464</v>
      </c>
      <c r="CJ129" s="5">
        <f>157/$CJ$1</f>
        <v>0.22819767441860464</v>
      </c>
      <c r="CL129">
        <v>166</v>
      </c>
      <c r="CM129" s="5">
        <f>CL129/CL186</f>
        <v>0.21899736147757257</v>
      </c>
      <c r="CN129" s="5">
        <f>166/$CN$1</f>
        <v>0.21899736147757257</v>
      </c>
      <c r="CP129">
        <v>74</v>
      </c>
      <c r="CQ129" s="5">
        <f>CP129/CP186</f>
        <v>0.30578512396694213</v>
      </c>
      <c r="CR129" s="5">
        <f>74/$CR$1</f>
        <v>0.30578512396694213</v>
      </c>
      <c r="CT129">
        <v>70</v>
      </c>
      <c r="CU129" s="5">
        <f>CT129/CT186</f>
        <v>0.21021021021021022</v>
      </c>
      <c r="CV129" s="5">
        <f>70/$CV$1</f>
        <v>0.21021021021021022</v>
      </c>
      <c r="CX129">
        <v>170</v>
      </c>
      <c r="CY129" s="5">
        <f>CX129/CX186</f>
        <v>0.25487256371814093</v>
      </c>
      <c r="CZ129" s="5">
        <f>170/$CZ$1</f>
        <v>0.25487256371814093</v>
      </c>
    </row>
    <row r="130" spans="1:104" x14ac:dyDescent="0.25">
      <c r="A130" s="1" t="s">
        <v>1079</v>
      </c>
      <c r="B130">
        <v>28</v>
      </c>
      <c r="C130" s="5">
        <f>B130/B186</f>
        <v>2.8000000000000001E-2</v>
      </c>
      <c r="D130" s="5">
        <f>28/$D$1</f>
        <v>2.8000000000000001E-2</v>
      </c>
      <c r="F130">
        <v>19</v>
      </c>
      <c r="G130" s="5">
        <f>F130/F186</f>
        <v>3.7924151696606789E-2</v>
      </c>
      <c r="H130" s="5">
        <f>19/$H$1</f>
        <v>3.7924151696606789E-2</v>
      </c>
      <c r="J130">
        <v>9</v>
      </c>
      <c r="K130" s="5">
        <f>J130/J186</f>
        <v>1.8036072144288578E-2</v>
      </c>
      <c r="L130" s="5">
        <f>9/$L$1</f>
        <v>1.8036072144288578E-2</v>
      </c>
      <c r="N130">
        <v>5</v>
      </c>
      <c r="O130" s="5">
        <f>N130/N186</f>
        <v>5.1546391752577317E-2</v>
      </c>
      <c r="P130" s="5">
        <f>5/$P$1</f>
        <v>5.1546391752577317E-2</v>
      </c>
      <c r="R130">
        <v>12</v>
      </c>
      <c r="S130" s="5">
        <f>R130/R186</f>
        <v>6.0606060606060608E-2</v>
      </c>
      <c r="T130" s="5">
        <f>12/$T$1</f>
        <v>6.0606060606060608E-2</v>
      </c>
      <c r="V130">
        <v>8</v>
      </c>
      <c r="W130" s="5">
        <f>V130/V186</f>
        <v>3.3195020746887967E-2</v>
      </c>
      <c r="X130" s="5">
        <f>8/$X$1</f>
        <v>3.3195020746887967E-2</v>
      </c>
      <c r="Z130">
        <v>1</v>
      </c>
      <c r="AA130" s="5">
        <f>Z130/Z186</f>
        <v>5.0505050505050509E-3</v>
      </c>
      <c r="AB130" s="5">
        <f>1/$AB$1</f>
        <v>5.0505050505050509E-3</v>
      </c>
      <c r="AD130">
        <v>2</v>
      </c>
      <c r="AE130" s="5">
        <f>AD130/AD186</f>
        <v>1.2987012987012988E-2</v>
      </c>
      <c r="AF130" s="5">
        <f>2/$AF$1</f>
        <v>1.2987012987012988E-2</v>
      </c>
      <c r="AH130">
        <v>0</v>
      </c>
      <c r="AI130" s="5">
        <f>AH130/AH186</f>
        <v>0</v>
      </c>
      <c r="AJ130" s="5">
        <f>0/$AJ$1</f>
        <v>0</v>
      </c>
      <c r="AL130">
        <v>13</v>
      </c>
      <c r="AM130" s="5">
        <f>AL130/AL186</f>
        <v>3.5135135135135137E-2</v>
      </c>
      <c r="AN130" s="5">
        <f>13/$AN$1</f>
        <v>3.5135135135135137E-2</v>
      </c>
      <c r="AP130">
        <v>6</v>
      </c>
      <c r="AQ130" s="5">
        <f>AP130/AP186</f>
        <v>1.5873015873015872E-2</v>
      </c>
      <c r="AR130" s="5">
        <f>6/$AR$1</f>
        <v>1.5873015873015872E-2</v>
      </c>
      <c r="AT130">
        <v>9</v>
      </c>
      <c r="AU130" s="5">
        <f>AT130/AT186</f>
        <v>3.5714285714285712E-2</v>
      </c>
      <c r="AV130" s="5">
        <f>9/$AV$1</f>
        <v>3.5714285714285712E-2</v>
      </c>
      <c r="AX130">
        <v>11</v>
      </c>
      <c r="AY130" s="5">
        <f>AX130/AX186</f>
        <v>4.0293040293040296E-2</v>
      </c>
      <c r="AZ130" s="5">
        <f>11/$AZ$1</f>
        <v>4.0293040293040296E-2</v>
      </c>
      <c r="BA130" s="5"/>
      <c r="BB130">
        <v>5</v>
      </c>
      <c r="BC130" s="5">
        <f>BB130/BB186</f>
        <v>2.4630541871921183E-2</v>
      </c>
      <c r="BD130" s="5">
        <f>5/$BD$1</f>
        <v>2.4630541871921183E-2</v>
      </c>
      <c r="BF130">
        <v>3</v>
      </c>
      <c r="BG130" s="5">
        <f>BF130/BF186</f>
        <v>1.3953488372093023E-2</v>
      </c>
      <c r="BH130" s="5">
        <f>3/$BH$1</f>
        <v>1.3953488372093023E-2</v>
      </c>
      <c r="BJ130">
        <v>9</v>
      </c>
      <c r="BK130" s="5">
        <f>BJ130/BJ186</f>
        <v>2.9126213592233011E-2</v>
      </c>
      <c r="BL130" s="5">
        <f>9/$BL$1</f>
        <v>2.9126213592233011E-2</v>
      </c>
      <c r="BN130">
        <v>2</v>
      </c>
      <c r="BO130" s="5">
        <f>BN130/BN186</f>
        <v>4.2553191489361701E-2</v>
      </c>
      <c r="BP130" s="5">
        <f>2/$BP$1</f>
        <v>4.2553191489361701E-2</v>
      </c>
      <c r="BR130">
        <v>5</v>
      </c>
      <c r="BS130" s="5">
        <f>BR130/BR186</f>
        <v>1.5923566878980892E-2</v>
      </c>
      <c r="BT130" s="5">
        <f>5/$BT$1</f>
        <v>1.5923566878980892E-2</v>
      </c>
      <c r="BV130">
        <v>8</v>
      </c>
      <c r="BW130" s="5">
        <f>BV130/BV186</f>
        <v>2.0356234096692113E-2</v>
      </c>
      <c r="BX130" s="5">
        <f>8/$BX$1</f>
        <v>2.0356234096692113E-2</v>
      </c>
      <c r="BZ130">
        <v>13</v>
      </c>
      <c r="CA130" s="5">
        <f>BZ130/BZ186</f>
        <v>5.2845528455284556E-2</v>
      </c>
      <c r="CB130" s="5">
        <f>13/$CB$1</f>
        <v>5.2845528455284556E-2</v>
      </c>
      <c r="CD130">
        <v>6</v>
      </c>
      <c r="CE130" s="5">
        <f>CD130/CD186</f>
        <v>4.878048780487805E-2</v>
      </c>
      <c r="CF130" s="5">
        <f>6/$CF$1</f>
        <v>4.878048780487805E-2</v>
      </c>
      <c r="CH130">
        <v>11</v>
      </c>
      <c r="CI130" s="5">
        <f>CH130/CH186</f>
        <v>1.5988372093023256E-2</v>
      </c>
      <c r="CJ130" s="5">
        <f>11/$CJ$1</f>
        <v>1.5988372093023256E-2</v>
      </c>
      <c r="CL130">
        <v>19</v>
      </c>
      <c r="CM130" s="5">
        <f>CL130/CL186</f>
        <v>2.5065963060686015E-2</v>
      </c>
      <c r="CN130" s="5">
        <f>19/$CN$1</f>
        <v>2.5065963060686015E-2</v>
      </c>
      <c r="CP130">
        <v>9</v>
      </c>
      <c r="CQ130" s="5">
        <f>CP130/CP186</f>
        <v>3.71900826446281E-2</v>
      </c>
      <c r="CR130" s="5">
        <f>9/$CR$1</f>
        <v>3.71900826446281E-2</v>
      </c>
      <c r="CT130">
        <v>11</v>
      </c>
      <c r="CU130" s="5">
        <f>CT130/CT186</f>
        <v>3.3033033033033031E-2</v>
      </c>
      <c r="CV130" s="5">
        <f>11/$CV$1</f>
        <v>3.3033033033033031E-2</v>
      </c>
      <c r="CX130">
        <v>17</v>
      </c>
      <c r="CY130" s="5">
        <f>CX130/CX186</f>
        <v>2.5487256371814093E-2</v>
      </c>
      <c r="CZ130" s="5">
        <f>17/$CZ$1</f>
        <v>2.5487256371814093E-2</v>
      </c>
    </row>
    <row r="131" spans="1:104" x14ac:dyDescent="0.25">
      <c r="A131" s="1" t="s">
        <v>1080</v>
      </c>
      <c r="B131">
        <v>33</v>
      </c>
      <c r="C131" s="5">
        <f>B131/B186</f>
        <v>3.3000000000000002E-2</v>
      </c>
      <c r="D131" s="5">
        <f>33/$D$1</f>
        <v>3.3000000000000002E-2</v>
      </c>
      <c r="F131">
        <v>18</v>
      </c>
      <c r="G131" s="5">
        <f>F131/F186</f>
        <v>3.5928143712574849E-2</v>
      </c>
      <c r="H131" s="5">
        <f>18/$H$1</f>
        <v>3.5928143712574849E-2</v>
      </c>
      <c r="J131">
        <v>15</v>
      </c>
      <c r="K131" s="5">
        <f>J131/J186</f>
        <v>3.0060120240480961E-2</v>
      </c>
      <c r="L131" s="5">
        <f>15/$L$1</f>
        <v>3.0060120240480961E-2</v>
      </c>
      <c r="N131">
        <v>2</v>
      </c>
      <c r="O131" s="5">
        <f>N131/N186</f>
        <v>2.0618556701030927E-2</v>
      </c>
      <c r="P131" s="5">
        <f>2/$P$1</f>
        <v>2.0618556701030927E-2</v>
      </c>
      <c r="R131">
        <v>7</v>
      </c>
      <c r="S131" s="5">
        <f>R131/R186</f>
        <v>3.5353535353535352E-2</v>
      </c>
      <c r="T131" s="5">
        <f>7/$T$1</f>
        <v>3.5353535353535352E-2</v>
      </c>
      <c r="V131">
        <v>7</v>
      </c>
      <c r="W131" s="5">
        <f>V131/V186</f>
        <v>2.9045643153526972E-2</v>
      </c>
      <c r="X131" s="5">
        <f>7/$X$1</f>
        <v>2.9045643153526972E-2</v>
      </c>
      <c r="Z131">
        <v>4</v>
      </c>
      <c r="AA131" s="5">
        <f>Z131/Z186</f>
        <v>2.0202020202020204E-2</v>
      </c>
      <c r="AB131" s="5">
        <f>4/$AB$1</f>
        <v>2.0202020202020204E-2</v>
      </c>
      <c r="AD131">
        <v>8</v>
      </c>
      <c r="AE131" s="5">
        <f>AD131/AD186</f>
        <v>5.1948051948051951E-2</v>
      </c>
      <c r="AF131" s="5">
        <f>8/$AF$1</f>
        <v>5.1948051948051951E-2</v>
      </c>
      <c r="AH131">
        <v>5</v>
      </c>
      <c r="AI131" s="5">
        <f>AH131/AH186</f>
        <v>4.1666666666666664E-2</v>
      </c>
      <c r="AJ131" s="5">
        <f>5/$AJ$1</f>
        <v>4.1666666666666664E-2</v>
      </c>
      <c r="AL131">
        <v>7</v>
      </c>
      <c r="AM131" s="5">
        <f>AL131/AL186</f>
        <v>1.891891891891892E-2</v>
      </c>
      <c r="AN131" s="5">
        <f>7/$AN$1</f>
        <v>1.891891891891892E-2</v>
      </c>
      <c r="AP131">
        <v>11</v>
      </c>
      <c r="AQ131" s="5">
        <f>AP131/AP186</f>
        <v>2.9100529100529099E-2</v>
      </c>
      <c r="AR131" s="5">
        <f>11/$AR$1</f>
        <v>2.9100529100529099E-2</v>
      </c>
      <c r="AT131">
        <v>15</v>
      </c>
      <c r="AU131" s="5">
        <f>AT131/AT186</f>
        <v>5.9523809523809521E-2</v>
      </c>
      <c r="AV131" s="5">
        <f>15/$AV$1</f>
        <v>5.9523809523809521E-2</v>
      </c>
      <c r="AX131">
        <v>10</v>
      </c>
      <c r="AY131" s="5">
        <f>AX131/AX186</f>
        <v>3.6630036630036632E-2</v>
      </c>
      <c r="AZ131" s="5">
        <f>10/$AZ$1</f>
        <v>3.6630036630036632E-2</v>
      </c>
      <c r="BA131" s="5"/>
      <c r="BB131">
        <v>5</v>
      </c>
      <c r="BC131" s="5">
        <f>BB131/BB186</f>
        <v>2.4630541871921183E-2</v>
      </c>
      <c r="BD131" s="5">
        <f>5/$BD$1</f>
        <v>2.4630541871921183E-2</v>
      </c>
      <c r="BF131">
        <v>3</v>
      </c>
      <c r="BG131" s="5">
        <f>BF131/BF186</f>
        <v>1.3953488372093023E-2</v>
      </c>
      <c r="BH131" s="5">
        <f>3/$BH$1</f>
        <v>1.3953488372093023E-2</v>
      </c>
      <c r="BJ131">
        <v>15</v>
      </c>
      <c r="BK131" s="5">
        <f>BJ131/BJ186</f>
        <v>4.8543689320388349E-2</v>
      </c>
      <c r="BL131" s="5">
        <f>15/$BL$1</f>
        <v>4.8543689320388349E-2</v>
      </c>
      <c r="BN131">
        <v>4</v>
      </c>
      <c r="BO131" s="5">
        <f>BN131/BN186</f>
        <v>8.5106382978723402E-2</v>
      </c>
      <c r="BP131" s="5">
        <f>4/$BP$1</f>
        <v>8.5106382978723402E-2</v>
      </c>
      <c r="BR131">
        <v>10</v>
      </c>
      <c r="BS131" s="5">
        <f>BR131/BR186</f>
        <v>3.1847133757961783E-2</v>
      </c>
      <c r="BT131" s="5">
        <f>10/$BT$1</f>
        <v>3.1847133757961783E-2</v>
      </c>
      <c r="BV131">
        <v>13</v>
      </c>
      <c r="BW131" s="5">
        <f>BV131/BV186</f>
        <v>3.3078880407124679E-2</v>
      </c>
      <c r="BX131" s="5">
        <f>13/$BX$1</f>
        <v>3.3078880407124679E-2</v>
      </c>
      <c r="BZ131">
        <v>6</v>
      </c>
      <c r="CA131" s="5">
        <f>BZ131/BZ186</f>
        <v>2.4390243902439025E-2</v>
      </c>
      <c r="CB131" s="5">
        <f>6/$CB$1</f>
        <v>2.4390243902439025E-2</v>
      </c>
      <c r="CD131">
        <v>7</v>
      </c>
      <c r="CE131" s="5">
        <f>CD131/CD186</f>
        <v>5.6910569105691054E-2</v>
      </c>
      <c r="CF131" s="5">
        <f>7/$CF$1</f>
        <v>5.6910569105691054E-2</v>
      </c>
      <c r="CH131">
        <v>18</v>
      </c>
      <c r="CI131" s="5">
        <f>CH131/CH186</f>
        <v>2.616279069767442E-2</v>
      </c>
      <c r="CJ131" s="5">
        <f>18/$CJ$1</f>
        <v>2.616279069767442E-2</v>
      </c>
      <c r="CL131">
        <v>22</v>
      </c>
      <c r="CM131" s="5">
        <f>CL131/CL186</f>
        <v>2.9023746701846966E-2</v>
      </c>
      <c r="CN131" s="5">
        <f>22/$CN$1</f>
        <v>2.9023746701846966E-2</v>
      </c>
      <c r="CP131">
        <v>11</v>
      </c>
      <c r="CQ131" s="5">
        <f>CP131/CP186</f>
        <v>4.5454545454545456E-2</v>
      </c>
      <c r="CR131" s="5">
        <f>11/$CR$1</f>
        <v>4.5454545454545456E-2</v>
      </c>
      <c r="CT131">
        <v>9</v>
      </c>
      <c r="CU131" s="5">
        <f>CT131/CT186</f>
        <v>2.7027027027027029E-2</v>
      </c>
      <c r="CV131" s="5">
        <f>9/$CV$1</f>
        <v>2.7027027027027029E-2</v>
      </c>
      <c r="CX131">
        <v>24</v>
      </c>
      <c r="CY131" s="5">
        <f>CX131/CX186</f>
        <v>3.5982008995502246E-2</v>
      </c>
      <c r="CZ131" s="5">
        <f>24/$CZ$1</f>
        <v>3.5982008995502246E-2</v>
      </c>
    </row>
    <row r="133" spans="1:104" x14ac:dyDescent="0.25">
      <c r="A133" s="1" t="s">
        <v>1081</v>
      </c>
      <c r="B133">
        <v>628</v>
      </c>
      <c r="C133" s="5">
        <f>B133/B186</f>
        <v>0.628</v>
      </c>
      <c r="D133" s="5">
        <f>628/$D$1</f>
        <v>0.628</v>
      </c>
      <c r="F133">
        <v>285</v>
      </c>
      <c r="G133" s="5">
        <f>F133/F186</f>
        <v>0.56886227544910184</v>
      </c>
      <c r="H133" s="5">
        <f>285/$H$1</f>
        <v>0.56886227544910184</v>
      </c>
      <c r="J133">
        <v>343</v>
      </c>
      <c r="K133" s="5">
        <f>J133/J186</f>
        <v>0.68737474949899802</v>
      </c>
      <c r="L133" s="5">
        <f>343/$L$1</f>
        <v>0.68737474949899802</v>
      </c>
      <c r="N133">
        <v>68</v>
      </c>
      <c r="O133" s="5">
        <f>N133/N186</f>
        <v>0.7010309278350515</v>
      </c>
      <c r="P133" s="5">
        <f>68/$P$1</f>
        <v>0.7010309278350515</v>
      </c>
      <c r="R133">
        <v>103</v>
      </c>
      <c r="S133" s="5">
        <f>R133/R186</f>
        <v>0.52020202020202022</v>
      </c>
      <c r="T133" s="5">
        <f>103/$T$1</f>
        <v>0.52020202020202022</v>
      </c>
      <c r="V133">
        <v>141</v>
      </c>
      <c r="W133" s="5">
        <f>V133/V186</f>
        <v>0.58506224066390045</v>
      </c>
      <c r="X133" s="5">
        <f>141/$X$1</f>
        <v>0.58506224066390045</v>
      </c>
      <c r="Z133">
        <v>142</v>
      </c>
      <c r="AA133" s="5">
        <f>Z133/Z186</f>
        <v>0.71717171717171713</v>
      </c>
      <c r="AB133" s="5">
        <f>142/$AB$1</f>
        <v>0.71717171717171713</v>
      </c>
      <c r="AD133">
        <v>100</v>
      </c>
      <c r="AE133" s="5">
        <f>AD133/AD186</f>
        <v>0.64935064935064934</v>
      </c>
      <c r="AF133" s="5">
        <f>100/$AF$1</f>
        <v>0.64935064935064934</v>
      </c>
      <c r="AH133">
        <v>77</v>
      </c>
      <c r="AI133" s="5">
        <f>AH133/AH186</f>
        <v>0.64166666666666672</v>
      </c>
      <c r="AJ133" s="5">
        <f>77/$AJ$1</f>
        <v>0.64166666666666672</v>
      </c>
      <c r="AL133">
        <v>265</v>
      </c>
      <c r="AM133" s="5">
        <f>AL133/AL186</f>
        <v>0.71621621621621623</v>
      </c>
      <c r="AN133" s="5">
        <f>265/$AN$1</f>
        <v>0.71621621621621623</v>
      </c>
      <c r="AP133">
        <v>219</v>
      </c>
      <c r="AQ133" s="5">
        <f>AP133/AP186</f>
        <v>0.57936507936507942</v>
      </c>
      <c r="AR133" s="5">
        <f>219/$AR$1</f>
        <v>0.57936507936507942</v>
      </c>
      <c r="AT133">
        <v>144</v>
      </c>
      <c r="AU133" s="5">
        <f>AT133/AT186</f>
        <v>0.5714285714285714</v>
      </c>
      <c r="AV133" s="5">
        <f>144/$AV$1</f>
        <v>0.5714285714285714</v>
      </c>
      <c r="AX133">
        <v>179</v>
      </c>
      <c r="AY133" s="5">
        <f>AX133/AX186</f>
        <v>0.65567765567765568</v>
      </c>
      <c r="AZ133" s="5">
        <f>179/$AZ$1</f>
        <v>0.65567765567765568</v>
      </c>
      <c r="BA133" s="5"/>
      <c r="BB133">
        <v>136</v>
      </c>
      <c r="BC133" s="5">
        <f>BB133/BB186</f>
        <v>0.66995073891625612</v>
      </c>
      <c r="BD133" s="5">
        <f>136/$BD$1</f>
        <v>0.66995073891625612</v>
      </c>
      <c r="BF133">
        <v>148</v>
      </c>
      <c r="BG133" s="5">
        <f>BF133/BF186</f>
        <v>0.68837209302325586</v>
      </c>
      <c r="BH133" s="5">
        <f>148/$BH$1</f>
        <v>0.68837209302325586</v>
      </c>
      <c r="BJ133">
        <v>165</v>
      </c>
      <c r="BK133" s="5">
        <f>BJ133/BJ186</f>
        <v>0.53398058252427183</v>
      </c>
      <c r="BL133" s="5">
        <f>165/$BL$1</f>
        <v>0.53398058252427183</v>
      </c>
      <c r="BN133">
        <v>31</v>
      </c>
      <c r="BO133" s="5">
        <f>BN133/BN186</f>
        <v>0.65957446808510634</v>
      </c>
      <c r="BP133" s="5">
        <f>31/$BP$1</f>
        <v>0.65957446808510634</v>
      </c>
      <c r="BR133">
        <v>234</v>
      </c>
      <c r="BS133" s="5">
        <f>BR133/BR186</f>
        <v>0.74522292993630568</v>
      </c>
      <c r="BT133" s="5">
        <f>234/$BT$1</f>
        <v>0.74522292993630568</v>
      </c>
      <c r="BV133">
        <v>238</v>
      </c>
      <c r="BW133" s="5">
        <f>BV133/BV186</f>
        <v>0.6055979643765903</v>
      </c>
      <c r="BX133" s="5">
        <f>238/$BX$1</f>
        <v>0.6055979643765903</v>
      </c>
      <c r="BZ133">
        <v>125</v>
      </c>
      <c r="CA133" s="5">
        <f>BZ133/BZ186</f>
        <v>0.50813008130081305</v>
      </c>
      <c r="CB133" s="5">
        <f>125/$CB$1</f>
        <v>0.50813008130081305</v>
      </c>
      <c r="CD133">
        <v>63</v>
      </c>
      <c r="CE133" s="5">
        <f>CD133/CD186</f>
        <v>0.51219512195121952</v>
      </c>
      <c r="CF133" s="5">
        <f>63/$CF$1</f>
        <v>0.51219512195121952</v>
      </c>
      <c r="CH133">
        <v>453</v>
      </c>
      <c r="CI133" s="5">
        <f>CH133/CH186</f>
        <v>0.65843023255813948</v>
      </c>
      <c r="CJ133" s="5">
        <f>453/$CJ$1</f>
        <v>0.65843023255813948</v>
      </c>
      <c r="CL133">
        <v>501</v>
      </c>
      <c r="CM133" s="5">
        <f>CL133/CL186</f>
        <v>0.66094986807387868</v>
      </c>
      <c r="CN133" s="5">
        <f>501/$CN$1</f>
        <v>0.66094986807387868</v>
      </c>
      <c r="CP133">
        <v>127</v>
      </c>
      <c r="CQ133" s="5">
        <f>CP133/CP186</f>
        <v>0.52479338842975209</v>
      </c>
      <c r="CR133" s="5">
        <f>127/$CR$1</f>
        <v>0.52479338842975209</v>
      </c>
      <c r="CT133">
        <v>202</v>
      </c>
      <c r="CU133" s="5">
        <f>CT133/CT186</f>
        <v>0.60660660660660659</v>
      </c>
      <c r="CV133" s="5">
        <f>202/$CV$1</f>
        <v>0.60660660660660659</v>
      </c>
      <c r="CX133">
        <v>426</v>
      </c>
      <c r="CY133" s="5">
        <f>CX133/CX186</f>
        <v>0.63868065967016496</v>
      </c>
      <c r="CZ133" s="5">
        <f>426/$CZ$1</f>
        <v>0.63868065967016496</v>
      </c>
    </row>
    <row r="134" spans="1:104" x14ac:dyDescent="0.25">
      <c r="A134" s="1" t="s">
        <v>1082</v>
      </c>
      <c r="B134">
        <v>562</v>
      </c>
      <c r="C134" s="5">
        <f>B134/B186</f>
        <v>0.56200000000000006</v>
      </c>
      <c r="D134" s="5">
        <f>562/$D$1</f>
        <v>0.56200000000000006</v>
      </c>
      <c r="F134">
        <v>289</v>
      </c>
      <c r="G134" s="5">
        <f>F134/F186</f>
        <v>0.57684630738522957</v>
      </c>
      <c r="H134" s="5">
        <f>289/$H$1</f>
        <v>0.57684630738522957</v>
      </c>
      <c r="J134">
        <v>273</v>
      </c>
      <c r="K134" s="5">
        <f>J134/J186</f>
        <v>0.5470941883767535</v>
      </c>
      <c r="L134" s="5">
        <f>273/$L$1</f>
        <v>0.5470941883767535</v>
      </c>
      <c r="N134">
        <v>44</v>
      </c>
      <c r="O134" s="5">
        <f>N134/N186</f>
        <v>0.45360824742268041</v>
      </c>
      <c r="P134" s="5">
        <f>44/$P$1</f>
        <v>0.45360824742268041</v>
      </c>
      <c r="R134">
        <v>94</v>
      </c>
      <c r="S134" s="5">
        <f>R134/R186</f>
        <v>0.47474747474747475</v>
      </c>
      <c r="T134" s="5">
        <f>94/$T$1</f>
        <v>0.47474747474747475</v>
      </c>
      <c r="V134">
        <v>131</v>
      </c>
      <c r="W134" s="5">
        <f>V134/V186</f>
        <v>0.54356846473029041</v>
      </c>
      <c r="X134" s="5">
        <f>131/$X$1</f>
        <v>0.54356846473029041</v>
      </c>
      <c r="Z134">
        <v>120</v>
      </c>
      <c r="AA134" s="5">
        <f>Z134/Z186</f>
        <v>0.60606060606060608</v>
      </c>
      <c r="AB134" s="5">
        <f>120/$AB$1</f>
        <v>0.60606060606060608</v>
      </c>
      <c r="AD134">
        <v>96</v>
      </c>
      <c r="AE134" s="5">
        <f>AD134/AD186</f>
        <v>0.62337662337662336</v>
      </c>
      <c r="AF134" s="5">
        <f>96/$AF$1</f>
        <v>0.62337662337662336</v>
      </c>
      <c r="AH134">
        <v>82</v>
      </c>
      <c r="AI134" s="5">
        <f>AH134/AH186</f>
        <v>0.68333333333333335</v>
      </c>
      <c r="AJ134" s="5">
        <f>82/$AJ$1</f>
        <v>0.68333333333333335</v>
      </c>
      <c r="AL134">
        <v>223</v>
      </c>
      <c r="AM134" s="5">
        <f>AL134/AL186</f>
        <v>0.60270270270270265</v>
      </c>
      <c r="AN134" s="5">
        <f>223/$AN$1</f>
        <v>0.60270270270270265</v>
      </c>
      <c r="AP134">
        <v>210</v>
      </c>
      <c r="AQ134" s="5">
        <f>AP134/AP186</f>
        <v>0.55555555555555558</v>
      </c>
      <c r="AR134" s="5">
        <f>210/$AR$1</f>
        <v>0.55555555555555558</v>
      </c>
      <c r="AT134">
        <v>129</v>
      </c>
      <c r="AU134" s="5">
        <f>AT134/AT186</f>
        <v>0.51190476190476186</v>
      </c>
      <c r="AV134" s="5">
        <f>129/$AV$1</f>
        <v>0.51190476190476186</v>
      </c>
      <c r="AX134">
        <v>161</v>
      </c>
      <c r="AY134" s="5">
        <f>AX134/AX186</f>
        <v>0.58974358974358976</v>
      </c>
      <c r="AZ134" s="5">
        <f>161/$AZ$1</f>
        <v>0.58974358974358976</v>
      </c>
      <c r="BA134" s="5"/>
      <c r="BB134">
        <v>115</v>
      </c>
      <c r="BC134" s="5">
        <f>BB134/BB186</f>
        <v>0.56650246305418717</v>
      </c>
      <c r="BD134" s="5">
        <f>115/$BD$1</f>
        <v>0.56650246305418717</v>
      </c>
      <c r="BF134">
        <v>135</v>
      </c>
      <c r="BG134" s="5">
        <f>BF134/BF186</f>
        <v>0.62790697674418605</v>
      </c>
      <c r="BH134" s="5">
        <f>135/$BH$1</f>
        <v>0.62790697674418605</v>
      </c>
      <c r="BJ134">
        <v>151</v>
      </c>
      <c r="BK134" s="5">
        <f>BJ134/BJ186</f>
        <v>0.48867313915857608</v>
      </c>
      <c r="BL134" s="5">
        <f>151/$BL$1</f>
        <v>0.48867313915857608</v>
      </c>
      <c r="BN134">
        <v>32</v>
      </c>
      <c r="BO134" s="5">
        <f>BN134/BN186</f>
        <v>0.68085106382978722</v>
      </c>
      <c r="BP134" s="5">
        <f>32/$BP$1</f>
        <v>0.68085106382978722</v>
      </c>
      <c r="BR134">
        <v>221</v>
      </c>
      <c r="BS134" s="5">
        <f>BR134/BR186</f>
        <v>0.70382165605095537</v>
      </c>
      <c r="BT134" s="5">
        <f>221/$BT$1</f>
        <v>0.70382165605095537</v>
      </c>
      <c r="BV134">
        <v>195</v>
      </c>
      <c r="BW134" s="5">
        <f>BV134/BV186</f>
        <v>0.49618320610687022</v>
      </c>
      <c r="BX134" s="5">
        <f>195/$BX$1</f>
        <v>0.49618320610687022</v>
      </c>
      <c r="BZ134">
        <v>114</v>
      </c>
      <c r="CA134" s="5">
        <f>BZ134/BZ186</f>
        <v>0.46341463414634149</v>
      </c>
      <c r="CB134" s="5">
        <f>114/$CB$1</f>
        <v>0.46341463414634149</v>
      </c>
      <c r="CD134">
        <v>57</v>
      </c>
      <c r="CE134" s="5">
        <f>CD134/CD186</f>
        <v>0.46341463414634149</v>
      </c>
      <c r="CF134" s="5">
        <f>57/$CF$1</f>
        <v>0.46341463414634149</v>
      </c>
      <c r="CH134">
        <v>414</v>
      </c>
      <c r="CI134" s="5">
        <f>CH134/CH186</f>
        <v>0.60174418604651159</v>
      </c>
      <c r="CJ134" s="5">
        <f>414/$CJ$1</f>
        <v>0.60174418604651159</v>
      </c>
      <c r="CL134">
        <v>453</v>
      </c>
      <c r="CM134" s="5">
        <f>CL134/CL186</f>
        <v>0.59762532981530347</v>
      </c>
      <c r="CN134" s="5">
        <f>453/$CN$1</f>
        <v>0.59762532981530347</v>
      </c>
      <c r="CP134">
        <v>109</v>
      </c>
      <c r="CQ134" s="5">
        <f>CP134/CP186</f>
        <v>0.45041322314049587</v>
      </c>
      <c r="CR134" s="5">
        <f>109/$CR$1</f>
        <v>0.45041322314049587</v>
      </c>
      <c r="CT134">
        <v>176</v>
      </c>
      <c r="CU134" s="5">
        <f>CT134/CT186</f>
        <v>0.5285285285285285</v>
      </c>
      <c r="CV134" s="5">
        <f>176/$CV$1</f>
        <v>0.5285285285285285</v>
      </c>
      <c r="CX134">
        <v>386</v>
      </c>
      <c r="CY134" s="5">
        <f>CX134/CX186</f>
        <v>0.5787106446776612</v>
      </c>
      <c r="CZ134" s="5">
        <f>386/$CZ$1</f>
        <v>0.5787106446776612</v>
      </c>
    </row>
    <row r="135" spans="1:104" x14ac:dyDescent="0.25">
      <c r="A135" s="1" t="s">
        <v>1083</v>
      </c>
      <c r="B135">
        <v>661</v>
      </c>
      <c r="C135" s="5">
        <f>B135/B186</f>
        <v>0.66100000000000003</v>
      </c>
      <c r="D135" s="5">
        <f>661/$D$1</f>
        <v>0.66100000000000003</v>
      </c>
      <c r="F135">
        <v>318</v>
      </c>
      <c r="G135" s="5">
        <f>F135/F186</f>
        <v>0.6347305389221557</v>
      </c>
      <c r="H135" s="5">
        <f>318/$H$1</f>
        <v>0.6347305389221557</v>
      </c>
      <c r="J135">
        <v>343</v>
      </c>
      <c r="K135" s="5">
        <f>J135/J186</f>
        <v>0.68737474949899802</v>
      </c>
      <c r="L135" s="5">
        <f>343/$L$1</f>
        <v>0.68737474949899802</v>
      </c>
      <c r="N135">
        <v>52</v>
      </c>
      <c r="O135" s="5">
        <f>N135/N186</f>
        <v>0.53608247422680411</v>
      </c>
      <c r="P135" s="5">
        <f>52/$P$1</f>
        <v>0.53608247422680411</v>
      </c>
      <c r="R135">
        <v>120</v>
      </c>
      <c r="S135" s="5">
        <f>R135/R186</f>
        <v>0.60606060606060608</v>
      </c>
      <c r="T135" s="5">
        <f>120/$T$1</f>
        <v>0.60606060606060608</v>
      </c>
      <c r="V135">
        <v>161</v>
      </c>
      <c r="W135" s="5">
        <f>V135/V186</f>
        <v>0.66804979253112029</v>
      </c>
      <c r="X135" s="5">
        <f>161/$X$1</f>
        <v>0.66804979253112029</v>
      </c>
      <c r="Z135">
        <v>145</v>
      </c>
      <c r="AA135" s="5">
        <f>Z135/Z186</f>
        <v>0.73232323232323238</v>
      </c>
      <c r="AB135" s="5">
        <f>145/$AB$1</f>
        <v>0.73232323232323238</v>
      </c>
      <c r="AD135">
        <v>113</v>
      </c>
      <c r="AE135" s="5">
        <f>AD135/AD186</f>
        <v>0.73376623376623373</v>
      </c>
      <c r="AF135" s="5">
        <f>113/$AF$1</f>
        <v>0.73376623376623373</v>
      </c>
      <c r="AH135">
        <v>76</v>
      </c>
      <c r="AI135" s="5">
        <f>AH135/AH186</f>
        <v>0.6333333333333333</v>
      </c>
      <c r="AJ135" s="5">
        <f>76/$AJ$1</f>
        <v>0.6333333333333333</v>
      </c>
      <c r="AL135">
        <v>252</v>
      </c>
      <c r="AM135" s="5">
        <f>AL135/AL186</f>
        <v>0.68108108108108112</v>
      </c>
      <c r="AN135" s="5">
        <f>252/$AN$1</f>
        <v>0.68108108108108112</v>
      </c>
      <c r="AP135">
        <v>235</v>
      </c>
      <c r="AQ135" s="5">
        <f>AP135/AP186</f>
        <v>0.62169312169312174</v>
      </c>
      <c r="AR135" s="5">
        <f>235/$AR$1</f>
        <v>0.62169312169312174</v>
      </c>
      <c r="AT135">
        <v>174</v>
      </c>
      <c r="AU135" s="5">
        <f>AT135/AT186</f>
        <v>0.69047619047619047</v>
      </c>
      <c r="AV135" s="5">
        <f>174/$AV$1</f>
        <v>0.69047619047619047</v>
      </c>
      <c r="AX135">
        <v>199</v>
      </c>
      <c r="AY135" s="5">
        <f>AX135/AX186</f>
        <v>0.7289377289377289</v>
      </c>
      <c r="AZ135" s="5">
        <f>199/$AZ$1</f>
        <v>0.7289377289377289</v>
      </c>
      <c r="BA135" s="5"/>
      <c r="BB135">
        <v>140</v>
      </c>
      <c r="BC135" s="5">
        <f>BB135/BB186</f>
        <v>0.68965517241379315</v>
      </c>
      <c r="BD135" s="5">
        <f>140/$BD$1</f>
        <v>0.68965517241379315</v>
      </c>
      <c r="BF135">
        <v>146</v>
      </c>
      <c r="BG135" s="5">
        <f>BF135/BF186</f>
        <v>0.67906976744186043</v>
      </c>
      <c r="BH135" s="5">
        <f>146/$BH$1</f>
        <v>0.67906976744186043</v>
      </c>
      <c r="BJ135">
        <v>176</v>
      </c>
      <c r="BK135" s="5">
        <f>BJ135/BJ186</f>
        <v>0.56957928802588997</v>
      </c>
      <c r="BL135" s="5">
        <f>176/$BL$1</f>
        <v>0.56957928802588997</v>
      </c>
      <c r="BN135">
        <v>33</v>
      </c>
      <c r="BO135" s="5">
        <f>BN135/BN186</f>
        <v>0.7021276595744681</v>
      </c>
      <c r="BP135" s="5">
        <f>33/$BP$1</f>
        <v>0.7021276595744681</v>
      </c>
      <c r="BR135">
        <v>221</v>
      </c>
      <c r="BS135" s="5">
        <f>BR135/BR186</f>
        <v>0.70382165605095537</v>
      </c>
      <c r="BT135" s="5">
        <f>221/$BT$1</f>
        <v>0.70382165605095537</v>
      </c>
      <c r="BV135">
        <v>264</v>
      </c>
      <c r="BW135" s="5">
        <f>BV135/BV186</f>
        <v>0.6717557251908397</v>
      </c>
      <c r="BX135" s="5">
        <f>264/$BX$1</f>
        <v>0.6717557251908397</v>
      </c>
      <c r="BZ135">
        <v>143</v>
      </c>
      <c r="CA135" s="5">
        <f>BZ135/BZ186</f>
        <v>0.58130081300813008</v>
      </c>
      <c r="CB135" s="5">
        <f>143/$CB$1</f>
        <v>0.58130081300813008</v>
      </c>
      <c r="CD135">
        <v>67</v>
      </c>
      <c r="CE135" s="5">
        <f>CD135/CD186</f>
        <v>0.54471544715447151</v>
      </c>
      <c r="CF135" s="5">
        <f>67/$CF$1</f>
        <v>0.54471544715447151</v>
      </c>
      <c r="CH135">
        <v>475</v>
      </c>
      <c r="CI135" s="5">
        <f>CH135/CH186</f>
        <v>0.69040697674418605</v>
      </c>
      <c r="CJ135" s="5">
        <f>475/$CJ$1</f>
        <v>0.69040697674418605</v>
      </c>
      <c r="CL135">
        <v>532</v>
      </c>
      <c r="CM135" s="5">
        <f>CL135/CL186</f>
        <v>0.70184696569920846</v>
      </c>
      <c r="CN135" s="5">
        <f>532/$CN$1</f>
        <v>0.70184696569920846</v>
      </c>
      <c r="CP135">
        <v>129</v>
      </c>
      <c r="CQ135" s="5">
        <f>CP135/CP186</f>
        <v>0.53305785123966942</v>
      </c>
      <c r="CR135" s="5">
        <f>129/$CR$1</f>
        <v>0.53305785123966942</v>
      </c>
      <c r="CT135">
        <v>231</v>
      </c>
      <c r="CU135" s="5">
        <f>CT135/CT186</f>
        <v>0.69369369369369371</v>
      </c>
      <c r="CV135" s="5">
        <f>231/$CV$1</f>
        <v>0.69369369369369371</v>
      </c>
      <c r="CX135">
        <v>430</v>
      </c>
      <c r="CY135" s="5">
        <f>CX135/CX186</f>
        <v>0.64467766116941527</v>
      </c>
      <c r="CZ135" s="5">
        <f>430/$CZ$1</f>
        <v>0.64467766116941527</v>
      </c>
    </row>
    <row r="136" spans="1:104" x14ac:dyDescent="0.25">
      <c r="A136" s="1" t="s">
        <v>1084</v>
      </c>
      <c r="B136">
        <v>603</v>
      </c>
      <c r="C136" s="5">
        <f>B136/B186</f>
        <v>0.60299999999999998</v>
      </c>
      <c r="D136" s="5">
        <f>603/$D$1</f>
        <v>0.60299999999999998</v>
      </c>
      <c r="F136">
        <v>287</v>
      </c>
      <c r="G136" s="5">
        <f>F136/F186</f>
        <v>0.57285429141716571</v>
      </c>
      <c r="H136" s="5">
        <f>287/$H$1</f>
        <v>0.57285429141716571</v>
      </c>
      <c r="J136">
        <v>316</v>
      </c>
      <c r="K136" s="5">
        <f>J136/J186</f>
        <v>0.63326653306613223</v>
      </c>
      <c r="L136" s="5">
        <f>316/$L$1</f>
        <v>0.63326653306613223</v>
      </c>
      <c r="N136">
        <v>52</v>
      </c>
      <c r="O136" s="5">
        <f>N136/N186</f>
        <v>0.53608247422680411</v>
      </c>
      <c r="P136" s="5">
        <f>52/$P$1</f>
        <v>0.53608247422680411</v>
      </c>
      <c r="R136">
        <v>92</v>
      </c>
      <c r="S136" s="5">
        <f>R136/R186</f>
        <v>0.46464646464646464</v>
      </c>
      <c r="T136" s="5">
        <f>92/$T$1</f>
        <v>0.46464646464646464</v>
      </c>
      <c r="V136">
        <v>154</v>
      </c>
      <c r="W136" s="5">
        <f>V136/V186</f>
        <v>0.63900414937759331</v>
      </c>
      <c r="X136" s="5">
        <f>154/$X$1</f>
        <v>0.63900414937759331</v>
      </c>
      <c r="Z136">
        <v>124</v>
      </c>
      <c r="AA136" s="5">
        <f>Z136/Z186</f>
        <v>0.6262626262626263</v>
      </c>
      <c r="AB136" s="5">
        <f>124/$AB$1</f>
        <v>0.6262626262626263</v>
      </c>
      <c r="AD136">
        <v>108</v>
      </c>
      <c r="AE136" s="5">
        <f>AD136/AD186</f>
        <v>0.70129870129870131</v>
      </c>
      <c r="AF136" s="5">
        <f>108/$AF$1</f>
        <v>0.70129870129870131</v>
      </c>
      <c r="AH136">
        <v>78</v>
      </c>
      <c r="AI136" s="5">
        <f>AH136/AH186</f>
        <v>0.65</v>
      </c>
      <c r="AJ136" s="5">
        <f>78/$AJ$1</f>
        <v>0.65</v>
      </c>
      <c r="AL136">
        <v>228</v>
      </c>
      <c r="AM136" s="5">
        <f>AL136/AL186</f>
        <v>0.61621621621621625</v>
      </c>
      <c r="AN136" s="5">
        <f>228/$AN$1</f>
        <v>0.61621621621621625</v>
      </c>
      <c r="AP136">
        <v>227</v>
      </c>
      <c r="AQ136" s="5">
        <f>AP136/AP186</f>
        <v>0.60052910052910058</v>
      </c>
      <c r="AR136" s="5">
        <f>227/$AR$1</f>
        <v>0.60052910052910058</v>
      </c>
      <c r="AT136">
        <v>148</v>
      </c>
      <c r="AU136" s="5">
        <f>AT136/AT186</f>
        <v>0.58730158730158732</v>
      </c>
      <c r="AV136" s="5">
        <f>148/$AV$1</f>
        <v>0.58730158730158732</v>
      </c>
      <c r="AX136">
        <v>165</v>
      </c>
      <c r="AY136" s="5">
        <f>AX136/AX186</f>
        <v>0.60439560439560436</v>
      </c>
      <c r="AZ136" s="5">
        <f>165/$AZ$1</f>
        <v>0.60439560439560436</v>
      </c>
      <c r="BA136" s="5"/>
      <c r="BB136">
        <v>121</v>
      </c>
      <c r="BC136" s="5">
        <f>BB136/BB186</f>
        <v>0.59605911330049266</v>
      </c>
      <c r="BD136" s="5">
        <f>121/$BD$1</f>
        <v>0.59605911330049266</v>
      </c>
      <c r="BF136">
        <v>140</v>
      </c>
      <c r="BG136" s="5">
        <f>BF136/BF186</f>
        <v>0.65116279069767447</v>
      </c>
      <c r="BH136" s="5">
        <f>140/$BH$1</f>
        <v>0.65116279069767447</v>
      </c>
      <c r="BJ136">
        <v>177</v>
      </c>
      <c r="BK136" s="5">
        <f>BJ136/BJ186</f>
        <v>0.57281553398058249</v>
      </c>
      <c r="BL136" s="5">
        <f>177/$BL$1</f>
        <v>0.57281553398058249</v>
      </c>
      <c r="BN136">
        <v>24</v>
      </c>
      <c r="BO136" s="5">
        <f>BN136/BN186</f>
        <v>0.51063829787234039</v>
      </c>
      <c r="BP136" s="5">
        <f>24/$BP$1</f>
        <v>0.51063829787234039</v>
      </c>
      <c r="BR136">
        <v>203</v>
      </c>
      <c r="BS136" s="5">
        <f>BR136/BR186</f>
        <v>0.64649681528662417</v>
      </c>
      <c r="BT136" s="5">
        <f>203/$BT$1</f>
        <v>0.64649681528662417</v>
      </c>
      <c r="BV136">
        <v>234</v>
      </c>
      <c r="BW136" s="5">
        <f>BV136/BV186</f>
        <v>0.59541984732824427</v>
      </c>
      <c r="BX136" s="5">
        <f>234/$BX$1</f>
        <v>0.59541984732824427</v>
      </c>
      <c r="BZ136">
        <v>142</v>
      </c>
      <c r="CA136" s="5">
        <f>BZ136/BZ186</f>
        <v>0.57723577235772361</v>
      </c>
      <c r="CB136" s="5">
        <f>142/$CB$1</f>
        <v>0.57723577235772361</v>
      </c>
      <c r="CD136">
        <v>64</v>
      </c>
      <c r="CE136" s="5">
        <f>CD136/CD186</f>
        <v>0.52032520325203258</v>
      </c>
      <c r="CF136" s="5">
        <f>64/$CF$1</f>
        <v>0.52032520325203258</v>
      </c>
      <c r="CH136">
        <v>440</v>
      </c>
      <c r="CI136" s="5">
        <f>CH136/CH186</f>
        <v>0.63953488372093026</v>
      </c>
      <c r="CJ136" s="5">
        <f>440/$CJ$1</f>
        <v>0.63953488372093026</v>
      </c>
      <c r="CL136">
        <v>489</v>
      </c>
      <c r="CM136" s="5">
        <f>CL136/CL186</f>
        <v>0.64511873350923488</v>
      </c>
      <c r="CN136" s="5">
        <f>489/$CN$1</f>
        <v>0.64511873350923488</v>
      </c>
      <c r="CP136">
        <v>114</v>
      </c>
      <c r="CQ136" s="5">
        <f>CP136/CP186</f>
        <v>0.47107438016528924</v>
      </c>
      <c r="CR136" s="5">
        <f>114/$CR$1</f>
        <v>0.47107438016528924</v>
      </c>
      <c r="CT136">
        <v>207</v>
      </c>
      <c r="CU136" s="5">
        <f>CT136/CT186</f>
        <v>0.6216216216216216</v>
      </c>
      <c r="CV136" s="5">
        <f>207/$CV$1</f>
        <v>0.6216216216216216</v>
      </c>
      <c r="CX136">
        <v>396</v>
      </c>
      <c r="CY136" s="5">
        <f>CX136/CX186</f>
        <v>0.59370314842578709</v>
      </c>
      <c r="CZ136" s="5">
        <f>396/$CZ$1</f>
        <v>0.59370314842578709</v>
      </c>
    </row>
    <row r="137" spans="1:104" x14ac:dyDescent="0.25">
      <c r="A137" s="1" t="s">
        <v>1085</v>
      </c>
      <c r="B137">
        <v>600</v>
      </c>
      <c r="C137" s="5">
        <f>B137/B186</f>
        <v>0.6</v>
      </c>
      <c r="D137" s="5">
        <f>600/$D$1</f>
        <v>0.6</v>
      </c>
      <c r="F137">
        <v>289</v>
      </c>
      <c r="G137" s="5">
        <f>F137/F186</f>
        <v>0.57684630738522957</v>
      </c>
      <c r="H137" s="5">
        <f>289/$H$1</f>
        <v>0.57684630738522957</v>
      </c>
      <c r="J137">
        <v>311</v>
      </c>
      <c r="K137" s="5">
        <f>J137/J186</f>
        <v>0.6232464929859719</v>
      </c>
      <c r="L137" s="5">
        <f>311/$L$1</f>
        <v>0.6232464929859719</v>
      </c>
      <c r="N137">
        <v>50</v>
      </c>
      <c r="O137" s="5">
        <f>N137/N186</f>
        <v>0.51546391752577314</v>
      </c>
      <c r="P137" s="5">
        <f>50/$P$1</f>
        <v>0.51546391752577314</v>
      </c>
      <c r="R137">
        <v>100</v>
      </c>
      <c r="S137" s="5">
        <f>R137/R186</f>
        <v>0.50505050505050508</v>
      </c>
      <c r="T137" s="5">
        <f>100/$T$1</f>
        <v>0.50505050505050508</v>
      </c>
      <c r="V137">
        <v>145</v>
      </c>
      <c r="W137" s="5">
        <f>V137/V186</f>
        <v>0.60165975103734437</v>
      </c>
      <c r="X137" s="5">
        <f>145/$X$1</f>
        <v>0.60165975103734437</v>
      </c>
      <c r="Z137">
        <v>128</v>
      </c>
      <c r="AA137" s="5">
        <f>Z137/Z186</f>
        <v>0.64646464646464652</v>
      </c>
      <c r="AB137" s="5">
        <f>128/$AB$1</f>
        <v>0.64646464646464652</v>
      </c>
      <c r="AD137">
        <v>93</v>
      </c>
      <c r="AE137" s="5">
        <f>AD137/AD186</f>
        <v>0.60389610389610393</v>
      </c>
      <c r="AF137" s="5">
        <f>93/$AF$1</f>
        <v>0.60389610389610393</v>
      </c>
      <c r="AH137">
        <v>88</v>
      </c>
      <c r="AI137" s="5">
        <f>AH137/AH186</f>
        <v>0.73333333333333328</v>
      </c>
      <c r="AJ137" s="5">
        <f>88/$AJ$1</f>
        <v>0.73333333333333328</v>
      </c>
      <c r="AL137">
        <v>237</v>
      </c>
      <c r="AM137" s="5">
        <f>AL137/AL186</f>
        <v>0.64054054054054055</v>
      </c>
      <c r="AN137" s="5">
        <f>237/$AN$1</f>
        <v>0.64054054054054055</v>
      </c>
      <c r="AP137">
        <v>232</v>
      </c>
      <c r="AQ137" s="5">
        <f>AP137/AP186</f>
        <v>0.61375661375661372</v>
      </c>
      <c r="AR137" s="5">
        <f>232/$AR$1</f>
        <v>0.61375661375661372</v>
      </c>
      <c r="AT137">
        <v>131</v>
      </c>
      <c r="AU137" s="5">
        <f>AT137/AT186</f>
        <v>0.51984126984126988</v>
      </c>
      <c r="AV137" s="5">
        <f>131/$AV$1</f>
        <v>0.51984126984126988</v>
      </c>
      <c r="AX137">
        <v>163</v>
      </c>
      <c r="AY137" s="5">
        <f>AX137/AX186</f>
        <v>0.59706959706959706</v>
      </c>
      <c r="AZ137" s="5">
        <f>163/$AZ$1</f>
        <v>0.59706959706959706</v>
      </c>
      <c r="BA137" s="5"/>
      <c r="BB137">
        <v>128</v>
      </c>
      <c r="BC137" s="5">
        <f>BB137/BB186</f>
        <v>0.63054187192118227</v>
      </c>
      <c r="BD137" s="5">
        <f>128/$BD$1</f>
        <v>0.63054187192118227</v>
      </c>
      <c r="BF137">
        <v>148</v>
      </c>
      <c r="BG137" s="5">
        <f>BF137/BF186</f>
        <v>0.68837209302325586</v>
      </c>
      <c r="BH137" s="5">
        <f>148/$BH$1</f>
        <v>0.68837209302325586</v>
      </c>
      <c r="BJ137">
        <v>161</v>
      </c>
      <c r="BK137" s="5">
        <f>BJ137/BJ186</f>
        <v>0.52103559870550165</v>
      </c>
      <c r="BL137" s="5">
        <f>161/$BL$1</f>
        <v>0.52103559870550165</v>
      </c>
      <c r="BN137">
        <v>33</v>
      </c>
      <c r="BO137" s="5">
        <f>BN137/BN186</f>
        <v>0.7021276595744681</v>
      </c>
      <c r="BP137" s="5">
        <f>33/$BP$1</f>
        <v>0.7021276595744681</v>
      </c>
      <c r="BR137">
        <v>228</v>
      </c>
      <c r="BS137" s="5">
        <f>BR137/BR186</f>
        <v>0.72611464968152861</v>
      </c>
      <c r="BT137" s="5">
        <f>228/$BT$1</f>
        <v>0.72611464968152861</v>
      </c>
      <c r="BV137">
        <v>224</v>
      </c>
      <c r="BW137" s="5">
        <f>BV137/BV186</f>
        <v>0.56997455470737912</v>
      </c>
      <c r="BX137" s="5">
        <f>224/$BX$1</f>
        <v>0.56997455470737912</v>
      </c>
      <c r="BZ137">
        <v>115</v>
      </c>
      <c r="CA137" s="5">
        <f>BZ137/BZ186</f>
        <v>0.46747967479674796</v>
      </c>
      <c r="CB137" s="5">
        <f>115/$CB$1</f>
        <v>0.46747967479674796</v>
      </c>
      <c r="CD137">
        <v>71</v>
      </c>
      <c r="CE137" s="5">
        <f>CD137/CD186</f>
        <v>0.57723577235772361</v>
      </c>
      <c r="CF137" s="5">
        <f>71/$CF$1</f>
        <v>0.57723577235772361</v>
      </c>
      <c r="CH137">
        <v>441</v>
      </c>
      <c r="CI137" s="5">
        <f>CH137/CH186</f>
        <v>0.64098837209302328</v>
      </c>
      <c r="CJ137" s="5">
        <f>441/$CJ$1</f>
        <v>0.64098837209302328</v>
      </c>
      <c r="CL137">
        <v>489</v>
      </c>
      <c r="CM137" s="5">
        <f>CL137/CL186</f>
        <v>0.64511873350923488</v>
      </c>
      <c r="CN137" s="5">
        <f>489/$CN$1</f>
        <v>0.64511873350923488</v>
      </c>
      <c r="CP137">
        <v>111</v>
      </c>
      <c r="CQ137" s="5">
        <f>CP137/CP186</f>
        <v>0.45867768595041325</v>
      </c>
      <c r="CR137" s="5">
        <f>111/$CR$1</f>
        <v>0.45867768595041325</v>
      </c>
      <c r="CT137">
        <v>190</v>
      </c>
      <c r="CU137" s="5">
        <f>CT137/CT186</f>
        <v>0.57057057057057059</v>
      </c>
      <c r="CV137" s="5">
        <f>190/$CV$1</f>
        <v>0.57057057057057059</v>
      </c>
      <c r="CX137">
        <v>410</v>
      </c>
      <c r="CY137" s="5">
        <f>CX137/CX186</f>
        <v>0.61469265367316339</v>
      </c>
      <c r="CZ137" s="5">
        <f>410/$CZ$1</f>
        <v>0.61469265367316339</v>
      </c>
    </row>
    <row r="138" spans="1:104" x14ac:dyDescent="0.25">
      <c r="A138" s="1" t="s">
        <v>1086</v>
      </c>
      <c r="B138">
        <v>563</v>
      </c>
      <c r="C138" s="5">
        <f>B138/B186</f>
        <v>0.56299999999999994</v>
      </c>
      <c r="D138" s="5">
        <f>563/$D$1</f>
        <v>0.56299999999999994</v>
      </c>
      <c r="F138">
        <v>261</v>
      </c>
      <c r="G138" s="5">
        <f>F138/F186</f>
        <v>0.52095808383233533</v>
      </c>
      <c r="H138" s="5">
        <f>261/$H$1</f>
        <v>0.52095808383233533</v>
      </c>
      <c r="J138">
        <v>302</v>
      </c>
      <c r="K138" s="5">
        <f>J138/J186</f>
        <v>0.60521042084168342</v>
      </c>
      <c r="L138" s="5">
        <f>302/$L$1</f>
        <v>0.60521042084168342</v>
      </c>
      <c r="N138">
        <v>50</v>
      </c>
      <c r="O138" s="5">
        <f>N138/N186</f>
        <v>0.51546391752577314</v>
      </c>
      <c r="P138" s="5">
        <f>50/$P$1</f>
        <v>0.51546391752577314</v>
      </c>
      <c r="R138">
        <v>97</v>
      </c>
      <c r="S138" s="5">
        <f>R138/R186</f>
        <v>0.48989898989898989</v>
      </c>
      <c r="T138" s="5">
        <f>97/$T$1</f>
        <v>0.48989898989898989</v>
      </c>
      <c r="V138">
        <v>128</v>
      </c>
      <c r="W138" s="5">
        <f>V138/V186</f>
        <v>0.53112033195020747</v>
      </c>
      <c r="X138" s="5">
        <f>128/$X$1</f>
        <v>0.53112033195020747</v>
      </c>
      <c r="Z138">
        <v>120</v>
      </c>
      <c r="AA138" s="5">
        <f>Z138/Z186</f>
        <v>0.60606060606060608</v>
      </c>
      <c r="AB138" s="5">
        <f>120/$AB$1</f>
        <v>0.60606060606060608</v>
      </c>
      <c r="AD138">
        <v>97</v>
      </c>
      <c r="AE138" s="5">
        <f>AD138/AD186</f>
        <v>0.62987012987012991</v>
      </c>
      <c r="AF138" s="5">
        <f>97/$AF$1</f>
        <v>0.62987012987012991</v>
      </c>
      <c r="AH138">
        <v>76</v>
      </c>
      <c r="AI138" s="5">
        <f>AH138/AH186</f>
        <v>0.6333333333333333</v>
      </c>
      <c r="AJ138" s="5">
        <f>76/$AJ$1</f>
        <v>0.6333333333333333</v>
      </c>
      <c r="AL138">
        <v>240</v>
      </c>
      <c r="AM138" s="5">
        <f>AL138/AL186</f>
        <v>0.64864864864864868</v>
      </c>
      <c r="AN138" s="5">
        <f>240/$AN$1</f>
        <v>0.64864864864864868</v>
      </c>
      <c r="AP138">
        <v>211</v>
      </c>
      <c r="AQ138" s="5">
        <f>AP138/AP186</f>
        <v>0.55820105820105825</v>
      </c>
      <c r="AR138" s="5">
        <f>211/$AR$1</f>
        <v>0.55820105820105825</v>
      </c>
      <c r="AT138">
        <v>112</v>
      </c>
      <c r="AU138" s="5">
        <f>AT138/AT186</f>
        <v>0.44444444444444442</v>
      </c>
      <c r="AV138" s="5">
        <f>112/$AV$1</f>
        <v>0.44444444444444442</v>
      </c>
      <c r="AX138">
        <v>160</v>
      </c>
      <c r="AY138" s="5">
        <f>AX138/AX186</f>
        <v>0.58608058608058611</v>
      </c>
      <c r="AZ138" s="5">
        <f>160/$AZ$1</f>
        <v>0.58608058608058611</v>
      </c>
      <c r="BA138" s="5"/>
      <c r="BB138">
        <v>118</v>
      </c>
      <c r="BC138" s="5">
        <f>BB138/BB186</f>
        <v>0.58128078817733986</v>
      </c>
      <c r="BD138" s="5">
        <f>118/$BD$1</f>
        <v>0.58128078817733986</v>
      </c>
      <c r="BF138">
        <v>130</v>
      </c>
      <c r="BG138" s="5">
        <f>BF138/BF186</f>
        <v>0.60465116279069764</v>
      </c>
      <c r="BH138" s="5">
        <f>130/$BH$1</f>
        <v>0.60465116279069764</v>
      </c>
      <c r="BJ138">
        <v>155</v>
      </c>
      <c r="BK138" s="5">
        <f>BJ138/BJ186</f>
        <v>0.50161812297734631</v>
      </c>
      <c r="BL138" s="5">
        <f>155/$BL$1</f>
        <v>0.50161812297734631</v>
      </c>
      <c r="BN138">
        <v>34</v>
      </c>
      <c r="BO138" s="5">
        <f>BN138/BN186</f>
        <v>0.72340425531914898</v>
      </c>
      <c r="BP138" s="5">
        <f>34/$BP$1</f>
        <v>0.72340425531914898</v>
      </c>
      <c r="BR138">
        <v>215</v>
      </c>
      <c r="BS138" s="5">
        <f>BR138/BR186</f>
        <v>0.6847133757961783</v>
      </c>
      <c r="BT138" s="5">
        <f>215/$BT$1</f>
        <v>0.6847133757961783</v>
      </c>
      <c r="BV138">
        <v>217</v>
      </c>
      <c r="BW138" s="5">
        <f>BV138/BV186</f>
        <v>0.55216284987277353</v>
      </c>
      <c r="BX138" s="5">
        <f>217/$BX$1</f>
        <v>0.55216284987277353</v>
      </c>
      <c r="BZ138">
        <v>97</v>
      </c>
      <c r="CA138" s="5">
        <f>BZ138/BZ186</f>
        <v>0.39430894308943087</v>
      </c>
      <c r="CB138" s="5">
        <f>97/$CB$1</f>
        <v>0.39430894308943087</v>
      </c>
      <c r="CD138">
        <v>59</v>
      </c>
      <c r="CE138" s="5">
        <f>CD138/CD186</f>
        <v>0.47967479674796748</v>
      </c>
      <c r="CF138" s="5">
        <f>59/$CF$1</f>
        <v>0.47967479674796748</v>
      </c>
      <c r="CH138">
        <v>421</v>
      </c>
      <c r="CI138" s="5">
        <f>CH138/CH186</f>
        <v>0.61191860465116277</v>
      </c>
      <c r="CJ138" s="5">
        <f>421/$CJ$1</f>
        <v>0.61191860465116277</v>
      </c>
      <c r="CL138">
        <v>478</v>
      </c>
      <c r="CM138" s="5">
        <f>CL138/CL186</f>
        <v>0.63060686015831136</v>
      </c>
      <c r="CN138" s="5">
        <f>478/$CN$1</f>
        <v>0.63060686015831136</v>
      </c>
      <c r="CP138">
        <v>85</v>
      </c>
      <c r="CQ138" s="5">
        <f>CP138/CP186</f>
        <v>0.3512396694214876</v>
      </c>
      <c r="CR138" s="5">
        <f>85/$CR$1</f>
        <v>0.3512396694214876</v>
      </c>
      <c r="CT138">
        <v>180</v>
      </c>
      <c r="CU138" s="5">
        <f>CT138/CT186</f>
        <v>0.54054054054054057</v>
      </c>
      <c r="CV138" s="5">
        <f>180/$CV$1</f>
        <v>0.54054054054054057</v>
      </c>
      <c r="CX138">
        <v>383</v>
      </c>
      <c r="CY138" s="5">
        <f>CX138/CX186</f>
        <v>0.57421289355322336</v>
      </c>
      <c r="CZ138" s="5">
        <f>383/$CZ$1</f>
        <v>0.57421289355322336</v>
      </c>
    </row>
    <row r="139" spans="1:104" x14ac:dyDescent="0.25">
      <c r="A139" s="1" t="s">
        <v>1087</v>
      </c>
      <c r="B139">
        <v>544</v>
      </c>
      <c r="C139" s="5">
        <f>B139/B186</f>
        <v>0.54400000000000004</v>
      </c>
      <c r="D139" s="5">
        <f>544/$D$1</f>
        <v>0.54400000000000004</v>
      </c>
      <c r="F139">
        <v>259</v>
      </c>
      <c r="G139" s="5">
        <f>F139/F186</f>
        <v>0.51696606786427146</v>
      </c>
      <c r="H139" s="5">
        <f>259/$H$1</f>
        <v>0.51696606786427146</v>
      </c>
      <c r="J139">
        <v>285</v>
      </c>
      <c r="K139" s="5">
        <f>J139/J186</f>
        <v>0.57114228456913829</v>
      </c>
      <c r="L139" s="5">
        <f>285/$L$1</f>
        <v>0.57114228456913829</v>
      </c>
      <c r="N139">
        <v>48</v>
      </c>
      <c r="O139" s="5">
        <f>N139/N186</f>
        <v>0.49484536082474229</v>
      </c>
      <c r="P139" s="5">
        <f>48/$P$1</f>
        <v>0.49484536082474229</v>
      </c>
      <c r="R139">
        <v>82</v>
      </c>
      <c r="S139" s="5">
        <f>R139/R186</f>
        <v>0.41414141414141414</v>
      </c>
      <c r="T139" s="5">
        <f>82/$T$1</f>
        <v>0.41414141414141414</v>
      </c>
      <c r="V139">
        <v>130</v>
      </c>
      <c r="W139" s="5">
        <f>V139/V186</f>
        <v>0.53941908713692943</v>
      </c>
      <c r="X139" s="5">
        <f>130/$X$1</f>
        <v>0.53941908713692943</v>
      </c>
      <c r="Z139">
        <v>112</v>
      </c>
      <c r="AA139" s="5">
        <f>Z139/Z186</f>
        <v>0.56565656565656564</v>
      </c>
      <c r="AB139" s="5">
        <f>112/$AB$1</f>
        <v>0.56565656565656564</v>
      </c>
      <c r="AD139">
        <v>97</v>
      </c>
      <c r="AE139" s="5">
        <f>AD139/AD186</f>
        <v>0.62987012987012991</v>
      </c>
      <c r="AF139" s="5">
        <f>97/$AF$1</f>
        <v>0.62987012987012991</v>
      </c>
      <c r="AH139">
        <v>81</v>
      </c>
      <c r="AI139" s="5">
        <f>AH139/AH186</f>
        <v>0.67500000000000004</v>
      </c>
      <c r="AJ139" s="5">
        <f>81/$AJ$1</f>
        <v>0.67500000000000004</v>
      </c>
      <c r="AL139">
        <v>193</v>
      </c>
      <c r="AM139" s="5">
        <f>AL139/AL186</f>
        <v>0.52162162162162162</v>
      </c>
      <c r="AN139" s="5">
        <f>193/$AN$1</f>
        <v>0.52162162162162162</v>
      </c>
      <c r="AP139">
        <v>224</v>
      </c>
      <c r="AQ139" s="5">
        <f>AP139/AP186</f>
        <v>0.59259259259259256</v>
      </c>
      <c r="AR139" s="5">
        <f>224/$AR$1</f>
        <v>0.59259259259259256</v>
      </c>
      <c r="AT139">
        <v>127</v>
      </c>
      <c r="AU139" s="5">
        <f>AT139/AT186</f>
        <v>0.50396825396825395</v>
      </c>
      <c r="AV139" s="5">
        <f>127/$AV$1</f>
        <v>0.50396825396825395</v>
      </c>
      <c r="AX139">
        <v>157</v>
      </c>
      <c r="AY139" s="5">
        <f>AX139/AX186</f>
        <v>0.57509157509157505</v>
      </c>
      <c r="AZ139" s="5">
        <f>157/$AZ$1</f>
        <v>0.57509157509157505</v>
      </c>
      <c r="BA139" s="5"/>
      <c r="BB139">
        <v>107</v>
      </c>
      <c r="BC139" s="5">
        <f>BB139/BB186</f>
        <v>0.52709359605911332</v>
      </c>
      <c r="BD139" s="5">
        <f>107/$BD$1</f>
        <v>0.52709359605911332</v>
      </c>
      <c r="BF139">
        <v>115</v>
      </c>
      <c r="BG139" s="5">
        <f>BF139/BF186</f>
        <v>0.53488372093023251</v>
      </c>
      <c r="BH139" s="5">
        <f>115/$BH$1</f>
        <v>0.53488372093023251</v>
      </c>
      <c r="BJ139">
        <v>165</v>
      </c>
      <c r="BK139" s="5">
        <f>BJ139/BJ186</f>
        <v>0.53398058252427183</v>
      </c>
      <c r="BL139" s="5">
        <f>165/$BL$1</f>
        <v>0.53398058252427183</v>
      </c>
      <c r="BN139">
        <v>23</v>
      </c>
      <c r="BO139" s="5">
        <f>BN139/BN186</f>
        <v>0.48936170212765956</v>
      </c>
      <c r="BP139" s="5">
        <f>23/$BP$1</f>
        <v>0.48936170212765956</v>
      </c>
      <c r="BR139">
        <v>178</v>
      </c>
      <c r="BS139" s="5">
        <f>BR139/BR186</f>
        <v>0.56687898089171973</v>
      </c>
      <c r="BT139" s="5">
        <f>178/$BT$1</f>
        <v>0.56687898089171973</v>
      </c>
      <c r="BV139">
        <v>225</v>
      </c>
      <c r="BW139" s="5">
        <f>BV139/BV186</f>
        <v>0.5725190839694656</v>
      </c>
      <c r="BX139" s="5">
        <f>225/$BX$1</f>
        <v>0.5725190839694656</v>
      </c>
      <c r="BZ139">
        <v>118</v>
      </c>
      <c r="CA139" s="5">
        <f>BZ139/BZ186</f>
        <v>0.47967479674796748</v>
      </c>
      <c r="CB139" s="5">
        <f>118/$CB$1</f>
        <v>0.47967479674796748</v>
      </c>
      <c r="CD139">
        <v>57</v>
      </c>
      <c r="CE139" s="5">
        <f>CD139/CD186</f>
        <v>0.46341463414634149</v>
      </c>
      <c r="CF139" s="5">
        <f>57/$CF$1</f>
        <v>0.46341463414634149</v>
      </c>
      <c r="CH139">
        <v>390</v>
      </c>
      <c r="CI139" s="5">
        <f>CH139/CH186</f>
        <v>0.56686046511627908</v>
      </c>
      <c r="CJ139" s="5">
        <f>390/$CJ$1</f>
        <v>0.56686046511627908</v>
      </c>
      <c r="CL139">
        <v>411</v>
      </c>
      <c r="CM139" s="5">
        <f>CL139/CL186</f>
        <v>0.54221635883905017</v>
      </c>
      <c r="CN139" s="5">
        <f>411/$CN$1</f>
        <v>0.54221635883905017</v>
      </c>
      <c r="CP139">
        <v>133</v>
      </c>
      <c r="CQ139" s="5">
        <f>CP139/CP186</f>
        <v>0.54958677685950408</v>
      </c>
      <c r="CR139" s="5">
        <f>133/$CR$1</f>
        <v>0.54958677685950408</v>
      </c>
      <c r="CT139">
        <v>175</v>
      </c>
      <c r="CU139" s="5">
        <f>CT139/CT186</f>
        <v>0.52552552552552556</v>
      </c>
      <c r="CV139" s="5">
        <f>175/$CV$1</f>
        <v>0.52552552552552556</v>
      </c>
      <c r="CX139">
        <v>369</v>
      </c>
      <c r="CY139" s="5">
        <f>CX139/CX186</f>
        <v>0.55322338830584705</v>
      </c>
      <c r="CZ139" s="5">
        <f>369/$CZ$1</f>
        <v>0.55322338830584705</v>
      </c>
    </row>
    <row r="140" spans="1:104" x14ac:dyDescent="0.25">
      <c r="A140" s="1" t="s">
        <v>1088</v>
      </c>
      <c r="B140">
        <v>216</v>
      </c>
      <c r="C140" s="5">
        <f>B140/B186</f>
        <v>0.216</v>
      </c>
      <c r="D140" s="5">
        <f>216/$D$1</f>
        <v>0.216</v>
      </c>
      <c r="F140">
        <v>109</v>
      </c>
      <c r="G140" s="5">
        <f>F140/F186</f>
        <v>0.21756487025948104</v>
      </c>
      <c r="H140" s="5">
        <f>109/$H$1</f>
        <v>0.21756487025948104</v>
      </c>
      <c r="J140">
        <v>107</v>
      </c>
      <c r="K140" s="5">
        <f>J140/J186</f>
        <v>0.21442885771543085</v>
      </c>
      <c r="L140" s="5">
        <f>107/$L$1</f>
        <v>0.21442885771543085</v>
      </c>
      <c r="N140">
        <v>21</v>
      </c>
      <c r="O140" s="5">
        <f>N140/N186</f>
        <v>0.21649484536082475</v>
      </c>
      <c r="P140" s="5">
        <f>21/$P$1</f>
        <v>0.21649484536082475</v>
      </c>
      <c r="R140">
        <v>42</v>
      </c>
      <c r="S140" s="5">
        <f>R140/R186</f>
        <v>0.21212121212121213</v>
      </c>
      <c r="T140" s="5">
        <f>42/$T$1</f>
        <v>0.21212121212121213</v>
      </c>
      <c r="V140">
        <v>59</v>
      </c>
      <c r="W140" s="5">
        <f>V140/V186</f>
        <v>0.24481327800829875</v>
      </c>
      <c r="X140" s="5">
        <f>59/$X$1</f>
        <v>0.24481327800829875</v>
      </c>
      <c r="Z140">
        <v>40</v>
      </c>
      <c r="AA140" s="5">
        <f>Z140/Z186</f>
        <v>0.20202020202020202</v>
      </c>
      <c r="AB140" s="5">
        <f>40/$AB$1</f>
        <v>0.20202020202020202</v>
      </c>
      <c r="AD140">
        <v>28</v>
      </c>
      <c r="AE140" s="5">
        <f>AD140/AD186</f>
        <v>0.18181818181818182</v>
      </c>
      <c r="AF140" s="5">
        <f>28/$AF$1</f>
        <v>0.18181818181818182</v>
      </c>
      <c r="AH140">
        <v>28</v>
      </c>
      <c r="AI140" s="5">
        <f>AH140/AH186</f>
        <v>0.23333333333333334</v>
      </c>
      <c r="AJ140" s="5">
        <f>28/$AJ$1</f>
        <v>0.23333333333333334</v>
      </c>
      <c r="AL140">
        <v>87</v>
      </c>
      <c r="AM140" s="5">
        <f>AL140/AL186</f>
        <v>0.23513513513513515</v>
      </c>
      <c r="AN140" s="5">
        <f>87/$AN$1</f>
        <v>0.23513513513513515</v>
      </c>
      <c r="AP140">
        <v>86</v>
      </c>
      <c r="AQ140" s="5">
        <f>AP140/AP186</f>
        <v>0.2275132275132275</v>
      </c>
      <c r="AR140" s="5">
        <f>86/$AR$1</f>
        <v>0.2275132275132275</v>
      </c>
      <c r="AT140">
        <v>43</v>
      </c>
      <c r="AU140" s="5">
        <f>AT140/AT186</f>
        <v>0.17063492063492064</v>
      </c>
      <c r="AV140" s="5">
        <f>43/$AV$1</f>
        <v>0.17063492063492064</v>
      </c>
      <c r="AX140">
        <v>47</v>
      </c>
      <c r="AY140" s="5">
        <f>AX140/AX186</f>
        <v>0.17216117216117216</v>
      </c>
      <c r="AZ140" s="5">
        <f>47/$AZ$1</f>
        <v>0.17216117216117216</v>
      </c>
      <c r="BA140" s="5"/>
      <c r="BB140">
        <v>48</v>
      </c>
      <c r="BC140" s="5">
        <f>BB140/BB186</f>
        <v>0.23645320197044334</v>
      </c>
      <c r="BD140" s="5">
        <f>48/$BD$1</f>
        <v>0.23645320197044334</v>
      </c>
      <c r="BF140">
        <v>56</v>
      </c>
      <c r="BG140" s="5">
        <f>BF140/BF186</f>
        <v>0.26046511627906976</v>
      </c>
      <c r="BH140" s="5">
        <f>56/$BH$1</f>
        <v>0.26046511627906976</v>
      </c>
      <c r="BJ140">
        <v>65</v>
      </c>
      <c r="BK140" s="5">
        <f>BJ140/BJ186</f>
        <v>0.21035598705501618</v>
      </c>
      <c r="BL140" s="5">
        <f>65/$BL$1</f>
        <v>0.21035598705501618</v>
      </c>
      <c r="BN140">
        <v>12</v>
      </c>
      <c r="BO140" s="5">
        <f>BN140/BN186</f>
        <v>0.25531914893617019</v>
      </c>
      <c r="BP140" s="5">
        <f>12/$BP$1</f>
        <v>0.25531914893617019</v>
      </c>
      <c r="BR140">
        <v>75</v>
      </c>
      <c r="BS140" s="5">
        <f>BR140/BR186</f>
        <v>0.23885350318471338</v>
      </c>
      <c r="BT140" s="5">
        <f>75/$BT$1</f>
        <v>0.23885350318471338</v>
      </c>
      <c r="BV140">
        <v>80</v>
      </c>
      <c r="BW140" s="5">
        <f>BV140/BV186</f>
        <v>0.20356234096692111</v>
      </c>
      <c r="BX140" s="5">
        <f>80/$BX$1</f>
        <v>0.20356234096692111</v>
      </c>
      <c r="BZ140">
        <v>49</v>
      </c>
      <c r="CA140" s="5">
        <f>BZ140/BZ186</f>
        <v>0.1991869918699187</v>
      </c>
      <c r="CB140" s="5">
        <f>49/$CB$1</f>
        <v>0.1991869918699187</v>
      </c>
      <c r="CD140">
        <v>31</v>
      </c>
      <c r="CE140" s="5">
        <f>CD140/CD186</f>
        <v>0.25203252032520324</v>
      </c>
      <c r="CF140" s="5">
        <f>31/$CF$1</f>
        <v>0.25203252032520324</v>
      </c>
      <c r="CH140">
        <v>149</v>
      </c>
      <c r="CI140" s="5">
        <f>CH140/CH186</f>
        <v>0.21656976744186046</v>
      </c>
      <c r="CJ140" s="5">
        <f>149/$CJ$1</f>
        <v>0.21656976744186046</v>
      </c>
      <c r="CL140">
        <v>186</v>
      </c>
      <c r="CM140" s="5">
        <f>CL140/CL186</f>
        <v>0.24538258575197888</v>
      </c>
      <c r="CN140" s="5">
        <f>186/$CN$1</f>
        <v>0.24538258575197888</v>
      </c>
      <c r="CP140">
        <v>30</v>
      </c>
      <c r="CQ140" s="5">
        <f>CP140/CP186</f>
        <v>0.12396694214876033</v>
      </c>
      <c r="CR140" s="5">
        <f>30/$CR$1</f>
        <v>0.12396694214876033</v>
      </c>
      <c r="CT140">
        <v>80</v>
      </c>
      <c r="CU140" s="5">
        <f>CT140/CT186</f>
        <v>0.24024024024024024</v>
      </c>
      <c r="CV140" s="5">
        <f>80/$CV$1</f>
        <v>0.24024024024024024</v>
      </c>
      <c r="CX140">
        <v>136</v>
      </c>
      <c r="CY140" s="5">
        <f>CX140/CX186</f>
        <v>0.20389805097451275</v>
      </c>
      <c r="CZ140" s="5">
        <f>136/$CZ$1</f>
        <v>0.20389805097451275</v>
      </c>
    </row>
    <row r="141" spans="1:104" x14ac:dyDescent="0.25">
      <c r="A141" s="1" t="s">
        <v>1089</v>
      </c>
      <c r="B141">
        <v>619</v>
      </c>
      <c r="C141" s="5">
        <f>B141/B186</f>
        <v>0.61899999999999999</v>
      </c>
      <c r="D141" s="5">
        <f>619/$D$1</f>
        <v>0.61899999999999999</v>
      </c>
      <c r="F141">
        <v>305</v>
      </c>
      <c r="G141" s="5">
        <f>F141/F186</f>
        <v>0.60878243512974051</v>
      </c>
      <c r="H141" s="5">
        <f>305/$H$1</f>
        <v>0.60878243512974051</v>
      </c>
      <c r="J141">
        <v>314</v>
      </c>
      <c r="K141" s="5">
        <f>J141/J186</f>
        <v>0.6292585170340681</v>
      </c>
      <c r="L141" s="5">
        <f>314/$L$1</f>
        <v>0.6292585170340681</v>
      </c>
      <c r="N141">
        <v>56</v>
      </c>
      <c r="O141" s="5">
        <f>N141/N186</f>
        <v>0.57731958762886593</v>
      </c>
      <c r="P141" s="5">
        <f>56/$P$1</f>
        <v>0.57731958762886593</v>
      </c>
      <c r="R141">
        <v>125</v>
      </c>
      <c r="S141" s="5">
        <f>R141/R186</f>
        <v>0.63131313131313127</v>
      </c>
      <c r="T141" s="5">
        <f>125/$T$1</f>
        <v>0.63131313131313127</v>
      </c>
      <c r="V141">
        <v>153</v>
      </c>
      <c r="W141" s="5">
        <f>V141/V186</f>
        <v>0.63485477178423233</v>
      </c>
      <c r="X141" s="5">
        <f>153/$X$1</f>
        <v>0.63485477178423233</v>
      </c>
      <c r="Z141">
        <v>128</v>
      </c>
      <c r="AA141" s="5">
        <f>Z141/Z186</f>
        <v>0.64646464646464652</v>
      </c>
      <c r="AB141" s="5">
        <f>128/$AB$1</f>
        <v>0.64646464646464652</v>
      </c>
      <c r="AD141">
        <v>92</v>
      </c>
      <c r="AE141" s="5">
        <f>AD141/AD186</f>
        <v>0.59740259740259738</v>
      </c>
      <c r="AF141" s="5">
        <f>92/$AF$1</f>
        <v>0.59740259740259738</v>
      </c>
      <c r="AH141">
        <v>69</v>
      </c>
      <c r="AI141" s="5">
        <f>AH141/AH186</f>
        <v>0.57499999999999996</v>
      </c>
      <c r="AJ141" s="5">
        <f>69/$AJ$1</f>
        <v>0.57499999999999996</v>
      </c>
      <c r="AL141">
        <v>247</v>
      </c>
      <c r="AM141" s="5">
        <f>AL141/AL186</f>
        <v>0.66756756756756752</v>
      </c>
      <c r="AN141" s="5">
        <f>247/$AN$1</f>
        <v>0.66756756756756752</v>
      </c>
      <c r="AP141">
        <v>235</v>
      </c>
      <c r="AQ141" s="5">
        <f>AP141/AP186</f>
        <v>0.62169312169312174</v>
      </c>
      <c r="AR141" s="5">
        <f>235/$AR$1</f>
        <v>0.62169312169312174</v>
      </c>
      <c r="AT141">
        <v>137</v>
      </c>
      <c r="AU141" s="5">
        <f>AT141/AT186</f>
        <v>0.54365079365079361</v>
      </c>
      <c r="AV141" s="5">
        <f>137/$AV$1</f>
        <v>0.54365079365079361</v>
      </c>
      <c r="AX141">
        <v>155</v>
      </c>
      <c r="AY141" s="5">
        <f>AX141/AX186</f>
        <v>0.56776556776556775</v>
      </c>
      <c r="AZ141" s="5">
        <f>155/$AZ$1</f>
        <v>0.56776556776556775</v>
      </c>
      <c r="BA141" s="5"/>
      <c r="BB141">
        <v>132</v>
      </c>
      <c r="BC141" s="5">
        <f>BB141/BB186</f>
        <v>0.65024630541871919</v>
      </c>
      <c r="BD141" s="5">
        <f>132/$BD$1</f>
        <v>0.65024630541871919</v>
      </c>
      <c r="BF141">
        <v>144</v>
      </c>
      <c r="BG141" s="5">
        <f>BF141/BF186</f>
        <v>0.66976744186046511</v>
      </c>
      <c r="BH141" s="5">
        <f>144/$BH$1</f>
        <v>0.66976744186046511</v>
      </c>
      <c r="BJ141">
        <v>188</v>
      </c>
      <c r="BK141" s="5">
        <f>BJ141/BJ186</f>
        <v>0.60841423948220064</v>
      </c>
      <c r="BL141" s="5">
        <f>188/$BL$1</f>
        <v>0.60841423948220064</v>
      </c>
      <c r="BN141">
        <v>37</v>
      </c>
      <c r="BO141" s="5">
        <f>BN141/BN186</f>
        <v>0.78723404255319152</v>
      </c>
      <c r="BP141" s="5">
        <f>37/$BP$1</f>
        <v>0.78723404255319152</v>
      </c>
      <c r="BR141">
        <v>199</v>
      </c>
      <c r="BS141" s="5">
        <f>BR141/BR186</f>
        <v>0.63375796178343946</v>
      </c>
      <c r="BT141" s="5">
        <f>199/$BT$1</f>
        <v>0.63375796178343946</v>
      </c>
      <c r="BV141">
        <v>231</v>
      </c>
      <c r="BW141" s="5">
        <f>BV141/BV186</f>
        <v>0.58778625954198471</v>
      </c>
      <c r="BX141" s="5">
        <f>231/$BX$1</f>
        <v>0.58778625954198471</v>
      </c>
      <c r="BZ141">
        <v>152</v>
      </c>
      <c r="CA141" s="5">
        <f>BZ141/BZ186</f>
        <v>0.61788617886178865</v>
      </c>
      <c r="CB141" s="5">
        <f>152/$CB$1</f>
        <v>0.61788617886178865</v>
      </c>
      <c r="CD141">
        <v>72</v>
      </c>
      <c r="CE141" s="5">
        <f>CD141/CD186</f>
        <v>0.58536585365853655</v>
      </c>
      <c r="CF141" s="5">
        <f>72/$CF$1</f>
        <v>0.58536585365853655</v>
      </c>
      <c r="CH141">
        <v>456</v>
      </c>
      <c r="CI141" s="5">
        <f>CH141/CH186</f>
        <v>0.66279069767441856</v>
      </c>
      <c r="CJ141" s="5">
        <f>456/$CJ$1</f>
        <v>0.66279069767441856</v>
      </c>
      <c r="CL141">
        <v>533</v>
      </c>
      <c r="CM141" s="5">
        <f>CL141/CL186</f>
        <v>0.70316622691292874</v>
      </c>
      <c r="CN141" s="5">
        <f>533/$CN$1</f>
        <v>0.70316622691292874</v>
      </c>
      <c r="CP141">
        <v>86</v>
      </c>
      <c r="CQ141" s="5">
        <f>CP141/CP186</f>
        <v>0.35537190082644626</v>
      </c>
      <c r="CR141" s="5">
        <f>86/$CR$1</f>
        <v>0.35537190082644626</v>
      </c>
      <c r="CT141">
        <v>212</v>
      </c>
      <c r="CU141" s="5">
        <f>CT141/CT186</f>
        <v>0.63663663663663661</v>
      </c>
      <c r="CV141" s="5">
        <f>212/$CV$1</f>
        <v>0.63663663663663661</v>
      </c>
      <c r="CX141">
        <v>407</v>
      </c>
      <c r="CY141" s="5">
        <f>CX141/CX186</f>
        <v>0.61019490254872566</v>
      </c>
      <c r="CZ141" s="5">
        <f>407/$CZ$1</f>
        <v>0.61019490254872566</v>
      </c>
    </row>
    <row r="142" spans="1:104" x14ac:dyDescent="0.25">
      <c r="A142" s="1" t="s">
        <v>1090</v>
      </c>
      <c r="B142">
        <v>561</v>
      </c>
      <c r="C142" s="5">
        <f>B142/B186</f>
        <v>0.56100000000000005</v>
      </c>
      <c r="D142" s="5">
        <f>561/$D$1</f>
        <v>0.56100000000000005</v>
      </c>
      <c r="F142">
        <v>269</v>
      </c>
      <c r="G142" s="5">
        <f>F142/F186</f>
        <v>0.53692614770459079</v>
      </c>
      <c r="H142" s="5">
        <f>269/$H$1</f>
        <v>0.53692614770459079</v>
      </c>
      <c r="J142">
        <v>292</v>
      </c>
      <c r="K142" s="5">
        <f>J142/J186</f>
        <v>0.58517034068136276</v>
      </c>
      <c r="L142" s="5">
        <f>292/$L$1</f>
        <v>0.58517034068136276</v>
      </c>
      <c r="N142">
        <v>46</v>
      </c>
      <c r="O142" s="5">
        <f>N142/N186</f>
        <v>0.47422680412371132</v>
      </c>
      <c r="P142" s="5">
        <f>46/$P$1</f>
        <v>0.47422680412371132</v>
      </c>
      <c r="R142">
        <v>99</v>
      </c>
      <c r="S142" s="5">
        <f>R142/R186</f>
        <v>0.5</v>
      </c>
      <c r="T142" s="5">
        <f>99/$T$1</f>
        <v>0.5</v>
      </c>
      <c r="V142">
        <v>131</v>
      </c>
      <c r="W142" s="5">
        <f>V142/V186</f>
        <v>0.54356846473029041</v>
      </c>
      <c r="X142" s="5">
        <f>131/$X$1</f>
        <v>0.54356846473029041</v>
      </c>
      <c r="Z142">
        <v>123</v>
      </c>
      <c r="AA142" s="5">
        <f>Z142/Z186</f>
        <v>0.62121212121212122</v>
      </c>
      <c r="AB142" s="5">
        <f>123/$AB$1</f>
        <v>0.62121212121212122</v>
      </c>
      <c r="AD142">
        <v>94</v>
      </c>
      <c r="AE142" s="5">
        <f>AD142/AD186</f>
        <v>0.61038961038961037</v>
      </c>
      <c r="AF142" s="5">
        <f>94/$AF$1</f>
        <v>0.61038961038961037</v>
      </c>
      <c r="AH142">
        <v>74</v>
      </c>
      <c r="AI142" s="5">
        <f>AH142/AH186</f>
        <v>0.6166666666666667</v>
      </c>
      <c r="AJ142" s="5">
        <f>74/$AJ$1</f>
        <v>0.6166666666666667</v>
      </c>
      <c r="AL142">
        <v>235</v>
      </c>
      <c r="AM142" s="5">
        <f>AL142/AL186</f>
        <v>0.63513513513513509</v>
      </c>
      <c r="AN142" s="5">
        <f>235/$AN$1</f>
        <v>0.63513513513513509</v>
      </c>
      <c r="AP142">
        <v>215</v>
      </c>
      <c r="AQ142" s="5">
        <f>AP142/AP186</f>
        <v>0.56878306878306883</v>
      </c>
      <c r="AR142" s="5">
        <f>215/$AR$1</f>
        <v>0.56878306878306883</v>
      </c>
      <c r="AT142">
        <v>111</v>
      </c>
      <c r="AU142" s="5">
        <f>AT142/AT186</f>
        <v>0.44047619047619047</v>
      </c>
      <c r="AV142" s="5">
        <f>111/$AV$1</f>
        <v>0.44047619047619047</v>
      </c>
      <c r="AX142">
        <v>172</v>
      </c>
      <c r="AY142" s="5">
        <f>AX142/AX186</f>
        <v>0.63003663003663002</v>
      </c>
      <c r="AZ142" s="5">
        <f>172/$AZ$1</f>
        <v>0.63003663003663002</v>
      </c>
      <c r="BA142" s="5"/>
      <c r="BB142">
        <v>120</v>
      </c>
      <c r="BC142" s="5">
        <f>BB142/BB186</f>
        <v>0.59113300492610843</v>
      </c>
      <c r="BD142" s="5">
        <f>120/$BD$1</f>
        <v>0.59113300492610843</v>
      </c>
      <c r="BF142">
        <v>119</v>
      </c>
      <c r="BG142" s="5">
        <f>BF142/BF186</f>
        <v>0.55348837209302326</v>
      </c>
      <c r="BH142" s="5">
        <f>119/$BH$1</f>
        <v>0.55348837209302326</v>
      </c>
      <c r="BJ142">
        <v>150</v>
      </c>
      <c r="BK142" s="5">
        <f>BJ142/BJ186</f>
        <v>0.4854368932038835</v>
      </c>
      <c r="BL142" s="5">
        <f>150/$BL$1</f>
        <v>0.4854368932038835</v>
      </c>
      <c r="BN142">
        <v>26</v>
      </c>
      <c r="BO142" s="5">
        <f>BN142/BN186</f>
        <v>0.55319148936170215</v>
      </c>
      <c r="BP142" s="5">
        <f>26/$BP$1</f>
        <v>0.55319148936170215</v>
      </c>
      <c r="BR142">
        <v>202</v>
      </c>
      <c r="BS142" s="5">
        <f>BR142/BR186</f>
        <v>0.64331210191082799</v>
      </c>
      <c r="BT142" s="5">
        <f>202/$BT$1</f>
        <v>0.64331210191082799</v>
      </c>
      <c r="BV142">
        <v>219</v>
      </c>
      <c r="BW142" s="5">
        <f>BV142/BV186</f>
        <v>0.5572519083969466</v>
      </c>
      <c r="BX142" s="5">
        <f>219/$BX$1</f>
        <v>0.5572519083969466</v>
      </c>
      <c r="BZ142">
        <v>114</v>
      </c>
      <c r="CA142" s="5">
        <f>BZ142/BZ186</f>
        <v>0.46341463414634149</v>
      </c>
      <c r="CB142" s="5">
        <f>114/$CB$1</f>
        <v>0.46341463414634149</v>
      </c>
      <c r="CD142">
        <v>73</v>
      </c>
      <c r="CE142" s="5">
        <f>CD142/CD186</f>
        <v>0.5934959349593496</v>
      </c>
      <c r="CF142" s="5">
        <f>73/$CF$1</f>
        <v>0.5934959349593496</v>
      </c>
      <c r="CH142">
        <v>392</v>
      </c>
      <c r="CI142" s="5">
        <f>CH142/CH186</f>
        <v>0.56976744186046513</v>
      </c>
      <c r="CJ142" s="5">
        <f>392/$CJ$1</f>
        <v>0.56976744186046513</v>
      </c>
      <c r="CL142">
        <v>437</v>
      </c>
      <c r="CM142" s="5">
        <f>CL142/CL186</f>
        <v>0.57651715039577833</v>
      </c>
      <c r="CN142" s="5">
        <f>437/$CN$1</f>
        <v>0.57651715039577833</v>
      </c>
      <c r="CP142">
        <v>124</v>
      </c>
      <c r="CQ142" s="5">
        <f>CP142/CP186</f>
        <v>0.51239669421487599</v>
      </c>
      <c r="CR142" s="5">
        <f>124/$CR$1</f>
        <v>0.51239669421487599</v>
      </c>
      <c r="CT142">
        <v>180</v>
      </c>
      <c r="CU142" s="5">
        <f>CT142/CT186</f>
        <v>0.54054054054054057</v>
      </c>
      <c r="CV142" s="5">
        <f>180/$CV$1</f>
        <v>0.54054054054054057</v>
      </c>
      <c r="CX142">
        <v>381</v>
      </c>
      <c r="CY142" s="5">
        <f>CX142/CX186</f>
        <v>0.5712143928035982</v>
      </c>
      <c r="CZ142" s="5">
        <f>381/$CZ$1</f>
        <v>0.5712143928035982</v>
      </c>
    </row>
    <row r="143" spans="1:104" x14ac:dyDescent="0.25">
      <c r="A143" s="1" t="s">
        <v>1091</v>
      </c>
      <c r="B143">
        <v>629</v>
      </c>
      <c r="C143" s="5">
        <f>B143/B186</f>
        <v>0.629</v>
      </c>
      <c r="D143" s="5">
        <f>629/$D$1</f>
        <v>0.629</v>
      </c>
      <c r="F143">
        <v>290</v>
      </c>
      <c r="G143" s="5">
        <f>F143/F186</f>
        <v>0.57884231536926145</v>
      </c>
      <c r="H143" s="5">
        <f>290/$H$1</f>
        <v>0.57884231536926145</v>
      </c>
      <c r="J143">
        <v>339</v>
      </c>
      <c r="K143" s="5">
        <f>J143/J186</f>
        <v>0.67935871743486975</v>
      </c>
      <c r="L143" s="5">
        <f>339/$L$1</f>
        <v>0.67935871743486975</v>
      </c>
      <c r="N143">
        <v>63</v>
      </c>
      <c r="O143" s="5">
        <f>N143/N186</f>
        <v>0.64948453608247425</v>
      </c>
      <c r="P143" s="5">
        <f>63/$P$1</f>
        <v>0.64948453608247425</v>
      </c>
      <c r="R143">
        <v>107</v>
      </c>
      <c r="S143" s="5">
        <f>R143/R186</f>
        <v>0.54040404040404044</v>
      </c>
      <c r="T143" s="5">
        <f>107/$T$1</f>
        <v>0.54040404040404044</v>
      </c>
      <c r="V143">
        <v>150</v>
      </c>
      <c r="W143" s="5">
        <f>V143/V186</f>
        <v>0.62240663900414939</v>
      </c>
      <c r="X143" s="5">
        <f>150/$X$1</f>
        <v>0.62240663900414939</v>
      </c>
      <c r="Z143">
        <v>130</v>
      </c>
      <c r="AA143" s="5">
        <f>Z143/Z186</f>
        <v>0.65656565656565657</v>
      </c>
      <c r="AB143" s="5">
        <f>130/$AB$1</f>
        <v>0.65656565656565657</v>
      </c>
      <c r="AD143">
        <v>101</v>
      </c>
      <c r="AE143" s="5">
        <f>AD143/AD186</f>
        <v>0.6558441558441559</v>
      </c>
      <c r="AF143" s="5">
        <f>101/$AF$1</f>
        <v>0.6558441558441559</v>
      </c>
      <c r="AH143">
        <v>83</v>
      </c>
      <c r="AI143" s="5">
        <f>AH143/AH186</f>
        <v>0.69166666666666665</v>
      </c>
      <c r="AJ143" s="5">
        <f>83/$AJ$1</f>
        <v>0.69166666666666665</v>
      </c>
      <c r="AL143">
        <v>245</v>
      </c>
      <c r="AM143" s="5">
        <f>AL143/AL186</f>
        <v>0.66216216216216217</v>
      </c>
      <c r="AN143" s="5">
        <f>245/$AN$1</f>
        <v>0.66216216216216217</v>
      </c>
      <c r="AP143">
        <v>240</v>
      </c>
      <c r="AQ143" s="5">
        <f>AP143/AP186</f>
        <v>0.63492063492063489</v>
      </c>
      <c r="AR143" s="5">
        <f>240/$AR$1</f>
        <v>0.63492063492063489</v>
      </c>
      <c r="AT143">
        <v>144</v>
      </c>
      <c r="AU143" s="5">
        <f>AT143/AT186</f>
        <v>0.5714285714285714</v>
      </c>
      <c r="AV143" s="5">
        <f>144/$AV$1</f>
        <v>0.5714285714285714</v>
      </c>
      <c r="AX143">
        <v>174</v>
      </c>
      <c r="AY143" s="5">
        <f>AX143/AX186</f>
        <v>0.63736263736263732</v>
      </c>
      <c r="AZ143" s="5">
        <f>174/$AZ$1</f>
        <v>0.63736263736263732</v>
      </c>
      <c r="BA143" s="5"/>
      <c r="BB143">
        <v>134</v>
      </c>
      <c r="BC143" s="5">
        <f>BB143/BB186</f>
        <v>0.66009852216748766</v>
      </c>
      <c r="BD143" s="5">
        <f>134/$BD$1</f>
        <v>0.66009852216748766</v>
      </c>
      <c r="BF143">
        <v>145</v>
      </c>
      <c r="BG143" s="5">
        <f>BF143/BF186</f>
        <v>0.67441860465116277</v>
      </c>
      <c r="BH143" s="5">
        <f>145/$BH$1</f>
        <v>0.67441860465116277</v>
      </c>
      <c r="BJ143">
        <v>176</v>
      </c>
      <c r="BK143" s="5">
        <f>BJ143/BJ186</f>
        <v>0.56957928802588997</v>
      </c>
      <c r="BL143" s="5">
        <f>176/$BL$1</f>
        <v>0.56957928802588997</v>
      </c>
      <c r="BN143">
        <v>32</v>
      </c>
      <c r="BO143" s="5">
        <f>BN143/BN186</f>
        <v>0.68085106382978722</v>
      </c>
      <c r="BP143" s="5">
        <f>32/$BP$1</f>
        <v>0.68085106382978722</v>
      </c>
      <c r="BR143">
        <v>224</v>
      </c>
      <c r="BS143" s="5">
        <f>BR143/BR186</f>
        <v>0.7133757961783439</v>
      </c>
      <c r="BT143" s="5">
        <f>224/$BT$1</f>
        <v>0.7133757961783439</v>
      </c>
      <c r="BV143">
        <v>246</v>
      </c>
      <c r="BW143" s="5">
        <f>BV143/BV186</f>
        <v>0.62595419847328249</v>
      </c>
      <c r="BX143" s="5">
        <f>246/$BX$1</f>
        <v>0.62595419847328249</v>
      </c>
      <c r="BZ143">
        <v>127</v>
      </c>
      <c r="CA143" s="5">
        <f>BZ143/BZ186</f>
        <v>0.51626016260162599</v>
      </c>
      <c r="CB143" s="5">
        <f>127/$CB$1</f>
        <v>0.51626016260162599</v>
      </c>
      <c r="CD143">
        <v>73</v>
      </c>
      <c r="CE143" s="5">
        <f>CD143/CD186</f>
        <v>0.5934959349593496</v>
      </c>
      <c r="CF143" s="5">
        <f>73/$CF$1</f>
        <v>0.5934959349593496</v>
      </c>
      <c r="CH143">
        <v>468</v>
      </c>
      <c r="CI143" s="5">
        <f>CH143/CH186</f>
        <v>0.68023255813953487</v>
      </c>
      <c r="CJ143" s="5">
        <f>468/$CJ$1</f>
        <v>0.68023255813953487</v>
      </c>
      <c r="CL143">
        <v>506</v>
      </c>
      <c r="CM143" s="5">
        <f>CL143/CL186</f>
        <v>0.66754617414248019</v>
      </c>
      <c r="CN143" s="5">
        <f>506/$CN$1</f>
        <v>0.66754617414248019</v>
      </c>
      <c r="CP143">
        <v>123</v>
      </c>
      <c r="CQ143" s="5">
        <f>CP143/CP186</f>
        <v>0.50826446280991733</v>
      </c>
      <c r="CR143" s="5">
        <f>123/$CR$1</f>
        <v>0.50826446280991733</v>
      </c>
      <c r="CT143">
        <v>206</v>
      </c>
      <c r="CU143" s="5">
        <f>CT143/CT186</f>
        <v>0.61861861861861867</v>
      </c>
      <c r="CV143" s="5">
        <f>206/$CV$1</f>
        <v>0.61861861861861867</v>
      </c>
      <c r="CX143">
        <v>423</v>
      </c>
      <c r="CY143" s="5">
        <f>CX143/CX186</f>
        <v>0.63418290854572712</v>
      </c>
      <c r="CZ143" s="5">
        <f>423/$CZ$1</f>
        <v>0.63418290854572712</v>
      </c>
    </row>
    <row r="144" spans="1:104" x14ac:dyDescent="0.25">
      <c r="A144" s="1" t="s">
        <v>1092</v>
      </c>
      <c r="B144">
        <v>700</v>
      </c>
      <c r="C144" s="5">
        <f>B144/B186</f>
        <v>0.7</v>
      </c>
      <c r="D144" s="5">
        <f>700/$D$1</f>
        <v>0.7</v>
      </c>
      <c r="F144">
        <v>345</v>
      </c>
      <c r="G144" s="5">
        <f>F144/F186</f>
        <v>0.68862275449101795</v>
      </c>
      <c r="H144" s="5">
        <f>345/$H$1</f>
        <v>0.68862275449101795</v>
      </c>
      <c r="J144">
        <v>355</v>
      </c>
      <c r="K144" s="5">
        <f>J144/J186</f>
        <v>0.71142284569138281</v>
      </c>
      <c r="L144" s="5">
        <f>355/$L$1</f>
        <v>0.71142284569138281</v>
      </c>
      <c r="N144">
        <v>66</v>
      </c>
      <c r="O144" s="5">
        <f>N144/N186</f>
        <v>0.68041237113402064</v>
      </c>
      <c r="P144" s="5">
        <f>66/$P$1</f>
        <v>0.68041237113402064</v>
      </c>
      <c r="R144">
        <v>117</v>
      </c>
      <c r="S144" s="5">
        <f>R144/R186</f>
        <v>0.59090909090909094</v>
      </c>
      <c r="T144" s="5">
        <f>117/$T$1</f>
        <v>0.59090909090909094</v>
      </c>
      <c r="V144">
        <v>173</v>
      </c>
      <c r="W144" s="5">
        <f>V144/V186</f>
        <v>0.71784232365145229</v>
      </c>
      <c r="X144" s="5">
        <f>173/$X$1</f>
        <v>0.71784232365145229</v>
      </c>
      <c r="Z144">
        <v>155</v>
      </c>
      <c r="AA144" s="5">
        <f>Z144/Z186</f>
        <v>0.78282828282828287</v>
      </c>
      <c r="AB144" s="5">
        <f>155/$AB$1</f>
        <v>0.78282828282828287</v>
      </c>
      <c r="AD144">
        <v>109</v>
      </c>
      <c r="AE144" s="5">
        <f>AD144/AD186</f>
        <v>0.70779220779220775</v>
      </c>
      <c r="AF144" s="5">
        <f>109/$AF$1</f>
        <v>0.70779220779220775</v>
      </c>
      <c r="AH144">
        <v>85</v>
      </c>
      <c r="AI144" s="5">
        <f>AH144/AH186</f>
        <v>0.70833333333333337</v>
      </c>
      <c r="AJ144" s="5">
        <f>85/$AJ$1</f>
        <v>0.70833333333333337</v>
      </c>
      <c r="AL144">
        <v>278</v>
      </c>
      <c r="AM144" s="5">
        <f>AL144/AL186</f>
        <v>0.75135135135135134</v>
      </c>
      <c r="AN144" s="5">
        <f>278/$AN$1</f>
        <v>0.75135135135135134</v>
      </c>
      <c r="AP144">
        <v>259</v>
      </c>
      <c r="AQ144" s="5">
        <f>AP144/AP186</f>
        <v>0.68518518518518523</v>
      </c>
      <c r="AR144" s="5">
        <f>259/$AR$1</f>
        <v>0.68518518518518523</v>
      </c>
      <c r="AT144">
        <v>163</v>
      </c>
      <c r="AU144" s="5">
        <f>AT144/AT186</f>
        <v>0.64682539682539686</v>
      </c>
      <c r="AV144" s="5">
        <f>163/$AV$1</f>
        <v>0.64682539682539686</v>
      </c>
      <c r="AX144">
        <v>195</v>
      </c>
      <c r="AY144" s="5">
        <f>AX144/AX186</f>
        <v>0.7142857142857143</v>
      </c>
      <c r="AZ144" s="5">
        <f>195/$AZ$1</f>
        <v>0.7142857142857143</v>
      </c>
      <c r="BA144" s="5"/>
      <c r="BB144">
        <v>147</v>
      </c>
      <c r="BC144" s="5">
        <f>BB144/BB186</f>
        <v>0.72413793103448276</v>
      </c>
      <c r="BD144" s="5">
        <f>147/$BD$1</f>
        <v>0.72413793103448276</v>
      </c>
      <c r="BF144">
        <v>160</v>
      </c>
      <c r="BG144" s="5">
        <f>BF144/BF186</f>
        <v>0.7441860465116279</v>
      </c>
      <c r="BH144" s="5">
        <f>160/$BH$1</f>
        <v>0.7441860465116279</v>
      </c>
      <c r="BJ144">
        <v>198</v>
      </c>
      <c r="BK144" s="5">
        <f>BJ144/BJ186</f>
        <v>0.64077669902912626</v>
      </c>
      <c r="BL144" s="5">
        <f>198/$BL$1</f>
        <v>0.64077669902912626</v>
      </c>
      <c r="BN144">
        <v>34</v>
      </c>
      <c r="BO144" s="5">
        <f>BN144/BN186</f>
        <v>0.72340425531914898</v>
      </c>
      <c r="BP144" s="5">
        <f>34/$BP$1</f>
        <v>0.72340425531914898</v>
      </c>
      <c r="BR144">
        <v>237</v>
      </c>
      <c r="BS144" s="5">
        <f>BR144/BR186</f>
        <v>0.75477707006369432</v>
      </c>
      <c r="BT144" s="5">
        <f>237/$BT$1</f>
        <v>0.75477707006369432</v>
      </c>
      <c r="BV144">
        <v>276</v>
      </c>
      <c r="BW144" s="5">
        <f>BV144/BV186</f>
        <v>0.70229007633587781</v>
      </c>
      <c r="BX144" s="5">
        <f>276/$BX$1</f>
        <v>0.70229007633587781</v>
      </c>
      <c r="BZ144">
        <v>153</v>
      </c>
      <c r="CA144" s="5">
        <f>BZ144/BZ186</f>
        <v>0.62195121951219512</v>
      </c>
      <c r="CB144" s="5">
        <f>153/$CB$1</f>
        <v>0.62195121951219512</v>
      </c>
      <c r="CD144">
        <v>77</v>
      </c>
      <c r="CE144" s="5">
        <f>CD144/CD186</f>
        <v>0.62601626016260159</v>
      </c>
      <c r="CF144" s="5">
        <f>77/$CF$1</f>
        <v>0.62601626016260159</v>
      </c>
      <c r="CH144">
        <v>502</v>
      </c>
      <c r="CI144" s="5">
        <f>CH144/CH186</f>
        <v>0.72965116279069764</v>
      </c>
      <c r="CJ144" s="5">
        <f>502/$CJ$1</f>
        <v>0.72965116279069764</v>
      </c>
      <c r="CL144">
        <v>552</v>
      </c>
      <c r="CM144" s="5">
        <f>CL144/CL186</f>
        <v>0.72823218997361483</v>
      </c>
      <c r="CN144" s="5">
        <f>552/$CN$1</f>
        <v>0.72823218997361483</v>
      </c>
      <c r="CP144">
        <v>148</v>
      </c>
      <c r="CQ144" s="5">
        <f>CP144/CP186</f>
        <v>0.61157024793388426</v>
      </c>
      <c r="CR144" s="5">
        <f>148/$CR$1</f>
        <v>0.61157024793388426</v>
      </c>
      <c r="CT144">
        <v>243</v>
      </c>
      <c r="CU144" s="5">
        <f>CT144/CT186</f>
        <v>0.72972972972972971</v>
      </c>
      <c r="CV144" s="5">
        <f>243/$CV$1</f>
        <v>0.72972972972972971</v>
      </c>
      <c r="CX144">
        <v>457</v>
      </c>
      <c r="CY144" s="5">
        <f>CX144/CX186</f>
        <v>0.68515742128935531</v>
      </c>
      <c r="CZ144" s="5">
        <f>457/$CZ$1</f>
        <v>0.68515742128935531</v>
      </c>
    </row>
    <row r="146" spans="1:104" x14ac:dyDescent="0.25">
      <c r="A146" s="1" t="s">
        <v>1093</v>
      </c>
      <c r="B146">
        <v>295</v>
      </c>
      <c r="C146" s="5">
        <f>B146/B186</f>
        <v>0.29499999999999998</v>
      </c>
      <c r="D146" s="5">
        <f>295/$D$1</f>
        <v>0.29499999999999998</v>
      </c>
      <c r="F146">
        <v>170</v>
      </c>
      <c r="G146" s="5">
        <f>F146/F186</f>
        <v>0.33932135728542911</v>
      </c>
      <c r="H146" s="5">
        <f>170/$H$1</f>
        <v>0.33932135728542911</v>
      </c>
      <c r="J146">
        <v>125</v>
      </c>
      <c r="K146" s="5">
        <f>J146/J186</f>
        <v>0.25050100200400799</v>
      </c>
      <c r="L146" s="5">
        <f>125/$L$1</f>
        <v>0.25050100200400799</v>
      </c>
      <c r="N146">
        <v>20</v>
      </c>
      <c r="O146" s="5">
        <f>N146/N186</f>
        <v>0.20618556701030927</v>
      </c>
      <c r="P146" s="5">
        <f>20/$P$1</f>
        <v>0.20618556701030927</v>
      </c>
      <c r="R146">
        <v>75</v>
      </c>
      <c r="S146" s="5">
        <f>R146/R186</f>
        <v>0.37878787878787878</v>
      </c>
      <c r="T146" s="5">
        <f>75/$T$1</f>
        <v>0.37878787878787878</v>
      </c>
      <c r="V146">
        <v>78</v>
      </c>
      <c r="W146" s="5">
        <f>V146/V186</f>
        <v>0.32365145228215769</v>
      </c>
      <c r="X146" s="5">
        <f>78/$X$1</f>
        <v>0.32365145228215769</v>
      </c>
      <c r="Z146">
        <v>48</v>
      </c>
      <c r="AA146" s="5">
        <f>Z146/Z186</f>
        <v>0.24242424242424243</v>
      </c>
      <c r="AB146" s="5">
        <f>48/$AB$1</f>
        <v>0.24242424242424243</v>
      </c>
      <c r="AD146">
        <v>41</v>
      </c>
      <c r="AE146" s="5">
        <f>AD146/AD186</f>
        <v>0.26623376623376621</v>
      </c>
      <c r="AF146" s="5">
        <f>41/$AF$1</f>
        <v>0.26623376623376621</v>
      </c>
      <c r="AH146">
        <v>35</v>
      </c>
      <c r="AI146" s="5">
        <f>AH146/AH186</f>
        <v>0.29166666666666669</v>
      </c>
      <c r="AJ146" s="5">
        <f>35/$AJ$1</f>
        <v>0.29166666666666669</v>
      </c>
      <c r="AL146">
        <v>81</v>
      </c>
      <c r="AM146" s="5">
        <f>AL146/AL186</f>
        <v>0.21891891891891893</v>
      </c>
      <c r="AN146" s="5">
        <f>81/$AN$1</f>
        <v>0.21891891891891893</v>
      </c>
      <c r="AP146">
        <v>130</v>
      </c>
      <c r="AQ146" s="5">
        <f>AP146/AP186</f>
        <v>0.3439153439153439</v>
      </c>
      <c r="AR146" s="5">
        <f>130/$AR$1</f>
        <v>0.3439153439153439</v>
      </c>
      <c r="AT146">
        <v>84</v>
      </c>
      <c r="AU146" s="5">
        <f>AT146/AT186</f>
        <v>0.33333333333333331</v>
      </c>
      <c r="AV146" s="5">
        <f>84/$AV$1</f>
        <v>0.33333333333333331</v>
      </c>
      <c r="AX146">
        <v>77</v>
      </c>
      <c r="AY146" s="5">
        <f>AX146/AX186</f>
        <v>0.28205128205128205</v>
      </c>
      <c r="AZ146" s="5">
        <f>77/$AZ$1</f>
        <v>0.28205128205128205</v>
      </c>
      <c r="BA146" s="5"/>
      <c r="BB146">
        <v>51</v>
      </c>
      <c r="BC146" s="5">
        <f>BB146/BB186</f>
        <v>0.25123152709359609</v>
      </c>
      <c r="BD146" s="5">
        <f>51/$BD$1</f>
        <v>0.25123152709359609</v>
      </c>
      <c r="BF146">
        <v>53</v>
      </c>
      <c r="BG146" s="5">
        <f>BF146/BF186</f>
        <v>0.24651162790697675</v>
      </c>
      <c r="BH146" s="5">
        <f>53/$BH$1</f>
        <v>0.24651162790697675</v>
      </c>
      <c r="BJ146">
        <v>114</v>
      </c>
      <c r="BK146" s="5">
        <f>BJ146/BJ186</f>
        <v>0.36893203883495146</v>
      </c>
      <c r="BL146" s="5">
        <f>114/$BL$1</f>
        <v>0.36893203883495146</v>
      </c>
      <c r="BN146">
        <v>13</v>
      </c>
      <c r="BO146" s="5">
        <f>BN146/BN186</f>
        <v>0.27659574468085107</v>
      </c>
      <c r="BP146" s="5">
        <f>13/$BP$1</f>
        <v>0.27659574468085107</v>
      </c>
      <c r="BR146">
        <v>66</v>
      </c>
      <c r="BS146" s="5">
        <f>BR146/BR186</f>
        <v>0.21019108280254778</v>
      </c>
      <c r="BT146" s="5">
        <f>66/$BT$1</f>
        <v>0.21019108280254778</v>
      </c>
      <c r="BV146">
        <v>126</v>
      </c>
      <c r="BW146" s="5">
        <f>BV146/BV186</f>
        <v>0.32061068702290074</v>
      </c>
      <c r="BX146" s="5">
        <f>126/$BX$1</f>
        <v>0.32061068702290074</v>
      </c>
      <c r="BZ146">
        <v>90</v>
      </c>
      <c r="CA146" s="5">
        <f>BZ146/BZ186</f>
        <v>0.36585365853658536</v>
      </c>
      <c r="CB146" s="5">
        <f>90/$CB$1</f>
        <v>0.36585365853658536</v>
      </c>
      <c r="CD146">
        <v>47</v>
      </c>
      <c r="CE146" s="5">
        <f>CD146/CD186</f>
        <v>0.38211382113821141</v>
      </c>
      <c r="CF146" s="5">
        <f>47/$CF$1</f>
        <v>0.38211382113821141</v>
      </c>
      <c r="CH146">
        <v>193</v>
      </c>
      <c r="CI146" s="5">
        <f>CH146/CH186</f>
        <v>0.28052325581395349</v>
      </c>
      <c r="CJ146" s="5">
        <f>193/$CJ$1</f>
        <v>0.28052325581395349</v>
      </c>
      <c r="CL146">
        <v>209</v>
      </c>
      <c r="CM146" s="5">
        <f>CL146/CL186</f>
        <v>0.27572559366754618</v>
      </c>
      <c r="CN146" s="5">
        <f>209/$CN$1</f>
        <v>0.27572559366754618</v>
      </c>
      <c r="CP146">
        <v>86</v>
      </c>
      <c r="CQ146" s="5">
        <f>CP146/CP186</f>
        <v>0.35537190082644626</v>
      </c>
      <c r="CR146" s="5">
        <f>86/$CR$1</f>
        <v>0.35537190082644626</v>
      </c>
      <c r="CT146">
        <v>98</v>
      </c>
      <c r="CU146" s="5">
        <f>CT146/CT186</f>
        <v>0.29429429429429427</v>
      </c>
      <c r="CV146" s="5">
        <f>98/$CV$1</f>
        <v>0.29429429429429427</v>
      </c>
      <c r="CX146">
        <v>197</v>
      </c>
      <c r="CY146" s="5">
        <f>CX146/CX186</f>
        <v>0.29535232383808097</v>
      </c>
      <c r="CZ146" s="5">
        <f>197/$CZ$1</f>
        <v>0.29535232383808097</v>
      </c>
    </row>
    <row r="147" spans="1:104" x14ac:dyDescent="0.25">
      <c r="A147" s="1" t="s">
        <v>1094</v>
      </c>
      <c r="B147">
        <v>292</v>
      </c>
      <c r="C147" s="5">
        <f>B147/B186</f>
        <v>0.29199999999999998</v>
      </c>
      <c r="D147" s="5">
        <f>292/$D$1</f>
        <v>0.29199999999999998</v>
      </c>
      <c r="F147">
        <v>142</v>
      </c>
      <c r="G147" s="5">
        <f>F147/F186</f>
        <v>0.28343313373253493</v>
      </c>
      <c r="H147" s="5">
        <f>142/$H$1</f>
        <v>0.28343313373253493</v>
      </c>
      <c r="J147">
        <v>150</v>
      </c>
      <c r="K147" s="5">
        <f>J147/J186</f>
        <v>0.30060120240480964</v>
      </c>
      <c r="L147" s="5">
        <f>150/$L$1</f>
        <v>0.30060120240480964</v>
      </c>
      <c r="N147">
        <v>26</v>
      </c>
      <c r="O147" s="5">
        <f>N147/N186</f>
        <v>0.26804123711340205</v>
      </c>
      <c r="P147" s="5">
        <f>26/$P$1</f>
        <v>0.26804123711340205</v>
      </c>
      <c r="R147">
        <v>64</v>
      </c>
      <c r="S147" s="5">
        <f>R147/R186</f>
        <v>0.32323232323232326</v>
      </c>
      <c r="T147" s="5">
        <f>64/$T$1</f>
        <v>0.32323232323232326</v>
      </c>
      <c r="V147">
        <v>73</v>
      </c>
      <c r="W147" s="5">
        <f>V147/V186</f>
        <v>0.30290456431535268</v>
      </c>
      <c r="X147" s="5">
        <f>73/$X$1</f>
        <v>0.30290456431535268</v>
      </c>
      <c r="Z147">
        <v>52</v>
      </c>
      <c r="AA147" s="5">
        <f>Z147/Z186</f>
        <v>0.26262626262626265</v>
      </c>
      <c r="AB147" s="5">
        <f>52/$AB$1</f>
        <v>0.26262626262626265</v>
      </c>
      <c r="AD147">
        <v>46</v>
      </c>
      <c r="AE147" s="5">
        <f>AD147/AD186</f>
        <v>0.29870129870129869</v>
      </c>
      <c r="AF147" s="5">
        <f>46/$AF$1</f>
        <v>0.29870129870129869</v>
      </c>
      <c r="AH147">
        <v>34</v>
      </c>
      <c r="AI147" s="5">
        <f>AH147/AH186</f>
        <v>0.28333333333333333</v>
      </c>
      <c r="AJ147" s="5">
        <f>34/$AJ$1</f>
        <v>0.28333333333333333</v>
      </c>
      <c r="AL147">
        <v>101</v>
      </c>
      <c r="AM147" s="5">
        <f>AL147/AL186</f>
        <v>0.27297297297297296</v>
      </c>
      <c r="AN147" s="5">
        <f>101/$AN$1</f>
        <v>0.27297297297297296</v>
      </c>
      <c r="AP147">
        <v>114</v>
      </c>
      <c r="AQ147" s="5">
        <f>AP147/AP186</f>
        <v>0.30158730158730157</v>
      </c>
      <c r="AR147" s="5">
        <f>114/$AR$1</f>
        <v>0.30158730158730157</v>
      </c>
      <c r="AT147">
        <v>77</v>
      </c>
      <c r="AU147" s="5">
        <f>AT147/AT186</f>
        <v>0.30555555555555558</v>
      </c>
      <c r="AV147" s="5">
        <f>77/$AV$1</f>
        <v>0.30555555555555558</v>
      </c>
      <c r="AX147">
        <v>78</v>
      </c>
      <c r="AY147" s="5">
        <f>AX147/AX186</f>
        <v>0.2857142857142857</v>
      </c>
      <c r="AZ147" s="5">
        <f>78/$AZ$1</f>
        <v>0.2857142857142857</v>
      </c>
      <c r="BA147" s="5"/>
      <c r="BB147">
        <v>62</v>
      </c>
      <c r="BC147" s="5">
        <f>BB147/BB186</f>
        <v>0.30541871921182268</v>
      </c>
      <c r="BD147" s="5">
        <f>62/$BD$1</f>
        <v>0.30541871921182268</v>
      </c>
      <c r="BF147">
        <v>54</v>
      </c>
      <c r="BG147" s="5">
        <f>BF147/BF186</f>
        <v>0.25116279069767444</v>
      </c>
      <c r="BH147" s="5">
        <f>54/$BH$1</f>
        <v>0.25116279069767444</v>
      </c>
      <c r="BJ147">
        <v>98</v>
      </c>
      <c r="BK147" s="5">
        <f>BJ147/BJ186</f>
        <v>0.31715210355987056</v>
      </c>
      <c r="BL147" s="5">
        <f>98/$BL$1</f>
        <v>0.31715210355987056</v>
      </c>
      <c r="BN147">
        <v>11</v>
      </c>
      <c r="BO147" s="5">
        <f>BN147/BN186</f>
        <v>0.23404255319148937</v>
      </c>
      <c r="BP147" s="5">
        <f>11/$BP$1</f>
        <v>0.23404255319148937</v>
      </c>
      <c r="BR147">
        <v>61</v>
      </c>
      <c r="BS147" s="5">
        <f>BR147/BR186</f>
        <v>0.19426751592356689</v>
      </c>
      <c r="BT147" s="5">
        <f>61/$BT$1</f>
        <v>0.19426751592356689</v>
      </c>
      <c r="BV147">
        <v>135</v>
      </c>
      <c r="BW147" s="5">
        <f>BV147/BV186</f>
        <v>0.34351145038167941</v>
      </c>
      <c r="BX147" s="5">
        <f>135/$BX$1</f>
        <v>0.34351145038167941</v>
      </c>
      <c r="BZ147">
        <v>85</v>
      </c>
      <c r="CA147" s="5">
        <f>BZ147/BZ186</f>
        <v>0.34552845528455284</v>
      </c>
      <c r="CB147" s="5">
        <f>85/$CB$1</f>
        <v>0.34552845528455284</v>
      </c>
      <c r="CD147">
        <v>39</v>
      </c>
      <c r="CE147" s="5">
        <f>CD147/CD186</f>
        <v>0.31707317073170732</v>
      </c>
      <c r="CF147" s="5">
        <f>39/$CF$1</f>
        <v>0.31707317073170732</v>
      </c>
      <c r="CH147">
        <v>191</v>
      </c>
      <c r="CI147" s="5">
        <f>CH147/CH186</f>
        <v>0.27761627906976744</v>
      </c>
      <c r="CJ147" s="5">
        <f>191/$CJ$1</f>
        <v>0.27761627906976744</v>
      </c>
      <c r="CL147">
        <v>214</v>
      </c>
      <c r="CM147" s="5">
        <f>CL147/CL186</f>
        <v>0.28232189973614774</v>
      </c>
      <c r="CN147" s="5">
        <f>214/$CN$1</f>
        <v>0.28232189973614774</v>
      </c>
      <c r="CP147">
        <v>78</v>
      </c>
      <c r="CQ147" s="5">
        <f>CP147/CP186</f>
        <v>0.32231404958677684</v>
      </c>
      <c r="CR147" s="5">
        <f>78/$CR$1</f>
        <v>0.32231404958677684</v>
      </c>
      <c r="CT147">
        <v>92</v>
      </c>
      <c r="CU147" s="5">
        <f>CT147/CT186</f>
        <v>0.27627627627627627</v>
      </c>
      <c r="CV147" s="5">
        <f>92/$CV$1</f>
        <v>0.27627627627627627</v>
      </c>
      <c r="CX147">
        <v>200</v>
      </c>
      <c r="CY147" s="5">
        <f>CX147/CX186</f>
        <v>0.29985007496251875</v>
      </c>
      <c r="CZ147" s="5">
        <f>200/$CZ$1</f>
        <v>0.29985007496251875</v>
      </c>
    </row>
    <row r="148" spans="1:104" x14ac:dyDescent="0.25">
      <c r="A148" s="1" t="s">
        <v>1095</v>
      </c>
      <c r="B148">
        <v>273</v>
      </c>
      <c r="C148" s="5">
        <f>B148/B186</f>
        <v>0.27300000000000002</v>
      </c>
      <c r="D148" s="5">
        <f>273/$D$1</f>
        <v>0.27300000000000002</v>
      </c>
      <c r="F148">
        <v>150</v>
      </c>
      <c r="G148" s="5">
        <f>F148/F186</f>
        <v>0.29940119760479039</v>
      </c>
      <c r="H148" s="5">
        <f>150/$H$1</f>
        <v>0.29940119760479039</v>
      </c>
      <c r="J148">
        <v>123</v>
      </c>
      <c r="K148" s="5">
        <f>J148/J186</f>
        <v>0.24649298597194388</v>
      </c>
      <c r="L148" s="5">
        <f>123/$L$1</f>
        <v>0.24649298597194388</v>
      </c>
      <c r="N148">
        <v>34</v>
      </c>
      <c r="O148" s="5">
        <f>N148/N186</f>
        <v>0.35051546391752575</v>
      </c>
      <c r="P148" s="5">
        <f>34/$P$1</f>
        <v>0.35051546391752575</v>
      </c>
      <c r="R148">
        <v>60</v>
      </c>
      <c r="S148" s="5">
        <f>R148/R186</f>
        <v>0.30303030303030304</v>
      </c>
      <c r="T148" s="5">
        <f>60/$T$1</f>
        <v>0.30303030303030304</v>
      </c>
      <c r="V148">
        <v>63</v>
      </c>
      <c r="W148" s="5">
        <f>V148/V186</f>
        <v>0.26141078838174275</v>
      </c>
      <c r="X148" s="5">
        <f>63/$X$1</f>
        <v>0.26141078838174275</v>
      </c>
      <c r="Z148">
        <v>44</v>
      </c>
      <c r="AA148" s="5">
        <f>Z148/Z186</f>
        <v>0.22222222222222221</v>
      </c>
      <c r="AB148" s="5">
        <f>44/$AB$1</f>
        <v>0.22222222222222221</v>
      </c>
      <c r="AD148">
        <v>34</v>
      </c>
      <c r="AE148" s="5">
        <f>AD148/AD186</f>
        <v>0.22077922077922077</v>
      </c>
      <c r="AF148" s="5">
        <f>34/$AF$1</f>
        <v>0.22077922077922077</v>
      </c>
      <c r="AH148">
        <v>40</v>
      </c>
      <c r="AI148" s="5">
        <f>AH148/AH186</f>
        <v>0.33333333333333331</v>
      </c>
      <c r="AJ148" s="5">
        <f>40/$AJ$1</f>
        <v>0.33333333333333331</v>
      </c>
      <c r="AL148">
        <v>96</v>
      </c>
      <c r="AM148" s="5">
        <f>AL148/AL186</f>
        <v>0.25945945945945947</v>
      </c>
      <c r="AN148" s="5">
        <f>96/$AN$1</f>
        <v>0.25945945945945947</v>
      </c>
      <c r="AP148">
        <v>115</v>
      </c>
      <c r="AQ148" s="5">
        <f>AP148/AP186</f>
        <v>0.30423280423280424</v>
      </c>
      <c r="AR148" s="5">
        <f>115/$AR$1</f>
        <v>0.30423280423280424</v>
      </c>
      <c r="AT148">
        <v>62</v>
      </c>
      <c r="AU148" s="5">
        <f>AT148/AT186</f>
        <v>0.24603174603174602</v>
      </c>
      <c r="AV148" s="5">
        <f>62/$AV$1</f>
        <v>0.24603174603174602</v>
      </c>
      <c r="AX148">
        <v>59</v>
      </c>
      <c r="AY148" s="5">
        <f>AX148/AX186</f>
        <v>0.21611721611721613</v>
      </c>
      <c r="AZ148" s="5">
        <f>59/$AZ$1</f>
        <v>0.21611721611721613</v>
      </c>
      <c r="BA148" s="5"/>
      <c r="BB148">
        <v>51</v>
      </c>
      <c r="BC148" s="5">
        <f>BB148/BB186</f>
        <v>0.25123152709359609</v>
      </c>
      <c r="BD148" s="5">
        <f>51/$BD$1</f>
        <v>0.25123152709359609</v>
      </c>
      <c r="BF148">
        <v>54</v>
      </c>
      <c r="BG148" s="5">
        <f>BF148/BF186</f>
        <v>0.25116279069767444</v>
      </c>
      <c r="BH148" s="5">
        <f>54/$BH$1</f>
        <v>0.25116279069767444</v>
      </c>
      <c r="BJ148">
        <v>109</v>
      </c>
      <c r="BK148" s="5">
        <f>BJ148/BJ186</f>
        <v>0.35275080906148865</v>
      </c>
      <c r="BL148" s="5">
        <f>109/$BL$1</f>
        <v>0.35275080906148865</v>
      </c>
      <c r="BN148">
        <v>11</v>
      </c>
      <c r="BO148" s="5">
        <f>BN148/BN186</f>
        <v>0.23404255319148937</v>
      </c>
      <c r="BP148" s="5">
        <f>11/$BP$1</f>
        <v>0.23404255319148937</v>
      </c>
      <c r="BR148">
        <v>78</v>
      </c>
      <c r="BS148" s="5">
        <f>BR148/BR186</f>
        <v>0.24840764331210191</v>
      </c>
      <c r="BT148" s="5">
        <f>78/$BT$1</f>
        <v>0.24840764331210191</v>
      </c>
      <c r="BV148">
        <v>100</v>
      </c>
      <c r="BW148" s="5">
        <f>BV148/BV186</f>
        <v>0.2544529262086514</v>
      </c>
      <c r="BX148" s="5">
        <f>100/$BX$1</f>
        <v>0.2544529262086514</v>
      </c>
      <c r="BZ148">
        <v>84</v>
      </c>
      <c r="CA148" s="5">
        <f>BZ148/BZ186</f>
        <v>0.34146341463414637</v>
      </c>
      <c r="CB148" s="5">
        <f>84/$CB$1</f>
        <v>0.34146341463414637</v>
      </c>
      <c r="CD148">
        <v>43</v>
      </c>
      <c r="CE148" s="5">
        <f>CD148/CD186</f>
        <v>0.34959349593495936</v>
      </c>
      <c r="CF148" s="5">
        <f>43/$CF$1</f>
        <v>0.34959349593495936</v>
      </c>
      <c r="CH148">
        <v>180</v>
      </c>
      <c r="CI148" s="5">
        <f>CH148/CH186</f>
        <v>0.26162790697674421</v>
      </c>
      <c r="CJ148" s="5">
        <f>180/$CJ$1</f>
        <v>0.26162790697674421</v>
      </c>
      <c r="CL148">
        <v>185</v>
      </c>
      <c r="CM148" s="5">
        <f>CL148/CL186</f>
        <v>0.24406332453825857</v>
      </c>
      <c r="CN148" s="5">
        <f>185/$CN$1</f>
        <v>0.24406332453825857</v>
      </c>
      <c r="CP148">
        <v>88</v>
      </c>
      <c r="CQ148" s="5">
        <f>CP148/CP186</f>
        <v>0.36363636363636365</v>
      </c>
      <c r="CR148" s="5">
        <f>88/$CR$1</f>
        <v>0.36363636363636365</v>
      </c>
      <c r="CT148">
        <v>75</v>
      </c>
      <c r="CU148" s="5">
        <f>CT148/CT186</f>
        <v>0.22522522522522523</v>
      </c>
      <c r="CV148" s="5">
        <f>75/$CV$1</f>
        <v>0.22522522522522523</v>
      </c>
      <c r="CX148">
        <v>198</v>
      </c>
      <c r="CY148" s="5">
        <f>CX148/CX186</f>
        <v>0.29685157421289354</v>
      </c>
      <c r="CZ148" s="5">
        <f>198/$CZ$1</f>
        <v>0.29685157421289354</v>
      </c>
    </row>
    <row r="149" spans="1:104" x14ac:dyDescent="0.25">
      <c r="A149" s="1" t="s">
        <v>1096</v>
      </c>
      <c r="B149">
        <v>293</v>
      </c>
      <c r="C149" s="5">
        <f>B149/B186</f>
        <v>0.29299999999999998</v>
      </c>
      <c r="D149" s="5">
        <f>293/$D$1</f>
        <v>0.29299999999999998</v>
      </c>
      <c r="F149">
        <v>166</v>
      </c>
      <c r="G149" s="5">
        <f>F149/F186</f>
        <v>0.33133732534930138</v>
      </c>
      <c r="H149" s="5">
        <f>166/$H$1</f>
        <v>0.33133732534930138</v>
      </c>
      <c r="J149">
        <v>127</v>
      </c>
      <c r="K149" s="5">
        <f>J149/J186</f>
        <v>0.25450901803607212</v>
      </c>
      <c r="L149" s="5">
        <f>127/$L$1</f>
        <v>0.25450901803607212</v>
      </c>
      <c r="N149">
        <v>32</v>
      </c>
      <c r="O149" s="5">
        <f>N149/N186</f>
        <v>0.32989690721649484</v>
      </c>
      <c r="P149" s="5">
        <f>32/$P$1</f>
        <v>0.32989690721649484</v>
      </c>
      <c r="R149">
        <v>78</v>
      </c>
      <c r="S149" s="5">
        <f>R149/R186</f>
        <v>0.39393939393939392</v>
      </c>
      <c r="T149" s="5">
        <f>78/$T$1</f>
        <v>0.39393939393939392</v>
      </c>
      <c r="V149">
        <v>62</v>
      </c>
      <c r="W149" s="5">
        <f>V149/V186</f>
        <v>0.25726141078838172</v>
      </c>
      <c r="X149" s="5">
        <f>62/$X$1</f>
        <v>0.25726141078838172</v>
      </c>
      <c r="Z149">
        <v>58</v>
      </c>
      <c r="AA149" s="5">
        <f>Z149/Z186</f>
        <v>0.29292929292929293</v>
      </c>
      <c r="AB149" s="5">
        <f>58/$AB$1</f>
        <v>0.29292929292929293</v>
      </c>
      <c r="AD149">
        <v>31</v>
      </c>
      <c r="AE149" s="5">
        <f>AD149/AD186</f>
        <v>0.20129870129870131</v>
      </c>
      <c r="AF149" s="5">
        <f>31/$AF$1</f>
        <v>0.20129870129870131</v>
      </c>
      <c r="AH149">
        <v>35</v>
      </c>
      <c r="AI149" s="5">
        <f>AH149/AH186</f>
        <v>0.29166666666666669</v>
      </c>
      <c r="AJ149" s="5">
        <f>35/$AJ$1</f>
        <v>0.29166666666666669</v>
      </c>
      <c r="AL149">
        <v>101</v>
      </c>
      <c r="AM149" s="5">
        <f>AL149/AL186</f>
        <v>0.27297297297297296</v>
      </c>
      <c r="AN149" s="5">
        <f>101/$AN$1</f>
        <v>0.27297297297297296</v>
      </c>
      <c r="AP149">
        <v>112</v>
      </c>
      <c r="AQ149" s="5">
        <f>AP149/AP186</f>
        <v>0.29629629629629628</v>
      </c>
      <c r="AR149" s="5">
        <f>112/$AR$1</f>
        <v>0.29629629629629628</v>
      </c>
      <c r="AT149">
        <v>80</v>
      </c>
      <c r="AU149" s="5">
        <f>AT149/AT186</f>
        <v>0.31746031746031744</v>
      </c>
      <c r="AV149" s="5">
        <f>80/$AV$1</f>
        <v>0.31746031746031744</v>
      </c>
      <c r="AX149">
        <v>81</v>
      </c>
      <c r="AY149" s="5">
        <f>AX149/AX186</f>
        <v>0.2967032967032967</v>
      </c>
      <c r="AZ149" s="5">
        <f>81/$AZ$1</f>
        <v>0.2967032967032967</v>
      </c>
      <c r="BA149" s="5"/>
      <c r="BB149">
        <v>64</v>
      </c>
      <c r="BC149" s="5">
        <f>BB149/BB186</f>
        <v>0.31527093596059114</v>
      </c>
      <c r="BD149" s="5">
        <f>64/$BD$1</f>
        <v>0.31527093596059114</v>
      </c>
      <c r="BF149">
        <v>57</v>
      </c>
      <c r="BG149" s="5">
        <f>BF149/BF186</f>
        <v>0.26511627906976742</v>
      </c>
      <c r="BH149" s="5">
        <f>57/$BH$1</f>
        <v>0.26511627906976742</v>
      </c>
      <c r="BJ149">
        <v>91</v>
      </c>
      <c r="BK149" s="5">
        <f>BJ149/BJ186</f>
        <v>0.29449838187702265</v>
      </c>
      <c r="BL149" s="5">
        <f>91/$BL$1</f>
        <v>0.29449838187702265</v>
      </c>
      <c r="BN149">
        <v>18</v>
      </c>
      <c r="BO149" s="5">
        <f>BN149/BN186</f>
        <v>0.38297872340425532</v>
      </c>
      <c r="BP149" s="5">
        <f>18/$BP$1</f>
        <v>0.38297872340425532</v>
      </c>
      <c r="BR149">
        <v>76</v>
      </c>
      <c r="BS149" s="5">
        <f>BR149/BR186</f>
        <v>0.24203821656050956</v>
      </c>
      <c r="BT149" s="5">
        <f>76/$BT$1</f>
        <v>0.24203821656050956</v>
      </c>
      <c r="BV149">
        <v>119</v>
      </c>
      <c r="BW149" s="5">
        <f>BV149/BV186</f>
        <v>0.30279898218829515</v>
      </c>
      <c r="BX149" s="5">
        <f>119/$BX$1</f>
        <v>0.30279898218829515</v>
      </c>
      <c r="BZ149">
        <v>80</v>
      </c>
      <c r="CA149" s="5">
        <f>BZ149/BZ186</f>
        <v>0.32520325203252032</v>
      </c>
      <c r="CB149" s="5">
        <f>80/$CB$1</f>
        <v>0.32520325203252032</v>
      </c>
      <c r="CD149">
        <v>39</v>
      </c>
      <c r="CE149" s="5">
        <f>CD149/CD186</f>
        <v>0.31707317073170732</v>
      </c>
      <c r="CF149" s="5">
        <f>39/$CF$1</f>
        <v>0.31707317073170732</v>
      </c>
      <c r="CH149">
        <v>192</v>
      </c>
      <c r="CI149" s="5">
        <f>CH149/CH186</f>
        <v>0.27906976744186046</v>
      </c>
      <c r="CJ149" s="5">
        <f>192/$CJ$1</f>
        <v>0.27906976744186046</v>
      </c>
      <c r="CL149">
        <v>201</v>
      </c>
      <c r="CM149" s="5">
        <f>CL149/CL186</f>
        <v>0.26517150395778366</v>
      </c>
      <c r="CN149" s="5">
        <f>201/$CN$1</f>
        <v>0.26517150395778366</v>
      </c>
      <c r="CP149">
        <v>92</v>
      </c>
      <c r="CQ149" s="5">
        <f>CP149/CP186</f>
        <v>0.38016528925619836</v>
      </c>
      <c r="CR149" s="5">
        <f>92/$CR$1</f>
        <v>0.38016528925619836</v>
      </c>
      <c r="CT149">
        <v>90</v>
      </c>
      <c r="CU149" s="5">
        <f>CT149/CT186</f>
        <v>0.27027027027027029</v>
      </c>
      <c r="CV149" s="5">
        <f>90/$CV$1</f>
        <v>0.27027027027027029</v>
      </c>
      <c r="CX149">
        <v>203</v>
      </c>
      <c r="CY149" s="5">
        <f>CX149/CX186</f>
        <v>0.30434782608695654</v>
      </c>
      <c r="CZ149" s="5">
        <f>203/$CZ$1</f>
        <v>0.30434782608695654</v>
      </c>
    </row>
    <row r="150" spans="1:104" x14ac:dyDescent="0.25">
      <c r="A150" s="1" t="s">
        <v>1097</v>
      </c>
      <c r="B150">
        <v>319</v>
      </c>
      <c r="C150" s="5">
        <f>B150/B186</f>
        <v>0.31900000000000001</v>
      </c>
      <c r="D150" s="5">
        <f>319/$D$1</f>
        <v>0.31900000000000001</v>
      </c>
      <c r="F150">
        <v>167</v>
      </c>
      <c r="G150" s="5">
        <f>F150/F186</f>
        <v>0.33333333333333331</v>
      </c>
      <c r="H150" s="5">
        <f>167/$H$1</f>
        <v>0.33333333333333331</v>
      </c>
      <c r="J150">
        <v>152</v>
      </c>
      <c r="K150" s="5">
        <f>J150/J186</f>
        <v>0.30460921843687377</v>
      </c>
      <c r="L150" s="5">
        <f>152/$L$1</f>
        <v>0.30460921843687377</v>
      </c>
      <c r="N150">
        <v>38</v>
      </c>
      <c r="O150" s="5">
        <f>N150/N186</f>
        <v>0.39175257731958762</v>
      </c>
      <c r="P150" s="5">
        <f>38/$P$1</f>
        <v>0.39175257731958762</v>
      </c>
      <c r="R150">
        <v>74</v>
      </c>
      <c r="S150" s="5">
        <f>R150/R186</f>
        <v>0.37373737373737376</v>
      </c>
      <c r="T150" s="5">
        <f>74/$T$1</f>
        <v>0.37373737373737376</v>
      </c>
      <c r="V150">
        <v>81</v>
      </c>
      <c r="W150" s="5">
        <f>V150/V186</f>
        <v>0.33609958506224069</v>
      </c>
      <c r="X150" s="5">
        <f>81/$X$1</f>
        <v>0.33609958506224069</v>
      </c>
      <c r="Z150">
        <v>57</v>
      </c>
      <c r="AA150" s="5">
        <f>Z150/Z186</f>
        <v>0.2878787878787879</v>
      </c>
      <c r="AB150" s="5">
        <f>57/$AB$1</f>
        <v>0.2878787878787879</v>
      </c>
      <c r="AD150">
        <v>49</v>
      </c>
      <c r="AE150" s="5">
        <f>AD150/AD186</f>
        <v>0.31818181818181818</v>
      </c>
      <c r="AF150" s="5">
        <f>49/$AF$1</f>
        <v>0.31818181818181818</v>
      </c>
      <c r="AH150">
        <v>23</v>
      </c>
      <c r="AI150" s="5">
        <f>AH150/AH186</f>
        <v>0.19166666666666668</v>
      </c>
      <c r="AJ150" s="5">
        <f>23/$AJ$1</f>
        <v>0.19166666666666668</v>
      </c>
      <c r="AL150">
        <v>107</v>
      </c>
      <c r="AM150" s="5">
        <f>AL150/AL186</f>
        <v>0.28918918918918918</v>
      </c>
      <c r="AN150" s="5">
        <f>107/$AN$1</f>
        <v>0.28918918918918918</v>
      </c>
      <c r="AP150">
        <v>114</v>
      </c>
      <c r="AQ150" s="5">
        <f>AP150/AP186</f>
        <v>0.30158730158730157</v>
      </c>
      <c r="AR150" s="5">
        <f>114/$AR$1</f>
        <v>0.30158730158730157</v>
      </c>
      <c r="AT150">
        <v>98</v>
      </c>
      <c r="AU150" s="5">
        <f>AT150/AT186</f>
        <v>0.3888888888888889</v>
      </c>
      <c r="AV150" s="5">
        <f>98/$AV$1</f>
        <v>0.3888888888888889</v>
      </c>
      <c r="AX150">
        <v>90</v>
      </c>
      <c r="AY150" s="5">
        <f>AX150/AX186</f>
        <v>0.32967032967032966</v>
      </c>
      <c r="AZ150" s="5">
        <f>90/$AZ$1</f>
        <v>0.32967032967032966</v>
      </c>
      <c r="BA150" s="5"/>
      <c r="BB150">
        <v>65</v>
      </c>
      <c r="BC150" s="5">
        <f>BB150/BB186</f>
        <v>0.32019704433497537</v>
      </c>
      <c r="BD150" s="5">
        <f>65/$BD$1</f>
        <v>0.32019704433497537</v>
      </c>
      <c r="BF150">
        <v>48</v>
      </c>
      <c r="BG150" s="5">
        <f>BF150/BF186</f>
        <v>0.22325581395348837</v>
      </c>
      <c r="BH150" s="5">
        <f>48/$BH$1</f>
        <v>0.22325581395348837</v>
      </c>
      <c r="BJ150">
        <v>116</v>
      </c>
      <c r="BK150" s="5">
        <f>BJ150/BJ186</f>
        <v>0.37540453074433655</v>
      </c>
      <c r="BL150" s="5">
        <f>116/$BL$1</f>
        <v>0.37540453074433655</v>
      </c>
      <c r="BN150">
        <v>12</v>
      </c>
      <c r="BO150" s="5">
        <f>BN150/BN186</f>
        <v>0.25531914893617019</v>
      </c>
      <c r="BP150" s="5">
        <f>12/$BP$1</f>
        <v>0.25531914893617019</v>
      </c>
      <c r="BR150">
        <v>74</v>
      </c>
      <c r="BS150" s="5">
        <f>BR150/BR186</f>
        <v>0.2356687898089172</v>
      </c>
      <c r="BT150" s="5">
        <f>74/$BT$1</f>
        <v>0.2356687898089172</v>
      </c>
      <c r="BV150">
        <v>129</v>
      </c>
      <c r="BW150" s="5">
        <f>BV150/BV186</f>
        <v>0.3282442748091603</v>
      </c>
      <c r="BX150" s="5">
        <f>129/$BX$1</f>
        <v>0.3282442748091603</v>
      </c>
      <c r="BZ150">
        <v>104</v>
      </c>
      <c r="CA150" s="5">
        <f>BZ150/BZ186</f>
        <v>0.42276422764227645</v>
      </c>
      <c r="CB150" s="5">
        <f>104/$CB$1</f>
        <v>0.42276422764227645</v>
      </c>
      <c r="CD150">
        <v>34</v>
      </c>
      <c r="CE150" s="5">
        <f>CD150/CD186</f>
        <v>0.27642276422764228</v>
      </c>
      <c r="CF150" s="5">
        <f>34/$CF$1</f>
        <v>0.27642276422764228</v>
      </c>
      <c r="CH150">
        <v>215</v>
      </c>
      <c r="CI150" s="5">
        <f>CH150/CH186</f>
        <v>0.3125</v>
      </c>
      <c r="CJ150" s="5">
        <f>215/$CJ$1</f>
        <v>0.3125</v>
      </c>
      <c r="CL150">
        <v>225</v>
      </c>
      <c r="CM150" s="5">
        <f>CL150/CL186</f>
        <v>0.29683377308707126</v>
      </c>
      <c r="CN150" s="5">
        <f>225/$CN$1</f>
        <v>0.29683377308707126</v>
      </c>
      <c r="CP150">
        <v>94</v>
      </c>
      <c r="CQ150" s="5">
        <f>CP150/CP186</f>
        <v>0.38842975206611569</v>
      </c>
      <c r="CR150" s="5">
        <f>94/$CR$1</f>
        <v>0.38842975206611569</v>
      </c>
      <c r="CT150">
        <v>114</v>
      </c>
      <c r="CU150" s="5">
        <f>CT150/CT186</f>
        <v>0.34234234234234234</v>
      </c>
      <c r="CV150" s="5">
        <f>114/$CV$1</f>
        <v>0.34234234234234234</v>
      </c>
      <c r="CX150">
        <v>205</v>
      </c>
      <c r="CY150" s="5">
        <f>CX150/CX186</f>
        <v>0.3073463268365817</v>
      </c>
      <c r="CZ150" s="5">
        <f>205/$CZ$1</f>
        <v>0.3073463268365817</v>
      </c>
    </row>
    <row r="151" spans="1:104" x14ac:dyDescent="0.25">
      <c r="A151" s="1" t="s">
        <v>1098</v>
      </c>
      <c r="B151">
        <v>369</v>
      </c>
      <c r="C151" s="5">
        <f>B151/B186</f>
        <v>0.36899999999999999</v>
      </c>
      <c r="D151" s="5">
        <f>369/$D$1</f>
        <v>0.36899999999999999</v>
      </c>
      <c r="F151">
        <v>199</v>
      </c>
      <c r="G151" s="5">
        <f>F151/F186</f>
        <v>0.39720558882235529</v>
      </c>
      <c r="H151" s="5">
        <f>199/$H$1</f>
        <v>0.39720558882235529</v>
      </c>
      <c r="J151">
        <v>170</v>
      </c>
      <c r="K151" s="5">
        <f>J151/J186</f>
        <v>0.34068136272545091</v>
      </c>
      <c r="L151" s="5">
        <f>170/$L$1</f>
        <v>0.34068136272545091</v>
      </c>
      <c r="N151">
        <v>41</v>
      </c>
      <c r="O151" s="5">
        <f>N151/N186</f>
        <v>0.42268041237113402</v>
      </c>
      <c r="P151" s="5">
        <f>41/$P$1</f>
        <v>0.42268041237113402</v>
      </c>
      <c r="R151">
        <v>86</v>
      </c>
      <c r="S151" s="5">
        <f>R151/R186</f>
        <v>0.43434343434343436</v>
      </c>
      <c r="T151" s="5">
        <f>86/$T$1</f>
        <v>0.43434343434343436</v>
      </c>
      <c r="V151">
        <v>98</v>
      </c>
      <c r="W151" s="5">
        <f>V151/V186</f>
        <v>0.40663900414937759</v>
      </c>
      <c r="X151" s="5">
        <f>98/$X$1</f>
        <v>0.40663900414937759</v>
      </c>
      <c r="Z151">
        <v>66</v>
      </c>
      <c r="AA151" s="5">
        <f>Z151/Z186</f>
        <v>0.33333333333333331</v>
      </c>
      <c r="AB151" s="5">
        <f>66/$AB$1</f>
        <v>0.33333333333333331</v>
      </c>
      <c r="AD151">
        <v>44</v>
      </c>
      <c r="AE151" s="5">
        <f>AD151/AD186</f>
        <v>0.2857142857142857</v>
      </c>
      <c r="AF151" s="5">
        <f>44/$AF$1</f>
        <v>0.2857142857142857</v>
      </c>
      <c r="AH151">
        <v>37</v>
      </c>
      <c r="AI151" s="5">
        <f>AH151/AH186</f>
        <v>0.30833333333333335</v>
      </c>
      <c r="AJ151" s="5">
        <f>37/$AJ$1</f>
        <v>0.30833333333333335</v>
      </c>
      <c r="AL151">
        <v>110</v>
      </c>
      <c r="AM151" s="5">
        <f>AL151/AL186</f>
        <v>0.29729729729729731</v>
      </c>
      <c r="AN151" s="5">
        <f>110/$AN$1</f>
        <v>0.29729729729729731</v>
      </c>
      <c r="AP151">
        <v>142</v>
      </c>
      <c r="AQ151" s="5">
        <f>AP151/AP186</f>
        <v>0.37566137566137564</v>
      </c>
      <c r="AR151" s="5">
        <f>142/$AR$1</f>
        <v>0.37566137566137564</v>
      </c>
      <c r="AT151">
        <v>117</v>
      </c>
      <c r="AU151" s="5">
        <f>AT151/AT186</f>
        <v>0.4642857142857143</v>
      </c>
      <c r="AV151" s="5">
        <f>117/$AV$1</f>
        <v>0.4642857142857143</v>
      </c>
      <c r="AX151">
        <v>96</v>
      </c>
      <c r="AY151" s="5">
        <f>AX151/AX186</f>
        <v>0.35164835164835168</v>
      </c>
      <c r="AZ151" s="5">
        <f>96/$AZ$1</f>
        <v>0.35164835164835168</v>
      </c>
      <c r="BA151" s="5"/>
      <c r="BB151">
        <v>71</v>
      </c>
      <c r="BC151" s="5">
        <f>BB151/BB186</f>
        <v>0.34975369458128081</v>
      </c>
      <c r="BD151" s="5">
        <f>71/$BD$1</f>
        <v>0.34975369458128081</v>
      </c>
      <c r="BF151">
        <v>73</v>
      </c>
      <c r="BG151" s="5">
        <f>BF151/BF186</f>
        <v>0.33953488372093021</v>
      </c>
      <c r="BH151" s="5">
        <f>73/$BH$1</f>
        <v>0.33953488372093021</v>
      </c>
      <c r="BJ151">
        <v>129</v>
      </c>
      <c r="BK151" s="5">
        <f>BJ151/BJ186</f>
        <v>0.41747572815533979</v>
      </c>
      <c r="BL151" s="5">
        <f>129/$BL$1</f>
        <v>0.41747572815533979</v>
      </c>
      <c r="BN151">
        <v>12</v>
      </c>
      <c r="BO151" s="5">
        <f>BN151/BN186</f>
        <v>0.25531914893617019</v>
      </c>
      <c r="BP151" s="5">
        <f>12/$BP$1</f>
        <v>0.25531914893617019</v>
      </c>
      <c r="BR151">
        <v>89</v>
      </c>
      <c r="BS151" s="5">
        <f>BR151/BR186</f>
        <v>0.28343949044585987</v>
      </c>
      <c r="BT151" s="5">
        <f>89/$BT$1</f>
        <v>0.28343949044585987</v>
      </c>
      <c r="BV151">
        <v>150</v>
      </c>
      <c r="BW151" s="5">
        <f>BV151/BV186</f>
        <v>0.38167938931297712</v>
      </c>
      <c r="BX151" s="5">
        <f>150/$BX$1</f>
        <v>0.38167938931297712</v>
      </c>
      <c r="BZ151">
        <v>118</v>
      </c>
      <c r="CA151" s="5">
        <f>BZ151/BZ186</f>
        <v>0.47967479674796748</v>
      </c>
      <c r="CB151" s="5">
        <f>118/$CB$1</f>
        <v>0.47967479674796748</v>
      </c>
      <c r="CD151">
        <v>49</v>
      </c>
      <c r="CE151" s="5">
        <f>CD151/CD186</f>
        <v>0.3983739837398374</v>
      </c>
      <c r="CF151" s="5">
        <f>49/$CF$1</f>
        <v>0.3983739837398374</v>
      </c>
      <c r="CH151">
        <v>233</v>
      </c>
      <c r="CI151" s="5">
        <f>CH151/CH186</f>
        <v>0.33866279069767441</v>
      </c>
      <c r="CJ151" s="5">
        <f>233/$CJ$1</f>
        <v>0.33866279069767441</v>
      </c>
      <c r="CL151">
        <v>256</v>
      </c>
      <c r="CM151" s="5">
        <f>CL151/CL186</f>
        <v>0.33773087071240104</v>
      </c>
      <c r="CN151" s="5">
        <f>256/$CN$1</f>
        <v>0.33773087071240104</v>
      </c>
      <c r="CP151">
        <v>113</v>
      </c>
      <c r="CQ151" s="5">
        <f>CP151/CP186</f>
        <v>0.46694214876033058</v>
      </c>
      <c r="CR151" s="5">
        <f>113/$CR$1</f>
        <v>0.46694214876033058</v>
      </c>
      <c r="CT151">
        <v>123</v>
      </c>
      <c r="CU151" s="5">
        <f>CT151/CT186</f>
        <v>0.36936936936936937</v>
      </c>
      <c r="CV151" s="5">
        <f>123/$CV$1</f>
        <v>0.36936936936936937</v>
      </c>
      <c r="CX151">
        <v>246</v>
      </c>
      <c r="CY151" s="5">
        <f>CX151/CX186</f>
        <v>0.36881559220389803</v>
      </c>
      <c r="CZ151" s="5">
        <f>246/$CZ$1</f>
        <v>0.36881559220389803</v>
      </c>
    </row>
    <row r="152" spans="1:104" x14ac:dyDescent="0.25">
      <c r="A152" s="1" t="s">
        <v>1099</v>
      </c>
      <c r="B152">
        <v>341</v>
      </c>
      <c r="C152" s="5">
        <f>B152/B186</f>
        <v>0.34100000000000003</v>
      </c>
      <c r="D152" s="5">
        <f>341/$D$1</f>
        <v>0.34100000000000003</v>
      </c>
      <c r="F152">
        <v>188</v>
      </c>
      <c r="G152" s="5">
        <f>F152/F186</f>
        <v>0.37524950099800397</v>
      </c>
      <c r="H152" s="5">
        <f>188/$H$1</f>
        <v>0.37524950099800397</v>
      </c>
      <c r="J152">
        <v>153</v>
      </c>
      <c r="K152" s="5">
        <f>J152/J186</f>
        <v>0.30661322645290578</v>
      </c>
      <c r="L152" s="5">
        <f>153/$L$1</f>
        <v>0.30661322645290578</v>
      </c>
      <c r="N152">
        <v>32</v>
      </c>
      <c r="O152" s="5">
        <f>N152/N186</f>
        <v>0.32989690721649484</v>
      </c>
      <c r="P152" s="5">
        <f>32/$P$1</f>
        <v>0.32989690721649484</v>
      </c>
      <c r="R152">
        <v>85</v>
      </c>
      <c r="S152" s="5">
        <f>R152/R186</f>
        <v>0.42929292929292928</v>
      </c>
      <c r="T152" s="5">
        <f>85/$T$1</f>
        <v>0.42929292929292928</v>
      </c>
      <c r="V152">
        <v>83</v>
      </c>
      <c r="W152" s="5">
        <f>V152/V186</f>
        <v>0.34439834024896265</v>
      </c>
      <c r="X152" s="5">
        <f>83/$X$1</f>
        <v>0.34439834024896265</v>
      </c>
      <c r="Z152">
        <v>66</v>
      </c>
      <c r="AA152" s="5">
        <f>Z152/Z186</f>
        <v>0.33333333333333331</v>
      </c>
      <c r="AB152" s="5">
        <f>66/$AB$1</f>
        <v>0.33333333333333331</v>
      </c>
      <c r="AD152">
        <v>43</v>
      </c>
      <c r="AE152" s="5">
        <f>AD152/AD186</f>
        <v>0.2792207792207792</v>
      </c>
      <c r="AF152" s="5">
        <f>43/$AF$1</f>
        <v>0.2792207792207792</v>
      </c>
      <c r="AH152">
        <v>32</v>
      </c>
      <c r="AI152" s="5">
        <f>AH152/AH186</f>
        <v>0.26666666666666666</v>
      </c>
      <c r="AJ152" s="5">
        <f>32/$AJ$1</f>
        <v>0.26666666666666666</v>
      </c>
      <c r="AL152">
        <v>127</v>
      </c>
      <c r="AM152" s="5">
        <f>AL152/AL186</f>
        <v>0.34324324324324323</v>
      </c>
      <c r="AN152" s="5">
        <f>127/$AN$1</f>
        <v>0.34324324324324323</v>
      </c>
      <c r="AP152">
        <v>118</v>
      </c>
      <c r="AQ152" s="5">
        <f>AP152/AP186</f>
        <v>0.31216931216931215</v>
      </c>
      <c r="AR152" s="5">
        <f>118/$AR$1</f>
        <v>0.31216931216931215</v>
      </c>
      <c r="AT152">
        <v>96</v>
      </c>
      <c r="AU152" s="5">
        <f>AT152/AT186</f>
        <v>0.38095238095238093</v>
      </c>
      <c r="AV152" s="5">
        <f>96/$AV$1</f>
        <v>0.38095238095238093</v>
      </c>
      <c r="AX152">
        <v>86</v>
      </c>
      <c r="AY152" s="5">
        <f>AX152/AX186</f>
        <v>0.31501831501831501</v>
      </c>
      <c r="AZ152" s="5">
        <f>86/$AZ$1</f>
        <v>0.31501831501831501</v>
      </c>
      <c r="BA152" s="5"/>
      <c r="BB152">
        <v>76</v>
      </c>
      <c r="BC152" s="5">
        <f>BB152/BB186</f>
        <v>0.37438423645320196</v>
      </c>
      <c r="BD152" s="5">
        <f>76/$BD$1</f>
        <v>0.37438423645320196</v>
      </c>
      <c r="BF152">
        <v>75</v>
      </c>
      <c r="BG152" s="5">
        <f>BF152/BF186</f>
        <v>0.34883720930232559</v>
      </c>
      <c r="BH152" s="5">
        <f>75/$BH$1</f>
        <v>0.34883720930232559</v>
      </c>
      <c r="BJ152">
        <v>104</v>
      </c>
      <c r="BK152" s="5">
        <f>BJ152/BJ186</f>
        <v>0.33656957928802589</v>
      </c>
      <c r="BL152" s="5">
        <f>104/$BL$1</f>
        <v>0.33656957928802589</v>
      </c>
      <c r="BN152">
        <v>18</v>
      </c>
      <c r="BO152" s="5">
        <f>BN152/BN186</f>
        <v>0.38297872340425532</v>
      </c>
      <c r="BP152" s="5">
        <f>18/$BP$1</f>
        <v>0.38297872340425532</v>
      </c>
      <c r="BR152">
        <v>101</v>
      </c>
      <c r="BS152" s="5">
        <f>BR152/BR186</f>
        <v>0.321656050955414</v>
      </c>
      <c r="BT152" s="5">
        <f>101/$BT$1</f>
        <v>0.321656050955414</v>
      </c>
      <c r="BV152">
        <v>124</v>
      </c>
      <c r="BW152" s="5">
        <f>BV152/BV186</f>
        <v>0.31552162849872772</v>
      </c>
      <c r="BX152" s="5">
        <f>124/$BX$1</f>
        <v>0.31552162849872772</v>
      </c>
      <c r="BZ152">
        <v>98</v>
      </c>
      <c r="CA152" s="5">
        <f>BZ152/BZ186</f>
        <v>0.3983739837398374</v>
      </c>
      <c r="CB152" s="5">
        <f>98/$CB$1</f>
        <v>0.3983739837398374</v>
      </c>
      <c r="CD152">
        <v>49</v>
      </c>
      <c r="CE152" s="5">
        <f>CD152/CD186</f>
        <v>0.3983739837398374</v>
      </c>
      <c r="CF152" s="5">
        <f>49/$CF$1</f>
        <v>0.3983739837398374</v>
      </c>
      <c r="CH152">
        <v>229</v>
      </c>
      <c r="CI152" s="5">
        <f>CH152/CH186</f>
        <v>0.33284883720930231</v>
      </c>
      <c r="CJ152" s="5">
        <f>229/$CJ$1</f>
        <v>0.33284883720930231</v>
      </c>
      <c r="CL152">
        <v>268</v>
      </c>
      <c r="CM152" s="5">
        <f>CL152/CL186</f>
        <v>0.35356200527704484</v>
      </c>
      <c r="CN152" s="5">
        <f>268/$CN$1</f>
        <v>0.35356200527704484</v>
      </c>
      <c r="CP152">
        <v>73</v>
      </c>
      <c r="CQ152" s="5">
        <f>CP152/CP186</f>
        <v>0.30165289256198347</v>
      </c>
      <c r="CR152" s="5">
        <f>73/$CR$1</f>
        <v>0.30165289256198347</v>
      </c>
      <c r="CT152">
        <v>116</v>
      </c>
      <c r="CU152" s="5">
        <f>CT152/CT186</f>
        <v>0.34834834834834832</v>
      </c>
      <c r="CV152" s="5">
        <f>116/$CV$1</f>
        <v>0.34834834834834832</v>
      </c>
      <c r="CX152">
        <v>225</v>
      </c>
      <c r="CY152" s="5">
        <f>CX152/CX186</f>
        <v>0.33733133433283358</v>
      </c>
      <c r="CZ152" s="5">
        <f>225/$CZ$1</f>
        <v>0.33733133433283358</v>
      </c>
    </row>
    <row r="153" spans="1:104" x14ac:dyDescent="0.25">
      <c r="A153" s="1" t="s">
        <v>1100</v>
      </c>
      <c r="B153">
        <v>478</v>
      </c>
      <c r="C153" s="5">
        <f>B153/B186</f>
        <v>0.47799999999999998</v>
      </c>
      <c r="D153" s="5">
        <f>478/$D$1</f>
        <v>0.47799999999999998</v>
      </c>
      <c r="F153">
        <v>240</v>
      </c>
      <c r="G153" s="5">
        <f>F153/F186</f>
        <v>0.47904191616766467</v>
      </c>
      <c r="H153" s="5">
        <f>240/$H$1</f>
        <v>0.47904191616766467</v>
      </c>
      <c r="J153">
        <v>238</v>
      </c>
      <c r="K153" s="5">
        <f>J153/J186</f>
        <v>0.47695390781563124</v>
      </c>
      <c r="L153" s="5">
        <f>238/$L$1</f>
        <v>0.47695390781563124</v>
      </c>
      <c r="N153">
        <v>46</v>
      </c>
      <c r="O153" s="5">
        <f>N153/N186</f>
        <v>0.47422680412371132</v>
      </c>
      <c r="P153" s="5">
        <f>46/$P$1</f>
        <v>0.47422680412371132</v>
      </c>
      <c r="R153">
        <v>80</v>
      </c>
      <c r="S153" s="5">
        <f>R153/R186</f>
        <v>0.40404040404040403</v>
      </c>
      <c r="T153" s="5">
        <f>80/$T$1</f>
        <v>0.40404040404040403</v>
      </c>
      <c r="V153">
        <v>114</v>
      </c>
      <c r="W153" s="5">
        <f>V153/V186</f>
        <v>0.47302904564315351</v>
      </c>
      <c r="X153" s="5">
        <f>114/$X$1</f>
        <v>0.47302904564315351</v>
      </c>
      <c r="Z153">
        <v>107</v>
      </c>
      <c r="AA153" s="5">
        <f>Z153/Z186</f>
        <v>0.54040404040404044</v>
      </c>
      <c r="AB153" s="5">
        <f>107/$AB$1</f>
        <v>0.54040404040404044</v>
      </c>
      <c r="AD153">
        <v>73</v>
      </c>
      <c r="AE153" s="5">
        <f>AD153/AD186</f>
        <v>0.47402597402597402</v>
      </c>
      <c r="AF153" s="5">
        <f>73/$AF$1</f>
        <v>0.47402597402597402</v>
      </c>
      <c r="AH153">
        <v>61</v>
      </c>
      <c r="AI153" s="5">
        <f>AH153/AH186</f>
        <v>0.5083333333333333</v>
      </c>
      <c r="AJ153" s="5">
        <f>61/$AJ$1</f>
        <v>0.5083333333333333</v>
      </c>
      <c r="AL153">
        <v>177</v>
      </c>
      <c r="AM153" s="5">
        <f>AL153/AL186</f>
        <v>0.47837837837837838</v>
      </c>
      <c r="AN153" s="5">
        <f>177/$AN$1</f>
        <v>0.47837837837837838</v>
      </c>
      <c r="AP153">
        <v>174</v>
      </c>
      <c r="AQ153" s="5">
        <f>AP153/AP186</f>
        <v>0.46031746031746029</v>
      </c>
      <c r="AR153" s="5">
        <f>174/$AR$1</f>
        <v>0.46031746031746029</v>
      </c>
      <c r="AT153">
        <v>127</v>
      </c>
      <c r="AU153" s="5">
        <f>AT153/AT186</f>
        <v>0.50396825396825395</v>
      </c>
      <c r="AV153" s="5">
        <f>127/$AV$1</f>
        <v>0.50396825396825395</v>
      </c>
      <c r="AX153">
        <v>143</v>
      </c>
      <c r="AY153" s="5">
        <f>AX153/AX186</f>
        <v>0.52380952380952384</v>
      </c>
      <c r="AZ153" s="5">
        <f>143/$AZ$1</f>
        <v>0.52380952380952384</v>
      </c>
      <c r="BA153" s="5"/>
      <c r="BB153">
        <v>93</v>
      </c>
      <c r="BC153" s="5">
        <f>BB153/BB186</f>
        <v>0.45812807881773399</v>
      </c>
      <c r="BD153" s="5">
        <f>93/$BD$1</f>
        <v>0.45812807881773399</v>
      </c>
      <c r="BF153">
        <v>93</v>
      </c>
      <c r="BG153" s="5">
        <f>BF153/BF186</f>
        <v>0.4325581395348837</v>
      </c>
      <c r="BH153" s="5">
        <f>93/$BH$1</f>
        <v>0.4325581395348837</v>
      </c>
      <c r="BJ153">
        <v>149</v>
      </c>
      <c r="BK153" s="5">
        <f>BJ153/BJ186</f>
        <v>0.48220064724919093</v>
      </c>
      <c r="BL153" s="5">
        <f>149/$BL$1</f>
        <v>0.48220064724919093</v>
      </c>
      <c r="BN153">
        <v>22</v>
      </c>
      <c r="BO153" s="5">
        <f>BN153/BN186</f>
        <v>0.46808510638297873</v>
      </c>
      <c r="BP153" s="5">
        <f>22/$BP$1</f>
        <v>0.46808510638297873</v>
      </c>
      <c r="BR153">
        <v>154</v>
      </c>
      <c r="BS153" s="5">
        <f>BR153/BR186</f>
        <v>0.49044585987261147</v>
      </c>
      <c r="BT153" s="5">
        <f>154/$BT$1</f>
        <v>0.49044585987261147</v>
      </c>
      <c r="BV153">
        <v>186</v>
      </c>
      <c r="BW153" s="5">
        <f>BV153/BV186</f>
        <v>0.47328244274809161</v>
      </c>
      <c r="BX153" s="5">
        <f>186/$BX$1</f>
        <v>0.47328244274809161</v>
      </c>
      <c r="BZ153">
        <v>116</v>
      </c>
      <c r="CA153" s="5">
        <f>BZ153/BZ186</f>
        <v>0.47154471544715448</v>
      </c>
      <c r="CB153" s="5">
        <f>116/$CB$1</f>
        <v>0.47154471544715448</v>
      </c>
      <c r="CD153">
        <v>54</v>
      </c>
      <c r="CE153" s="5">
        <f>CD153/CD186</f>
        <v>0.43902439024390244</v>
      </c>
      <c r="CF153" s="5">
        <f>54/$CF$1</f>
        <v>0.43902439024390244</v>
      </c>
      <c r="CH153">
        <v>342</v>
      </c>
      <c r="CI153" s="5">
        <f>CH153/CH186</f>
        <v>0.49709302325581395</v>
      </c>
      <c r="CJ153" s="5">
        <f>342/$CJ$1</f>
        <v>0.49709302325581395</v>
      </c>
      <c r="CL153">
        <v>369</v>
      </c>
      <c r="CM153" s="5">
        <f>CL153/CL186</f>
        <v>0.48680738786279681</v>
      </c>
      <c r="CN153" s="5">
        <f>369/$CN$1</f>
        <v>0.48680738786279681</v>
      </c>
      <c r="CP153">
        <v>109</v>
      </c>
      <c r="CQ153" s="5">
        <f>CP153/CP186</f>
        <v>0.45041322314049587</v>
      </c>
      <c r="CR153" s="5">
        <f>109/$CR$1</f>
        <v>0.45041322314049587</v>
      </c>
      <c r="CT153">
        <v>163</v>
      </c>
      <c r="CU153" s="5">
        <f>CT153/CT186</f>
        <v>0.4894894894894895</v>
      </c>
      <c r="CV153" s="5">
        <f>163/$CV$1</f>
        <v>0.4894894894894895</v>
      </c>
      <c r="CX153">
        <v>315</v>
      </c>
      <c r="CY153" s="5">
        <f>CX153/CX186</f>
        <v>0.47226386806596704</v>
      </c>
      <c r="CZ153" s="5">
        <f>315/$CZ$1</f>
        <v>0.47226386806596704</v>
      </c>
    </row>
    <row r="154" spans="1:104" x14ac:dyDescent="0.25">
      <c r="A154" s="1" t="s">
        <v>1101</v>
      </c>
      <c r="B154">
        <v>297</v>
      </c>
      <c r="C154" s="5">
        <f>B154/B186</f>
        <v>0.29699999999999999</v>
      </c>
      <c r="D154" s="5">
        <f>297/$D$1</f>
        <v>0.29699999999999999</v>
      </c>
      <c r="F154">
        <v>152</v>
      </c>
      <c r="G154" s="5">
        <f>F154/F186</f>
        <v>0.30339321357285431</v>
      </c>
      <c r="H154" s="5">
        <f>152/$H$1</f>
        <v>0.30339321357285431</v>
      </c>
      <c r="J154">
        <v>145</v>
      </c>
      <c r="K154" s="5">
        <f>J154/J186</f>
        <v>0.29058116232464931</v>
      </c>
      <c r="L154" s="5">
        <f>145/$L$1</f>
        <v>0.29058116232464931</v>
      </c>
      <c r="N154">
        <v>32</v>
      </c>
      <c r="O154" s="5">
        <f>N154/N186</f>
        <v>0.32989690721649484</v>
      </c>
      <c r="P154" s="5">
        <f>32/$P$1</f>
        <v>0.32989690721649484</v>
      </c>
      <c r="R154">
        <v>54</v>
      </c>
      <c r="S154" s="5">
        <f>R154/R186</f>
        <v>0.27272727272727271</v>
      </c>
      <c r="T154" s="5">
        <f>54/$T$1</f>
        <v>0.27272727272727271</v>
      </c>
      <c r="V154">
        <v>68</v>
      </c>
      <c r="W154" s="5">
        <f>V154/V186</f>
        <v>0.28215767634854771</v>
      </c>
      <c r="X154" s="5">
        <f>68/$X$1</f>
        <v>0.28215767634854771</v>
      </c>
      <c r="Z154">
        <v>57</v>
      </c>
      <c r="AA154" s="5">
        <f>Z154/Z186</f>
        <v>0.2878787878787879</v>
      </c>
      <c r="AB154" s="5">
        <f>57/$AB$1</f>
        <v>0.2878787878787879</v>
      </c>
      <c r="AD154">
        <v>46</v>
      </c>
      <c r="AE154" s="5">
        <f>AD154/AD186</f>
        <v>0.29870129870129869</v>
      </c>
      <c r="AF154" s="5">
        <f>46/$AF$1</f>
        <v>0.29870129870129869</v>
      </c>
      <c r="AH154">
        <v>43</v>
      </c>
      <c r="AI154" s="5">
        <f>AH154/AH186</f>
        <v>0.35833333333333334</v>
      </c>
      <c r="AJ154" s="5">
        <f>43/$AJ$1</f>
        <v>0.35833333333333334</v>
      </c>
      <c r="AL154">
        <v>97</v>
      </c>
      <c r="AM154" s="5">
        <f>AL154/AL186</f>
        <v>0.26216216216216215</v>
      </c>
      <c r="AN154" s="5">
        <f>97/$AN$1</f>
        <v>0.26216216216216215</v>
      </c>
      <c r="AP154">
        <v>116</v>
      </c>
      <c r="AQ154" s="5">
        <f>AP154/AP186</f>
        <v>0.30687830687830686</v>
      </c>
      <c r="AR154" s="5">
        <f>116/$AR$1</f>
        <v>0.30687830687830686</v>
      </c>
      <c r="AT154">
        <v>84</v>
      </c>
      <c r="AU154" s="5">
        <f>AT154/AT186</f>
        <v>0.33333333333333331</v>
      </c>
      <c r="AV154" s="5">
        <f>84/$AV$1</f>
        <v>0.33333333333333331</v>
      </c>
      <c r="AX154">
        <v>92</v>
      </c>
      <c r="AY154" s="5">
        <f>AX154/AX186</f>
        <v>0.33699633699633702</v>
      </c>
      <c r="AZ154" s="5">
        <f>92/$AZ$1</f>
        <v>0.33699633699633702</v>
      </c>
      <c r="BA154" s="5"/>
      <c r="BB154">
        <v>49</v>
      </c>
      <c r="BC154" s="5">
        <f>BB154/BB186</f>
        <v>0.2413793103448276</v>
      </c>
      <c r="BD154" s="5">
        <f>49/$BD$1</f>
        <v>0.2413793103448276</v>
      </c>
      <c r="BF154">
        <v>55</v>
      </c>
      <c r="BG154" s="5">
        <f>BF154/BF186</f>
        <v>0.2558139534883721</v>
      </c>
      <c r="BH154" s="5">
        <f>55/$BH$1</f>
        <v>0.2558139534883721</v>
      </c>
      <c r="BJ154">
        <v>101</v>
      </c>
      <c r="BK154" s="5">
        <f>BJ154/BJ186</f>
        <v>0.32686084142394822</v>
      </c>
      <c r="BL154" s="5">
        <f>101/$BL$1</f>
        <v>0.32686084142394822</v>
      </c>
      <c r="BN154">
        <v>6</v>
      </c>
      <c r="BO154" s="5">
        <f>BN154/BN186</f>
        <v>0.1276595744680851</v>
      </c>
      <c r="BP154" s="5">
        <f>6/$BP$1</f>
        <v>0.1276595744680851</v>
      </c>
      <c r="BR154">
        <v>92</v>
      </c>
      <c r="BS154" s="5">
        <f>BR154/BR186</f>
        <v>0.2929936305732484</v>
      </c>
      <c r="BT154" s="5">
        <f>92/$BT$1</f>
        <v>0.2929936305732484</v>
      </c>
      <c r="BV154">
        <v>130</v>
      </c>
      <c r="BW154" s="5">
        <f>BV154/BV186</f>
        <v>0.33078880407124683</v>
      </c>
      <c r="BX154" s="5">
        <f>130/$BX$1</f>
        <v>0.33078880407124683</v>
      </c>
      <c r="BZ154">
        <v>69</v>
      </c>
      <c r="CA154" s="5">
        <f>BZ154/BZ186</f>
        <v>0.28048780487804881</v>
      </c>
      <c r="CB154" s="5">
        <f>69/$CB$1</f>
        <v>0.28048780487804881</v>
      </c>
      <c r="CD154">
        <v>34</v>
      </c>
      <c r="CE154" s="5">
        <f>CD154/CD186</f>
        <v>0.27642276422764228</v>
      </c>
      <c r="CF154" s="5">
        <f>34/$CF$1</f>
        <v>0.27642276422764228</v>
      </c>
      <c r="CH154">
        <v>183</v>
      </c>
      <c r="CI154" s="5">
        <f>CH154/CH186</f>
        <v>0.26598837209302323</v>
      </c>
      <c r="CJ154" s="5">
        <f>183/$CJ$1</f>
        <v>0.26598837209302323</v>
      </c>
      <c r="CL154">
        <v>183</v>
      </c>
      <c r="CM154" s="5">
        <f>CL154/CL186</f>
        <v>0.24142480211081793</v>
      </c>
      <c r="CN154" s="5">
        <f>183/$CN$1</f>
        <v>0.24142480211081793</v>
      </c>
      <c r="CP154">
        <v>114</v>
      </c>
      <c r="CQ154" s="5">
        <f>CP154/CP186</f>
        <v>0.47107438016528924</v>
      </c>
      <c r="CR154" s="5">
        <f>114/$CR$1</f>
        <v>0.47107438016528924</v>
      </c>
      <c r="CT154">
        <v>86</v>
      </c>
      <c r="CU154" s="5">
        <f>CT154/CT186</f>
        <v>0.25825825825825827</v>
      </c>
      <c r="CV154" s="5">
        <f>86/$CV$1</f>
        <v>0.25825825825825827</v>
      </c>
      <c r="CX154">
        <v>211</v>
      </c>
      <c r="CY154" s="5">
        <f>CX154/CX186</f>
        <v>0.31634182908545727</v>
      </c>
      <c r="CZ154" s="5">
        <f>211/$CZ$1</f>
        <v>0.31634182908545727</v>
      </c>
    </row>
    <row r="155" spans="1:104" x14ac:dyDescent="0.25">
      <c r="A155" s="1" t="s">
        <v>1102</v>
      </c>
      <c r="B155">
        <v>347</v>
      </c>
      <c r="C155" s="5">
        <f>B155/B186</f>
        <v>0.34699999999999998</v>
      </c>
      <c r="D155" s="5">
        <f>347/$D$1</f>
        <v>0.34699999999999998</v>
      </c>
      <c r="F155">
        <v>183</v>
      </c>
      <c r="G155" s="5">
        <f>F155/F186</f>
        <v>0.3652694610778443</v>
      </c>
      <c r="H155" s="5">
        <f>183/$H$1</f>
        <v>0.3652694610778443</v>
      </c>
      <c r="J155">
        <v>164</v>
      </c>
      <c r="K155" s="5">
        <f>J155/J186</f>
        <v>0.32865731462925851</v>
      </c>
      <c r="L155" s="5">
        <f>164/$L$1</f>
        <v>0.32865731462925851</v>
      </c>
      <c r="N155">
        <v>44</v>
      </c>
      <c r="O155" s="5">
        <f>N155/N186</f>
        <v>0.45360824742268041</v>
      </c>
      <c r="P155" s="5">
        <f>44/$P$1</f>
        <v>0.45360824742268041</v>
      </c>
      <c r="R155">
        <v>78</v>
      </c>
      <c r="S155" s="5">
        <f>R155/R186</f>
        <v>0.39393939393939392</v>
      </c>
      <c r="T155" s="5">
        <f>78/$T$1</f>
        <v>0.39393939393939392</v>
      </c>
      <c r="V155">
        <v>87</v>
      </c>
      <c r="W155" s="5">
        <f>V155/V186</f>
        <v>0.36099585062240663</v>
      </c>
      <c r="X155" s="5">
        <f>87/$X$1</f>
        <v>0.36099585062240663</v>
      </c>
      <c r="Z155">
        <v>55</v>
      </c>
      <c r="AA155" s="5">
        <f>Z155/Z186</f>
        <v>0.27777777777777779</v>
      </c>
      <c r="AB155" s="5">
        <f>55/$AB$1</f>
        <v>0.27777777777777779</v>
      </c>
      <c r="AD155">
        <v>47</v>
      </c>
      <c r="AE155" s="5">
        <f>AD155/AD186</f>
        <v>0.30519480519480519</v>
      </c>
      <c r="AF155" s="5">
        <f>47/$AF$1</f>
        <v>0.30519480519480519</v>
      </c>
      <c r="AH155">
        <v>37</v>
      </c>
      <c r="AI155" s="5">
        <f>AH155/AH186</f>
        <v>0.30833333333333335</v>
      </c>
      <c r="AJ155" s="5">
        <f>37/$AJ$1</f>
        <v>0.30833333333333335</v>
      </c>
      <c r="AL155">
        <v>105</v>
      </c>
      <c r="AM155" s="5">
        <f>AL155/AL186</f>
        <v>0.28378378378378377</v>
      </c>
      <c r="AN155" s="5">
        <f>105/$AN$1</f>
        <v>0.28378378378378377</v>
      </c>
      <c r="AP155">
        <v>128</v>
      </c>
      <c r="AQ155" s="5">
        <f>AP155/AP186</f>
        <v>0.33862433862433861</v>
      </c>
      <c r="AR155" s="5">
        <f>128/$AR$1</f>
        <v>0.33862433862433861</v>
      </c>
      <c r="AT155">
        <v>114</v>
      </c>
      <c r="AU155" s="5">
        <f>AT155/AT186</f>
        <v>0.45238095238095238</v>
      </c>
      <c r="AV155" s="5">
        <f>114/$AV$1</f>
        <v>0.45238095238095238</v>
      </c>
      <c r="AX155">
        <v>79</v>
      </c>
      <c r="AY155" s="5">
        <f>AX155/AX186</f>
        <v>0.2893772893772894</v>
      </c>
      <c r="AZ155" s="5">
        <f>79/$AZ$1</f>
        <v>0.2893772893772894</v>
      </c>
      <c r="BA155" s="5"/>
      <c r="BB155">
        <v>66</v>
      </c>
      <c r="BC155" s="5">
        <f>BB155/BB186</f>
        <v>0.3251231527093596</v>
      </c>
      <c r="BD155" s="5">
        <f>66/$BD$1</f>
        <v>0.3251231527093596</v>
      </c>
      <c r="BF155">
        <v>75</v>
      </c>
      <c r="BG155" s="5">
        <f>BF155/BF186</f>
        <v>0.34883720930232559</v>
      </c>
      <c r="BH155" s="5">
        <f>75/$BH$1</f>
        <v>0.34883720930232559</v>
      </c>
      <c r="BJ155">
        <v>127</v>
      </c>
      <c r="BK155" s="5">
        <f>BJ155/BJ186</f>
        <v>0.4110032362459547</v>
      </c>
      <c r="BL155" s="5">
        <f>127/$BL$1</f>
        <v>0.4110032362459547</v>
      </c>
      <c r="BN155">
        <v>16</v>
      </c>
      <c r="BO155" s="5">
        <f>BN155/BN186</f>
        <v>0.34042553191489361</v>
      </c>
      <c r="BP155" s="5">
        <f>16/$BP$1</f>
        <v>0.34042553191489361</v>
      </c>
      <c r="BR155">
        <v>92</v>
      </c>
      <c r="BS155" s="5">
        <f>BR155/BR186</f>
        <v>0.2929936305732484</v>
      </c>
      <c r="BT155" s="5">
        <f>92/$BT$1</f>
        <v>0.2929936305732484</v>
      </c>
      <c r="BV155">
        <v>134</v>
      </c>
      <c r="BW155" s="5">
        <f>BV155/BV186</f>
        <v>0.34096692111959287</v>
      </c>
      <c r="BX155" s="5">
        <f>134/$BX$1</f>
        <v>0.34096692111959287</v>
      </c>
      <c r="BZ155">
        <v>105</v>
      </c>
      <c r="CA155" s="5">
        <f>BZ155/BZ186</f>
        <v>0.42682926829268292</v>
      </c>
      <c r="CB155" s="5">
        <f>105/$CB$1</f>
        <v>0.42682926829268292</v>
      </c>
      <c r="CD155">
        <v>34</v>
      </c>
      <c r="CE155" s="5">
        <f>CD155/CD186</f>
        <v>0.27642276422764228</v>
      </c>
      <c r="CF155" s="5">
        <f>34/$CF$1</f>
        <v>0.27642276422764228</v>
      </c>
      <c r="CH155">
        <v>240</v>
      </c>
      <c r="CI155" s="5">
        <f>CH155/CH186</f>
        <v>0.34883720930232559</v>
      </c>
      <c r="CJ155" s="5">
        <f>240/$CJ$1</f>
        <v>0.34883720930232559</v>
      </c>
      <c r="CL155">
        <v>266</v>
      </c>
      <c r="CM155" s="5">
        <f>CL155/CL186</f>
        <v>0.35092348284960423</v>
      </c>
      <c r="CN155" s="5">
        <f>266/$CN$1</f>
        <v>0.35092348284960423</v>
      </c>
      <c r="CP155">
        <v>81</v>
      </c>
      <c r="CQ155" s="5">
        <f>CP155/CP186</f>
        <v>0.33471074380165289</v>
      </c>
      <c r="CR155" s="5">
        <f>81/$CR$1</f>
        <v>0.33471074380165289</v>
      </c>
      <c r="CT155">
        <v>118</v>
      </c>
      <c r="CU155" s="5">
        <f>CT155/CT186</f>
        <v>0.35435435435435436</v>
      </c>
      <c r="CV155" s="5">
        <f>118/$CV$1</f>
        <v>0.35435435435435436</v>
      </c>
      <c r="CX155">
        <v>229</v>
      </c>
      <c r="CY155" s="5">
        <f>CX155/CX186</f>
        <v>0.34332833583208394</v>
      </c>
      <c r="CZ155" s="5">
        <f>229/$CZ$1</f>
        <v>0.34332833583208394</v>
      </c>
    </row>
    <row r="156" spans="1:104" x14ac:dyDescent="0.25">
      <c r="A156" s="1" t="s">
        <v>1103</v>
      </c>
      <c r="B156">
        <v>280</v>
      </c>
      <c r="C156" s="5">
        <f>B156/B186</f>
        <v>0.28000000000000003</v>
      </c>
      <c r="D156" s="5">
        <f>280/$D$1</f>
        <v>0.28000000000000003</v>
      </c>
      <c r="F156">
        <v>166</v>
      </c>
      <c r="G156" s="5">
        <f>F156/F186</f>
        <v>0.33133732534930138</v>
      </c>
      <c r="H156" s="5">
        <f>166/$H$1</f>
        <v>0.33133732534930138</v>
      </c>
      <c r="J156">
        <v>114</v>
      </c>
      <c r="K156" s="5">
        <f>J156/J186</f>
        <v>0.22845691382765532</v>
      </c>
      <c r="L156" s="5">
        <f>114/$L$1</f>
        <v>0.22845691382765532</v>
      </c>
      <c r="N156">
        <v>22</v>
      </c>
      <c r="O156" s="5">
        <f>N156/N186</f>
        <v>0.22680412371134021</v>
      </c>
      <c r="P156" s="5">
        <f>22/$P$1</f>
        <v>0.22680412371134021</v>
      </c>
      <c r="R156">
        <v>66</v>
      </c>
      <c r="S156" s="5">
        <f>R156/R186</f>
        <v>0.33333333333333331</v>
      </c>
      <c r="T156" s="5">
        <f>66/$T$1</f>
        <v>0.33333333333333331</v>
      </c>
      <c r="V156">
        <v>67</v>
      </c>
      <c r="W156" s="5">
        <f>V156/V186</f>
        <v>0.27800829875518673</v>
      </c>
      <c r="X156" s="5">
        <f>67/$X$1</f>
        <v>0.27800829875518673</v>
      </c>
      <c r="Z156">
        <v>56</v>
      </c>
      <c r="AA156" s="5">
        <f>Z156/Z186</f>
        <v>0.28282828282828282</v>
      </c>
      <c r="AB156" s="5">
        <f>56/$AB$1</f>
        <v>0.28282828282828282</v>
      </c>
      <c r="AD156">
        <v>43</v>
      </c>
      <c r="AE156" s="5">
        <f>AD156/AD186</f>
        <v>0.2792207792207792</v>
      </c>
      <c r="AF156" s="5">
        <f>43/$AF$1</f>
        <v>0.2792207792207792</v>
      </c>
      <c r="AH156">
        <v>28</v>
      </c>
      <c r="AI156" s="5">
        <f>AH156/AH186</f>
        <v>0.23333333333333334</v>
      </c>
      <c r="AJ156" s="5">
        <f>28/$AJ$1</f>
        <v>0.23333333333333334</v>
      </c>
      <c r="AL156">
        <v>95</v>
      </c>
      <c r="AM156" s="5">
        <f>AL156/AL186</f>
        <v>0.25675675675675674</v>
      </c>
      <c r="AN156" s="5">
        <f>95/$AN$1</f>
        <v>0.25675675675675674</v>
      </c>
      <c r="AP156">
        <v>104</v>
      </c>
      <c r="AQ156" s="5">
        <f>AP156/AP186</f>
        <v>0.27513227513227512</v>
      </c>
      <c r="AR156" s="5">
        <f>104/$AR$1</f>
        <v>0.27513227513227512</v>
      </c>
      <c r="AT156">
        <v>81</v>
      </c>
      <c r="AU156" s="5">
        <f>AT156/AT186</f>
        <v>0.32142857142857145</v>
      </c>
      <c r="AV156" s="5">
        <f>81/$AV$1</f>
        <v>0.32142857142857145</v>
      </c>
      <c r="AX156">
        <v>74</v>
      </c>
      <c r="AY156" s="5">
        <f>AX156/AX186</f>
        <v>0.27106227106227104</v>
      </c>
      <c r="AZ156" s="5">
        <f>74/$AZ$1</f>
        <v>0.27106227106227104</v>
      </c>
      <c r="BA156" s="5"/>
      <c r="BB156">
        <v>53</v>
      </c>
      <c r="BC156" s="5">
        <f>BB156/BB186</f>
        <v>0.26108374384236455</v>
      </c>
      <c r="BD156" s="5">
        <f>53/$BD$1</f>
        <v>0.26108374384236455</v>
      </c>
      <c r="BF156">
        <v>52</v>
      </c>
      <c r="BG156" s="5">
        <f>BF156/BF186</f>
        <v>0.24186046511627907</v>
      </c>
      <c r="BH156" s="5">
        <f>52/$BH$1</f>
        <v>0.24186046511627907</v>
      </c>
      <c r="BJ156">
        <v>101</v>
      </c>
      <c r="BK156" s="5">
        <f>BJ156/BJ186</f>
        <v>0.32686084142394822</v>
      </c>
      <c r="BL156" s="5">
        <f>101/$BL$1</f>
        <v>0.32686084142394822</v>
      </c>
      <c r="BN156">
        <v>10</v>
      </c>
      <c r="BO156" s="5">
        <f>BN156/BN186</f>
        <v>0.21276595744680851</v>
      </c>
      <c r="BP156" s="5">
        <f>10/$BP$1</f>
        <v>0.21276595744680851</v>
      </c>
      <c r="BR156">
        <v>69</v>
      </c>
      <c r="BS156" s="5">
        <f>BR156/BR186</f>
        <v>0.21974522292993631</v>
      </c>
      <c r="BT156" s="5">
        <f>69/$BT$1</f>
        <v>0.21974522292993631</v>
      </c>
      <c r="BV156">
        <v>115</v>
      </c>
      <c r="BW156" s="5">
        <f>BV156/BV186</f>
        <v>0.29262086513994912</v>
      </c>
      <c r="BX156" s="5">
        <f>115/$BX$1</f>
        <v>0.29262086513994912</v>
      </c>
      <c r="BZ156">
        <v>86</v>
      </c>
      <c r="CA156" s="5">
        <f>BZ156/BZ186</f>
        <v>0.34959349593495936</v>
      </c>
      <c r="CB156" s="5">
        <f>86/$CB$1</f>
        <v>0.34959349593495936</v>
      </c>
      <c r="CD156">
        <v>31</v>
      </c>
      <c r="CE156" s="5">
        <f>CD156/CD186</f>
        <v>0.25203252032520324</v>
      </c>
      <c r="CF156" s="5">
        <f>31/$CF$1</f>
        <v>0.25203252032520324</v>
      </c>
      <c r="CH156">
        <v>177</v>
      </c>
      <c r="CI156" s="5">
        <f>CH156/CH186</f>
        <v>0.25726744186046513</v>
      </c>
      <c r="CJ156" s="5">
        <f>177/$CJ$1</f>
        <v>0.25726744186046513</v>
      </c>
      <c r="CL156">
        <v>196</v>
      </c>
      <c r="CM156" s="5">
        <f>CL156/CL186</f>
        <v>0.25857519788918204</v>
      </c>
      <c r="CN156" s="5">
        <f>196/$CN$1</f>
        <v>0.25857519788918204</v>
      </c>
      <c r="CP156">
        <v>84</v>
      </c>
      <c r="CQ156" s="5">
        <f>CP156/CP186</f>
        <v>0.34710743801652894</v>
      </c>
      <c r="CR156" s="5">
        <f>84/$CR$1</f>
        <v>0.34710743801652894</v>
      </c>
      <c r="CT156">
        <v>82</v>
      </c>
      <c r="CU156" s="5">
        <f>CT156/CT186</f>
        <v>0.24624624624624625</v>
      </c>
      <c r="CV156" s="5">
        <f>82/$CV$1</f>
        <v>0.24624624624624625</v>
      </c>
      <c r="CX156">
        <v>198</v>
      </c>
      <c r="CY156" s="5">
        <f>CX156/CX186</f>
        <v>0.29685157421289354</v>
      </c>
      <c r="CZ156" s="5">
        <f>198/$CZ$1</f>
        <v>0.29685157421289354</v>
      </c>
    </row>
    <row r="157" spans="1:104" x14ac:dyDescent="0.25">
      <c r="A157" s="1" t="s">
        <v>1104</v>
      </c>
      <c r="B157">
        <v>240</v>
      </c>
      <c r="C157" s="5">
        <f>B157/B186</f>
        <v>0.24</v>
      </c>
      <c r="D157" s="5">
        <f>240/$D$1</f>
        <v>0.24</v>
      </c>
      <c r="F157">
        <v>119</v>
      </c>
      <c r="G157" s="5">
        <f>F157/F186</f>
        <v>0.2375249500998004</v>
      </c>
      <c r="H157" s="5">
        <f>119/$H$1</f>
        <v>0.2375249500998004</v>
      </c>
      <c r="J157">
        <v>121</v>
      </c>
      <c r="K157" s="5">
        <f>J157/J186</f>
        <v>0.24248496993987975</v>
      </c>
      <c r="L157" s="5">
        <f>121/$L$1</f>
        <v>0.24248496993987975</v>
      </c>
      <c r="N157">
        <v>24</v>
      </c>
      <c r="O157" s="5">
        <f>N157/N186</f>
        <v>0.24742268041237114</v>
      </c>
      <c r="P157" s="5">
        <f>24/$P$1</f>
        <v>0.24742268041237114</v>
      </c>
      <c r="R157">
        <v>62</v>
      </c>
      <c r="S157" s="5">
        <f>R157/R186</f>
        <v>0.31313131313131315</v>
      </c>
      <c r="T157" s="5">
        <f>62/$T$1</f>
        <v>0.31313131313131315</v>
      </c>
      <c r="V157">
        <v>53</v>
      </c>
      <c r="W157" s="5">
        <f>V157/V186</f>
        <v>0.21991701244813278</v>
      </c>
      <c r="X157" s="5">
        <f>53/$X$1</f>
        <v>0.21991701244813278</v>
      </c>
      <c r="Z157">
        <v>38</v>
      </c>
      <c r="AA157" s="5">
        <f>Z157/Z186</f>
        <v>0.19191919191919191</v>
      </c>
      <c r="AB157" s="5">
        <f>38/$AB$1</f>
        <v>0.19191919191919191</v>
      </c>
      <c r="AD157">
        <v>36</v>
      </c>
      <c r="AE157" s="5">
        <f>AD157/AD186</f>
        <v>0.23376623376623376</v>
      </c>
      <c r="AF157" s="5">
        <f>36/$AF$1</f>
        <v>0.23376623376623376</v>
      </c>
      <c r="AH157">
        <v>30</v>
      </c>
      <c r="AI157" s="5">
        <f>AH157/AH186</f>
        <v>0.25</v>
      </c>
      <c r="AJ157" s="5">
        <f>30/$AJ$1</f>
        <v>0.25</v>
      </c>
      <c r="AL157">
        <v>73</v>
      </c>
      <c r="AM157" s="5">
        <f>AL157/AL186</f>
        <v>0.19729729729729731</v>
      </c>
      <c r="AN157" s="5">
        <f>73/$AN$1</f>
        <v>0.19729729729729731</v>
      </c>
      <c r="AP157">
        <v>102</v>
      </c>
      <c r="AQ157" s="5">
        <f>AP157/AP186</f>
        <v>0.26984126984126983</v>
      </c>
      <c r="AR157" s="5">
        <f>102/$AR$1</f>
        <v>0.26984126984126983</v>
      </c>
      <c r="AT157">
        <v>65</v>
      </c>
      <c r="AU157" s="5">
        <f>AT157/AT186</f>
        <v>0.25793650793650796</v>
      </c>
      <c r="AV157" s="5">
        <f>65/$AV$1</f>
        <v>0.25793650793650796</v>
      </c>
      <c r="AX157">
        <v>58</v>
      </c>
      <c r="AY157" s="5">
        <f>AX157/AX186</f>
        <v>0.21245421245421245</v>
      </c>
      <c r="AZ157" s="5">
        <f>58/$AZ$1</f>
        <v>0.21245421245421245</v>
      </c>
      <c r="BA157" s="5"/>
      <c r="BB157">
        <v>46</v>
      </c>
      <c r="BC157" s="5">
        <f>BB157/BB186</f>
        <v>0.22660098522167488</v>
      </c>
      <c r="BD157" s="5">
        <f>46/$BD$1</f>
        <v>0.22660098522167488</v>
      </c>
      <c r="BF157">
        <v>49</v>
      </c>
      <c r="BG157" s="5">
        <f>BF157/BF186</f>
        <v>0.22790697674418606</v>
      </c>
      <c r="BH157" s="5">
        <f>49/$BH$1</f>
        <v>0.22790697674418606</v>
      </c>
      <c r="BJ157">
        <v>87</v>
      </c>
      <c r="BK157" s="5">
        <f>BJ157/BJ186</f>
        <v>0.28155339805825241</v>
      </c>
      <c r="BL157" s="5">
        <f>87/$BL$1</f>
        <v>0.28155339805825241</v>
      </c>
      <c r="BN157">
        <v>7</v>
      </c>
      <c r="BO157" s="5">
        <f>BN157/BN186</f>
        <v>0.14893617021276595</v>
      </c>
      <c r="BP157" s="5">
        <f>7/$BP$1</f>
        <v>0.14893617021276595</v>
      </c>
      <c r="BR157">
        <v>63</v>
      </c>
      <c r="BS157" s="5">
        <f>BR157/BR186</f>
        <v>0.20063694267515925</v>
      </c>
      <c r="BT157" s="5">
        <f>63/$BT$1</f>
        <v>0.20063694267515925</v>
      </c>
      <c r="BV157">
        <v>96</v>
      </c>
      <c r="BW157" s="5">
        <f>BV157/BV186</f>
        <v>0.24427480916030533</v>
      </c>
      <c r="BX157" s="5">
        <f>96/$BX$1</f>
        <v>0.24427480916030533</v>
      </c>
      <c r="BZ157">
        <v>74</v>
      </c>
      <c r="CA157" s="5">
        <f>BZ157/BZ186</f>
        <v>0.30081300813008133</v>
      </c>
      <c r="CB157" s="5">
        <f>74/$CB$1</f>
        <v>0.30081300813008133</v>
      </c>
      <c r="CD157">
        <v>34</v>
      </c>
      <c r="CE157" s="5">
        <f>CD157/CD186</f>
        <v>0.27642276422764228</v>
      </c>
      <c r="CF157" s="5">
        <f>34/$CF$1</f>
        <v>0.27642276422764228</v>
      </c>
      <c r="CH157">
        <v>157</v>
      </c>
      <c r="CI157" s="5">
        <f>CH157/CH186</f>
        <v>0.22819767441860464</v>
      </c>
      <c r="CJ157" s="5">
        <f>157/$CJ$1</f>
        <v>0.22819767441860464</v>
      </c>
      <c r="CL157">
        <v>166</v>
      </c>
      <c r="CM157" s="5">
        <f>CL157/CL186</f>
        <v>0.21899736147757257</v>
      </c>
      <c r="CN157" s="5">
        <f>166/$CN$1</f>
        <v>0.21899736147757257</v>
      </c>
      <c r="CP157">
        <v>74</v>
      </c>
      <c r="CQ157" s="5">
        <f>CP157/CP186</f>
        <v>0.30578512396694213</v>
      </c>
      <c r="CR157" s="5">
        <f>74/$CR$1</f>
        <v>0.30578512396694213</v>
      </c>
      <c r="CT157">
        <v>70</v>
      </c>
      <c r="CU157" s="5">
        <f>CT157/CT186</f>
        <v>0.21021021021021022</v>
      </c>
      <c r="CV157" s="5">
        <f>70/$CV$1</f>
        <v>0.21021021021021022</v>
      </c>
      <c r="CX157">
        <v>170</v>
      </c>
      <c r="CY157" s="5">
        <f>CX157/CX186</f>
        <v>0.25487256371814093</v>
      </c>
      <c r="CZ157" s="5">
        <f>170/$CZ$1</f>
        <v>0.25487256371814093</v>
      </c>
    </row>
    <row r="159" spans="1:104" x14ac:dyDescent="0.25">
      <c r="A159" s="1" t="s">
        <v>1105</v>
      </c>
      <c r="B159">
        <v>50</v>
      </c>
      <c r="C159" s="5">
        <f>B159/B186</f>
        <v>0.05</v>
      </c>
      <c r="D159" s="5">
        <f>50/$D$1</f>
        <v>0.05</v>
      </c>
      <c r="F159">
        <v>32</v>
      </c>
      <c r="G159" s="5">
        <f>F159/F186</f>
        <v>6.3872255489021951E-2</v>
      </c>
      <c r="H159" s="5">
        <f>32/$H$1</f>
        <v>6.3872255489021951E-2</v>
      </c>
      <c r="J159">
        <v>18</v>
      </c>
      <c r="K159" s="5">
        <f>J159/J186</f>
        <v>3.6072144288577156E-2</v>
      </c>
      <c r="L159" s="5">
        <f>18/$L$1</f>
        <v>3.6072144288577156E-2</v>
      </c>
      <c r="N159">
        <v>7</v>
      </c>
      <c r="O159" s="5">
        <f>N159/N186</f>
        <v>7.2164948453608241E-2</v>
      </c>
      <c r="P159" s="5">
        <f>7/$P$1</f>
        <v>7.2164948453608241E-2</v>
      </c>
      <c r="R159">
        <v>12</v>
      </c>
      <c r="S159" s="5">
        <f>R159/R186</f>
        <v>6.0606060606060608E-2</v>
      </c>
      <c r="T159" s="5">
        <f>12/$T$1</f>
        <v>6.0606060606060608E-2</v>
      </c>
      <c r="V159">
        <v>15</v>
      </c>
      <c r="W159" s="5">
        <f>V159/V186</f>
        <v>6.2240663900414939E-2</v>
      </c>
      <c r="X159" s="5">
        <f>15/$X$1</f>
        <v>6.2240663900414939E-2</v>
      </c>
      <c r="Z159">
        <v>4</v>
      </c>
      <c r="AA159" s="5">
        <f>Z159/Z186</f>
        <v>2.0202020202020204E-2</v>
      </c>
      <c r="AB159" s="5">
        <f>4/$AB$1</f>
        <v>2.0202020202020204E-2</v>
      </c>
      <c r="AD159">
        <v>8</v>
      </c>
      <c r="AE159" s="5">
        <f>AD159/AD186</f>
        <v>5.1948051948051951E-2</v>
      </c>
      <c r="AF159" s="5">
        <f>8/$AF$1</f>
        <v>5.1948051948051951E-2</v>
      </c>
      <c r="AH159">
        <v>5</v>
      </c>
      <c r="AI159" s="5">
        <f>AH159/AH186</f>
        <v>4.1666666666666664E-2</v>
      </c>
      <c r="AJ159" s="5">
        <f>5/$AJ$1</f>
        <v>4.1666666666666664E-2</v>
      </c>
      <c r="AL159">
        <v>16</v>
      </c>
      <c r="AM159" s="5">
        <f>AL159/AL186</f>
        <v>4.3243243243243246E-2</v>
      </c>
      <c r="AN159" s="5">
        <f>16/$AN$1</f>
        <v>4.3243243243243246E-2</v>
      </c>
      <c r="AP159">
        <v>16</v>
      </c>
      <c r="AQ159" s="5">
        <f>AP159/AP186</f>
        <v>4.2328042328042326E-2</v>
      </c>
      <c r="AR159" s="5">
        <f>16/$AR$1</f>
        <v>4.2328042328042326E-2</v>
      </c>
      <c r="AT159">
        <v>18</v>
      </c>
      <c r="AU159" s="5">
        <f>AT159/AT186</f>
        <v>7.1428571428571425E-2</v>
      </c>
      <c r="AV159" s="5">
        <f>18/$AV$1</f>
        <v>7.1428571428571425E-2</v>
      </c>
      <c r="AX159">
        <v>12</v>
      </c>
      <c r="AY159" s="5">
        <f>AX159/AX186</f>
        <v>4.3956043956043959E-2</v>
      </c>
      <c r="AZ159" s="5">
        <f>12/$AZ$1</f>
        <v>4.3956043956043959E-2</v>
      </c>
      <c r="BA159" s="5"/>
      <c r="BB159">
        <v>12</v>
      </c>
      <c r="BC159" s="5">
        <f>BB159/BB186</f>
        <v>5.9113300492610835E-2</v>
      </c>
      <c r="BD159" s="5">
        <f>12/$BD$1</f>
        <v>5.9113300492610835E-2</v>
      </c>
      <c r="BF159">
        <v>7</v>
      </c>
      <c r="BG159" s="5">
        <f>BF159/BF186</f>
        <v>3.255813953488372E-2</v>
      </c>
      <c r="BH159" s="5">
        <f>7/$BH$1</f>
        <v>3.255813953488372E-2</v>
      </c>
      <c r="BJ159">
        <v>19</v>
      </c>
      <c r="BK159" s="5">
        <f>BJ159/BJ186</f>
        <v>6.1488673139158574E-2</v>
      </c>
      <c r="BL159" s="5">
        <f>19/$BL$1</f>
        <v>6.1488673139158574E-2</v>
      </c>
      <c r="BN159">
        <v>3</v>
      </c>
      <c r="BO159" s="5">
        <f>BN159/BN186</f>
        <v>6.3829787234042548E-2</v>
      </c>
      <c r="BP159" s="5">
        <f>3/$BP$1</f>
        <v>6.3829787234042548E-2</v>
      </c>
      <c r="BR159">
        <v>5</v>
      </c>
      <c r="BS159" s="5">
        <f>BR159/BR186</f>
        <v>1.5923566878980892E-2</v>
      </c>
      <c r="BT159" s="5">
        <f>5/$BT$1</f>
        <v>1.5923566878980892E-2</v>
      </c>
      <c r="BV159">
        <v>22</v>
      </c>
      <c r="BW159" s="5">
        <f>BV159/BV186</f>
        <v>5.5979643765903309E-2</v>
      </c>
      <c r="BX159" s="5">
        <f>22/$BX$1</f>
        <v>5.5979643765903309E-2</v>
      </c>
      <c r="BZ159">
        <v>20</v>
      </c>
      <c r="CA159" s="5">
        <f>BZ159/BZ186</f>
        <v>8.1300813008130079E-2</v>
      </c>
      <c r="CB159" s="5">
        <f>20/$CB$1</f>
        <v>8.1300813008130079E-2</v>
      </c>
      <c r="CD159">
        <v>10</v>
      </c>
      <c r="CE159" s="5">
        <f>CD159/CD186</f>
        <v>8.1300813008130079E-2</v>
      </c>
      <c r="CF159" s="5">
        <f>10/$CF$1</f>
        <v>8.1300813008130079E-2</v>
      </c>
      <c r="CH159">
        <v>30</v>
      </c>
      <c r="CI159" s="5">
        <f>CH159/CH186</f>
        <v>4.3604651162790699E-2</v>
      </c>
      <c r="CJ159" s="5">
        <f>30/$CJ$1</f>
        <v>4.3604651162790699E-2</v>
      </c>
      <c r="CL159">
        <v>32</v>
      </c>
      <c r="CM159" s="5">
        <f>CL159/CL186</f>
        <v>4.221635883905013E-2</v>
      </c>
      <c r="CN159" s="5">
        <f>32/$CN$1</f>
        <v>4.221635883905013E-2</v>
      </c>
      <c r="CP159">
        <v>18</v>
      </c>
      <c r="CQ159" s="5">
        <f>CP159/CP186</f>
        <v>7.43801652892562E-2</v>
      </c>
      <c r="CR159" s="5">
        <f>18/$CR$1</f>
        <v>7.43801652892562E-2</v>
      </c>
      <c r="CT159">
        <v>22</v>
      </c>
      <c r="CU159" s="5">
        <f>CT159/CT186</f>
        <v>6.6066066066066062E-2</v>
      </c>
      <c r="CV159" s="5">
        <f>22/$CV$1</f>
        <v>6.6066066066066062E-2</v>
      </c>
      <c r="CX159">
        <v>28</v>
      </c>
      <c r="CY159" s="5">
        <f>CX159/CX186</f>
        <v>4.1979010494752625E-2</v>
      </c>
      <c r="CZ159" s="5">
        <f>28/$CZ$1</f>
        <v>4.1979010494752625E-2</v>
      </c>
    </row>
    <row r="160" spans="1:104" x14ac:dyDescent="0.25">
      <c r="A160" s="1" t="s">
        <v>1106</v>
      </c>
      <c r="B160">
        <v>109</v>
      </c>
      <c r="C160" s="5">
        <f>B160/B186</f>
        <v>0.109</v>
      </c>
      <c r="D160" s="5">
        <f>109/$D$1</f>
        <v>0.109</v>
      </c>
      <c r="F160">
        <v>56</v>
      </c>
      <c r="G160" s="5">
        <f>F160/F186</f>
        <v>0.11177644710578842</v>
      </c>
      <c r="H160" s="5">
        <f>56/$H$1</f>
        <v>0.11177644710578842</v>
      </c>
      <c r="J160">
        <v>53</v>
      </c>
      <c r="K160" s="5">
        <f>J160/J186</f>
        <v>0.10621242484969939</v>
      </c>
      <c r="L160" s="5">
        <f>53/$L$1</f>
        <v>0.10621242484969939</v>
      </c>
      <c r="N160">
        <v>23</v>
      </c>
      <c r="O160" s="5">
        <f>N160/N186</f>
        <v>0.23711340206185566</v>
      </c>
      <c r="P160" s="5">
        <f>23/$P$1</f>
        <v>0.23711340206185566</v>
      </c>
      <c r="R160">
        <v>30</v>
      </c>
      <c r="S160" s="5">
        <f>R160/R186</f>
        <v>0.15151515151515152</v>
      </c>
      <c r="T160" s="5">
        <f>30/$T$1</f>
        <v>0.15151515151515152</v>
      </c>
      <c r="V160">
        <v>28</v>
      </c>
      <c r="W160" s="5">
        <f>V160/V186</f>
        <v>0.11618257261410789</v>
      </c>
      <c r="X160" s="5">
        <f>28/$X$1</f>
        <v>0.11618257261410789</v>
      </c>
      <c r="Z160">
        <v>17</v>
      </c>
      <c r="AA160" s="5">
        <f>Z160/Z186</f>
        <v>8.5858585858585856E-2</v>
      </c>
      <c r="AB160" s="5">
        <f>17/$AB$1</f>
        <v>8.5858585858585856E-2</v>
      </c>
      <c r="AD160">
        <v>8</v>
      </c>
      <c r="AE160" s="5">
        <f>AD160/AD186</f>
        <v>5.1948051948051951E-2</v>
      </c>
      <c r="AF160" s="5">
        <f>8/$AF$1</f>
        <v>5.1948051948051951E-2</v>
      </c>
      <c r="AH160">
        <v>3</v>
      </c>
      <c r="AI160" s="5">
        <f>AH160/AH186</f>
        <v>2.5000000000000001E-2</v>
      </c>
      <c r="AJ160" s="5">
        <f>3/$AJ$1</f>
        <v>2.5000000000000001E-2</v>
      </c>
      <c r="AL160">
        <v>31</v>
      </c>
      <c r="AM160" s="5">
        <f>AL160/AL186</f>
        <v>8.3783783783783788E-2</v>
      </c>
      <c r="AN160" s="5">
        <f>31/$AN$1</f>
        <v>8.3783783783783788E-2</v>
      </c>
      <c r="AP160">
        <v>35</v>
      </c>
      <c r="AQ160" s="5">
        <f>AP160/AP186</f>
        <v>9.2592592592592587E-2</v>
      </c>
      <c r="AR160" s="5">
        <f>35/$AR$1</f>
        <v>9.2592592592592587E-2</v>
      </c>
      <c r="AT160">
        <v>43</v>
      </c>
      <c r="AU160" s="5">
        <f>AT160/AT186</f>
        <v>0.17063492063492064</v>
      </c>
      <c r="AV160" s="5">
        <f>43/$AV$1</f>
        <v>0.17063492063492064</v>
      </c>
      <c r="AX160">
        <v>26</v>
      </c>
      <c r="AY160" s="5">
        <f>AX160/AX186</f>
        <v>9.5238095238095233E-2</v>
      </c>
      <c r="AZ160" s="5">
        <f>26/$AZ$1</f>
        <v>9.5238095238095233E-2</v>
      </c>
      <c r="BA160" s="5"/>
      <c r="BB160">
        <v>17</v>
      </c>
      <c r="BC160" s="5">
        <f>BB160/BB186</f>
        <v>8.3743842364532015E-2</v>
      </c>
      <c r="BD160" s="5">
        <f>17/$BD$1</f>
        <v>8.3743842364532015E-2</v>
      </c>
      <c r="BF160">
        <v>18</v>
      </c>
      <c r="BG160" s="5">
        <f>BF160/BF186</f>
        <v>8.3720930232558138E-2</v>
      </c>
      <c r="BH160" s="5">
        <f>18/$BH$1</f>
        <v>8.3720930232558138E-2</v>
      </c>
      <c r="BJ160">
        <v>48</v>
      </c>
      <c r="BK160" s="5">
        <f>BJ160/BJ186</f>
        <v>0.1553398058252427</v>
      </c>
      <c r="BL160" s="5">
        <f>48/$BL$1</f>
        <v>0.1553398058252427</v>
      </c>
      <c r="BN160">
        <v>2</v>
      </c>
      <c r="BO160" s="5">
        <f>BN160/BN186</f>
        <v>4.2553191489361701E-2</v>
      </c>
      <c r="BP160" s="5">
        <f>2/$BP$1</f>
        <v>4.2553191489361701E-2</v>
      </c>
      <c r="BR160">
        <v>18</v>
      </c>
      <c r="BS160" s="5">
        <f>BR160/BR186</f>
        <v>5.7324840764331211E-2</v>
      </c>
      <c r="BT160" s="5">
        <f>18/$BT$1</f>
        <v>5.7324840764331211E-2</v>
      </c>
      <c r="BV160">
        <v>55</v>
      </c>
      <c r="BW160" s="5">
        <f>BV160/BV186</f>
        <v>0.13994910941475827</v>
      </c>
      <c r="BX160" s="5">
        <f>55/$BX$1</f>
        <v>0.13994910941475827</v>
      </c>
      <c r="BZ160">
        <v>34</v>
      </c>
      <c r="CA160" s="5">
        <f>BZ160/BZ186</f>
        <v>0.13821138211382114</v>
      </c>
      <c r="CB160" s="5">
        <f>34/$CB$1</f>
        <v>0.13821138211382114</v>
      </c>
      <c r="CD160">
        <v>20</v>
      </c>
      <c r="CE160" s="5">
        <f>CD160/CD186</f>
        <v>0.16260162601626016</v>
      </c>
      <c r="CF160" s="5">
        <f>20/$CF$1</f>
        <v>0.16260162601626016</v>
      </c>
      <c r="CH160">
        <v>63</v>
      </c>
      <c r="CI160" s="5">
        <f>CH160/CH186</f>
        <v>9.1569767441860461E-2</v>
      </c>
      <c r="CJ160" s="5">
        <f>63/$CJ$1</f>
        <v>9.1569767441860461E-2</v>
      </c>
      <c r="CL160">
        <v>68</v>
      </c>
      <c r="CM160" s="5">
        <f>CL160/CL186</f>
        <v>8.9709762532981532E-2</v>
      </c>
      <c r="CN160" s="5">
        <f>68/$CN$1</f>
        <v>8.9709762532981532E-2</v>
      </c>
      <c r="CP160">
        <v>41</v>
      </c>
      <c r="CQ160" s="5">
        <f>CP160/CP186</f>
        <v>0.16942148760330578</v>
      </c>
      <c r="CR160" s="5">
        <f>41/$CR$1</f>
        <v>0.16942148760330578</v>
      </c>
      <c r="CT160">
        <v>55</v>
      </c>
      <c r="CU160" s="5">
        <f>CT160/CT186</f>
        <v>0.16516516516516516</v>
      </c>
      <c r="CV160" s="5">
        <f>55/$CV$1</f>
        <v>0.16516516516516516</v>
      </c>
      <c r="CX160">
        <v>54</v>
      </c>
      <c r="CY160" s="5">
        <f>CX160/CX186</f>
        <v>8.0959520239880053E-2</v>
      </c>
      <c r="CZ160" s="5">
        <f>54/$CZ$1</f>
        <v>8.0959520239880053E-2</v>
      </c>
    </row>
    <row r="161" spans="1:104" x14ac:dyDescent="0.25">
      <c r="A161" s="1" t="s">
        <v>1107</v>
      </c>
      <c r="B161">
        <v>28</v>
      </c>
      <c r="C161" s="5">
        <f>B161/B186</f>
        <v>2.8000000000000001E-2</v>
      </c>
      <c r="D161" s="5">
        <f>28/$D$1</f>
        <v>2.8000000000000001E-2</v>
      </c>
      <c r="F161">
        <v>18</v>
      </c>
      <c r="G161" s="5">
        <f>F161/F186</f>
        <v>3.5928143712574849E-2</v>
      </c>
      <c r="H161" s="5">
        <f>18/$H$1</f>
        <v>3.5928143712574849E-2</v>
      </c>
      <c r="J161">
        <v>10</v>
      </c>
      <c r="K161" s="5">
        <f>J161/J186</f>
        <v>2.004008016032064E-2</v>
      </c>
      <c r="L161" s="5">
        <f>10/$L$1</f>
        <v>2.004008016032064E-2</v>
      </c>
      <c r="N161">
        <v>5</v>
      </c>
      <c r="O161" s="5">
        <f>N161/N186</f>
        <v>5.1546391752577317E-2</v>
      </c>
      <c r="P161" s="5">
        <f>5/$P$1</f>
        <v>5.1546391752577317E-2</v>
      </c>
      <c r="R161">
        <v>7</v>
      </c>
      <c r="S161" s="5">
        <f>R161/R186</f>
        <v>3.5353535353535352E-2</v>
      </c>
      <c r="T161" s="5">
        <f>7/$T$1</f>
        <v>3.5353535353535352E-2</v>
      </c>
      <c r="V161">
        <v>9</v>
      </c>
      <c r="W161" s="5">
        <f>V161/V186</f>
        <v>3.7344398340248962E-2</v>
      </c>
      <c r="X161" s="5">
        <f>9/$X$1</f>
        <v>3.7344398340248962E-2</v>
      </c>
      <c r="Z161">
        <v>3</v>
      </c>
      <c r="AA161" s="5">
        <f>Z161/Z186</f>
        <v>1.5151515151515152E-2</v>
      </c>
      <c r="AB161" s="5">
        <f>3/$AB$1</f>
        <v>1.5151515151515152E-2</v>
      </c>
      <c r="AD161">
        <v>2</v>
      </c>
      <c r="AE161" s="5">
        <f>AD161/AD186</f>
        <v>1.2987012987012988E-2</v>
      </c>
      <c r="AF161" s="5">
        <f>2/$AF$1</f>
        <v>1.2987012987012988E-2</v>
      </c>
      <c r="AH161">
        <v>2</v>
      </c>
      <c r="AI161" s="5">
        <f>AH161/AH186</f>
        <v>1.6666666666666666E-2</v>
      </c>
      <c r="AJ161" s="5">
        <f>2/$AJ$1</f>
        <v>1.6666666666666666E-2</v>
      </c>
      <c r="AL161">
        <v>11</v>
      </c>
      <c r="AM161" s="5">
        <f>AL161/AL186</f>
        <v>2.9729729729729731E-2</v>
      </c>
      <c r="AN161" s="5">
        <f>11/$AN$1</f>
        <v>2.9729729729729731E-2</v>
      </c>
      <c r="AP161">
        <v>13</v>
      </c>
      <c r="AQ161" s="5">
        <f>AP161/AP186</f>
        <v>3.439153439153439E-2</v>
      </c>
      <c r="AR161" s="5">
        <f>13/$AR$1</f>
        <v>3.439153439153439E-2</v>
      </c>
      <c r="AT161">
        <v>4</v>
      </c>
      <c r="AU161" s="5">
        <f>AT161/AT186</f>
        <v>1.5873015873015872E-2</v>
      </c>
      <c r="AV161" s="5">
        <f>4/$AV$1</f>
        <v>1.5873015873015872E-2</v>
      </c>
      <c r="AX161">
        <v>8</v>
      </c>
      <c r="AY161" s="5">
        <f>AX161/AX186</f>
        <v>2.9304029304029304E-2</v>
      </c>
      <c r="AZ161" s="5">
        <f>8/$AZ$1</f>
        <v>2.9304029304029304E-2</v>
      </c>
      <c r="BA161" s="5"/>
      <c r="BB161">
        <v>5</v>
      </c>
      <c r="BC161" s="5">
        <f>BB161/BB186</f>
        <v>2.4630541871921183E-2</v>
      </c>
      <c r="BD161" s="5">
        <f>5/$BD$1</f>
        <v>2.4630541871921183E-2</v>
      </c>
      <c r="BF161">
        <v>5</v>
      </c>
      <c r="BG161" s="5">
        <f>BF161/BF186</f>
        <v>2.3255813953488372E-2</v>
      </c>
      <c r="BH161" s="5">
        <f>5/$BH$1</f>
        <v>2.3255813953488372E-2</v>
      </c>
      <c r="BJ161">
        <v>10</v>
      </c>
      <c r="BK161" s="5">
        <f>BJ161/BJ186</f>
        <v>3.2362459546925564E-2</v>
      </c>
      <c r="BL161" s="5">
        <f>10/$BL$1</f>
        <v>3.2362459546925564E-2</v>
      </c>
      <c r="BN161">
        <v>1</v>
      </c>
      <c r="BO161" s="5">
        <f>BN161/BN186</f>
        <v>2.1276595744680851E-2</v>
      </c>
      <c r="BP161" s="5">
        <f>1/$BP$1</f>
        <v>2.1276595744680851E-2</v>
      </c>
      <c r="BR161">
        <v>5</v>
      </c>
      <c r="BS161" s="5">
        <f>BR161/BR186</f>
        <v>1.5923566878980892E-2</v>
      </c>
      <c r="BT161" s="5">
        <f>5/$BT$1</f>
        <v>1.5923566878980892E-2</v>
      </c>
      <c r="BV161">
        <v>11</v>
      </c>
      <c r="BW161" s="5">
        <f>BV161/BV186</f>
        <v>2.7989821882951654E-2</v>
      </c>
      <c r="BX161" s="5">
        <f>11/$BX$1</f>
        <v>2.7989821882951654E-2</v>
      </c>
      <c r="BZ161">
        <v>11</v>
      </c>
      <c r="CA161" s="5">
        <f>BZ161/BZ186</f>
        <v>4.4715447154471545E-2</v>
      </c>
      <c r="CB161" s="5">
        <f>11/$CB$1</f>
        <v>4.4715447154471545E-2</v>
      </c>
      <c r="CD161">
        <v>8</v>
      </c>
      <c r="CE161" s="5">
        <f>CD161/CD186</f>
        <v>6.5040650406504072E-2</v>
      </c>
      <c r="CF161" s="5">
        <f>8/$CF$1</f>
        <v>6.5040650406504072E-2</v>
      </c>
      <c r="CH161">
        <v>11</v>
      </c>
      <c r="CI161" s="5">
        <f>CH161/CH186</f>
        <v>1.5988372093023256E-2</v>
      </c>
      <c r="CJ161" s="5">
        <f>11/$CJ$1</f>
        <v>1.5988372093023256E-2</v>
      </c>
      <c r="CL161">
        <v>16</v>
      </c>
      <c r="CM161" s="5">
        <f>CL161/CL186</f>
        <v>2.1108179419525065E-2</v>
      </c>
      <c r="CN161" s="5">
        <f>16/$CN$1</f>
        <v>2.1108179419525065E-2</v>
      </c>
      <c r="CP161">
        <v>12</v>
      </c>
      <c r="CQ161" s="5">
        <f>CP161/CP186</f>
        <v>4.9586776859504134E-2</v>
      </c>
      <c r="CR161" s="5">
        <f>12/$CR$1</f>
        <v>4.9586776859504134E-2</v>
      </c>
      <c r="CT161">
        <v>13</v>
      </c>
      <c r="CU161" s="5">
        <f>CT161/CT186</f>
        <v>3.903903903903904E-2</v>
      </c>
      <c r="CV161" s="5">
        <f>13/$CV$1</f>
        <v>3.903903903903904E-2</v>
      </c>
      <c r="CX161">
        <v>15</v>
      </c>
      <c r="CY161" s="5">
        <f>CX161/CX186</f>
        <v>2.2488755622188907E-2</v>
      </c>
      <c r="CZ161" s="5">
        <f>15/$CZ$1</f>
        <v>2.2488755622188907E-2</v>
      </c>
    </row>
    <row r="162" spans="1:104" x14ac:dyDescent="0.25">
      <c r="A162" s="1" t="s">
        <v>1108</v>
      </c>
      <c r="B162">
        <v>59</v>
      </c>
      <c r="C162" s="5">
        <f>B162/B186</f>
        <v>5.8999999999999997E-2</v>
      </c>
      <c r="D162" s="5">
        <f>59/$D$1</f>
        <v>5.8999999999999997E-2</v>
      </c>
      <c r="F162">
        <v>34</v>
      </c>
      <c r="G162" s="5">
        <f>F162/F186</f>
        <v>6.7864271457085831E-2</v>
      </c>
      <c r="H162" s="5">
        <f>34/$H$1</f>
        <v>6.7864271457085831E-2</v>
      </c>
      <c r="J162">
        <v>25</v>
      </c>
      <c r="K162" s="5">
        <f>J162/J186</f>
        <v>5.0100200400801605E-2</v>
      </c>
      <c r="L162" s="5">
        <f>25/$L$1</f>
        <v>5.0100200400801605E-2</v>
      </c>
      <c r="N162">
        <v>9</v>
      </c>
      <c r="O162" s="5">
        <f>N162/N186</f>
        <v>9.2783505154639179E-2</v>
      </c>
      <c r="P162" s="5">
        <f>9/$P$1</f>
        <v>9.2783505154639179E-2</v>
      </c>
      <c r="R162">
        <v>13</v>
      </c>
      <c r="S162" s="5">
        <f>R162/R186</f>
        <v>6.5656565656565663E-2</v>
      </c>
      <c r="T162" s="5">
        <f>13/$T$1</f>
        <v>6.5656565656565663E-2</v>
      </c>
      <c r="V162">
        <v>11</v>
      </c>
      <c r="W162" s="5">
        <f>V162/V186</f>
        <v>4.5643153526970952E-2</v>
      </c>
      <c r="X162" s="5">
        <f>11/$X$1</f>
        <v>4.5643153526970952E-2</v>
      </c>
      <c r="Z162">
        <v>12</v>
      </c>
      <c r="AA162" s="5">
        <f>Z162/Z186</f>
        <v>6.0606060606060608E-2</v>
      </c>
      <c r="AB162" s="5">
        <f>12/$AB$1</f>
        <v>6.0606060606060608E-2</v>
      </c>
      <c r="AD162">
        <v>10</v>
      </c>
      <c r="AE162" s="5">
        <f>AD162/AD186</f>
        <v>6.4935064935064929E-2</v>
      </c>
      <c r="AF162" s="5">
        <f>10/$AF$1</f>
        <v>6.4935064935064929E-2</v>
      </c>
      <c r="AH162">
        <v>4</v>
      </c>
      <c r="AI162" s="5">
        <f>AH162/AH186</f>
        <v>3.3333333333333333E-2</v>
      </c>
      <c r="AJ162" s="5">
        <f>4/$AJ$1</f>
        <v>3.3333333333333333E-2</v>
      </c>
      <c r="AL162">
        <v>24</v>
      </c>
      <c r="AM162" s="5">
        <f>AL162/AL186</f>
        <v>6.4864864864864868E-2</v>
      </c>
      <c r="AN162" s="5">
        <f>24/$AN$1</f>
        <v>6.4864864864864868E-2</v>
      </c>
      <c r="AP162">
        <v>20</v>
      </c>
      <c r="AQ162" s="5">
        <f>AP162/AP186</f>
        <v>5.2910052910052907E-2</v>
      </c>
      <c r="AR162" s="5">
        <f>20/$AR$1</f>
        <v>5.2910052910052907E-2</v>
      </c>
      <c r="AT162">
        <v>15</v>
      </c>
      <c r="AU162" s="5">
        <f>AT162/AT186</f>
        <v>5.9523809523809521E-2</v>
      </c>
      <c r="AV162" s="5">
        <f>15/$AV$1</f>
        <v>5.9523809523809521E-2</v>
      </c>
      <c r="AX162">
        <v>20</v>
      </c>
      <c r="AY162" s="5">
        <f>AX162/AX186</f>
        <v>7.3260073260073263E-2</v>
      </c>
      <c r="AZ162" s="5">
        <f>20/$AZ$1</f>
        <v>7.3260073260073263E-2</v>
      </c>
      <c r="BA162" s="5"/>
      <c r="BB162">
        <v>9</v>
      </c>
      <c r="BC162" s="5">
        <f>BB162/BB186</f>
        <v>4.4334975369458129E-2</v>
      </c>
      <c r="BD162" s="5">
        <f>9/$BD$1</f>
        <v>4.4334975369458129E-2</v>
      </c>
      <c r="BF162">
        <v>11</v>
      </c>
      <c r="BG162" s="5">
        <f>BF162/BF186</f>
        <v>5.1162790697674418E-2</v>
      </c>
      <c r="BH162" s="5">
        <f>11/$BH$1</f>
        <v>5.1162790697674418E-2</v>
      </c>
      <c r="BJ162">
        <v>19</v>
      </c>
      <c r="BK162" s="5">
        <f>BJ162/BJ186</f>
        <v>6.1488673139158574E-2</v>
      </c>
      <c r="BL162" s="5">
        <f>19/$BL$1</f>
        <v>6.1488673139158574E-2</v>
      </c>
      <c r="BN162">
        <v>1</v>
      </c>
      <c r="BO162" s="5">
        <f>BN162/BN186</f>
        <v>2.1276595744680851E-2</v>
      </c>
      <c r="BP162" s="5">
        <f>1/$BP$1</f>
        <v>2.1276595744680851E-2</v>
      </c>
      <c r="BR162">
        <v>19</v>
      </c>
      <c r="BS162" s="5">
        <f>BR162/BR186</f>
        <v>6.0509554140127389E-2</v>
      </c>
      <c r="BT162" s="5">
        <f>19/$BT$1</f>
        <v>6.0509554140127389E-2</v>
      </c>
      <c r="BV162">
        <v>24</v>
      </c>
      <c r="BW162" s="5">
        <f>BV162/BV186</f>
        <v>6.1068702290076333E-2</v>
      </c>
      <c r="BX162" s="5">
        <f>24/$BX$1</f>
        <v>6.1068702290076333E-2</v>
      </c>
      <c r="BZ162">
        <v>15</v>
      </c>
      <c r="CA162" s="5">
        <f>BZ162/BZ186</f>
        <v>6.097560975609756E-2</v>
      </c>
      <c r="CB162" s="5">
        <f>15/$CB$1</f>
        <v>6.097560975609756E-2</v>
      </c>
      <c r="CD162">
        <v>14</v>
      </c>
      <c r="CE162" s="5">
        <f>CD162/CD186</f>
        <v>0.11382113821138211</v>
      </c>
      <c r="CF162" s="5">
        <f>14/$CF$1</f>
        <v>0.11382113821138211</v>
      </c>
      <c r="CH162">
        <v>29</v>
      </c>
      <c r="CI162" s="5">
        <f>CH162/CH186</f>
        <v>4.2151162790697673E-2</v>
      </c>
      <c r="CJ162" s="5">
        <f>29/$CJ$1</f>
        <v>4.2151162790697673E-2</v>
      </c>
      <c r="CL162">
        <v>31</v>
      </c>
      <c r="CM162" s="5">
        <f>CL162/CL186</f>
        <v>4.0897097625329816E-2</v>
      </c>
      <c r="CN162" s="5">
        <f>31/$CN$1</f>
        <v>4.0897097625329816E-2</v>
      </c>
      <c r="CP162">
        <v>28</v>
      </c>
      <c r="CQ162" s="5">
        <f>CP162/CP186</f>
        <v>0.11570247933884298</v>
      </c>
      <c r="CR162" s="5">
        <f>28/$CR$1</f>
        <v>0.11570247933884298</v>
      </c>
      <c r="CT162">
        <v>25</v>
      </c>
      <c r="CU162" s="5">
        <f>CT162/CT186</f>
        <v>7.5075075075075076E-2</v>
      </c>
      <c r="CV162" s="5">
        <f>25/$CV$1</f>
        <v>7.5075075075075076E-2</v>
      </c>
      <c r="CX162">
        <v>34</v>
      </c>
      <c r="CY162" s="5">
        <f>CX162/CX186</f>
        <v>5.0974512743628186E-2</v>
      </c>
      <c r="CZ162" s="5">
        <f>34/$CZ$1</f>
        <v>5.0974512743628186E-2</v>
      </c>
    </row>
    <row r="163" spans="1:104" x14ac:dyDescent="0.25">
      <c r="A163" s="1" t="s">
        <v>1109</v>
      </c>
      <c r="B163">
        <v>60</v>
      </c>
      <c r="C163" s="5">
        <f>B163/B186</f>
        <v>0.06</v>
      </c>
      <c r="D163" s="5">
        <f>60/$D$1</f>
        <v>0.06</v>
      </c>
      <c r="F163">
        <v>38</v>
      </c>
      <c r="G163" s="5">
        <f>F163/F186</f>
        <v>7.5848303393213579E-2</v>
      </c>
      <c r="H163" s="5">
        <f>38/$H$1</f>
        <v>7.5848303393213579E-2</v>
      </c>
      <c r="J163">
        <v>22</v>
      </c>
      <c r="K163" s="5">
        <f>J163/J186</f>
        <v>4.4088176352705413E-2</v>
      </c>
      <c r="L163" s="5">
        <f>22/$L$1</f>
        <v>4.4088176352705413E-2</v>
      </c>
      <c r="N163">
        <v>7</v>
      </c>
      <c r="O163" s="5">
        <f>N163/N186</f>
        <v>7.2164948453608241E-2</v>
      </c>
      <c r="P163" s="5">
        <f>7/$P$1</f>
        <v>7.2164948453608241E-2</v>
      </c>
      <c r="R163">
        <v>14</v>
      </c>
      <c r="S163" s="5">
        <f>R163/R186</f>
        <v>7.0707070707070704E-2</v>
      </c>
      <c r="T163" s="5">
        <f>14/$T$1</f>
        <v>7.0707070707070704E-2</v>
      </c>
      <c r="V163">
        <v>13</v>
      </c>
      <c r="W163" s="5">
        <f>V163/V186</f>
        <v>5.3941908713692949E-2</v>
      </c>
      <c r="X163" s="5">
        <f>13/$X$1</f>
        <v>5.3941908713692949E-2</v>
      </c>
      <c r="Z163">
        <v>11</v>
      </c>
      <c r="AA163" s="5">
        <f>Z163/Z186</f>
        <v>5.5555555555555552E-2</v>
      </c>
      <c r="AB163" s="5">
        <f>11/$AB$1</f>
        <v>5.5555555555555552E-2</v>
      </c>
      <c r="AD163">
        <v>9</v>
      </c>
      <c r="AE163" s="5">
        <f>AD163/AD186</f>
        <v>5.844155844155844E-2</v>
      </c>
      <c r="AF163" s="5">
        <f>9/$AF$1</f>
        <v>5.844155844155844E-2</v>
      </c>
      <c r="AH163">
        <v>6</v>
      </c>
      <c r="AI163" s="5">
        <f>AH163/AH186</f>
        <v>0.05</v>
      </c>
      <c r="AJ163" s="5">
        <f>6/$AJ$1</f>
        <v>0.05</v>
      </c>
      <c r="AL163">
        <v>18</v>
      </c>
      <c r="AM163" s="5">
        <f>AL163/AL186</f>
        <v>4.8648648648648651E-2</v>
      </c>
      <c r="AN163" s="5">
        <f>18/$AN$1</f>
        <v>4.8648648648648651E-2</v>
      </c>
      <c r="AP163">
        <v>24</v>
      </c>
      <c r="AQ163" s="5">
        <f>AP163/AP186</f>
        <v>6.3492063492063489E-2</v>
      </c>
      <c r="AR163" s="5">
        <f>24/$AR$1</f>
        <v>6.3492063492063489E-2</v>
      </c>
      <c r="AT163">
        <v>18</v>
      </c>
      <c r="AU163" s="5">
        <f>AT163/AT186</f>
        <v>7.1428571428571425E-2</v>
      </c>
      <c r="AV163" s="5">
        <f>18/$AV$1</f>
        <v>7.1428571428571425E-2</v>
      </c>
      <c r="AX163">
        <v>16</v>
      </c>
      <c r="AY163" s="5">
        <f>AX163/AX186</f>
        <v>5.8608058608058608E-2</v>
      </c>
      <c r="AZ163" s="5">
        <f>16/$AZ$1</f>
        <v>5.8608058608058608E-2</v>
      </c>
      <c r="BA163" s="5"/>
      <c r="BB163">
        <v>9</v>
      </c>
      <c r="BC163" s="5">
        <f>BB163/BB186</f>
        <v>4.4334975369458129E-2</v>
      </c>
      <c r="BD163" s="5">
        <f>9/$BD$1</f>
        <v>4.4334975369458129E-2</v>
      </c>
      <c r="BF163">
        <v>10</v>
      </c>
      <c r="BG163" s="5">
        <f>BF163/BF186</f>
        <v>4.6511627906976744E-2</v>
      </c>
      <c r="BH163" s="5">
        <f>10/$BH$1</f>
        <v>4.6511627906976744E-2</v>
      </c>
      <c r="BJ163">
        <v>25</v>
      </c>
      <c r="BK163" s="5">
        <f>BJ163/BJ186</f>
        <v>8.0906148867313912E-2</v>
      </c>
      <c r="BL163" s="5">
        <f>25/$BL$1</f>
        <v>8.0906148867313912E-2</v>
      </c>
      <c r="BN163">
        <v>2</v>
      </c>
      <c r="BO163" s="5">
        <f>BN163/BN186</f>
        <v>4.2553191489361701E-2</v>
      </c>
      <c r="BP163" s="5">
        <f>2/$BP$1</f>
        <v>4.2553191489361701E-2</v>
      </c>
      <c r="BR163">
        <v>10</v>
      </c>
      <c r="BS163" s="5">
        <f>BR163/BR186</f>
        <v>3.1847133757961783E-2</v>
      </c>
      <c r="BT163" s="5">
        <f>10/$BT$1</f>
        <v>3.1847133757961783E-2</v>
      </c>
      <c r="BV163">
        <v>29</v>
      </c>
      <c r="BW163" s="5">
        <f>BV163/BV186</f>
        <v>7.3791348600508899E-2</v>
      </c>
      <c r="BX163" s="5">
        <f>29/$BX$1</f>
        <v>7.3791348600508899E-2</v>
      </c>
      <c r="BZ163">
        <v>19</v>
      </c>
      <c r="CA163" s="5">
        <f>BZ163/BZ186</f>
        <v>7.7235772357723581E-2</v>
      </c>
      <c r="CB163" s="5">
        <f>19/$CB$1</f>
        <v>7.7235772357723581E-2</v>
      </c>
      <c r="CD163">
        <v>18</v>
      </c>
      <c r="CE163" s="5">
        <f>CD163/CD186</f>
        <v>0.14634146341463414</v>
      </c>
      <c r="CF163" s="5">
        <f>18/$CF$1</f>
        <v>0.14634146341463414</v>
      </c>
      <c r="CH163">
        <v>20</v>
      </c>
      <c r="CI163" s="5">
        <f>CH163/CH186</f>
        <v>2.9069767441860465E-2</v>
      </c>
      <c r="CJ163" s="5">
        <f>20/$CJ$1</f>
        <v>2.9069767441860465E-2</v>
      </c>
      <c r="CL163">
        <v>31</v>
      </c>
      <c r="CM163" s="5">
        <f>CL163/CL186</f>
        <v>4.0897097625329816E-2</v>
      </c>
      <c r="CN163" s="5">
        <f>31/$CN$1</f>
        <v>4.0897097625329816E-2</v>
      </c>
      <c r="CP163">
        <v>29</v>
      </c>
      <c r="CQ163" s="5">
        <f>CP163/CP186</f>
        <v>0.11983471074380166</v>
      </c>
      <c r="CR163" s="5">
        <f>29/$CR$1</f>
        <v>0.11983471074380166</v>
      </c>
      <c r="CT163">
        <v>21</v>
      </c>
      <c r="CU163" s="5">
        <f>CT163/CT186</f>
        <v>6.3063063063063057E-2</v>
      </c>
      <c r="CV163" s="5">
        <f>21/$CV$1</f>
        <v>6.3063063063063057E-2</v>
      </c>
      <c r="CX163">
        <v>39</v>
      </c>
      <c r="CY163" s="5">
        <f>CX163/CX186</f>
        <v>5.8470764617691157E-2</v>
      </c>
      <c r="CZ163" s="5">
        <f>39/$CZ$1</f>
        <v>5.8470764617691157E-2</v>
      </c>
    </row>
    <row r="164" spans="1:104" x14ac:dyDescent="0.25">
      <c r="A164" s="1" t="s">
        <v>1110</v>
      </c>
      <c r="B164">
        <v>54</v>
      </c>
      <c r="C164" s="5">
        <f>B164/B186</f>
        <v>5.3999999999999999E-2</v>
      </c>
      <c r="D164" s="5">
        <f>54/$D$1</f>
        <v>5.3999999999999999E-2</v>
      </c>
      <c r="F164">
        <v>35</v>
      </c>
      <c r="G164" s="5">
        <f>F164/F186</f>
        <v>6.9860279441117765E-2</v>
      </c>
      <c r="H164" s="5">
        <f>35/$H$1</f>
        <v>6.9860279441117765E-2</v>
      </c>
      <c r="J164">
        <v>19</v>
      </c>
      <c r="K164" s="5">
        <f>J164/J186</f>
        <v>3.8076152304609222E-2</v>
      </c>
      <c r="L164" s="5">
        <f>19/$L$1</f>
        <v>3.8076152304609222E-2</v>
      </c>
      <c r="N164">
        <v>5</v>
      </c>
      <c r="O164" s="5">
        <f>N164/N186</f>
        <v>5.1546391752577317E-2</v>
      </c>
      <c r="P164" s="5">
        <f>5/$P$1</f>
        <v>5.1546391752577317E-2</v>
      </c>
      <c r="R164">
        <v>11</v>
      </c>
      <c r="S164" s="5">
        <f>R164/R186</f>
        <v>5.5555555555555552E-2</v>
      </c>
      <c r="T164" s="5">
        <f>11/$T$1</f>
        <v>5.5555555555555552E-2</v>
      </c>
      <c r="V164">
        <v>13</v>
      </c>
      <c r="W164" s="5">
        <f>V164/V186</f>
        <v>5.3941908713692949E-2</v>
      </c>
      <c r="X164" s="5">
        <f>13/$X$1</f>
        <v>5.3941908713692949E-2</v>
      </c>
      <c r="Z164">
        <v>8</v>
      </c>
      <c r="AA164" s="5">
        <f>Z164/Z186</f>
        <v>4.0404040404040407E-2</v>
      </c>
      <c r="AB164" s="5">
        <f>8/$AB$1</f>
        <v>4.0404040404040407E-2</v>
      </c>
      <c r="AD164">
        <v>12</v>
      </c>
      <c r="AE164" s="5">
        <f>AD164/AD186</f>
        <v>7.792207792207792E-2</v>
      </c>
      <c r="AF164" s="5">
        <f>12/$AF$1</f>
        <v>7.792207792207792E-2</v>
      </c>
      <c r="AH164">
        <v>5</v>
      </c>
      <c r="AI164" s="5">
        <f>AH164/AH186</f>
        <v>4.1666666666666664E-2</v>
      </c>
      <c r="AJ164" s="5">
        <f>5/$AJ$1</f>
        <v>4.1666666666666664E-2</v>
      </c>
      <c r="AL164">
        <v>15</v>
      </c>
      <c r="AM164" s="5">
        <f>AL164/AL186</f>
        <v>4.0540540540540543E-2</v>
      </c>
      <c r="AN164" s="5">
        <f>15/$AN$1</f>
        <v>4.0540540540540543E-2</v>
      </c>
      <c r="AP164">
        <v>20</v>
      </c>
      <c r="AQ164" s="5">
        <f>AP164/AP186</f>
        <v>5.2910052910052907E-2</v>
      </c>
      <c r="AR164" s="5">
        <f>20/$AR$1</f>
        <v>5.2910052910052907E-2</v>
      </c>
      <c r="AT164">
        <v>19</v>
      </c>
      <c r="AU164" s="5">
        <f>AT164/AT186</f>
        <v>7.5396825396825393E-2</v>
      </c>
      <c r="AV164" s="5">
        <f>19/$AV$1</f>
        <v>7.5396825396825393E-2</v>
      </c>
      <c r="AX164">
        <v>12</v>
      </c>
      <c r="AY164" s="5">
        <f>AX164/AX186</f>
        <v>4.3956043956043959E-2</v>
      </c>
      <c r="AZ164" s="5">
        <f>12/$AZ$1</f>
        <v>4.3956043956043959E-2</v>
      </c>
      <c r="BA164" s="5"/>
      <c r="BB164">
        <v>11</v>
      </c>
      <c r="BC164" s="5">
        <f>BB164/BB186</f>
        <v>5.4187192118226604E-2</v>
      </c>
      <c r="BD164" s="5">
        <f>11/$BD$1</f>
        <v>5.4187192118226604E-2</v>
      </c>
      <c r="BF164">
        <v>11</v>
      </c>
      <c r="BG164" s="5">
        <f>BF164/BF186</f>
        <v>5.1162790697674418E-2</v>
      </c>
      <c r="BH164" s="5">
        <f>11/$BH$1</f>
        <v>5.1162790697674418E-2</v>
      </c>
      <c r="BJ164">
        <v>20</v>
      </c>
      <c r="BK164" s="5">
        <f>BJ164/BJ186</f>
        <v>6.4724919093851127E-2</v>
      </c>
      <c r="BL164" s="5">
        <f>20/$BL$1</f>
        <v>6.4724919093851127E-2</v>
      </c>
      <c r="BN164">
        <v>1</v>
      </c>
      <c r="BO164" s="5">
        <f>BN164/BN186</f>
        <v>2.1276595744680851E-2</v>
      </c>
      <c r="BP164" s="5">
        <f>1/$BP$1</f>
        <v>2.1276595744680851E-2</v>
      </c>
      <c r="BR164">
        <v>8</v>
      </c>
      <c r="BS164" s="5">
        <f>BR164/BR186</f>
        <v>2.5477707006369428E-2</v>
      </c>
      <c r="BT164" s="5">
        <f>8/$BT$1</f>
        <v>2.5477707006369428E-2</v>
      </c>
      <c r="BV164">
        <v>22</v>
      </c>
      <c r="BW164" s="5">
        <f>BV164/BV186</f>
        <v>5.5979643765903309E-2</v>
      </c>
      <c r="BX164" s="5">
        <f>22/$BX$1</f>
        <v>5.5979643765903309E-2</v>
      </c>
      <c r="BZ164">
        <v>23</v>
      </c>
      <c r="CA164" s="5">
        <f>BZ164/BZ186</f>
        <v>9.3495934959349589E-2</v>
      </c>
      <c r="CB164" s="5">
        <f>23/$CB$1</f>
        <v>9.3495934959349589E-2</v>
      </c>
      <c r="CD164">
        <v>11</v>
      </c>
      <c r="CE164" s="5">
        <f>CD164/CD186</f>
        <v>8.943089430894309E-2</v>
      </c>
      <c r="CF164" s="5">
        <f>11/$CF$1</f>
        <v>8.943089430894309E-2</v>
      </c>
      <c r="CH164">
        <v>25</v>
      </c>
      <c r="CI164" s="5">
        <f>CH164/CH186</f>
        <v>3.6337209302325583E-2</v>
      </c>
      <c r="CJ164" s="5">
        <f>25/$CJ$1</f>
        <v>3.6337209302325583E-2</v>
      </c>
      <c r="CL164">
        <v>18</v>
      </c>
      <c r="CM164" s="5">
        <f>CL164/CL186</f>
        <v>2.3746701846965697E-2</v>
      </c>
      <c r="CN164" s="5">
        <f>18/$CN$1</f>
        <v>2.3746701846965697E-2</v>
      </c>
      <c r="CP164">
        <v>36</v>
      </c>
      <c r="CQ164" s="5">
        <f>CP164/CP186</f>
        <v>0.1487603305785124</v>
      </c>
      <c r="CR164" s="5">
        <f>36/$CR$1</f>
        <v>0.1487603305785124</v>
      </c>
      <c r="CT164">
        <v>24</v>
      </c>
      <c r="CU164" s="5">
        <f>CT164/CT186</f>
        <v>7.2072072072072071E-2</v>
      </c>
      <c r="CV164" s="5">
        <f>24/$CV$1</f>
        <v>7.2072072072072071E-2</v>
      </c>
      <c r="CX164">
        <v>30</v>
      </c>
      <c r="CY164" s="5">
        <f>CX164/CX186</f>
        <v>4.4977511244377814E-2</v>
      </c>
      <c r="CZ164" s="5">
        <f>30/$CZ$1</f>
        <v>4.4977511244377814E-2</v>
      </c>
    </row>
    <row r="165" spans="1:104" x14ac:dyDescent="0.25">
      <c r="A165" s="1" t="s">
        <v>1111</v>
      </c>
      <c r="B165">
        <v>65</v>
      </c>
      <c r="C165" s="5">
        <f>B165/B186</f>
        <v>6.5000000000000002E-2</v>
      </c>
      <c r="D165" s="5">
        <f>65/$D$1</f>
        <v>6.5000000000000002E-2</v>
      </c>
      <c r="F165">
        <v>40</v>
      </c>
      <c r="G165" s="5">
        <f>F165/F186</f>
        <v>7.9840319361277445E-2</v>
      </c>
      <c r="H165" s="5">
        <f>40/$H$1</f>
        <v>7.9840319361277445E-2</v>
      </c>
      <c r="J165">
        <v>25</v>
      </c>
      <c r="K165" s="5">
        <f>J165/J186</f>
        <v>5.0100200400801605E-2</v>
      </c>
      <c r="L165" s="5">
        <f>25/$L$1</f>
        <v>5.0100200400801605E-2</v>
      </c>
      <c r="N165">
        <v>9</v>
      </c>
      <c r="O165" s="5">
        <f>N165/N186</f>
        <v>9.2783505154639179E-2</v>
      </c>
      <c r="P165" s="5">
        <f>9/$P$1</f>
        <v>9.2783505154639179E-2</v>
      </c>
      <c r="R165">
        <v>19</v>
      </c>
      <c r="S165" s="5">
        <f>R165/R186</f>
        <v>9.5959595959595953E-2</v>
      </c>
      <c r="T165" s="5">
        <f>19/$T$1</f>
        <v>9.5959595959595953E-2</v>
      </c>
      <c r="V165">
        <v>15</v>
      </c>
      <c r="W165" s="5">
        <f>V165/V186</f>
        <v>6.2240663900414939E-2</v>
      </c>
      <c r="X165" s="5">
        <f>15/$X$1</f>
        <v>6.2240663900414939E-2</v>
      </c>
      <c r="Z165">
        <v>12</v>
      </c>
      <c r="AA165" s="5">
        <f>Z165/Z186</f>
        <v>6.0606060606060608E-2</v>
      </c>
      <c r="AB165" s="5">
        <f>12/$AB$1</f>
        <v>6.0606060606060608E-2</v>
      </c>
      <c r="AD165">
        <v>8</v>
      </c>
      <c r="AE165" s="5">
        <f>AD165/AD186</f>
        <v>5.1948051948051951E-2</v>
      </c>
      <c r="AF165" s="5">
        <f>8/$AF$1</f>
        <v>5.1948051948051951E-2</v>
      </c>
      <c r="AH165">
        <v>3</v>
      </c>
      <c r="AI165" s="5">
        <f>AH165/AH186</f>
        <v>2.5000000000000001E-2</v>
      </c>
      <c r="AJ165" s="5">
        <f>3/$AJ$1</f>
        <v>2.5000000000000001E-2</v>
      </c>
      <c r="AL165">
        <v>25</v>
      </c>
      <c r="AM165" s="5">
        <f>AL165/AL186</f>
        <v>6.7567567567567571E-2</v>
      </c>
      <c r="AN165" s="5">
        <f>25/$AN$1</f>
        <v>6.7567567567567571E-2</v>
      </c>
      <c r="AP165">
        <v>22</v>
      </c>
      <c r="AQ165" s="5">
        <f>AP165/AP186</f>
        <v>5.8201058201058198E-2</v>
      </c>
      <c r="AR165" s="5">
        <f>22/$AR$1</f>
        <v>5.8201058201058198E-2</v>
      </c>
      <c r="AT165">
        <v>18</v>
      </c>
      <c r="AU165" s="5">
        <f>AT165/AT186</f>
        <v>7.1428571428571425E-2</v>
      </c>
      <c r="AV165" s="5">
        <f>18/$AV$1</f>
        <v>7.1428571428571425E-2</v>
      </c>
      <c r="AX165">
        <v>18</v>
      </c>
      <c r="AY165" s="5">
        <f>AX165/AX186</f>
        <v>6.5934065934065936E-2</v>
      </c>
      <c r="AZ165" s="5">
        <f>18/$AZ$1</f>
        <v>6.5934065934065936E-2</v>
      </c>
      <c r="BA165" s="5"/>
      <c r="BB165">
        <v>12</v>
      </c>
      <c r="BC165" s="5">
        <f>BB165/BB186</f>
        <v>5.9113300492610835E-2</v>
      </c>
      <c r="BD165" s="5">
        <f>12/$BD$1</f>
        <v>5.9113300492610835E-2</v>
      </c>
      <c r="BF165">
        <v>14</v>
      </c>
      <c r="BG165" s="5">
        <f>BF165/BF186</f>
        <v>6.5116279069767441E-2</v>
      </c>
      <c r="BH165" s="5">
        <f>14/$BH$1</f>
        <v>6.5116279069767441E-2</v>
      </c>
      <c r="BJ165">
        <v>21</v>
      </c>
      <c r="BK165" s="5">
        <f>BJ165/BJ186</f>
        <v>6.7961165048543687E-2</v>
      </c>
      <c r="BL165" s="5">
        <f>21/$BL$1</f>
        <v>6.7961165048543687E-2</v>
      </c>
      <c r="BN165">
        <v>1</v>
      </c>
      <c r="BO165" s="5">
        <f>BN165/BN186</f>
        <v>2.1276595744680851E-2</v>
      </c>
      <c r="BP165" s="5">
        <f>1/$BP$1</f>
        <v>2.1276595744680851E-2</v>
      </c>
      <c r="BR165">
        <v>19</v>
      </c>
      <c r="BS165" s="5">
        <f>BR165/BR186</f>
        <v>6.0509554140127389E-2</v>
      </c>
      <c r="BT165" s="5">
        <f>19/$BT$1</f>
        <v>6.0509554140127389E-2</v>
      </c>
      <c r="BV165">
        <v>28</v>
      </c>
      <c r="BW165" s="5">
        <f>BV165/BV186</f>
        <v>7.124681933842239E-2</v>
      </c>
      <c r="BX165" s="5">
        <f>28/$BX$1</f>
        <v>7.124681933842239E-2</v>
      </c>
      <c r="BZ165">
        <v>17</v>
      </c>
      <c r="CA165" s="5">
        <f>BZ165/BZ186</f>
        <v>6.910569105691057E-2</v>
      </c>
      <c r="CB165" s="5">
        <f>17/$CB$1</f>
        <v>6.910569105691057E-2</v>
      </c>
      <c r="CD165">
        <v>13</v>
      </c>
      <c r="CE165" s="5">
        <f>CD165/CD186</f>
        <v>0.10569105691056911</v>
      </c>
      <c r="CF165" s="5">
        <f>13/$CF$1</f>
        <v>0.10569105691056911</v>
      </c>
      <c r="CH165">
        <v>35</v>
      </c>
      <c r="CI165" s="5">
        <f>CH165/CH186</f>
        <v>5.0872093023255814E-2</v>
      </c>
      <c r="CJ165" s="5">
        <f>35/$CJ$1</f>
        <v>5.0872093023255814E-2</v>
      </c>
      <c r="CL165">
        <v>40</v>
      </c>
      <c r="CM165" s="5">
        <f>CL165/CL186</f>
        <v>5.2770448548812667E-2</v>
      </c>
      <c r="CN165" s="5">
        <f>40/$CN$1</f>
        <v>5.2770448548812667E-2</v>
      </c>
      <c r="CP165">
        <v>25</v>
      </c>
      <c r="CQ165" s="5">
        <f>CP165/CP186</f>
        <v>0.10330578512396695</v>
      </c>
      <c r="CR165" s="5">
        <f>25/$CR$1</f>
        <v>0.10330578512396695</v>
      </c>
      <c r="CT165">
        <v>25</v>
      </c>
      <c r="CU165" s="5">
        <f>CT165/CT186</f>
        <v>7.5075075075075076E-2</v>
      </c>
      <c r="CV165" s="5">
        <f>25/$CV$1</f>
        <v>7.5075075075075076E-2</v>
      </c>
      <c r="CX165">
        <v>40</v>
      </c>
      <c r="CY165" s="5">
        <f>CX165/CX186</f>
        <v>5.9970014992503748E-2</v>
      </c>
      <c r="CZ165" s="5">
        <f>40/$CZ$1</f>
        <v>5.9970014992503748E-2</v>
      </c>
    </row>
    <row r="166" spans="1:104" x14ac:dyDescent="0.25">
      <c r="A166" s="1" t="s">
        <v>1112</v>
      </c>
      <c r="B166">
        <v>208</v>
      </c>
      <c r="C166" s="5">
        <f>B166/B186</f>
        <v>0.20799999999999999</v>
      </c>
      <c r="D166" s="5">
        <f>208/$D$1</f>
        <v>0.20799999999999999</v>
      </c>
      <c r="F166">
        <v>126</v>
      </c>
      <c r="G166" s="5">
        <f>F166/F186</f>
        <v>0.25149700598802394</v>
      </c>
      <c r="H166" s="5">
        <f>126/$H$1</f>
        <v>0.25149700598802394</v>
      </c>
      <c r="J166">
        <v>82</v>
      </c>
      <c r="K166" s="5">
        <f>J166/J186</f>
        <v>0.16432865731462926</v>
      </c>
      <c r="L166" s="5">
        <f>82/$L$1</f>
        <v>0.16432865731462926</v>
      </c>
      <c r="N166">
        <v>14</v>
      </c>
      <c r="O166" s="5">
        <f>N166/N186</f>
        <v>0.14432989690721648</v>
      </c>
      <c r="P166" s="5">
        <f>14/$P$1</f>
        <v>0.14432989690721648</v>
      </c>
      <c r="R166">
        <v>44</v>
      </c>
      <c r="S166" s="5">
        <f>R166/R186</f>
        <v>0.22222222222222221</v>
      </c>
      <c r="T166" s="5">
        <f>44/$T$1</f>
        <v>0.22222222222222221</v>
      </c>
      <c r="V166">
        <v>46</v>
      </c>
      <c r="W166" s="5">
        <f>V166/V186</f>
        <v>0.1908713692946058</v>
      </c>
      <c r="X166" s="5">
        <f>46/$X$1</f>
        <v>0.1908713692946058</v>
      </c>
      <c r="Z166">
        <v>42</v>
      </c>
      <c r="AA166" s="5">
        <f>Z166/Z186</f>
        <v>0.21212121212121213</v>
      </c>
      <c r="AB166" s="5">
        <f>42/$AB$1</f>
        <v>0.21212121212121213</v>
      </c>
      <c r="AD166">
        <v>40</v>
      </c>
      <c r="AE166" s="5">
        <f>AD166/AD186</f>
        <v>0.25974025974025972</v>
      </c>
      <c r="AF166" s="5">
        <f>40/$AF$1</f>
        <v>0.25974025974025972</v>
      </c>
      <c r="AH166">
        <v>24</v>
      </c>
      <c r="AI166" s="5">
        <f>AH166/AH186</f>
        <v>0.2</v>
      </c>
      <c r="AJ166" s="5">
        <f>24/$AJ$1</f>
        <v>0.2</v>
      </c>
      <c r="AL166">
        <v>65</v>
      </c>
      <c r="AM166" s="5">
        <f>AL166/AL186</f>
        <v>0.17567567567567569</v>
      </c>
      <c r="AN166" s="5">
        <f>65/$AN$1</f>
        <v>0.17567567567567569</v>
      </c>
      <c r="AP166">
        <v>84</v>
      </c>
      <c r="AQ166" s="5">
        <f>AP166/AP186</f>
        <v>0.22222222222222221</v>
      </c>
      <c r="AR166" s="5">
        <f>84/$AR$1</f>
        <v>0.22222222222222221</v>
      </c>
      <c r="AT166">
        <v>59</v>
      </c>
      <c r="AU166" s="5">
        <f>AT166/AT186</f>
        <v>0.23412698412698413</v>
      </c>
      <c r="AV166" s="5">
        <f>59/$AV$1</f>
        <v>0.23412698412698413</v>
      </c>
      <c r="AX166">
        <v>61</v>
      </c>
      <c r="AY166" s="5">
        <f>AX166/AX186</f>
        <v>0.22344322344322345</v>
      </c>
      <c r="AZ166" s="5">
        <f>61/$AZ$1</f>
        <v>0.22344322344322345</v>
      </c>
      <c r="BA166" s="5"/>
      <c r="BB166">
        <v>40</v>
      </c>
      <c r="BC166" s="5">
        <f>BB166/BB186</f>
        <v>0.19704433497536947</v>
      </c>
      <c r="BD166" s="5">
        <f>40/$BD$1</f>
        <v>0.19704433497536947</v>
      </c>
      <c r="BF166">
        <v>42</v>
      </c>
      <c r="BG166" s="5">
        <f>BF166/BF186</f>
        <v>0.19534883720930232</v>
      </c>
      <c r="BH166" s="5">
        <f>42/$BH$1</f>
        <v>0.19534883720930232</v>
      </c>
      <c r="BJ166">
        <v>65</v>
      </c>
      <c r="BK166" s="5">
        <f>BJ166/BJ186</f>
        <v>0.21035598705501618</v>
      </c>
      <c r="BL166" s="5">
        <f>65/$BL$1</f>
        <v>0.21035598705501618</v>
      </c>
      <c r="BN166">
        <v>5</v>
      </c>
      <c r="BO166" s="5">
        <f>BN166/BN186</f>
        <v>0.10638297872340426</v>
      </c>
      <c r="BP166" s="5">
        <f>5/$BP$1</f>
        <v>0.10638297872340426</v>
      </c>
      <c r="BR166">
        <v>55</v>
      </c>
      <c r="BS166" s="5">
        <f>BR166/BR186</f>
        <v>0.1751592356687898</v>
      </c>
      <c r="BT166" s="5">
        <f>55/$BT$1</f>
        <v>0.1751592356687898</v>
      </c>
      <c r="BV166">
        <v>91</v>
      </c>
      <c r="BW166" s="5">
        <f>BV166/BV186</f>
        <v>0.23155216284987276</v>
      </c>
      <c r="BX166" s="5">
        <f>91/$BX$1</f>
        <v>0.23155216284987276</v>
      </c>
      <c r="BZ166">
        <v>57</v>
      </c>
      <c r="CA166" s="5">
        <f>BZ166/BZ186</f>
        <v>0.23170731707317074</v>
      </c>
      <c r="CB166" s="5">
        <f>57/$CB$1</f>
        <v>0.23170731707317074</v>
      </c>
      <c r="CD166">
        <v>29</v>
      </c>
      <c r="CE166" s="5">
        <f>CD166/CD186</f>
        <v>0.23577235772357724</v>
      </c>
      <c r="CF166" s="5">
        <f>29/$CF$1</f>
        <v>0.23577235772357724</v>
      </c>
      <c r="CH166">
        <v>127</v>
      </c>
      <c r="CI166" s="5">
        <f>CH166/CH186</f>
        <v>0.18459302325581395</v>
      </c>
      <c r="CJ166" s="5">
        <f>127/$CJ$1</f>
        <v>0.18459302325581395</v>
      </c>
      <c r="CL166">
        <v>126</v>
      </c>
      <c r="CM166" s="5">
        <f>CL166/CL186</f>
        <v>0.16622691292875991</v>
      </c>
      <c r="CN166" s="5">
        <f>126/$CN$1</f>
        <v>0.16622691292875991</v>
      </c>
      <c r="CP166">
        <v>82</v>
      </c>
      <c r="CQ166" s="5">
        <f>CP166/CP186</f>
        <v>0.33884297520661155</v>
      </c>
      <c r="CR166" s="5">
        <f>82/$CR$1</f>
        <v>0.33884297520661155</v>
      </c>
      <c r="CT166">
        <v>57</v>
      </c>
      <c r="CU166" s="5">
        <f>CT166/CT186</f>
        <v>0.17117117117117117</v>
      </c>
      <c r="CV166" s="5">
        <f>57/$CV$1</f>
        <v>0.17117117117117117</v>
      </c>
      <c r="CX166">
        <v>151</v>
      </c>
      <c r="CY166" s="5">
        <f>CX166/CX186</f>
        <v>0.22638680659670166</v>
      </c>
      <c r="CZ166" s="5">
        <f>151/$CZ$1</f>
        <v>0.22638680659670166</v>
      </c>
    </row>
    <row r="167" spans="1:104" x14ac:dyDescent="0.25">
      <c r="A167" s="1" t="s">
        <v>1113</v>
      </c>
      <c r="B167">
        <v>66</v>
      </c>
      <c r="C167" s="5">
        <f>B167/B186</f>
        <v>6.6000000000000003E-2</v>
      </c>
      <c r="D167" s="5">
        <f>66/$D$1</f>
        <v>6.6000000000000003E-2</v>
      </c>
      <c r="F167">
        <v>33</v>
      </c>
      <c r="G167" s="5">
        <f>F167/F186</f>
        <v>6.5868263473053898E-2</v>
      </c>
      <c r="H167" s="5">
        <f>33/$H$1</f>
        <v>6.5868263473053898E-2</v>
      </c>
      <c r="J167">
        <v>33</v>
      </c>
      <c r="K167" s="5">
        <f>J167/J186</f>
        <v>6.6132264529058113E-2</v>
      </c>
      <c r="L167" s="5">
        <f>33/$L$1</f>
        <v>6.6132264529058113E-2</v>
      </c>
      <c r="N167">
        <v>7</v>
      </c>
      <c r="O167" s="5">
        <f>N167/N186</f>
        <v>7.2164948453608241E-2</v>
      </c>
      <c r="P167" s="5">
        <f>7/$P$1</f>
        <v>7.2164948453608241E-2</v>
      </c>
      <c r="R167">
        <v>13</v>
      </c>
      <c r="S167" s="5">
        <f>R167/R186</f>
        <v>6.5656565656565663E-2</v>
      </c>
      <c r="T167" s="5">
        <f>13/$T$1</f>
        <v>6.5656565656565663E-2</v>
      </c>
      <c r="V167">
        <v>14</v>
      </c>
      <c r="W167" s="5">
        <f>V167/V186</f>
        <v>5.8091286307053944E-2</v>
      </c>
      <c r="X167" s="5">
        <f>14/$X$1</f>
        <v>5.8091286307053944E-2</v>
      </c>
      <c r="Z167">
        <v>11</v>
      </c>
      <c r="AA167" s="5">
        <f>Z167/Z186</f>
        <v>5.5555555555555552E-2</v>
      </c>
      <c r="AB167" s="5">
        <f>11/$AB$1</f>
        <v>5.5555555555555552E-2</v>
      </c>
      <c r="AD167">
        <v>14</v>
      </c>
      <c r="AE167" s="5">
        <f>AD167/AD186</f>
        <v>9.0909090909090912E-2</v>
      </c>
      <c r="AF167" s="5">
        <f>14/$AF$1</f>
        <v>9.0909090909090912E-2</v>
      </c>
      <c r="AH167">
        <v>8</v>
      </c>
      <c r="AI167" s="5">
        <f>AH167/AH186</f>
        <v>6.6666666666666666E-2</v>
      </c>
      <c r="AJ167" s="5">
        <f>8/$AJ$1</f>
        <v>6.6666666666666666E-2</v>
      </c>
      <c r="AL167">
        <v>18</v>
      </c>
      <c r="AM167" s="5">
        <f>AL167/AL186</f>
        <v>4.8648648648648651E-2</v>
      </c>
      <c r="AN167" s="5">
        <f>18/$AN$1</f>
        <v>4.8648648648648651E-2</v>
      </c>
      <c r="AP167">
        <v>22</v>
      </c>
      <c r="AQ167" s="5">
        <f>AP167/AP186</f>
        <v>5.8201058201058198E-2</v>
      </c>
      <c r="AR167" s="5">
        <f>22/$AR$1</f>
        <v>5.8201058201058198E-2</v>
      </c>
      <c r="AT167">
        <v>26</v>
      </c>
      <c r="AU167" s="5">
        <f>AT167/AT186</f>
        <v>0.10317460317460317</v>
      </c>
      <c r="AV167" s="5">
        <f>26/$AV$1</f>
        <v>0.10317460317460317</v>
      </c>
      <c r="AX167">
        <v>21</v>
      </c>
      <c r="AY167" s="5">
        <f>AX167/AX186</f>
        <v>7.6923076923076927E-2</v>
      </c>
      <c r="AZ167" s="5">
        <f>21/$AZ$1</f>
        <v>7.6923076923076927E-2</v>
      </c>
      <c r="BA167" s="5"/>
      <c r="BB167">
        <v>19</v>
      </c>
      <c r="BC167" s="5">
        <f>BB167/BB186</f>
        <v>9.3596059113300489E-2</v>
      </c>
      <c r="BD167" s="5">
        <f>19/$BD$1</f>
        <v>9.3596059113300489E-2</v>
      </c>
      <c r="BF167">
        <v>10</v>
      </c>
      <c r="BG167" s="5">
        <f>BF167/BF186</f>
        <v>4.6511627906976744E-2</v>
      </c>
      <c r="BH167" s="5">
        <f>10/$BH$1</f>
        <v>4.6511627906976744E-2</v>
      </c>
      <c r="BJ167">
        <v>16</v>
      </c>
      <c r="BK167" s="5">
        <f>BJ167/BJ186</f>
        <v>5.1779935275080909E-2</v>
      </c>
      <c r="BL167" s="5">
        <f>16/$BL$1</f>
        <v>5.1779935275080909E-2</v>
      </c>
      <c r="BN167">
        <v>3</v>
      </c>
      <c r="BO167" s="5">
        <f>BN167/BN186</f>
        <v>6.3829787234042548E-2</v>
      </c>
      <c r="BP167" s="5">
        <f>3/$BP$1</f>
        <v>6.3829787234042548E-2</v>
      </c>
      <c r="BR167">
        <v>17</v>
      </c>
      <c r="BS167" s="5">
        <f>BR167/BR186</f>
        <v>5.4140127388535034E-2</v>
      </c>
      <c r="BT167" s="5">
        <f>17/$BT$1</f>
        <v>5.4140127388535034E-2</v>
      </c>
      <c r="BV167">
        <v>28</v>
      </c>
      <c r="BW167" s="5">
        <f>BV167/BV186</f>
        <v>7.124681933842239E-2</v>
      </c>
      <c r="BX167" s="5">
        <f>28/$BX$1</f>
        <v>7.124681933842239E-2</v>
      </c>
      <c r="BZ167">
        <v>18</v>
      </c>
      <c r="CA167" s="5">
        <f>BZ167/BZ186</f>
        <v>7.3170731707317069E-2</v>
      </c>
      <c r="CB167" s="5">
        <f>18/$CB$1</f>
        <v>7.3170731707317069E-2</v>
      </c>
      <c r="CD167">
        <v>12</v>
      </c>
      <c r="CE167" s="5">
        <f>CD167/CD186</f>
        <v>9.7560975609756101E-2</v>
      </c>
      <c r="CF167" s="5">
        <f>12/$CF$1</f>
        <v>9.7560975609756101E-2</v>
      </c>
      <c r="CH167">
        <v>42</v>
      </c>
      <c r="CI167" s="5">
        <f>CH167/CH186</f>
        <v>6.1046511627906974E-2</v>
      </c>
      <c r="CJ167" s="5">
        <f>42/$CJ$1</f>
        <v>6.1046511627906974E-2</v>
      </c>
      <c r="CL167">
        <v>30</v>
      </c>
      <c r="CM167" s="5">
        <f>CL167/CL186</f>
        <v>3.9577836411609502E-2</v>
      </c>
      <c r="CN167" s="5">
        <f>30/$CN$1</f>
        <v>3.9577836411609502E-2</v>
      </c>
      <c r="CP167">
        <v>36</v>
      </c>
      <c r="CQ167" s="5">
        <f>CP167/CP186</f>
        <v>0.1487603305785124</v>
      </c>
      <c r="CR167" s="5">
        <f>36/$CR$1</f>
        <v>0.1487603305785124</v>
      </c>
      <c r="CT167">
        <v>25</v>
      </c>
      <c r="CU167" s="5">
        <f>CT167/CT186</f>
        <v>7.5075075075075076E-2</v>
      </c>
      <c r="CV167" s="5">
        <f>25/$CV$1</f>
        <v>7.5075075075075076E-2</v>
      </c>
      <c r="CX167">
        <v>41</v>
      </c>
      <c r="CY167" s="5">
        <f>CX167/CX186</f>
        <v>6.1469265367316339E-2</v>
      </c>
      <c r="CZ167" s="5">
        <f>41/$CZ$1</f>
        <v>6.1469265367316339E-2</v>
      </c>
    </row>
    <row r="168" spans="1:104" x14ac:dyDescent="0.25">
      <c r="A168" s="1" t="s">
        <v>1114</v>
      </c>
      <c r="B168">
        <v>60</v>
      </c>
      <c r="C168" s="5">
        <f>B168/B186</f>
        <v>0.06</v>
      </c>
      <c r="D168" s="5">
        <f>60/$D$1</f>
        <v>0.06</v>
      </c>
      <c r="F168">
        <v>35</v>
      </c>
      <c r="G168" s="5">
        <f>F168/F186</f>
        <v>6.9860279441117765E-2</v>
      </c>
      <c r="H168" s="5">
        <f>35/$H$1</f>
        <v>6.9860279441117765E-2</v>
      </c>
      <c r="J168">
        <v>25</v>
      </c>
      <c r="K168" s="5">
        <f>J168/J186</f>
        <v>5.0100200400801605E-2</v>
      </c>
      <c r="L168" s="5">
        <f>25/$L$1</f>
        <v>5.0100200400801605E-2</v>
      </c>
      <c r="N168">
        <v>2</v>
      </c>
      <c r="O168" s="5">
        <f>N168/N186</f>
        <v>2.0618556701030927E-2</v>
      </c>
      <c r="P168" s="5">
        <f>2/$P$1</f>
        <v>2.0618556701030927E-2</v>
      </c>
      <c r="R168">
        <v>13</v>
      </c>
      <c r="S168" s="5">
        <f>R168/R186</f>
        <v>6.5656565656565663E-2</v>
      </c>
      <c r="T168" s="5">
        <f>13/$T$1</f>
        <v>6.5656565656565663E-2</v>
      </c>
      <c r="V168">
        <v>13</v>
      </c>
      <c r="W168" s="5">
        <f>V168/V186</f>
        <v>5.3941908713692949E-2</v>
      </c>
      <c r="X168" s="5">
        <f>13/$X$1</f>
        <v>5.3941908713692949E-2</v>
      </c>
      <c r="Z168">
        <v>15</v>
      </c>
      <c r="AA168" s="5">
        <f>Z168/Z186</f>
        <v>7.575757575757576E-2</v>
      </c>
      <c r="AB168" s="5">
        <f>15/$AB$1</f>
        <v>7.575757575757576E-2</v>
      </c>
      <c r="AD168">
        <v>10</v>
      </c>
      <c r="AE168" s="5">
        <f>AD168/AD186</f>
        <v>6.4935064935064929E-2</v>
      </c>
      <c r="AF168" s="5">
        <f>10/$AF$1</f>
        <v>6.4935064935064929E-2</v>
      </c>
      <c r="AH168">
        <v>8</v>
      </c>
      <c r="AI168" s="5">
        <f>AH168/AH186</f>
        <v>6.6666666666666666E-2</v>
      </c>
      <c r="AJ168" s="5">
        <f>8/$AJ$1</f>
        <v>6.6666666666666666E-2</v>
      </c>
      <c r="AL168">
        <v>18</v>
      </c>
      <c r="AM168" s="5">
        <f>AL168/AL186</f>
        <v>4.8648648648648651E-2</v>
      </c>
      <c r="AN168" s="5">
        <f>18/$AN$1</f>
        <v>4.8648648648648651E-2</v>
      </c>
      <c r="AP168">
        <v>22</v>
      </c>
      <c r="AQ168" s="5">
        <f>AP168/AP186</f>
        <v>5.8201058201058198E-2</v>
      </c>
      <c r="AR168" s="5">
        <f>22/$AR$1</f>
        <v>5.8201058201058198E-2</v>
      </c>
      <c r="AT168">
        <v>20</v>
      </c>
      <c r="AU168" s="5">
        <f>AT168/AT186</f>
        <v>7.9365079365079361E-2</v>
      </c>
      <c r="AV168" s="5">
        <f>20/$AV$1</f>
        <v>7.9365079365079361E-2</v>
      </c>
      <c r="AX168">
        <v>17</v>
      </c>
      <c r="AY168" s="5">
        <f>AX168/AX186</f>
        <v>6.2271062271062272E-2</v>
      </c>
      <c r="AZ168" s="5">
        <f>17/$AZ$1</f>
        <v>6.2271062271062272E-2</v>
      </c>
      <c r="BA168" s="5"/>
      <c r="BB168">
        <v>12</v>
      </c>
      <c r="BC168" s="5">
        <f>BB168/BB186</f>
        <v>5.9113300492610835E-2</v>
      </c>
      <c r="BD168" s="5">
        <f>12/$BD$1</f>
        <v>5.9113300492610835E-2</v>
      </c>
      <c r="BF168">
        <v>9</v>
      </c>
      <c r="BG168" s="5">
        <f>BF168/BF186</f>
        <v>4.1860465116279069E-2</v>
      </c>
      <c r="BH168" s="5">
        <f>9/$BH$1</f>
        <v>4.1860465116279069E-2</v>
      </c>
      <c r="BJ168">
        <v>22</v>
      </c>
      <c r="BK168" s="5">
        <f>BJ168/BJ186</f>
        <v>7.1197411003236247E-2</v>
      </c>
      <c r="BL168" s="5">
        <f>22/$BL$1</f>
        <v>7.1197411003236247E-2</v>
      </c>
      <c r="BN168">
        <v>3</v>
      </c>
      <c r="BO168" s="5">
        <f>BN168/BN186</f>
        <v>6.3829787234042548E-2</v>
      </c>
      <c r="BP168" s="5">
        <f>3/$BP$1</f>
        <v>6.3829787234042548E-2</v>
      </c>
      <c r="BR168">
        <v>8</v>
      </c>
      <c r="BS168" s="5">
        <f>BR168/BR186</f>
        <v>2.5477707006369428E-2</v>
      </c>
      <c r="BT168" s="5">
        <f>8/$BT$1</f>
        <v>2.5477707006369428E-2</v>
      </c>
      <c r="BV168">
        <v>30</v>
      </c>
      <c r="BW168" s="5">
        <f>BV168/BV186</f>
        <v>7.6335877862595422E-2</v>
      </c>
      <c r="BX168" s="5">
        <f>30/$BX$1</f>
        <v>7.6335877862595422E-2</v>
      </c>
      <c r="BZ168">
        <v>19</v>
      </c>
      <c r="CA168" s="5">
        <f>BZ168/BZ186</f>
        <v>7.7235772357723581E-2</v>
      </c>
      <c r="CB168" s="5">
        <f>19/$CB$1</f>
        <v>7.7235772357723581E-2</v>
      </c>
      <c r="CD168">
        <v>10</v>
      </c>
      <c r="CE168" s="5">
        <f>CD168/CD186</f>
        <v>8.1300813008130079E-2</v>
      </c>
      <c r="CF168" s="5">
        <f>10/$CF$1</f>
        <v>8.1300813008130079E-2</v>
      </c>
      <c r="CH168">
        <v>38</v>
      </c>
      <c r="CI168" s="5">
        <f>CH168/CH186</f>
        <v>5.5232558139534885E-2</v>
      </c>
      <c r="CJ168" s="5">
        <f>38/$CJ$1</f>
        <v>5.5232558139534885E-2</v>
      </c>
      <c r="CL168">
        <v>30</v>
      </c>
      <c r="CM168" s="5">
        <f>CL168/CL186</f>
        <v>3.9577836411609502E-2</v>
      </c>
      <c r="CN168" s="5">
        <f>30/$CN$1</f>
        <v>3.9577836411609502E-2</v>
      </c>
      <c r="CP168">
        <v>30</v>
      </c>
      <c r="CQ168" s="5">
        <f>CP168/CP186</f>
        <v>0.12396694214876033</v>
      </c>
      <c r="CR168" s="5">
        <f>30/$CR$1</f>
        <v>0.12396694214876033</v>
      </c>
      <c r="CT168">
        <v>25</v>
      </c>
      <c r="CU168" s="5">
        <f>CT168/CT186</f>
        <v>7.5075075075075076E-2</v>
      </c>
      <c r="CV168" s="5">
        <f>25/$CV$1</f>
        <v>7.5075075075075076E-2</v>
      </c>
      <c r="CX168">
        <v>35</v>
      </c>
      <c r="CY168" s="5">
        <f>CX168/CX186</f>
        <v>5.2473763118440778E-2</v>
      </c>
      <c r="CZ168" s="5">
        <f>35/$CZ$1</f>
        <v>5.2473763118440778E-2</v>
      </c>
    </row>
    <row r="169" spans="1:104" x14ac:dyDescent="0.25">
      <c r="A169" s="1" t="s">
        <v>1115</v>
      </c>
      <c r="B169">
        <v>54</v>
      </c>
      <c r="C169" s="5">
        <f>B169/B186</f>
        <v>5.3999999999999999E-2</v>
      </c>
      <c r="D169" s="5">
        <f>54/$D$1</f>
        <v>5.3999999999999999E-2</v>
      </c>
      <c r="F169">
        <v>33</v>
      </c>
      <c r="G169" s="5">
        <f>F169/F186</f>
        <v>6.5868263473053898E-2</v>
      </c>
      <c r="H169" s="5">
        <f>33/$H$1</f>
        <v>6.5868263473053898E-2</v>
      </c>
      <c r="J169">
        <v>21</v>
      </c>
      <c r="K169" s="5">
        <f>J169/J186</f>
        <v>4.2084168336673347E-2</v>
      </c>
      <c r="L169" s="5">
        <f>21/$L$1</f>
        <v>4.2084168336673347E-2</v>
      </c>
      <c r="N169">
        <v>9</v>
      </c>
      <c r="O169" s="5">
        <f>N169/N186</f>
        <v>9.2783505154639179E-2</v>
      </c>
      <c r="P169" s="5">
        <f>9/$P$1</f>
        <v>9.2783505154639179E-2</v>
      </c>
      <c r="R169">
        <v>17</v>
      </c>
      <c r="S169" s="5">
        <f>R169/R186</f>
        <v>8.5858585858585856E-2</v>
      </c>
      <c r="T169" s="5">
        <f>17/$T$1</f>
        <v>8.5858585858585856E-2</v>
      </c>
      <c r="V169">
        <v>14</v>
      </c>
      <c r="W169" s="5">
        <f>V169/V186</f>
        <v>5.8091286307053944E-2</v>
      </c>
      <c r="X169" s="5">
        <f>14/$X$1</f>
        <v>5.8091286307053944E-2</v>
      </c>
      <c r="Z169">
        <v>7</v>
      </c>
      <c r="AA169" s="5">
        <f>Z169/Z186</f>
        <v>3.5353535353535352E-2</v>
      </c>
      <c r="AB169" s="5">
        <f>7/$AB$1</f>
        <v>3.5353535353535352E-2</v>
      </c>
      <c r="AD169">
        <v>5</v>
      </c>
      <c r="AE169" s="5">
        <f>AD169/AD186</f>
        <v>3.2467532467532464E-2</v>
      </c>
      <c r="AF169" s="5">
        <f>5/$AF$1</f>
        <v>3.2467532467532464E-2</v>
      </c>
      <c r="AH169">
        <v>3</v>
      </c>
      <c r="AI169" s="5">
        <f>AH169/AH186</f>
        <v>2.5000000000000001E-2</v>
      </c>
      <c r="AJ169" s="5">
        <f>3/$AJ$1</f>
        <v>2.5000000000000001E-2</v>
      </c>
      <c r="AL169">
        <v>21</v>
      </c>
      <c r="AM169" s="5">
        <f>AL169/AL186</f>
        <v>5.675675675675676E-2</v>
      </c>
      <c r="AN169" s="5">
        <f>21/$AN$1</f>
        <v>5.675675675675676E-2</v>
      </c>
      <c r="AP169">
        <v>19</v>
      </c>
      <c r="AQ169" s="5">
        <f>AP169/AP186</f>
        <v>5.0264550264550262E-2</v>
      </c>
      <c r="AR169" s="5">
        <f>19/$AR$1</f>
        <v>5.0264550264550262E-2</v>
      </c>
      <c r="AT169">
        <v>14</v>
      </c>
      <c r="AU169" s="5">
        <f>AT169/AT186</f>
        <v>5.5555555555555552E-2</v>
      </c>
      <c r="AV169" s="5">
        <f>14/$AV$1</f>
        <v>5.5555555555555552E-2</v>
      </c>
      <c r="AX169">
        <v>18</v>
      </c>
      <c r="AY169" s="5">
        <f>AX169/AX186</f>
        <v>6.5934065934065936E-2</v>
      </c>
      <c r="AZ169" s="5">
        <f>18/$AZ$1</f>
        <v>6.5934065934065936E-2</v>
      </c>
      <c r="BA169" s="5"/>
      <c r="BB169">
        <v>11</v>
      </c>
      <c r="BC169" s="5">
        <f>BB169/BB186</f>
        <v>5.4187192118226604E-2</v>
      </c>
      <c r="BD169" s="5">
        <f>11/$BD$1</f>
        <v>5.4187192118226604E-2</v>
      </c>
      <c r="BF169">
        <v>10</v>
      </c>
      <c r="BG169" s="5">
        <f>BF169/BF186</f>
        <v>4.6511627906976744E-2</v>
      </c>
      <c r="BH169" s="5">
        <f>10/$BH$1</f>
        <v>4.6511627906976744E-2</v>
      </c>
      <c r="BJ169">
        <v>15</v>
      </c>
      <c r="BK169" s="5">
        <f>BJ169/BJ186</f>
        <v>4.8543689320388349E-2</v>
      </c>
      <c r="BL169" s="5">
        <f>15/$BL$1</f>
        <v>4.8543689320388349E-2</v>
      </c>
      <c r="BN169">
        <v>3</v>
      </c>
      <c r="BO169" s="5">
        <f>BN169/BN186</f>
        <v>6.3829787234042548E-2</v>
      </c>
      <c r="BP169" s="5">
        <f>3/$BP$1</f>
        <v>6.3829787234042548E-2</v>
      </c>
      <c r="BR169">
        <v>11</v>
      </c>
      <c r="BS169" s="5">
        <f>BR169/BR186</f>
        <v>3.5031847133757961E-2</v>
      </c>
      <c r="BT169" s="5">
        <f>11/$BT$1</f>
        <v>3.5031847133757961E-2</v>
      </c>
      <c r="BV169">
        <v>22</v>
      </c>
      <c r="BW169" s="5">
        <f>BV169/BV186</f>
        <v>5.5979643765903309E-2</v>
      </c>
      <c r="BX169" s="5">
        <f>22/$BX$1</f>
        <v>5.5979643765903309E-2</v>
      </c>
      <c r="BZ169">
        <v>18</v>
      </c>
      <c r="CA169" s="5">
        <f>BZ169/BZ186</f>
        <v>7.3170731707317069E-2</v>
      </c>
      <c r="CB169" s="5">
        <f>18/$CB$1</f>
        <v>7.3170731707317069E-2</v>
      </c>
      <c r="CD169">
        <v>12</v>
      </c>
      <c r="CE169" s="5">
        <f>CD169/CD186</f>
        <v>9.7560975609756101E-2</v>
      </c>
      <c r="CF169" s="5">
        <f>12/$CF$1</f>
        <v>9.7560975609756101E-2</v>
      </c>
      <c r="CH169">
        <v>24</v>
      </c>
      <c r="CI169" s="5">
        <f>CH169/CH186</f>
        <v>3.4883720930232558E-2</v>
      </c>
      <c r="CJ169" s="5">
        <f>24/$CJ$1</f>
        <v>3.4883720930232558E-2</v>
      </c>
      <c r="CL169">
        <v>29</v>
      </c>
      <c r="CM169" s="5">
        <f>CL169/CL186</f>
        <v>3.825857519788918E-2</v>
      </c>
      <c r="CN169" s="5">
        <f>29/$CN$1</f>
        <v>3.825857519788918E-2</v>
      </c>
      <c r="CP169">
        <v>25</v>
      </c>
      <c r="CQ169" s="5">
        <f>CP169/CP186</f>
        <v>0.10330578512396695</v>
      </c>
      <c r="CR169" s="5">
        <f>25/$CR$1</f>
        <v>0.10330578512396695</v>
      </c>
      <c r="CT169">
        <v>31</v>
      </c>
      <c r="CU169" s="5">
        <f>CT169/CT186</f>
        <v>9.3093093093093091E-2</v>
      </c>
      <c r="CV169" s="5">
        <f>31/$CV$1</f>
        <v>9.3093093093093091E-2</v>
      </c>
      <c r="CX169">
        <v>23</v>
      </c>
      <c r="CY169" s="5">
        <f>CX169/CX186</f>
        <v>3.4482758620689655E-2</v>
      </c>
      <c r="CZ169" s="5">
        <f>23/$CZ$1</f>
        <v>3.4482758620689655E-2</v>
      </c>
    </row>
    <row r="170" spans="1:104" x14ac:dyDescent="0.25">
      <c r="A170" s="1" t="s">
        <v>1116</v>
      </c>
      <c r="B170">
        <v>28</v>
      </c>
      <c r="C170" s="5">
        <f>B170/B186</f>
        <v>2.8000000000000001E-2</v>
      </c>
      <c r="D170" s="5">
        <f>28/$D$1</f>
        <v>2.8000000000000001E-2</v>
      </c>
      <c r="F170">
        <v>19</v>
      </c>
      <c r="G170" s="5">
        <f>F170/F186</f>
        <v>3.7924151696606789E-2</v>
      </c>
      <c r="H170" s="5">
        <f>19/$H$1</f>
        <v>3.7924151696606789E-2</v>
      </c>
      <c r="J170">
        <v>9</v>
      </c>
      <c r="K170" s="5">
        <f>J170/J186</f>
        <v>1.8036072144288578E-2</v>
      </c>
      <c r="L170" s="5">
        <f>9/$L$1</f>
        <v>1.8036072144288578E-2</v>
      </c>
      <c r="N170">
        <v>5</v>
      </c>
      <c r="O170" s="5">
        <f>N170/N186</f>
        <v>5.1546391752577317E-2</v>
      </c>
      <c r="P170" s="5">
        <f>5/$P$1</f>
        <v>5.1546391752577317E-2</v>
      </c>
      <c r="R170">
        <v>12</v>
      </c>
      <c r="S170" s="5">
        <f>R170/R186</f>
        <v>6.0606060606060608E-2</v>
      </c>
      <c r="T170" s="5">
        <f>12/$T$1</f>
        <v>6.0606060606060608E-2</v>
      </c>
      <c r="V170">
        <v>8</v>
      </c>
      <c r="W170" s="5">
        <f>V170/V186</f>
        <v>3.3195020746887967E-2</v>
      </c>
      <c r="X170" s="5">
        <f>8/$X$1</f>
        <v>3.3195020746887967E-2</v>
      </c>
      <c r="Z170">
        <v>1</v>
      </c>
      <c r="AA170" s="5">
        <f>Z170/Z186</f>
        <v>5.0505050505050509E-3</v>
      </c>
      <c r="AB170" s="5">
        <f>1/$AB$1</f>
        <v>5.0505050505050509E-3</v>
      </c>
      <c r="AD170">
        <v>2</v>
      </c>
      <c r="AE170" s="5">
        <f>AD170/AD186</f>
        <v>1.2987012987012988E-2</v>
      </c>
      <c r="AF170" s="5">
        <f>2/$AF$1</f>
        <v>1.2987012987012988E-2</v>
      </c>
      <c r="AH170">
        <v>0</v>
      </c>
      <c r="AI170" s="5">
        <f>AH170/AH186</f>
        <v>0</v>
      </c>
      <c r="AJ170" s="5">
        <f>0/$AJ$1</f>
        <v>0</v>
      </c>
      <c r="AL170">
        <v>13</v>
      </c>
      <c r="AM170" s="5">
        <f>AL170/AL186</f>
        <v>3.5135135135135137E-2</v>
      </c>
      <c r="AN170" s="5">
        <f>13/$AN$1</f>
        <v>3.5135135135135137E-2</v>
      </c>
      <c r="AP170">
        <v>6</v>
      </c>
      <c r="AQ170" s="5">
        <f>AP170/AP186</f>
        <v>1.5873015873015872E-2</v>
      </c>
      <c r="AR170" s="5">
        <f>6/$AR$1</f>
        <v>1.5873015873015872E-2</v>
      </c>
      <c r="AT170">
        <v>9</v>
      </c>
      <c r="AU170" s="5">
        <f>AT170/AT186</f>
        <v>3.5714285714285712E-2</v>
      </c>
      <c r="AV170" s="5">
        <f>9/$AV$1</f>
        <v>3.5714285714285712E-2</v>
      </c>
      <c r="AX170">
        <v>11</v>
      </c>
      <c r="AY170" s="5">
        <f>AX170/AX186</f>
        <v>4.0293040293040296E-2</v>
      </c>
      <c r="AZ170" s="5">
        <f>11/$AZ$1</f>
        <v>4.0293040293040296E-2</v>
      </c>
      <c r="BA170" s="5"/>
      <c r="BB170">
        <v>5</v>
      </c>
      <c r="BC170" s="5">
        <f>BB170/BB186</f>
        <v>2.4630541871921183E-2</v>
      </c>
      <c r="BD170" s="5">
        <f>5/$BD$1</f>
        <v>2.4630541871921183E-2</v>
      </c>
      <c r="BF170">
        <v>3</v>
      </c>
      <c r="BG170" s="5">
        <f>BF170/BF186</f>
        <v>1.3953488372093023E-2</v>
      </c>
      <c r="BH170" s="5">
        <f>3/$BH$1</f>
        <v>1.3953488372093023E-2</v>
      </c>
      <c r="BJ170">
        <v>9</v>
      </c>
      <c r="BK170" s="5">
        <f>BJ170/BJ186</f>
        <v>2.9126213592233011E-2</v>
      </c>
      <c r="BL170" s="5">
        <f>9/$BL$1</f>
        <v>2.9126213592233011E-2</v>
      </c>
      <c r="BN170">
        <v>2</v>
      </c>
      <c r="BO170" s="5">
        <f>BN170/BN186</f>
        <v>4.2553191489361701E-2</v>
      </c>
      <c r="BP170" s="5">
        <f>2/$BP$1</f>
        <v>4.2553191489361701E-2</v>
      </c>
      <c r="BR170">
        <v>5</v>
      </c>
      <c r="BS170" s="5">
        <f>BR170/BR186</f>
        <v>1.5923566878980892E-2</v>
      </c>
      <c r="BT170" s="5">
        <f>5/$BT$1</f>
        <v>1.5923566878980892E-2</v>
      </c>
      <c r="BV170">
        <v>8</v>
      </c>
      <c r="BW170" s="5">
        <f>BV170/BV186</f>
        <v>2.0356234096692113E-2</v>
      </c>
      <c r="BX170" s="5">
        <f>8/$BX$1</f>
        <v>2.0356234096692113E-2</v>
      </c>
      <c r="BZ170">
        <v>13</v>
      </c>
      <c r="CA170" s="5">
        <f>BZ170/BZ186</f>
        <v>5.2845528455284556E-2</v>
      </c>
      <c r="CB170" s="5">
        <f>13/$CB$1</f>
        <v>5.2845528455284556E-2</v>
      </c>
      <c r="CD170">
        <v>6</v>
      </c>
      <c r="CE170" s="5">
        <f>CD170/CD186</f>
        <v>4.878048780487805E-2</v>
      </c>
      <c r="CF170" s="5">
        <f>6/$CF$1</f>
        <v>4.878048780487805E-2</v>
      </c>
      <c r="CH170">
        <v>11</v>
      </c>
      <c r="CI170" s="5">
        <f>CH170/CH186</f>
        <v>1.5988372093023256E-2</v>
      </c>
      <c r="CJ170" s="5">
        <f>11/$CJ$1</f>
        <v>1.5988372093023256E-2</v>
      </c>
      <c r="CL170">
        <v>19</v>
      </c>
      <c r="CM170" s="5">
        <f>CL170/CL186</f>
        <v>2.5065963060686015E-2</v>
      </c>
      <c r="CN170" s="5">
        <f>19/$CN$1</f>
        <v>2.5065963060686015E-2</v>
      </c>
      <c r="CP170">
        <v>9</v>
      </c>
      <c r="CQ170" s="5">
        <f>CP170/CP186</f>
        <v>3.71900826446281E-2</v>
      </c>
      <c r="CR170" s="5">
        <f>9/$CR$1</f>
        <v>3.71900826446281E-2</v>
      </c>
      <c r="CT170">
        <v>11</v>
      </c>
      <c r="CU170" s="5">
        <f>CT170/CT186</f>
        <v>3.3033033033033031E-2</v>
      </c>
      <c r="CV170" s="5">
        <f>11/$CV$1</f>
        <v>3.3033033033033031E-2</v>
      </c>
      <c r="CX170">
        <v>17</v>
      </c>
      <c r="CY170" s="5">
        <f>CX170/CX186</f>
        <v>2.5487256371814093E-2</v>
      </c>
      <c r="CZ170" s="5">
        <f>17/$CZ$1</f>
        <v>2.5487256371814093E-2</v>
      </c>
    </row>
    <row r="172" spans="1:104" x14ac:dyDescent="0.25">
      <c r="A172" s="1" t="s">
        <v>1117</v>
      </c>
      <c r="B172">
        <v>27</v>
      </c>
      <c r="C172" s="5">
        <f>B172/B186</f>
        <v>2.7E-2</v>
      </c>
      <c r="D172" s="5">
        <f>27/$D$1</f>
        <v>2.7E-2</v>
      </c>
      <c r="F172">
        <v>14</v>
      </c>
      <c r="G172" s="5">
        <f>F172/F186</f>
        <v>2.7944111776447105E-2</v>
      </c>
      <c r="H172" s="5">
        <f>14/$H$1</f>
        <v>2.7944111776447105E-2</v>
      </c>
      <c r="J172">
        <v>13</v>
      </c>
      <c r="K172" s="5">
        <f>J172/J186</f>
        <v>2.6052104208416832E-2</v>
      </c>
      <c r="L172" s="5">
        <f>13/$L$1</f>
        <v>2.6052104208416832E-2</v>
      </c>
      <c r="N172">
        <v>2</v>
      </c>
      <c r="O172" s="5">
        <f>N172/N186</f>
        <v>2.0618556701030927E-2</v>
      </c>
      <c r="P172" s="5">
        <f>2/$P$1</f>
        <v>2.0618556701030927E-2</v>
      </c>
      <c r="R172">
        <v>8</v>
      </c>
      <c r="S172" s="5">
        <f>R172/R186</f>
        <v>4.0404040404040407E-2</v>
      </c>
      <c r="T172" s="5">
        <f>8/$T$1</f>
        <v>4.0404040404040407E-2</v>
      </c>
      <c r="V172">
        <v>7</v>
      </c>
      <c r="W172" s="5">
        <f>V172/V186</f>
        <v>2.9045643153526972E-2</v>
      </c>
      <c r="X172" s="5">
        <f>7/$X$1</f>
        <v>2.9045643153526972E-2</v>
      </c>
      <c r="Z172">
        <v>4</v>
      </c>
      <c r="AA172" s="5">
        <f>Z172/Z186</f>
        <v>2.0202020202020204E-2</v>
      </c>
      <c r="AB172" s="5">
        <f>4/$AB$1</f>
        <v>2.0202020202020204E-2</v>
      </c>
      <c r="AD172">
        <v>5</v>
      </c>
      <c r="AE172" s="5">
        <f>AD172/AD186</f>
        <v>3.2467532467532464E-2</v>
      </c>
      <c r="AF172" s="5">
        <f>5/$AF$1</f>
        <v>3.2467532467532464E-2</v>
      </c>
      <c r="AH172">
        <v>3</v>
      </c>
      <c r="AI172" s="5">
        <f>AH172/AH186</f>
        <v>2.5000000000000001E-2</v>
      </c>
      <c r="AJ172" s="5">
        <f>3/$AJ$1</f>
        <v>2.5000000000000001E-2</v>
      </c>
      <c r="AL172">
        <v>8</v>
      </c>
      <c r="AM172" s="5">
        <f>AL172/AL186</f>
        <v>2.1621621621621623E-2</v>
      </c>
      <c r="AN172" s="5">
        <f>8/$AN$1</f>
        <v>2.1621621621621623E-2</v>
      </c>
      <c r="AP172">
        <v>13</v>
      </c>
      <c r="AQ172" s="5">
        <f>AP172/AP186</f>
        <v>3.439153439153439E-2</v>
      </c>
      <c r="AR172" s="5">
        <f>13/$AR$1</f>
        <v>3.439153439153439E-2</v>
      </c>
      <c r="AT172">
        <v>6</v>
      </c>
      <c r="AU172" s="5">
        <f>AT172/AT186</f>
        <v>2.3809523809523808E-2</v>
      </c>
      <c r="AV172" s="5">
        <f>6/$AV$1</f>
        <v>2.3809523809523808E-2</v>
      </c>
      <c r="AX172">
        <v>5</v>
      </c>
      <c r="AY172" s="5">
        <f>AX172/AX186</f>
        <v>1.8315018315018316E-2</v>
      </c>
      <c r="AZ172" s="5">
        <f>5/$AZ$1</f>
        <v>1.8315018315018316E-2</v>
      </c>
      <c r="BA172" s="5"/>
      <c r="BB172">
        <v>4</v>
      </c>
      <c r="BC172" s="5">
        <f>BB172/BB186</f>
        <v>1.9704433497536946E-2</v>
      </c>
      <c r="BD172" s="5">
        <f>4/$BD$1</f>
        <v>1.9704433497536946E-2</v>
      </c>
      <c r="BF172">
        <v>7</v>
      </c>
      <c r="BG172" s="5">
        <f>BF172/BF186</f>
        <v>3.255813953488372E-2</v>
      </c>
      <c r="BH172" s="5">
        <f>7/$BH$1</f>
        <v>3.255813953488372E-2</v>
      </c>
      <c r="BJ172">
        <v>11</v>
      </c>
      <c r="BK172" s="5">
        <f>BJ172/BJ186</f>
        <v>3.5598705501618123E-2</v>
      </c>
      <c r="BL172" s="5">
        <f>11/$BL$1</f>
        <v>3.5598705501618123E-2</v>
      </c>
      <c r="BN172">
        <v>0</v>
      </c>
      <c r="BO172" s="5">
        <f>BN172/BN186</f>
        <v>0</v>
      </c>
      <c r="BP172" s="5">
        <f>0/$BP$1</f>
        <v>0</v>
      </c>
      <c r="BR172">
        <v>9</v>
      </c>
      <c r="BS172" s="5">
        <f>BR172/BR186</f>
        <v>2.8662420382165606E-2</v>
      </c>
      <c r="BT172" s="5">
        <f>9/$BT$1</f>
        <v>2.8662420382165606E-2</v>
      </c>
      <c r="BV172">
        <v>7</v>
      </c>
      <c r="BW172" s="5">
        <f>BV172/BV186</f>
        <v>1.7811704834605598E-2</v>
      </c>
      <c r="BX172" s="5">
        <f>7/$BX$1</f>
        <v>1.7811704834605598E-2</v>
      </c>
      <c r="BZ172">
        <v>11</v>
      </c>
      <c r="CA172" s="5">
        <f>BZ172/BZ186</f>
        <v>4.4715447154471545E-2</v>
      </c>
      <c r="CB172" s="5">
        <f>11/$CB$1</f>
        <v>4.4715447154471545E-2</v>
      </c>
      <c r="CD172">
        <v>3</v>
      </c>
      <c r="CE172" s="5">
        <f>CD172/CD186</f>
        <v>2.4390243902439025E-2</v>
      </c>
      <c r="CF172" s="5">
        <f>3/$CF$1</f>
        <v>2.4390243902439025E-2</v>
      </c>
      <c r="CH172">
        <v>12</v>
      </c>
      <c r="CI172" s="5">
        <f>CH172/CH186</f>
        <v>1.7441860465116279E-2</v>
      </c>
      <c r="CJ172" s="5">
        <f>12/$CJ$1</f>
        <v>1.7441860465116279E-2</v>
      </c>
      <c r="CL172">
        <v>16</v>
      </c>
      <c r="CM172" s="5">
        <f>CL172/CL186</f>
        <v>2.1108179419525065E-2</v>
      </c>
      <c r="CN172" s="5">
        <f>16/$CN$1</f>
        <v>2.1108179419525065E-2</v>
      </c>
      <c r="CP172">
        <v>11</v>
      </c>
      <c r="CQ172" s="5">
        <f>CP172/CP186</f>
        <v>4.5454545454545456E-2</v>
      </c>
      <c r="CR172" s="5">
        <f>11/$CR$1</f>
        <v>4.5454545454545456E-2</v>
      </c>
      <c r="CT172">
        <v>11</v>
      </c>
      <c r="CU172" s="5">
        <f>CT172/CT186</f>
        <v>3.3033033033033031E-2</v>
      </c>
      <c r="CV172" s="5">
        <f>11/$CV$1</f>
        <v>3.3033033033033031E-2</v>
      </c>
      <c r="CX172">
        <v>16</v>
      </c>
      <c r="CY172" s="5">
        <f>CX172/CX186</f>
        <v>2.3988005997001498E-2</v>
      </c>
      <c r="CZ172" s="5">
        <f>16/$CZ$1</f>
        <v>2.3988005997001498E-2</v>
      </c>
    </row>
    <row r="173" spans="1:104" x14ac:dyDescent="0.25">
      <c r="A173" s="1" t="s">
        <v>1118</v>
      </c>
      <c r="B173">
        <v>37</v>
      </c>
      <c r="C173" s="5">
        <f>B173/B186</f>
        <v>3.6999999999999998E-2</v>
      </c>
      <c r="D173" s="5">
        <f>37/$D$1</f>
        <v>3.6999999999999998E-2</v>
      </c>
      <c r="F173">
        <v>14</v>
      </c>
      <c r="G173" s="5">
        <f>F173/F186</f>
        <v>2.7944111776447105E-2</v>
      </c>
      <c r="H173" s="5">
        <f>14/$H$1</f>
        <v>2.7944111776447105E-2</v>
      </c>
      <c r="J173">
        <v>23</v>
      </c>
      <c r="K173" s="5">
        <f>J173/J186</f>
        <v>4.6092184368737472E-2</v>
      </c>
      <c r="L173" s="5">
        <f>23/$L$1</f>
        <v>4.6092184368737472E-2</v>
      </c>
      <c r="N173">
        <v>4</v>
      </c>
      <c r="O173" s="5">
        <f>N173/N186</f>
        <v>4.1237113402061855E-2</v>
      </c>
      <c r="P173" s="5">
        <f>4/$P$1</f>
        <v>4.1237113402061855E-2</v>
      </c>
      <c r="R173">
        <v>10</v>
      </c>
      <c r="S173" s="5">
        <f>R173/R186</f>
        <v>5.0505050505050504E-2</v>
      </c>
      <c r="T173" s="5">
        <f>10/$T$1</f>
        <v>5.0505050505050504E-2</v>
      </c>
      <c r="V173">
        <v>9</v>
      </c>
      <c r="W173" s="5">
        <f>V173/V186</f>
        <v>3.7344398340248962E-2</v>
      </c>
      <c r="X173" s="5">
        <f>9/$X$1</f>
        <v>3.7344398340248962E-2</v>
      </c>
      <c r="Z173">
        <v>9</v>
      </c>
      <c r="AA173" s="5">
        <f>Z173/Z186</f>
        <v>4.5454545454545456E-2</v>
      </c>
      <c r="AB173" s="5">
        <f>9/$AB$1</f>
        <v>4.5454545454545456E-2</v>
      </c>
      <c r="AD173">
        <v>4</v>
      </c>
      <c r="AE173" s="5">
        <f>AD173/AD186</f>
        <v>2.5974025974025976E-2</v>
      </c>
      <c r="AF173" s="5">
        <f>4/$AF$1</f>
        <v>2.5974025974025976E-2</v>
      </c>
      <c r="AH173">
        <v>1</v>
      </c>
      <c r="AI173" s="5">
        <f>AH173/AH186</f>
        <v>8.3333333333333332E-3</v>
      </c>
      <c r="AJ173" s="5">
        <f>1/$AJ$1</f>
        <v>8.3333333333333332E-3</v>
      </c>
      <c r="AL173">
        <v>15</v>
      </c>
      <c r="AM173" s="5">
        <f>AL173/AL186</f>
        <v>4.0540540540540543E-2</v>
      </c>
      <c r="AN173" s="5">
        <f>15/$AN$1</f>
        <v>4.0540540540540543E-2</v>
      </c>
      <c r="AP173">
        <v>19</v>
      </c>
      <c r="AQ173" s="5">
        <f>AP173/AP186</f>
        <v>5.0264550264550262E-2</v>
      </c>
      <c r="AR173" s="5">
        <f>19/$AR$1</f>
        <v>5.0264550264550262E-2</v>
      </c>
      <c r="AT173">
        <v>3</v>
      </c>
      <c r="AU173" s="5">
        <f>AT173/AT186</f>
        <v>1.1904761904761904E-2</v>
      </c>
      <c r="AV173" s="5">
        <f>3/$AV$1</f>
        <v>1.1904761904761904E-2</v>
      </c>
      <c r="AX173">
        <v>8</v>
      </c>
      <c r="AY173" s="5">
        <f>AX173/AX186</f>
        <v>2.9304029304029304E-2</v>
      </c>
      <c r="AZ173" s="5">
        <f>8/$AZ$1</f>
        <v>2.9304029304029304E-2</v>
      </c>
      <c r="BA173" s="5"/>
      <c r="BB173">
        <v>9</v>
      </c>
      <c r="BC173" s="5">
        <f>BB173/BB186</f>
        <v>4.4334975369458129E-2</v>
      </c>
      <c r="BD173" s="5">
        <f>9/$BD$1</f>
        <v>4.4334975369458129E-2</v>
      </c>
      <c r="BF173">
        <v>8</v>
      </c>
      <c r="BG173" s="5">
        <f>BF173/BF186</f>
        <v>3.7209302325581395E-2</v>
      </c>
      <c r="BH173" s="5">
        <f>8/$BH$1</f>
        <v>3.7209302325581395E-2</v>
      </c>
      <c r="BJ173">
        <v>12</v>
      </c>
      <c r="BK173" s="5">
        <f>BJ173/BJ186</f>
        <v>3.8834951456310676E-2</v>
      </c>
      <c r="BL173" s="5">
        <f>12/$BL$1</f>
        <v>3.8834951456310676E-2</v>
      </c>
      <c r="BN173">
        <v>2</v>
      </c>
      <c r="BO173" s="5">
        <f>BN173/BN186</f>
        <v>4.2553191489361701E-2</v>
      </c>
      <c r="BP173" s="5">
        <f>2/$BP$1</f>
        <v>4.2553191489361701E-2</v>
      </c>
      <c r="BR173">
        <v>14</v>
      </c>
      <c r="BS173" s="5">
        <f>BR173/BR186</f>
        <v>4.4585987261146494E-2</v>
      </c>
      <c r="BT173" s="5">
        <f>14/$BT$1</f>
        <v>4.4585987261146494E-2</v>
      </c>
      <c r="BV173">
        <v>8</v>
      </c>
      <c r="BW173" s="5">
        <f>BV173/BV186</f>
        <v>2.0356234096692113E-2</v>
      </c>
      <c r="BX173" s="5">
        <f>8/$BX$1</f>
        <v>2.0356234096692113E-2</v>
      </c>
      <c r="BZ173">
        <v>13</v>
      </c>
      <c r="CA173" s="5">
        <f>BZ173/BZ186</f>
        <v>5.2845528455284556E-2</v>
      </c>
      <c r="CB173" s="5">
        <f>13/$CB$1</f>
        <v>5.2845528455284556E-2</v>
      </c>
      <c r="CD173">
        <v>7</v>
      </c>
      <c r="CE173" s="5">
        <f>CD173/CD186</f>
        <v>5.6910569105691054E-2</v>
      </c>
      <c r="CF173" s="5">
        <f>7/$CF$1</f>
        <v>5.6910569105691054E-2</v>
      </c>
      <c r="CH173">
        <v>20</v>
      </c>
      <c r="CI173" s="5">
        <f>CH173/CH186</f>
        <v>2.9069767441860465E-2</v>
      </c>
      <c r="CJ173" s="5">
        <f>20/$CJ$1</f>
        <v>2.9069767441860465E-2</v>
      </c>
      <c r="CL173">
        <v>23</v>
      </c>
      <c r="CM173" s="5">
        <f>CL173/CL186</f>
        <v>3.0343007915567283E-2</v>
      </c>
      <c r="CN173" s="5">
        <f>23/$CN$1</f>
        <v>3.0343007915567283E-2</v>
      </c>
      <c r="CP173">
        <v>14</v>
      </c>
      <c r="CQ173" s="5">
        <f>CP173/CP186</f>
        <v>5.7851239669421489E-2</v>
      </c>
      <c r="CR173" s="5">
        <f>14/$CR$1</f>
        <v>5.7851239669421489E-2</v>
      </c>
      <c r="CT173">
        <v>10</v>
      </c>
      <c r="CU173" s="5">
        <f>CT173/CT186</f>
        <v>3.003003003003003E-2</v>
      </c>
      <c r="CV173" s="5">
        <f>10/$CV$1</f>
        <v>3.003003003003003E-2</v>
      </c>
      <c r="CX173">
        <v>27</v>
      </c>
      <c r="CY173" s="5">
        <f>CX173/CX186</f>
        <v>4.0479760119940027E-2</v>
      </c>
      <c r="CZ173" s="5">
        <f>27/$CZ$1</f>
        <v>4.0479760119940027E-2</v>
      </c>
    </row>
    <row r="174" spans="1:104" x14ac:dyDescent="0.25">
      <c r="A174" s="1" t="s">
        <v>1119</v>
      </c>
      <c r="B174">
        <v>38</v>
      </c>
      <c r="C174" s="5">
        <f>B174/B186</f>
        <v>3.7999999999999999E-2</v>
      </c>
      <c r="D174" s="5">
        <f>38/$D$1</f>
        <v>3.7999999999999999E-2</v>
      </c>
      <c r="F174">
        <v>15</v>
      </c>
      <c r="G174" s="5">
        <f>F174/F186</f>
        <v>2.9940119760479042E-2</v>
      </c>
      <c r="H174" s="5">
        <f>15/$H$1</f>
        <v>2.9940119760479042E-2</v>
      </c>
      <c r="J174">
        <v>23</v>
      </c>
      <c r="K174" s="5">
        <f>J174/J186</f>
        <v>4.6092184368737472E-2</v>
      </c>
      <c r="L174" s="5">
        <f>23/$L$1</f>
        <v>4.6092184368737472E-2</v>
      </c>
      <c r="N174">
        <v>6</v>
      </c>
      <c r="O174" s="5">
        <f>N174/N186</f>
        <v>6.1855670103092786E-2</v>
      </c>
      <c r="P174" s="5">
        <f>6/$P$1</f>
        <v>6.1855670103092786E-2</v>
      </c>
      <c r="R174">
        <v>11</v>
      </c>
      <c r="S174" s="5">
        <f>R174/R186</f>
        <v>5.5555555555555552E-2</v>
      </c>
      <c r="T174" s="5">
        <f>11/$T$1</f>
        <v>5.5555555555555552E-2</v>
      </c>
      <c r="V174">
        <v>8</v>
      </c>
      <c r="W174" s="5">
        <f>V174/V186</f>
        <v>3.3195020746887967E-2</v>
      </c>
      <c r="X174" s="5">
        <f>8/$X$1</f>
        <v>3.3195020746887967E-2</v>
      </c>
      <c r="Z174">
        <v>6</v>
      </c>
      <c r="AA174" s="5">
        <f>Z174/Z186</f>
        <v>3.0303030303030304E-2</v>
      </c>
      <c r="AB174" s="5">
        <f>6/$AB$1</f>
        <v>3.0303030303030304E-2</v>
      </c>
      <c r="AD174">
        <v>5</v>
      </c>
      <c r="AE174" s="5">
        <f>AD174/AD186</f>
        <v>3.2467532467532464E-2</v>
      </c>
      <c r="AF174" s="5">
        <f>5/$AF$1</f>
        <v>3.2467532467532464E-2</v>
      </c>
      <c r="AH174">
        <v>2</v>
      </c>
      <c r="AI174" s="5">
        <f>AH174/AH186</f>
        <v>1.6666666666666666E-2</v>
      </c>
      <c r="AJ174" s="5">
        <f>2/$AJ$1</f>
        <v>1.6666666666666666E-2</v>
      </c>
      <c r="AL174">
        <v>11</v>
      </c>
      <c r="AM174" s="5">
        <f>AL174/AL186</f>
        <v>2.9729729729729731E-2</v>
      </c>
      <c r="AN174" s="5">
        <f>11/$AN$1</f>
        <v>2.9729729729729731E-2</v>
      </c>
      <c r="AP174">
        <v>15</v>
      </c>
      <c r="AQ174" s="5">
        <f>AP174/AP186</f>
        <v>3.968253968253968E-2</v>
      </c>
      <c r="AR174" s="5">
        <f>15/$AR$1</f>
        <v>3.968253968253968E-2</v>
      </c>
      <c r="AT174">
        <v>12</v>
      </c>
      <c r="AU174" s="5">
        <f>AT174/AT186</f>
        <v>4.7619047619047616E-2</v>
      </c>
      <c r="AV174" s="5">
        <f>12/$AV$1</f>
        <v>4.7619047619047616E-2</v>
      </c>
      <c r="AX174">
        <v>7</v>
      </c>
      <c r="AY174" s="5">
        <f>AX174/AX186</f>
        <v>2.564102564102564E-2</v>
      </c>
      <c r="AZ174" s="5">
        <f>7/$AZ$1</f>
        <v>2.564102564102564E-2</v>
      </c>
      <c r="BA174" s="5"/>
      <c r="BB174">
        <v>7</v>
      </c>
      <c r="BC174" s="5">
        <f>BB174/BB186</f>
        <v>3.4482758620689655E-2</v>
      </c>
      <c r="BD174" s="5">
        <f>7/$BD$1</f>
        <v>3.4482758620689655E-2</v>
      </c>
      <c r="BF174">
        <v>10</v>
      </c>
      <c r="BG174" s="5">
        <f>BF174/BF186</f>
        <v>4.6511627906976744E-2</v>
      </c>
      <c r="BH174" s="5">
        <f>10/$BH$1</f>
        <v>4.6511627906976744E-2</v>
      </c>
      <c r="BJ174">
        <v>14</v>
      </c>
      <c r="BK174" s="5">
        <f>BJ174/BJ186</f>
        <v>4.5307443365695796E-2</v>
      </c>
      <c r="BL174" s="5">
        <f>14/$BL$1</f>
        <v>4.5307443365695796E-2</v>
      </c>
      <c r="BN174">
        <v>2</v>
      </c>
      <c r="BO174" s="5">
        <f>BN174/BN186</f>
        <v>4.2553191489361701E-2</v>
      </c>
      <c r="BP174" s="5">
        <f>2/$BP$1</f>
        <v>4.2553191489361701E-2</v>
      </c>
      <c r="BR174">
        <v>10</v>
      </c>
      <c r="BS174" s="5">
        <f>BR174/BR186</f>
        <v>3.1847133757961783E-2</v>
      </c>
      <c r="BT174" s="5">
        <f>10/$BT$1</f>
        <v>3.1847133757961783E-2</v>
      </c>
      <c r="BV174">
        <v>18</v>
      </c>
      <c r="BW174" s="5">
        <f>BV174/BV186</f>
        <v>4.5801526717557252E-2</v>
      </c>
      <c r="BX174" s="5">
        <f>18/$BX$1</f>
        <v>4.5801526717557252E-2</v>
      </c>
      <c r="BZ174">
        <v>8</v>
      </c>
      <c r="CA174" s="5">
        <f>BZ174/BZ186</f>
        <v>3.2520325203252036E-2</v>
      </c>
      <c r="CB174" s="5">
        <f>8/$CB$1</f>
        <v>3.2520325203252036E-2</v>
      </c>
      <c r="CD174">
        <v>5</v>
      </c>
      <c r="CE174" s="5">
        <f>CD174/CD186</f>
        <v>4.065040650406504E-2</v>
      </c>
      <c r="CF174" s="5">
        <f>5/$CF$1</f>
        <v>4.065040650406504E-2</v>
      </c>
      <c r="CH174">
        <v>22</v>
      </c>
      <c r="CI174" s="5">
        <f>CH174/CH186</f>
        <v>3.1976744186046513E-2</v>
      </c>
      <c r="CJ174" s="5">
        <f>22/$CJ$1</f>
        <v>3.1976744186046513E-2</v>
      </c>
      <c r="CL174">
        <v>25</v>
      </c>
      <c r="CM174" s="5">
        <f>CL174/CL186</f>
        <v>3.2981530343007916E-2</v>
      </c>
      <c r="CN174" s="5">
        <f>25/$CN$1</f>
        <v>3.2981530343007916E-2</v>
      </c>
      <c r="CP174">
        <v>13</v>
      </c>
      <c r="CQ174" s="5">
        <f>CP174/CP186</f>
        <v>5.3719008264462811E-2</v>
      </c>
      <c r="CR174" s="5">
        <f>13/$CR$1</f>
        <v>5.3719008264462811E-2</v>
      </c>
      <c r="CT174">
        <v>14</v>
      </c>
      <c r="CU174" s="5">
        <f>CT174/CT186</f>
        <v>4.2042042042042045E-2</v>
      </c>
      <c r="CV174" s="5">
        <f>14/$CV$1</f>
        <v>4.2042042042042045E-2</v>
      </c>
      <c r="CX174">
        <v>24</v>
      </c>
      <c r="CY174" s="5">
        <f>CX174/CX186</f>
        <v>3.5982008995502246E-2</v>
      </c>
      <c r="CZ174" s="5">
        <f>24/$CZ$1</f>
        <v>3.5982008995502246E-2</v>
      </c>
    </row>
    <row r="175" spans="1:104" x14ac:dyDescent="0.25">
      <c r="A175" s="1" t="s">
        <v>1120</v>
      </c>
      <c r="B175">
        <v>45</v>
      </c>
      <c r="C175" s="5">
        <f>B175/B186</f>
        <v>4.4999999999999998E-2</v>
      </c>
      <c r="D175" s="5">
        <f>45/$D$1</f>
        <v>4.4999999999999998E-2</v>
      </c>
      <c r="F175">
        <v>14</v>
      </c>
      <c r="G175" s="5">
        <f>F175/F186</f>
        <v>2.7944111776447105E-2</v>
      </c>
      <c r="H175" s="5">
        <f>14/$H$1</f>
        <v>2.7944111776447105E-2</v>
      </c>
      <c r="J175">
        <v>31</v>
      </c>
      <c r="K175" s="5">
        <f>J175/J186</f>
        <v>6.2124248496993988E-2</v>
      </c>
      <c r="L175" s="5">
        <f>31/$L$1</f>
        <v>6.2124248496993988E-2</v>
      </c>
      <c r="N175">
        <v>4</v>
      </c>
      <c r="O175" s="5">
        <f>N175/N186</f>
        <v>4.1237113402061855E-2</v>
      </c>
      <c r="P175" s="5">
        <f>4/$P$1</f>
        <v>4.1237113402061855E-2</v>
      </c>
      <c r="R175">
        <v>15</v>
      </c>
      <c r="S175" s="5">
        <f>R175/R186</f>
        <v>7.575757575757576E-2</v>
      </c>
      <c r="T175" s="5">
        <f>15/$T$1</f>
        <v>7.575757575757576E-2</v>
      </c>
      <c r="V175">
        <v>14</v>
      </c>
      <c r="W175" s="5">
        <f>V175/V186</f>
        <v>5.8091286307053944E-2</v>
      </c>
      <c r="X175" s="5">
        <f>14/$X$1</f>
        <v>5.8091286307053944E-2</v>
      </c>
      <c r="Z175">
        <v>4</v>
      </c>
      <c r="AA175" s="5">
        <f>Z175/Z186</f>
        <v>2.0202020202020204E-2</v>
      </c>
      <c r="AB175" s="5">
        <f>4/$AB$1</f>
        <v>2.0202020202020204E-2</v>
      </c>
      <c r="AD175">
        <v>5</v>
      </c>
      <c r="AE175" s="5">
        <f>AD175/AD186</f>
        <v>3.2467532467532464E-2</v>
      </c>
      <c r="AF175" s="5">
        <f>5/$AF$1</f>
        <v>3.2467532467532464E-2</v>
      </c>
      <c r="AH175">
        <v>3</v>
      </c>
      <c r="AI175" s="5">
        <f>AH175/AH186</f>
        <v>2.5000000000000001E-2</v>
      </c>
      <c r="AJ175" s="5">
        <f>3/$AJ$1</f>
        <v>2.5000000000000001E-2</v>
      </c>
      <c r="AL175">
        <v>17</v>
      </c>
      <c r="AM175" s="5">
        <f>AL175/AL186</f>
        <v>4.5945945945945948E-2</v>
      </c>
      <c r="AN175" s="5">
        <f>17/$AN$1</f>
        <v>4.5945945945945948E-2</v>
      </c>
      <c r="AP175">
        <v>19</v>
      </c>
      <c r="AQ175" s="5">
        <f>AP175/AP186</f>
        <v>5.0264550264550262E-2</v>
      </c>
      <c r="AR175" s="5">
        <f>19/$AR$1</f>
        <v>5.0264550264550262E-2</v>
      </c>
      <c r="AT175">
        <v>9</v>
      </c>
      <c r="AU175" s="5">
        <f>AT175/AT186</f>
        <v>3.5714285714285712E-2</v>
      </c>
      <c r="AV175" s="5">
        <f>9/$AV$1</f>
        <v>3.5714285714285712E-2</v>
      </c>
      <c r="AX175">
        <v>7</v>
      </c>
      <c r="AY175" s="5">
        <f>AX175/AX186</f>
        <v>2.564102564102564E-2</v>
      </c>
      <c r="AZ175" s="5">
        <f>7/$AZ$1</f>
        <v>2.564102564102564E-2</v>
      </c>
      <c r="BA175" s="5"/>
      <c r="BB175">
        <v>9</v>
      </c>
      <c r="BC175" s="5">
        <f>BB175/BB186</f>
        <v>4.4334975369458129E-2</v>
      </c>
      <c r="BD175" s="5">
        <f>9/$BD$1</f>
        <v>4.4334975369458129E-2</v>
      </c>
      <c r="BF175">
        <v>7</v>
      </c>
      <c r="BG175" s="5">
        <f>BF175/BF186</f>
        <v>3.255813953488372E-2</v>
      </c>
      <c r="BH175" s="5">
        <f>7/$BH$1</f>
        <v>3.255813953488372E-2</v>
      </c>
      <c r="BJ175">
        <v>22</v>
      </c>
      <c r="BK175" s="5">
        <f>BJ175/BJ186</f>
        <v>7.1197411003236247E-2</v>
      </c>
      <c r="BL175" s="5">
        <f>22/$BL$1</f>
        <v>7.1197411003236247E-2</v>
      </c>
      <c r="BN175">
        <v>4</v>
      </c>
      <c r="BO175" s="5">
        <f>BN175/BN186</f>
        <v>8.5106382978723402E-2</v>
      </c>
      <c r="BP175" s="5">
        <f>4/$BP$1</f>
        <v>8.5106382978723402E-2</v>
      </c>
      <c r="BR175">
        <v>16</v>
      </c>
      <c r="BS175" s="5">
        <f>BR175/BR186</f>
        <v>5.0955414012738856E-2</v>
      </c>
      <c r="BT175" s="5">
        <f>16/$BT$1</f>
        <v>5.0955414012738856E-2</v>
      </c>
      <c r="BV175">
        <v>16</v>
      </c>
      <c r="BW175" s="5">
        <f>BV175/BV186</f>
        <v>4.0712468193384227E-2</v>
      </c>
      <c r="BX175" s="5">
        <f>16/$BX$1</f>
        <v>4.0712468193384227E-2</v>
      </c>
      <c r="BZ175">
        <v>9</v>
      </c>
      <c r="CA175" s="5">
        <f>BZ175/BZ186</f>
        <v>3.6585365853658534E-2</v>
      </c>
      <c r="CB175" s="5">
        <f>9/$CB$1</f>
        <v>3.6585365853658534E-2</v>
      </c>
      <c r="CD175">
        <v>6</v>
      </c>
      <c r="CE175" s="5">
        <f>CD175/CD186</f>
        <v>4.878048780487805E-2</v>
      </c>
      <c r="CF175" s="5">
        <f>6/$CF$1</f>
        <v>4.878048780487805E-2</v>
      </c>
      <c r="CH175">
        <v>27</v>
      </c>
      <c r="CI175" s="5">
        <f>CH175/CH186</f>
        <v>3.9244186046511628E-2</v>
      </c>
      <c r="CJ175" s="5">
        <f>27/$CJ$1</f>
        <v>3.9244186046511628E-2</v>
      </c>
      <c r="CL175">
        <v>37</v>
      </c>
      <c r="CM175" s="5">
        <f>CL175/CL186</f>
        <v>4.8812664907651716E-2</v>
      </c>
      <c r="CN175" s="5">
        <f>37/$CN$1</f>
        <v>4.8812664907651716E-2</v>
      </c>
      <c r="CP175">
        <v>8</v>
      </c>
      <c r="CQ175" s="5">
        <f>CP175/CP186</f>
        <v>3.3057851239669422E-2</v>
      </c>
      <c r="CR175" s="5">
        <f>8/$CR$1</f>
        <v>3.3057851239669422E-2</v>
      </c>
      <c r="CT175">
        <v>11</v>
      </c>
      <c r="CU175" s="5">
        <f>CT175/CT186</f>
        <v>3.3033033033033031E-2</v>
      </c>
      <c r="CV175" s="5">
        <f>11/$CV$1</f>
        <v>3.3033033033033031E-2</v>
      </c>
      <c r="CX175">
        <v>34</v>
      </c>
      <c r="CY175" s="5">
        <f>CX175/CX186</f>
        <v>5.0974512743628186E-2</v>
      </c>
      <c r="CZ175" s="5">
        <f>34/$CZ$1</f>
        <v>5.0974512743628186E-2</v>
      </c>
    </row>
    <row r="176" spans="1:104" x14ac:dyDescent="0.25">
      <c r="A176" s="1" t="s">
        <v>1121</v>
      </c>
      <c r="B176">
        <v>21</v>
      </c>
      <c r="C176" s="5">
        <f>B176/B186</f>
        <v>2.1000000000000001E-2</v>
      </c>
      <c r="D176" s="5">
        <f>21/$D$1</f>
        <v>2.1000000000000001E-2</v>
      </c>
      <c r="F176">
        <v>7</v>
      </c>
      <c r="G176" s="5">
        <f>F176/F186</f>
        <v>1.3972055888223553E-2</v>
      </c>
      <c r="H176" s="5">
        <f>7/$H$1</f>
        <v>1.3972055888223553E-2</v>
      </c>
      <c r="J176">
        <v>14</v>
      </c>
      <c r="K176" s="5">
        <f>J176/J186</f>
        <v>2.8056112224448898E-2</v>
      </c>
      <c r="L176" s="5">
        <f>14/$L$1</f>
        <v>2.8056112224448898E-2</v>
      </c>
      <c r="N176">
        <v>2</v>
      </c>
      <c r="O176" s="5">
        <f>N176/N186</f>
        <v>2.0618556701030927E-2</v>
      </c>
      <c r="P176" s="5">
        <f>2/$P$1</f>
        <v>2.0618556701030927E-2</v>
      </c>
      <c r="R176">
        <v>10</v>
      </c>
      <c r="S176" s="5">
        <f>R176/R186</f>
        <v>5.0505050505050504E-2</v>
      </c>
      <c r="T176" s="5">
        <f>10/$T$1</f>
        <v>5.0505050505050504E-2</v>
      </c>
      <c r="V176">
        <v>2</v>
      </c>
      <c r="W176" s="5">
        <f>V176/V186</f>
        <v>8.2987551867219917E-3</v>
      </c>
      <c r="X176" s="5">
        <f>2/$X$1</f>
        <v>8.2987551867219917E-3</v>
      </c>
      <c r="Z176">
        <v>2</v>
      </c>
      <c r="AA176" s="5">
        <f>Z176/Z186</f>
        <v>1.0101010101010102E-2</v>
      </c>
      <c r="AB176" s="5">
        <f>2/$AB$1</f>
        <v>1.0101010101010102E-2</v>
      </c>
      <c r="AD176">
        <v>3</v>
      </c>
      <c r="AE176" s="5">
        <f>AD176/AD186</f>
        <v>1.948051948051948E-2</v>
      </c>
      <c r="AF176" s="5">
        <f>3/$AF$1</f>
        <v>1.948051948051948E-2</v>
      </c>
      <c r="AH176">
        <v>3</v>
      </c>
      <c r="AI176" s="5">
        <f>AH176/AH186</f>
        <v>2.5000000000000001E-2</v>
      </c>
      <c r="AJ176" s="5">
        <f>3/$AJ$1</f>
        <v>2.5000000000000001E-2</v>
      </c>
      <c r="AL176">
        <v>8</v>
      </c>
      <c r="AM176" s="5">
        <f>AL176/AL186</f>
        <v>2.1621621621621623E-2</v>
      </c>
      <c r="AN176" s="5">
        <f>8/$AN$1</f>
        <v>2.1621621621621623E-2</v>
      </c>
      <c r="AP176">
        <v>8</v>
      </c>
      <c r="AQ176" s="5">
        <f>AP176/AP186</f>
        <v>2.1164021164021163E-2</v>
      </c>
      <c r="AR176" s="5">
        <f>8/$AR$1</f>
        <v>2.1164021164021163E-2</v>
      </c>
      <c r="AT176">
        <v>5</v>
      </c>
      <c r="AU176" s="5">
        <f>AT176/AT186</f>
        <v>1.984126984126984E-2</v>
      </c>
      <c r="AV176" s="5">
        <f>5/$AV$1</f>
        <v>1.984126984126984E-2</v>
      </c>
      <c r="AX176">
        <v>4</v>
      </c>
      <c r="AY176" s="5">
        <f>AX176/AX186</f>
        <v>1.4652014652014652E-2</v>
      </c>
      <c r="AZ176" s="5">
        <f>4/$AZ$1</f>
        <v>1.4652014652014652E-2</v>
      </c>
      <c r="BA176" s="5"/>
      <c r="BB176">
        <v>1</v>
      </c>
      <c r="BC176" s="5">
        <f>BB176/BB186</f>
        <v>4.9261083743842365E-3</v>
      </c>
      <c r="BD176" s="5">
        <f>1/$BD$1</f>
        <v>4.9261083743842365E-3</v>
      </c>
      <c r="BF176">
        <v>9</v>
      </c>
      <c r="BG176" s="5">
        <f>BF176/BF186</f>
        <v>4.1860465116279069E-2</v>
      </c>
      <c r="BH176" s="5">
        <f>9/$BH$1</f>
        <v>4.1860465116279069E-2</v>
      </c>
      <c r="BJ176">
        <v>7</v>
      </c>
      <c r="BK176" s="5">
        <f>BJ176/BJ186</f>
        <v>2.2653721682847898E-2</v>
      </c>
      <c r="BL176" s="5">
        <f>7/$BL$1</f>
        <v>2.2653721682847898E-2</v>
      </c>
      <c r="BN176">
        <v>0</v>
      </c>
      <c r="BO176" s="5">
        <f>BN176/BN186</f>
        <v>0</v>
      </c>
      <c r="BP176" s="5">
        <f>0/$BP$1</f>
        <v>0</v>
      </c>
      <c r="BR176">
        <v>2</v>
      </c>
      <c r="BS176" s="5">
        <f>BR176/BR186</f>
        <v>6.369426751592357E-3</v>
      </c>
      <c r="BT176" s="5">
        <f>2/$BT$1</f>
        <v>6.369426751592357E-3</v>
      </c>
      <c r="BV176">
        <v>11</v>
      </c>
      <c r="BW176" s="5">
        <f>BV176/BV186</f>
        <v>2.7989821882951654E-2</v>
      </c>
      <c r="BX176" s="5">
        <f>11/$BX$1</f>
        <v>2.7989821882951654E-2</v>
      </c>
      <c r="BZ176">
        <v>8</v>
      </c>
      <c r="CA176" s="5">
        <f>BZ176/BZ186</f>
        <v>3.2520325203252036E-2</v>
      </c>
      <c r="CB176" s="5">
        <f>8/$CB$1</f>
        <v>3.2520325203252036E-2</v>
      </c>
      <c r="CD176">
        <v>0</v>
      </c>
      <c r="CE176" s="5">
        <f>CD176/CD186</f>
        <v>0</v>
      </c>
      <c r="CF176" s="5">
        <f>0/$CF$1</f>
        <v>0</v>
      </c>
      <c r="CH176">
        <v>12</v>
      </c>
      <c r="CI176" s="5">
        <f>CH176/CH186</f>
        <v>1.7441860465116279E-2</v>
      </c>
      <c r="CJ176" s="5">
        <f>12/$CJ$1</f>
        <v>1.7441860465116279E-2</v>
      </c>
      <c r="CL176">
        <v>13</v>
      </c>
      <c r="CM176" s="5">
        <f>CL176/CL186</f>
        <v>1.7150395778364115E-2</v>
      </c>
      <c r="CN176" s="5">
        <f>13/$CN$1</f>
        <v>1.7150395778364115E-2</v>
      </c>
      <c r="CP176">
        <v>8</v>
      </c>
      <c r="CQ176" s="5">
        <f>CP176/CP186</f>
        <v>3.3057851239669422E-2</v>
      </c>
      <c r="CR176" s="5">
        <f>8/$CR$1</f>
        <v>3.3057851239669422E-2</v>
      </c>
      <c r="CT176">
        <v>8</v>
      </c>
      <c r="CU176" s="5">
        <f>CT176/CT186</f>
        <v>2.4024024024024024E-2</v>
      </c>
      <c r="CV176" s="5">
        <f>8/$CV$1</f>
        <v>2.4024024024024024E-2</v>
      </c>
      <c r="CX176">
        <v>13</v>
      </c>
      <c r="CY176" s="5">
        <f>CX176/CX186</f>
        <v>1.9490254872563718E-2</v>
      </c>
      <c r="CZ176" s="5">
        <f>13/$CZ$1</f>
        <v>1.9490254872563718E-2</v>
      </c>
    </row>
    <row r="177" spans="1:104" x14ac:dyDescent="0.25">
      <c r="A177" s="1" t="s">
        <v>1122</v>
      </c>
      <c r="B177">
        <v>14</v>
      </c>
      <c r="C177" s="5">
        <f>B177/B186</f>
        <v>1.4E-2</v>
      </c>
      <c r="D177" s="5">
        <f>14/$D$1</f>
        <v>1.4E-2</v>
      </c>
      <c r="F177">
        <v>6</v>
      </c>
      <c r="G177" s="5">
        <f>F177/F186</f>
        <v>1.1976047904191617E-2</v>
      </c>
      <c r="H177" s="5">
        <f>6/$H$1</f>
        <v>1.1976047904191617E-2</v>
      </c>
      <c r="J177">
        <v>8</v>
      </c>
      <c r="K177" s="5">
        <f>J177/J186</f>
        <v>1.6032064128256512E-2</v>
      </c>
      <c r="L177" s="5">
        <f>8/$L$1</f>
        <v>1.6032064128256512E-2</v>
      </c>
      <c r="N177">
        <v>1</v>
      </c>
      <c r="O177" s="5">
        <f>N177/N186</f>
        <v>1.0309278350515464E-2</v>
      </c>
      <c r="P177" s="5">
        <f>1/$P$1</f>
        <v>1.0309278350515464E-2</v>
      </c>
      <c r="R177">
        <v>4</v>
      </c>
      <c r="S177" s="5">
        <f>R177/R186</f>
        <v>2.0202020202020204E-2</v>
      </c>
      <c r="T177" s="5">
        <f>4/$T$1</f>
        <v>2.0202020202020204E-2</v>
      </c>
      <c r="V177">
        <v>2</v>
      </c>
      <c r="W177" s="5">
        <f>V177/V186</f>
        <v>8.2987551867219917E-3</v>
      </c>
      <c r="X177" s="5">
        <f>2/$X$1</f>
        <v>8.2987551867219917E-3</v>
      </c>
      <c r="Z177">
        <v>4</v>
      </c>
      <c r="AA177" s="5">
        <f>Z177/Z186</f>
        <v>2.0202020202020204E-2</v>
      </c>
      <c r="AB177" s="5">
        <f>4/$AB$1</f>
        <v>2.0202020202020204E-2</v>
      </c>
      <c r="AD177">
        <v>1</v>
      </c>
      <c r="AE177" s="5">
        <f>AD177/AD186</f>
        <v>6.4935064935064939E-3</v>
      </c>
      <c r="AF177" s="5">
        <f>1/$AF$1</f>
        <v>6.4935064935064939E-3</v>
      </c>
      <c r="AH177">
        <v>2</v>
      </c>
      <c r="AI177" s="5">
        <f>AH177/AH186</f>
        <v>1.6666666666666666E-2</v>
      </c>
      <c r="AJ177" s="5">
        <f>2/$AJ$1</f>
        <v>1.6666666666666666E-2</v>
      </c>
      <c r="AL177">
        <v>5</v>
      </c>
      <c r="AM177" s="5">
        <f>AL177/AL186</f>
        <v>1.3513513513513514E-2</v>
      </c>
      <c r="AN177" s="5">
        <f>5/$AN$1</f>
        <v>1.3513513513513514E-2</v>
      </c>
      <c r="AP177">
        <v>5</v>
      </c>
      <c r="AQ177" s="5">
        <f>AP177/AP186</f>
        <v>1.3227513227513227E-2</v>
      </c>
      <c r="AR177" s="5">
        <f>5/$AR$1</f>
        <v>1.3227513227513227E-2</v>
      </c>
      <c r="AT177">
        <v>4</v>
      </c>
      <c r="AU177" s="5">
        <f>AT177/AT186</f>
        <v>1.5873015873015872E-2</v>
      </c>
      <c r="AV177" s="5">
        <f>4/$AV$1</f>
        <v>1.5873015873015872E-2</v>
      </c>
      <c r="AX177">
        <v>5</v>
      </c>
      <c r="AY177" s="5">
        <f>AX177/AX186</f>
        <v>1.8315018315018316E-2</v>
      </c>
      <c r="AZ177" s="5">
        <f>5/$AZ$1</f>
        <v>1.8315018315018316E-2</v>
      </c>
      <c r="BA177" s="5"/>
      <c r="BB177">
        <v>3</v>
      </c>
      <c r="BC177" s="5">
        <f>BB177/BB186</f>
        <v>1.4778325123152709E-2</v>
      </c>
      <c r="BD177" s="5">
        <f>3/$BD$1</f>
        <v>1.4778325123152709E-2</v>
      </c>
      <c r="BF177">
        <v>1</v>
      </c>
      <c r="BG177" s="5">
        <f>BF177/BF186</f>
        <v>4.6511627906976744E-3</v>
      </c>
      <c r="BH177" s="5">
        <f>1/$BH$1</f>
        <v>4.6511627906976744E-3</v>
      </c>
      <c r="BJ177">
        <v>5</v>
      </c>
      <c r="BK177" s="5">
        <f>BJ177/BJ186</f>
        <v>1.6181229773462782E-2</v>
      </c>
      <c r="BL177" s="5">
        <f>5/$BL$1</f>
        <v>1.6181229773462782E-2</v>
      </c>
      <c r="BN177">
        <v>0</v>
      </c>
      <c r="BO177" s="5">
        <f>BN177/BN186</f>
        <v>0</v>
      </c>
      <c r="BP177" s="5">
        <f>0/$BP$1</f>
        <v>0</v>
      </c>
      <c r="BR177">
        <v>2</v>
      </c>
      <c r="BS177" s="5">
        <f>BR177/BR186</f>
        <v>6.369426751592357E-3</v>
      </c>
      <c r="BT177" s="5">
        <f>2/$BT$1</f>
        <v>6.369426751592357E-3</v>
      </c>
      <c r="BV177">
        <v>4</v>
      </c>
      <c r="BW177" s="5">
        <f>BV177/BV186</f>
        <v>1.0178117048346057E-2</v>
      </c>
      <c r="BX177" s="5">
        <f>4/$BX$1</f>
        <v>1.0178117048346057E-2</v>
      </c>
      <c r="BZ177">
        <v>8</v>
      </c>
      <c r="CA177" s="5">
        <f>BZ177/BZ186</f>
        <v>3.2520325203252036E-2</v>
      </c>
      <c r="CB177" s="5">
        <f>8/$CB$1</f>
        <v>3.2520325203252036E-2</v>
      </c>
      <c r="CD177">
        <v>4</v>
      </c>
      <c r="CE177" s="5">
        <f>CD177/CD186</f>
        <v>3.2520325203252036E-2</v>
      </c>
      <c r="CF177" s="5">
        <f>4/$CF$1</f>
        <v>3.2520325203252036E-2</v>
      </c>
      <c r="CH177">
        <v>9</v>
      </c>
      <c r="CI177" s="5">
        <f>CH177/CH186</f>
        <v>1.308139534883721E-2</v>
      </c>
      <c r="CJ177" s="5">
        <f>9/$CJ$1</f>
        <v>1.308139534883721E-2</v>
      </c>
      <c r="CL177">
        <v>6</v>
      </c>
      <c r="CM177" s="5">
        <f>CL177/CL186</f>
        <v>7.9155672823219003E-3</v>
      </c>
      <c r="CN177" s="5">
        <f>6/$CN$1</f>
        <v>7.9155672823219003E-3</v>
      </c>
      <c r="CP177">
        <v>8</v>
      </c>
      <c r="CQ177" s="5">
        <f>CP177/CP186</f>
        <v>3.3057851239669422E-2</v>
      </c>
      <c r="CR177" s="5">
        <f>8/$CR$1</f>
        <v>3.3057851239669422E-2</v>
      </c>
      <c r="CT177">
        <v>6</v>
      </c>
      <c r="CU177" s="5">
        <f>CT177/CT186</f>
        <v>1.8018018018018018E-2</v>
      </c>
      <c r="CV177" s="5">
        <f>6/$CV$1</f>
        <v>1.8018018018018018E-2</v>
      </c>
      <c r="CX177">
        <v>8</v>
      </c>
      <c r="CY177" s="5">
        <f>CX177/CX186</f>
        <v>1.1994002998500749E-2</v>
      </c>
      <c r="CZ177" s="5">
        <f>8/$CZ$1</f>
        <v>1.1994002998500749E-2</v>
      </c>
    </row>
    <row r="178" spans="1:104" x14ac:dyDescent="0.25">
      <c r="A178" s="1" t="s">
        <v>1123</v>
      </c>
      <c r="B178">
        <v>50</v>
      </c>
      <c r="C178" s="5">
        <f>B178/B186</f>
        <v>0.05</v>
      </c>
      <c r="D178" s="5">
        <f>50/$D$1</f>
        <v>0.05</v>
      </c>
      <c r="F178">
        <v>14</v>
      </c>
      <c r="G178" s="5">
        <f>F178/F186</f>
        <v>2.7944111776447105E-2</v>
      </c>
      <c r="H178" s="5">
        <f>14/$H$1</f>
        <v>2.7944111776447105E-2</v>
      </c>
      <c r="J178">
        <v>36</v>
      </c>
      <c r="K178" s="5">
        <f>J178/J186</f>
        <v>7.2144288577154311E-2</v>
      </c>
      <c r="L178" s="5">
        <f>36/$L$1</f>
        <v>7.2144288577154311E-2</v>
      </c>
      <c r="N178">
        <v>8</v>
      </c>
      <c r="O178" s="5">
        <f>N178/N186</f>
        <v>8.247422680412371E-2</v>
      </c>
      <c r="P178" s="5">
        <f>8/$P$1</f>
        <v>8.247422680412371E-2</v>
      </c>
      <c r="R178">
        <v>12</v>
      </c>
      <c r="S178" s="5">
        <f>R178/R186</f>
        <v>6.0606060606060608E-2</v>
      </c>
      <c r="T178" s="5">
        <f>12/$T$1</f>
        <v>6.0606060606060608E-2</v>
      </c>
      <c r="V178">
        <v>13</v>
      </c>
      <c r="W178" s="5">
        <f>V178/V186</f>
        <v>5.3941908713692949E-2</v>
      </c>
      <c r="X178" s="5">
        <f>13/$X$1</f>
        <v>5.3941908713692949E-2</v>
      </c>
      <c r="Z178">
        <v>8</v>
      </c>
      <c r="AA178" s="5">
        <f>Z178/Z186</f>
        <v>4.0404040404040407E-2</v>
      </c>
      <c r="AB178" s="5">
        <f>8/$AB$1</f>
        <v>4.0404040404040407E-2</v>
      </c>
      <c r="AD178">
        <v>6</v>
      </c>
      <c r="AE178" s="5">
        <f>AD178/AD186</f>
        <v>3.896103896103896E-2</v>
      </c>
      <c r="AF178" s="5">
        <f>6/$AF$1</f>
        <v>3.896103896103896E-2</v>
      </c>
      <c r="AH178">
        <v>4</v>
      </c>
      <c r="AI178" s="5">
        <f>AH178/AH186</f>
        <v>3.3333333333333333E-2</v>
      </c>
      <c r="AJ178" s="5">
        <f>4/$AJ$1</f>
        <v>3.3333333333333333E-2</v>
      </c>
      <c r="AL178">
        <v>25</v>
      </c>
      <c r="AM178" s="5">
        <f>AL178/AL186</f>
        <v>6.7567567567567571E-2</v>
      </c>
      <c r="AN178" s="5">
        <f>25/$AN$1</f>
        <v>6.7567567567567571E-2</v>
      </c>
      <c r="AP178">
        <v>14</v>
      </c>
      <c r="AQ178" s="5">
        <f>AP178/AP186</f>
        <v>3.7037037037037035E-2</v>
      </c>
      <c r="AR178" s="5">
        <f>14/$AR$1</f>
        <v>3.7037037037037035E-2</v>
      </c>
      <c r="AT178">
        <v>11</v>
      </c>
      <c r="AU178" s="5">
        <f>AT178/AT186</f>
        <v>4.3650793650793648E-2</v>
      </c>
      <c r="AV178" s="5">
        <f>11/$AV$1</f>
        <v>4.3650793650793648E-2</v>
      </c>
      <c r="AX178">
        <v>12</v>
      </c>
      <c r="AY178" s="5">
        <f>AX178/AX186</f>
        <v>4.3956043956043959E-2</v>
      </c>
      <c r="AZ178" s="5">
        <f>12/$AZ$1</f>
        <v>4.3956043956043959E-2</v>
      </c>
      <c r="BA178" s="5"/>
      <c r="BB178">
        <v>8</v>
      </c>
      <c r="BC178" s="5">
        <f>BB178/BB186</f>
        <v>3.9408866995073892E-2</v>
      </c>
      <c r="BD178" s="5">
        <f>8/$BD$1</f>
        <v>3.9408866995073892E-2</v>
      </c>
      <c r="BF178">
        <v>11</v>
      </c>
      <c r="BG178" s="5">
        <f>BF178/BF186</f>
        <v>5.1162790697674418E-2</v>
      </c>
      <c r="BH178" s="5">
        <f>11/$BH$1</f>
        <v>5.1162790697674418E-2</v>
      </c>
      <c r="BJ178">
        <v>19</v>
      </c>
      <c r="BK178" s="5">
        <f>BJ178/BJ186</f>
        <v>6.1488673139158574E-2</v>
      </c>
      <c r="BL178" s="5">
        <f>19/$BL$1</f>
        <v>6.1488673139158574E-2</v>
      </c>
      <c r="BN178">
        <v>5</v>
      </c>
      <c r="BO178" s="5">
        <f>BN178/BN186</f>
        <v>0.10638297872340426</v>
      </c>
      <c r="BP178" s="5">
        <f>5/$BP$1</f>
        <v>0.10638297872340426</v>
      </c>
      <c r="BR178">
        <v>16</v>
      </c>
      <c r="BS178" s="5">
        <f>BR178/BR186</f>
        <v>5.0955414012738856E-2</v>
      </c>
      <c r="BT178" s="5">
        <f>16/$BT$1</f>
        <v>5.0955414012738856E-2</v>
      </c>
      <c r="BV178">
        <v>16</v>
      </c>
      <c r="BW178" s="5">
        <f>BV178/BV186</f>
        <v>4.0712468193384227E-2</v>
      </c>
      <c r="BX178" s="5">
        <f>16/$BX$1</f>
        <v>4.0712468193384227E-2</v>
      </c>
      <c r="BZ178">
        <v>13</v>
      </c>
      <c r="CA178" s="5">
        <f>BZ178/BZ186</f>
        <v>5.2845528455284556E-2</v>
      </c>
      <c r="CB178" s="5">
        <f>13/$CB$1</f>
        <v>5.2845528455284556E-2</v>
      </c>
      <c r="CD178">
        <v>4</v>
      </c>
      <c r="CE178" s="5">
        <f>CD178/CD186</f>
        <v>3.2520325203252036E-2</v>
      </c>
      <c r="CF178" s="5">
        <f>4/$CF$1</f>
        <v>3.2520325203252036E-2</v>
      </c>
      <c r="CH178">
        <v>34</v>
      </c>
      <c r="CI178" s="5">
        <f>CH178/CH186</f>
        <v>4.9418604651162788E-2</v>
      </c>
      <c r="CJ178" s="5">
        <f>34/$CJ$1</f>
        <v>4.9418604651162788E-2</v>
      </c>
      <c r="CL178">
        <v>39</v>
      </c>
      <c r="CM178" s="5">
        <f>CL178/CL186</f>
        <v>5.1451187335092345E-2</v>
      </c>
      <c r="CN178" s="5">
        <f>39/$CN$1</f>
        <v>5.1451187335092345E-2</v>
      </c>
      <c r="CP178">
        <v>11</v>
      </c>
      <c r="CQ178" s="5">
        <f>CP178/CP186</f>
        <v>4.5454545454545456E-2</v>
      </c>
      <c r="CR178" s="5">
        <f>11/$CR$1</f>
        <v>4.5454545454545456E-2</v>
      </c>
      <c r="CT178">
        <v>17</v>
      </c>
      <c r="CU178" s="5">
        <f>CT178/CT186</f>
        <v>5.1051051051051052E-2</v>
      </c>
      <c r="CV178" s="5">
        <f>17/$CV$1</f>
        <v>5.1051051051051052E-2</v>
      </c>
      <c r="CX178">
        <v>33</v>
      </c>
      <c r="CY178" s="5">
        <f>CX178/CX186</f>
        <v>4.9475262368815595E-2</v>
      </c>
      <c r="CZ178" s="5">
        <f>33/$CZ$1</f>
        <v>4.9475262368815595E-2</v>
      </c>
    </row>
    <row r="179" spans="1:104" x14ac:dyDescent="0.25">
      <c r="A179" s="1" t="s">
        <v>1124</v>
      </c>
      <c r="B179">
        <v>98</v>
      </c>
      <c r="C179" s="5">
        <f>B179/B186</f>
        <v>9.8000000000000004E-2</v>
      </c>
      <c r="D179" s="5">
        <f>98/$D$1</f>
        <v>9.8000000000000004E-2</v>
      </c>
      <c r="F179">
        <v>26</v>
      </c>
      <c r="G179" s="5">
        <f>F179/F186</f>
        <v>5.1896207584830337E-2</v>
      </c>
      <c r="H179" s="5">
        <f>26/$H$1</f>
        <v>5.1896207584830337E-2</v>
      </c>
      <c r="J179">
        <v>72</v>
      </c>
      <c r="K179" s="5">
        <f>J179/J186</f>
        <v>0.14428857715430862</v>
      </c>
      <c r="L179" s="5">
        <f>72/$L$1</f>
        <v>0.14428857715430862</v>
      </c>
      <c r="N179">
        <v>16</v>
      </c>
      <c r="O179" s="5">
        <f>N179/N186</f>
        <v>0.16494845360824742</v>
      </c>
      <c r="P179" s="5">
        <f>16/$P$1</f>
        <v>0.16494845360824742</v>
      </c>
      <c r="R179">
        <v>32</v>
      </c>
      <c r="S179" s="5">
        <f>R179/R186</f>
        <v>0.16161616161616163</v>
      </c>
      <c r="T179" s="5">
        <f>32/$T$1</f>
        <v>0.16161616161616163</v>
      </c>
      <c r="V179">
        <v>22</v>
      </c>
      <c r="W179" s="5">
        <f>V179/V186</f>
        <v>9.1286307053941904E-2</v>
      </c>
      <c r="X179" s="5">
        <f>22/$X$1</f>
        <v>9.1286307053941904E-2</v>
      </c>
      <c r="Z179">
        <v>9</v>
      </c>
      <c r="AA179" s="5">
        <f>Z179/Z186</f>
        <v>4.5454545454545456E-2</v>
      </c>
      <c r="AB179" s="5">
        <f>9/$AB$1</f>
        <v>4.5454545454545456E-2</v>
      </c>
      <c r="AD179">
        <v>13</v>
      </c>
      <c r="AE179" s="5">
        <f>AD179/AD186</f>
        <v>8.4415584415584416E-2</v>
      </c>
      <c r="AF179" s="5">
        <f>13/$AF$1</f>
        <v>8.4415584415584416E-2</v>
      </c>
      <c r="AH179">
        <v>7</v>
      </c>
      <c r="AI179" s="5">
        <f>AH179/AH186</f>
        <v>5.8333333333333334E-2</v>
      </c>
      <c r="AJ179" s="5">
        <f>7/$AJ$1</f>
        <v>5.8333333333333334E-2</v>
      </c>
      <c r="AL179">
        <v>41</v>
      </c>
      <c r="AM179" s="5">
        <f>AL179/AL186</f>
        <v>0.11081081081081082</v>
      </c>
      <c r="AN179" s="5">
        <f>41/$AN$1</f>
        <v>0.11081081081081082</v>
      </c>
      <c r="AP179">
        <v>34</v>
      </c>
      <c r="AQ179" s="5">
        <f>AP179/AP186</f>
        <v>8.9947089947089942E-2</v>
      </c>
      <c r="AR179" s="5">
        <f>34/$AR$1</f>
        <v>8.9947089947089942E-2</v>
      </c>
      <c r="AT179">
        <v>23</v>
      </c>
      <c r="AU179" s="5">
        <f>AT179/AT186</f>
        <v>9.1269841269841265E-2</v>
      </c>
      <c r="AV179" s="5">
        <f>23/$AV$1</f>
        <v>9.1269841269841265E-2</v>
      </c>
      <c r="AX179">
        <v>22</v>
      </c>
      <c r="AY179" s="5">
        <f>AX179/AX186</f>
        <v>8.0586080586080591E-2</v>
      </c>
      <c r="AZ179" s="5">
        <f>22/$AZ$1</f>
        <v>8.0586080586080591E-2</v>
      </c>
      <c r="BA179" s="5"/>
      <c r="BB179">
        <v>22</v>
      </c>
      <c r="BC179" s="5">
        <f>BB179/BB186</f>
        <v>0.10837438423645321</v>
      </c>
      <c r="BD179" s="5">
        <f>22/$BD$1</f>
        <v>0.10837438423645321</v>
      </c>
      <c r="BF179">
        <v>24</v>
      </c>
      <c r="BG179" s="5">
        <f>BF179/BF186</f>
        <v>0.11162790697674418</v>
      </c>
      <c r="BH179" s="5">
        <f>24/$BH$1</f>
        <v>0.11162790697674418</v>
      </c>
      <c r="BJ179">
        <v>30</v>
      </c>
      <c r="BK179" s="5">
        <f>BJ179/BJ186</f>
        <v>9.7087378640776698E-2</v>
      </c>
      <c r="BL179" s="5">
        <f>30/$BL$1</f>
        <v>9.7087378640776698E-2</v>
      </c>
      <c r="BN179">
        <v>8</v>
      </c>
      <c r="BO179" s="5">
        <f>BN179/BN186</f>
        <v>0.1702127659574468</v>
      </c>
      <c r="BP179" s="5">
        <f>8/$BP$1</f>
        <v>0.1702127659574468</v>
      </c>
      <c r="BR179">
        <v>30</v>
      </c>
      <c r="BS179" s="5">
        <f>BR179/BR186</f>
        <v>9.5541401273885357E-2</v>
      </c>
      <c r="BT179" s="5">
        <f>30/$BT$1</f>
        <v>9.5541401273885357E-2</v>
      </c>
      <c r="BV179">
        <v>36</v>
      </c>
      <c r="BW179" s="5">
        <f>BV179/BV186</f>
        <v>9.1603053435114504E-2</v>
      </c>
      <c r="BX179" s="5">
        <f>36/$BX$1</f>
        <v>9.1603053435114504E-2</v>
      </c>
      <c r="BZ179">
        <v>24</v>
      </c>
      <c r="CA179" s="5">
        <f>BZ179/BZ186</f>
        <v>9.7560975609756101E-2</v>
      </c>
      <c r="CB179" s="5">
        <f>24/$CB$1</f>
        <v>9.7560975609756101E-2</v>
      </c>
      <c r="CD179">
        <v>9</v>
      </c>
      <c r="CE179" s="5">
        <f>CD179/CD186</f>
        <v>7.3170731707317069E-2</v>
      </c>
      <c r="CF179" s="5">
        <f>9/$CF$1</f>
        <v>7.3170731707317069E-2</v>
      </c>
      <c r="CH179">
        <v>70</v>
      </c>
      <c r="CI179" s="5">
        <f>CH179/CH186</f>
        <v>0.10174418604651163</v>
      </c>
      <c r="CJ179" s="5">
        <f>70/$CJ$1</f>
        <v>0.10174418604651163</v>
      </c>
      <c r="CL179">
        <v>77</v>
      </c>
      <c r="CM179" s="5">
        <f>CL179/CL186</f>
        <v>0.10158311345646438</v>
      </c>
      <c r="CN179" s="5">
        <f>77/$CN$1</f>
        <v>0.10158311345646438</v>
      </c>
      <c r="CP179">
        <v>21</v>
      </c>
      <c r="CQ179" s="5">
        <f>CP179/CP186</f>
        <v>8.6776859504132234E-2</v>
      </c>
      <c r="CR179" s="5">
        <f>21/$CR$1</f>
        <v>8.6776859504132234E-2</v>
      </c>
      <c r="CT179">
        <v>33</v>
      </c>
      <c r="CU179" s="5">
        <f>CT179/CT186</f>
        <v>9.90990990990991E-2</v>
      </c>
      <c r="CV179" s="5">
        <f>33/$CV$1</f>
        <v>9.90990990990991E-2</v>
      </c>
      <c r="CX179">
        <v>65</v>
      </c>
      <c r="CY179" s="5">
        <f>CX179/CX186</f>
        <v>9.7451274362818585E-2</v>
      </c>
      <c r="CZ179" s="5">
        <f>65/$CZ$1</f>
        <v>9.7451274362818585E-2</v>
      </c>
    </row>
    <row r="180" spans="1:104" x14ac:dyDescent="0.25">
      <c r="A180" s="1" t="s">
        <v>1125</v>
      </c>
      <c r="B180">
        <v>18</v>
      </c>
      <c r="C180" s="5">
        <f>B180/B186</f>
        <v>1.7999999999999999E-2</v>
      </c>
      <c r="D180" s="5">
        <f>18/$D$1</f>
        <v>1.7999999999999999E-2</v>
      </c>
      <c r="F180">
        <v>11</v>
      </c>
      <c r="G180" s="5">
        <f>F180/F186</f>
        <v>2.1956087824351298E-2</v>
      </c>
      <c r="H180" s="5">
        <f>11/$H$1</f>
        <v>2.1956087824351298E-2</v>
      </c>
      <c r="J180">
        <v>7</v>
      </c>
      <c r="K180" s="5">
        <f>J180/J186</f>
        <v>1.4028056112224449E-2</v>
      </c>
      <c r="L180" s="5">
        <f>7/$L$1</f>
        <v>1.4028056112224449E-2</v>
      </c>
      <c r="N180">
        <v>2</v>
      </c>
      <c r="O180" s="5">
        <f>N180/N186</f>
        <v>2.0618556701030927E-2</v>
      </c>
      <c r="P180" s="5">
        <f>2/$P$1</f>
        <v>2.0618556701030927E-2</v>
      </c>
      <c r="R180">
        <v>6</v>
      </c>
      <c r="S180" s="5">
        <f>R180/R186</f>
        <v>3.0303030303030304E-2</v>
      </c>
      <c r="T180" s="5">
        <f>6/$T$1</f>
        <v>3.0303030303030304E-2</v>
      </c>
      <c r="V180">
        <v>6</v>
      </c>
      <c r="W180" s="5">
        <f>V180/V186</f>
        <v>2.4896265560165973E-2</v>
      </c>
      <c r="X180" s="5">
        <f>6/$X$1</f>
        <v>2.4896265560165973E-2</v>
      </c>
      <c r="Z180">
        <v>2</v>
      </c>
      <c r="AA180" s="5">
        <f>Z180/Z186</f>
        <v>1.0101010101010102E-2</v>
      </c>
      <c r="AB180" s="5">
        <f>2/$AB$1</f>
        <v>1.0101010101010102E-2</v>
      </c>
      <c r="AD180">
        <v>2</v>
      </c>
      <c r="AE180" s="5">
        <f>AD180/AD186</f>
        <v>1.2987012987012988E-2</v>
      </c>
      <c r="AF180" s="5">
        <f>2/$AF$1</f>
        <v>1.2987012987012988E-2</v>
      </c>
      <c r="AH180">
        <v>0</v>
      </c>
      <c r="AI180" s="5">
        <f>AH180/AH186</f>
        <v>0</v>
      </c>
      <c r="AJ180" s="5">
        <f>0/$AJ$1</f>
        <v>0</v>
      </c>
      <c r="AL180">
        <v>8</v>
      </c>
      <c r="AM180" s="5">
        <f>AL180/AL186</f>
        <v>2.1621621621621623E-2</v>
      </c>
      <c r="AN180" s="5">
        <f>8/$AN$1</f>
        <v>2.1621621621621623E-2</v>
      </c>
      <c r="AP180">
        <v>5</v>
      </c>
      <c r="AQ180" s="5">
        <f>AP180/AP186</f>
        <v>1.3227513227513227E-2</v>
      </c>
      <c r="AR180" s="5">
        <f>5/$AR$1</f>
        <v>1.3227513227513227E-2</v>
      </c>
      <c r="AT180">
        <v>5</v>
      </c>
      <c r="AU180" s="5">
        <f>AT180/AT186</f>
        <v>1.984126984126984E-2</v>
      </c>
      <c r="AV180" s="5">
        <f>5/$AV$1</f>
        <v>1.984126984126984E-2</v>
      </c>
      <c r="AX180">
        <v>5</v>
      </c>
      <c r="AY180" s="5">
        <f>AX180/AX186</f>
        <v>1.8315018315018316E-2</v>
      </c>
      <c r="AZ180" s="5">
        <f>5/$AZ$1</f>
        <v>1.8315018315018316E-2</v>
      </c>
      <c r="BA180" s="5"/>
      <c r="BB180">
        <v>3</v>
      </c>
      <c r="BC180" s="5">
        <f>BB180/BB186</f>
        <v>1.4778325123152709E-2</v>
      </c>
      <c r="BD180" s="5">
        <f>3/$BD$1</f>
        <v>1.4778325123152709E-2</v>
      </c>
      <c r="BF180">
        <v>6</v>
      </c>
      <c r="BG180" s="5">
        <f>BF180/BF186</f>
        <v>2.7906976744186046E-2</v>
      </c>
      <c r="BH180" s="5">
        <f>6/$BH$1</f>
        <v>2.7906976744186046E-2</v>
      </c>
      <c r="BJ180">
        <v>4</v>
      </c>
      <c r="BK180" s="5">
        <f>BJ180/BJ186</f>
        <v>1.2944983818770227E-2</v>
      </c>
      <c r="BL180" s="5">
        <f>4/$BL$1</f>
        <v>1.2944983818770227E-2</v>
      </c>
      <c r="BN180">
        <v>1</v>
      </c>
      <c r="BO180" s="5">
        <f>BN180/BN186</f>
        <v>2.1276595744680851E-2</v>
      </c>
      <c r="BP180" s="5">
        <f>1/$BP$1</f>
        <v>2.1276595744680851E-2</v>
      </c>
      <c r="BR180">
        <v>6</v>
      </c>
      <c r="BS180" s="5">
        <f>BR180/BR186</f>
        <v>1.9108280254777069E-2</v>
      </c>
      <c r="BT180" s="5">
        <f>6/$BT$1</f>
        <v>1.9108280254777069E-2</v>
      </c>
      <c r="BV180">
        <v>4</v>
      </c>
      <c r="BW180" s="5">
        <f>BV180/BV186</f>
        <v>1.0178117048346057E-2</v>
      </c>
      <c r="BX180" s="5">
        <f>4/$BX$1</f>
        <v>1.0178117048346057E-2</v>
      </c>
      <c r="BZ180">
        <v>7</v>
      </c>
      <c r="CA180" s="5">
        <f>BZ180/BZ186</f>
        <v>2.8455284552845527E-2</v>
      </c>
      <c r="CB180" s="5">
        <f>7/$CB$1</f>
        <v>2.8455284552845527E-2</v>
      </c>
      <c r="CD180">
        <v>5</v>
      </c>
      <c r="CE180" s="5">
        <f>CD180/CD186</f>
        <v>4.065040650406504E-2</v>
      </c>
      <c r="CF180" s="5">
        <f>5/$CF$1</f>
        <v>4.065040650406504E-2</v>
      </c>
      <c r="CH180">
        <v>7</v>
      </c>
      <c r="CI180" s="5">
        <f>CH180/CH186</f>
        <v>1.0174418604651164E-2</v>
      </c>
      <c r="CJ180" s="5">
        <f>7/$CJ$1</f>
        <v>1.0174418604651164E-2</v>
      </c>
      <c r="CL180">
        <v>12</v>
      </c>
      <c r="CM180" s="5">
        <f>CL180/CL186</f>
        <v>1.5831134564643801E-2</v>
      </c>
      <c r="CN180" s="5">
        <f>12/$CN$1</f>
        <v>1.5831134564643801E-2</v>
      </c>
      <c r="CP180">
        <v>6</v>
      </c>
      <c r="CQ180" s="5">
        <f>CP180/CP186</f>
        <v>2.4793388429752067E-2</v>
      </c>
      <c r="CR180" s="5">
        <f>6/$CR$1</f>
        <v>2.4793388429752067E-2</v>
      </c>
      <c r="CT180">
        <v>10</v>
      </c>
      <c r="CU180" s="5">
        <f>CT180/CT186</f>
        <v>3.003003003003003E-2</v>
      </c>
      <c r="CV180" s="5">
        <f>10/$CV$1</f>
        <v>3.003003003003003E-2</v>
      </c>
      <c r="CX180">
        <v>8</v>
      </c>
      <c r="CY180" s="5">
        <f>CX180/CX186</f>
        <v>1.1994002998500749E-2</v>
      </c>
      <c r="CZ180" s="5">
        <f>8/$CZ$1</f>
        <v>1.1994002998500749E-2</v>
      </c>
    </row>
    <row r="181" spans="1:104" x14ac:dyDescent="0.25">
      <c r="A181" s="1" t="s">
        <v>1126</v>
      </c>
      <c r="B181">
        <v>32</v>
      </c>
      <c r="C181" s="5">
        <f>B181/B186</f>
        <v>3.2000000000000001E-2</v>
      </c>
      <c r="D181" s="5">
        <f>32/$D$1</f>
        <v>3.2000000000000001E-2</v>
      </c>
      <c r="F181">
        <v>14</v>
      </c>
      <c r="G181" s="5">
        <f>F181/F186</f>
        <v>2.7944111776447105E-2</v>
      </c>
      <c r="H181" s="5">
        <f>14/$H$1</f>
        <v>2.7944111776447105E-2</v>
      </c>
      <c r="J181">
        <v>18</v>
      </c>
      <c r="K181" s="5">
        <f>J181/J186</f>
        <v>3.6072144288577156E-2</v>
      </c>
      <c r="L181" s="5">
        <f>18/$L$1</f>
        <v>3.6072144288577156E-2</v>
      </c>
      <c r="N181">
        <v>5</v>
      </c>
      <c r="O181" s="5">
        <f>N181/N186</f>
        <v>5.1546391752577317E-2</v>
      </c>
      <c r="P181" s="5">
        <f>5/$P$1</f>
        <v>5.1546391752577317E-2</v>
      </c>
      <c r="R181">
        <v>8</v>
      </c>
      <c r="S181" s="5">
        <f>R181/R186</f>
        <v>4.0404040404040407E-2</v>
      </c>
      <c r="T181" s="5">
        <f>8/$T$1</f>
        <v>4.0404040404040407E-2</v>
      </c>
      <c r="V181">
        <v>10</v>
      </c>
      <c r="W181" s="5">
        <f>V181/V186</f>
        <v>4.1493775933609957E-2</v>
      </c>
      <c r="X181" s="5">
        <f>10/$X$1</f>
        <v>4.1493775933609957E-2</v>
      </c>
      <c r="Z181">
        <v>5</v>
      </c>
      <c r="AA181" s="5">
        <f>Z181/Z186</f>
        <v>2.5252525252525252E-2</v>
      </c>
      <c r="AB181" s="5">
        <f>5/$AB$1</f>
        <v>2.5252525252525252E-2</v>
      </c>
      <c r="AD181">
        <v>3</v>
      </c>
      <c r="AE181" s="5">
        <f>AD181/AD186</f>
        <v>1.948051948051948E-2</v>
      </c>
      <c r="AF181" s="5">
        <f>3/$AF$1</f>
        <v>1.948051948051948E-2</v>
      </c>
      <c r="AH181">
        <v>1</v>
      </c>
      <c r="AI181" s="5">
        <f>AH181/AH186</f>
        <v>8.3333333333333332E-3</v>
      </c>
      <c r="AJ181" s="5">
        <f>1/$AJ$1</f>
        <v>8.3333333333333332E-3</v>
      </c>
      <c r="AL181">
        <v>12</v>
      </c>
      <c r="AM181" s="5">
        <f>AL181/AL186</f>
        <v>3.2432432432432434E-2</v>
      </c>
      <c r="AN181" s="5">
        <f>12/$AN$1</f>
        <v>3.2432432432432434E-2</v>
      </c>
      <c r="AP181">
        <v>13</v>
      </c>
      <c r="AQ181" s="5">
        <f>AP181/AP186</f>
        <v>3.439153439153439E-2</v>
      </c>
      <c r="AR181" s="5">
        <f>13/$AR$1</f>
        <v>3.439153439153439E-2</v>
      </c>
      <c r="AT181">
        <v>7</v>
      </c>
      <c r="AU181" s="5">
        <f>AT181/AT186</f>
        <v>2.7777777777777776E-2</v>
      </c>
      <c r="AV181" s="5">
        <f>7/$AV$1</f>
        <v>2.7777777777777776E-2</v>
      </c>
      <c r="AX181">
        <v>5</v>
      </c>
      <c r="AY181" s="5">
        <f>AX181/AX186</f>
        <v>1.8315018315018316E-2</v>
      </c>
      <c r="AZ181" s="5">
        <f>5/$AZ$1</f>
        <v>1.8315018315018316E-2</v>
      </c>
      <c r="BA181" s="5"/>
      <c r="BB181">
        <v>5</v>
      </c>
      <c r="BC181" s="5">
        <f>BB181/BB186</f>
        <v>2.4630541871921183E-2</v>
      </c>
      <c r="BD181" s="5">
        <f>5/$BD$1</f>
        <v>2.4630541871921183E-2</v>
      </c>
      <c r="BF181">
        <v>12</v>
      </c>
      <c r="BG181" s="5">
        <f>BF181/BF186</f>
        <v>5.5813953488372092E-2</v>
      </c>
      <c r="BH181" s="5">
        <f>12/$BH$1</f>
        <v>5.5813953488372092E-2</v>
      </c>
      <c r="BJ181">
        <v>10</v>
      </c>
      <c r="BK181" s="5">
        <f>BJ181/BJ186</f>
        <v>3.2362459546925564E-2</v>
      </c>
      <c r="BL181" s="5">
        <f>10/$BL$1</f>
        <v>3.2362459546925564E-2</v>
      </c>
      <c r="BN181">
        <v>2</v>
      </c>
      <c r="BO181" s="5">
        <f>BN181/BN186</f>
        <v>4.2553191489361701E-2</v>
      </c>
      <c r="BP181" s="5">
        <f>2/$BP$1</f>
        <v>4.2553191489361701E-2</v>
      </c>
      <c r="BR181">
        <v>12</v>
      </c>
      <c r="BS181" s="5">
        <f>BR181/BR186</f>
        <v>3.8216560509554139E-2</v>
      </c>
      <c r="BT181" s="5">
        <f>12/$BT$1</f>
        <v>3.8216560509554139E-2</v>
      </c>
      <c r="BV181">
        <v>10</v>
      </c>
      <c r="BW181" s="5">
        <f>BV181/BV186</f>
        <v>2.5445292620865138E-2</v>
      </c>
      <c r="BX181" s="5">
        <f>10/$BX$1</f>
        <v>2.5445292620865138E-2</v>
      </c>
      <c r="BZ181">
        <v>8</v>
      </c>
      <c r="CA181" s="5">
        <f>BZ181/BZ186</f>
        <v>3.2520325203252036E-2</v>
      </c>
      <c r="CB181" s="5">
        <f>8/$CB$1</f>
        <v>3.2520325203252036E-2</v>
      </c>
      <c r="CD181">
        <v>6</v>
      </c>
      <c r="CE181" s="5">
        <f>CD181/CD186</f>
        <v>4.878048780487805E-2</v>
      </c>
      <c r="CF181" s="5">
        <f>6/$CF$1</f>
        <v>4.878048780487805E-2</v>
      </c>
      <c r="CH181">
        <v>18</v>
      </c>
      <c r="CI181" s="5">
        <f>CH181/CH186</f>
        <v>2.616279069767442E-2</v>
      </c>
      <c r="CJ181" s="5">
        <f>18/$CJ$1</f>
        <v>2.616279069767442E-2</v>
      </c>
      <c r="CL181">
        <v>25</v>
      </c>
      <c r="CM181" s="5">
        <f>CL181/CL186</f>
        <v>3.2981530343007916E-2</v>
      </c>
      <c r="CN181" s="5">
        <f>25/$CN$1</f>
        <v>3.2981530343007916E-2</v>
      </c>
      <c r="CP181">
        <v>7</v>
      </c>
      <c r="CQ181" s="5">
        <f>CP181/CP186</f>
        <v>2.8925619834710745E-2</v>
      </c>
      <c r="CR181" s="5">
        <f>7/$CR$1</f>
        <v>2.8925619834710745E-2</v>
      </c>
      <c r="CT181">
        <v>10</v>
      </c>
      <c r="CU181" s="5">
        <f>CT181/CT186</f>
        <v>3.003003003003003E-2</v>
      </c>
      <c r="CV181" s="5">
        <f>10/$CV$1</f>
        <v>3.003003003003003E-2</v>
      </c>
      <c r="CX181">
        <v>22</v>
      </c>
      <c r="CY181" s="5">
        <f>CX181/CX186</f>
        <v>3.2983508245877063E-2</v>
      </c>
      <c r="CZ181" s="5">
        <f>22/$CZ$1</f>
        <v>3.2983508245877063E-2</v>
      </c>
    </row>
    <row r="182" spans="1:104" x14ac:dyDescent="0.25">
      <c r="A182" s="1" t="s">
        <v>1127</v>
      </c>
      <c r="B182">
        <v>37</v>
      </c>
      <c r="C182" s="5">
        <f>B182/B186</f>
        <v>3.6999999999999998E-2</v>
      </c>
      <c r="D182" s="5">
        <f>37/$D$1</f>
        <v>3.6999999999999998E-2</v>
      </c>
      <c r="F182">
        <v>12</v>
      </c>
      <c r="G182" s="5">
        <f>F182/F186</f>
        <v>2.3952095808383235E-2</v>
      </c>
      <c r="H182" s="5">
        <f>12/$H$1</f>
        <v>2.3952095808383235E-2</v>
      </c>
      <c r="J182">
        <v>25</v>
      </c>
      <c r="K182" s="5">
        <f>J182/J186</f>
        <v>5.0100200400801605E-2</v>
      </c>
      <c r="L182" s="5">
        <f>25/$L$1</f>
        <v>5.0100200400801605E-2</v>
      </c>
      <c r="N182">
        <v>3</v>
      </c>
      <c r="O182" s="5">
        <f>N182/N186</f>
        <v>3.0927835051546393E-2</v>
      </c>
      <c r="P182" s="5">
        <f>3/$P$1</f>
        <v>3.0927835051546393E-2</v>
      </c>
      <c r="R182">
        <v>8</v>
      </c>
      <c r="S182" s="5">
        <f>R182/R186</f>
        <v>4.0404040404040407E-2</v>
      </c>
      <c r="T182" s="5">
        <f>8/$T$1</f>
        <v>4.0404040404040407E-2</v>
      </c>
      <c r="V182">
        <v>10</v>
      </c>
      <c r="W182" s="5">
        <f>V182/V186</f>
        <v>4.1493775933609957E-2</v>
      </c>
      <c r="X182" s="5">
        <f>10/$X$1</f>
        <v>4.1493775933609957E-2</v>
      </c>
      <c r="Z182">
        <v>5</v>
      </c>
      <c r="AA182" s="5">
        <f>Z182/Z186</f>
        <v>2.5252525252525252E-2</v>
      </c>
      <c r="AB182" s="5">
        <f>5/$AB$1</f>
        <v>2.5252525252525252E-2</v>
      </c>
      <c r="AD182">
        <v>5</v>
      </c>
      <c r="AE182" s="5">
        <f>AD182/AD186</f>
        <v>3.2467532467532464E-2</v>
      </c>
      <c r="AF182" s="5">
        <f>5/$AF$1</f>
        <v>3.2467532467532464E-2</v>
      </c>
      <c r="AH182">
        <v>6</v>
      </c>
      <c r="AI182" s="5">
        <f>AH182/AH186</f>
        <v>0.05</v>
      </c>
      <c r="AJ182" s="5">
        <f>6/$AJ$1</f>
        <v>0.05</v>
      </c>
      <c r="AL182">
        <v>9</v>
      </c>
      <c r="AM182" s="5">
        <f>AL182/AL186</f>
        <v>2.4324324324324326E-2</v>
      </c>
      <c r="AN182" s="5">
        <f>9/$AN$1</f>
        <v>2.4324324324324326E-2</v>
      </c>
      <c r="AP182">
        <v>15</v>
      </c>
      <c r="AQ182" s="5">
        <f>AP182/AP186</f>
        <v>3.968253968253968E-2</v>
      </c>
      <c r="AR182" s="5">
        <f>15/$AR$1</f>
        <v>3.968253968253968E-2</v>
      </c>
      <c r="AT182">
        <v>13</v>
      </c>
      <c r="AU182" s="5">
        <f>AT182/AT186</f>
        <v>5.1587301587301584E-2</v>
      </c>
      <c r="AV182" s="5">
        <f>13/$AV$1</f>
        <v>5.1587301587301584E-2</v>
      </c>
      <c r="AX182">
        <v>7</v>
      </c>
      <c r="AY182" s="5">
        <f>AX182/AX186</f>
        <v>2.564102564102564E-2</v>
      </c>
      <c r="AZ182" s="5">
        <f>7/$AZ$1</f>
        <v>2.564102564102564E-2</v>
      </c>
      <c r="BA182" s="5"/>
      <c r="BB182">
        <v>5</v>
      </c>
      <c r="BC182" s="5">
        <f>BB182/BB186</f>
        <v>2.4630541871921183E-2</v>
      </c>
      <c r="BD182" s="5">
        <f>5/$BD$1</f>
        <v>2.4630541871921183E-2</v>
      </c>
      <c r="BF182">
        <v>8</v>
      </c>
      <c r="BG182" s="5">
        <f>BF182/BF186</f>
        <v>3.7209302325581395E-2</v>
      </c>
      <c r="BH182" s="5">
        <f>8/$BH$1</f>
        <v>3.7209302325581395E-2</v>
      </c>
      <c r="BJ182">
        <v>17</v>
      </c>
      <c r="BK182" s="5">
        <f>BJ182/BJ186</f>
        <v>5.5016181229773461E-2</v>
      </c>
      <c r="BL182" s="5">
        <f>17/$BL$1</f>
        <v>5.5016181229773461E-2</v>
      </c>
      <c r="BN182">
        <v>2</v>
      </c>
      <c r="BO182" s="5">
        <f>BN182/BN186</f>
        <v>4.2553191489361701E-2</v>
      </c>
      <c r="BP182" s="5">
        <f>2/$BP$1</f>
        <v>4.2553191489361701E-2</v>
      </c>
      <c r="BR182">
        <v>10</v>
      </c>
      <c r="BS182" s="5">
        <f>BR182/BR186</f>
        <v>3.1847133757961783E-2</v>
      </c>
      <c r="BT182" s="5">
        <f>10/$BT$1</f>
        <v>3.1847133757961783E-2</v>
      </c>
      <c r="BV182">
        <v>10</v>
      </c>
      <c r="BW182" s="5">
        <f>BV182/BV186</f>
        <v>2.5445292620865138E-2</v>
      </c>
      <c r="BX182" s="5">
        <f>10/$BX$1</f>
        <v>2.5445292620865138E-2</v>
      </c>
      <c r="BZ182">
        <v>15</v>
      </c>
      <c r="CA182" s="5">
        <f>BZ182/BZ186</f>
        <v>6.097560975609756E-2</v>
      </c>
      <c r="CB182" s="5">
        <f>15/$CB$1</f>
        <v>6.097560975609756E-2</v>
      </c>
      <c r="CD182">
        <v>7</v>
      </c>
      <c r="CE182" s="5">
        <f>CD182/CD186</f>
        <v>5.6910569105691054E-2</v>
      </c>
      <c r="CF182" s="5">
        <f>7/$CF$1</f>
        <v>5.6910569105691054E-2</v>
      </c>
      <c r="CH182">
        <v>19</v>
      </c>
      <c r="CI182" s="5">
        <f>CH182/CH186</f>
        <v>2.7616279069767442E-2</v>
      </c>
      <c r="CJ182" s="5">
        <f>19/$CJ$1</f>
        <v>2.7616279069767442E-2</v>
      </c>
      <c r="CL182">
        <v>27</v>
      </c>
      <c r="CM182" s="5">
        <f>CL182/CL186</f>
        <v>3.5620052770448551E-2</v>
      </c>
      <c r="CN182" s="5">
        <f>27/$CN$1</f>
        <v>3.5620052770448551E-2</v>
      </c>
      <c r="CP182">
        <v>10</v>
      </c>
      <c r="CQ182" s="5">
        <f>CP182/CP186</f>
        <v>4.1322314049586778E-2</v>
      </c>
      <c r="CR182" s="5">
        <f>10/$CR$1</f>
        <v>4.1322314049586778E-2</v>
      </c>
      <c r="CT182">
        <v>14</v>
      </c>
      <c r="CU182" s="5">
        <f>CT182/CT186</f>
        <v>4.2042042042042045E-2</v>
      </c>
      <c r="CV182" s="5">
        <f>14/$CV$1</f>
        <v>4.2042042042042045E-2</v>
      </c>
      <c r="CX182">
        <v>23</v>
      </c>
      <c r="CY182" s="5">
        <f>CX182/CX186</f>
        <v>3.4482758620689655E-2</v>
      </c>
      <c r="CZ182" s="5">
        <f>23/$CZ$1</f>
        <v>3.4482758620689655E-2</v>
      </c>
    </row>
    <row r="183" spans="1:104" x14ac:dyDescent="0.25">
      <c r="A183" s="1" t="s">
        <v>1128</v>
      </c>
      <c r="B183">
        <v>33</v>
      </c>
      <c r="C183" s="5">
        <f>B183/B186</f>
        <v>3.3000000000000002E-2</v>
      </c>
      <c r="D183" s="5">
        <f>33/$D$1</f>
        <v>3.3000000000000002E-2</v>
      </c>
      <c r="F183">
        <v>18</v>
      </c>
      <c r="G183" s="5">
        <f>F183/F186</f>
        <v>3.5928143712574849E-2</v>
      </c>
      <c r="H183" s="5">
        <f>18/$H$1</f>
        <v>3.5928143712574849E-2</v>
      </c>
      <c r="J183">
        <v>15</v>
      </c>
      <c r="K183" s="5">
        <f>J183/J186</f>
        <v>3.0060120240480961E-2</v>
      </c>
      <c r="L183" s="5">
        <f>15/$L$1</f>
        <v>3.0060120240480961E-2</v>
      </c>
      <c r="N183">
        <v>2</v>
      </c>
      <c r="O183" s="5">
        <f>N183/N186</f>
        <v>2.0618556701030927E-2</v>
      </c>
      <c r="P183" s="5">
        <f>2/$P$1</f>
        <v>2.0618556701030927E-2</v>
      </c>
      <c r="R183">
        <v>7</v>
      </c>
      <c r="S183" s="5">
        <f>R183/R186</f>
        <v>3.5353535353535352E-2</v>
      </c>
      <c r="T183" s="5">
        <f>7/$T$1</f>
        <v>3.5353535353535352E-2</v>
      </c>
      <c r="V183">
        <v>7</v>
      </c>
      <c r="W183" s="5">
        <f>V183/V186</f>
        <v>2.9045643153526972E-2</v>
      </c>
      <c r="X183" s="5">
        <f>7/$X$1</f>
        <v>2.9045643153526972E-2</v>
      </c>
      <c r="Z183">
        <v>4</v>
      </c>
      <c r="AA183" s="5">
        <f>Z183/Z186</f>
        <v>2.0202020202020204E-2</v>
      </c>
      <c r="AB183" s="5">
        <f>4/$AB$1</f>
        <v>2.0202020202020204E-2</v>
      </c>
      <c r="AD183">
        <v>8</v>
      </c>
      <c r="AE183" s="5">
        <f>AD183/AD186</f>
        <v>5.1948051948051951E-2</v>
      </c>
      <c r="AF183" s="5">
        <f>8/$AF$1</f>
        <v>5.1948051948051951E-2</v>
      </c>
      <c r="AH183">
        <v>5</v>
      </c>
      <c r="AI183" s="5">
        <f>AH183/AH186</f>
        <v>4.1666666666666664E-2</v>
      </c>
      <c r="AJ183" s="5">
        <f>5/$AJ$1</f>
        <v>4.1666666666666664E-2</v>
      </c>
      <c r="AL183">
        <v>7</v>
      </c>
      <c r="AM183" s="5">
        <f>AL183/AL186</f>
        <v>1.891891891891892E-2</v>
      </c>
      <c r="AN183" s="5">
        <f>7/$AN$1</f>
        <v>1.891891891891892E-2</v>
      </c>
      <c r="AP183">
        <v>11</v>
      </c>
      <c r="AQ183" s="5">
        <f>AP183/AP186</f>
        <v>2.9100529100529099E-2</v>
      </c>
      <c r="AR183" s="5">
        <f>11/$AR$1</f>
        <v>2.9100529100529099E-2</v>
      </c>
      <c r="AT183">
        <v>15</v>
      </c>
      <c r="AU183" s="5">
        <f>AT183/AT186</f>
        <v>5.9523809523809521E-2</v>
      </c>
      <c r="AV183" s="5">
        <f>15/$AV$1</f>
        <v>5.9523809523809521E-2</v>
      </c>
      <c r="AX183">
        <v>10</v>
      </c>
      <c r="AY183" s="5">
        <f>AX183/AX186</f>
        <v>3.6630036630036632E-2</v>
      </c>
      <c r="AZ183" s="5">
        <f>10/$AZ$1</f>
        <v>3.6630036630036632E-2</v>
      </c>
      <c r="BA183" s="5"/>
      <c r="BB183">
        <v>5</v>
      </c>
      <c r="BC183" s="5">
        <f>BB183/BB186</f>
        <v>2.4630541871921183E-2</v>
      </c>
      <c r="BD183" s="5">
        <f>5/$BD$1</f>
        <v>2.4630541871921183E-2</v>
      </c>
      <c r="BF183">
        <v>3</v>
      </c>
      <c r="BG183" s="5">
        <f>BF183/BF186</f>
        <v>1.3953488372093023E-2</v>
      </c>
      <c r="BH183" s="5">
        <f>3/$BH$1</f>
        <v>1.3953488372093023E-2</v>
      </c>
      <c r="BJ183">
        <v>15</v>
      </c>
      <c r="BK183" s="5">
        <f>BJ183/BJ186</f>
        <v>4.8543689320388349E-2</v>
      </c>
      <c r="BL183" s="5">
        <f>15/$BL$1</f>
        <v>4.8543689320388349E-2</v>
      </c>
      <c r="BN183">
        <v>4</v>
      </c>
      <c r="BO183" s="5">
        <f>BN183/BN186</f>
        <v>8.5106382978723402E-2</v>
      </c>
      <c r="BP183" s="5">
        <f>4/$BP$1</f>
        <v>8.5106382978723402E-2</v>
      </c>
      <c r="BR183">
        <v>10</v>
      </c>
      <c r="BS183" s="5">
        <f>BR183/BR186</f>
        <v>3.1847133757961783E-2</v>
      </c>
      <c r="BT183" s="5">
        <f>10/$BT$1</f>
        <v>3.1847133757961783E-2</v>
      </c>
      <c r="BV183">
        <v>13</v>
      </c>
      <c r="BW183" s="5">
        <f>BV183/BV186</f>
        <v>3.3078880407124679E-2</v>
      </c>
      <c r="BX183" s="5">
        <f>13/$BX$1</f>
        <v>3.3078880407124679E-2</v>
      </c>
      <c r="BZ183">
        <v>6</v>
      </c>
      <c r="CA183" s="5">
        <f>BZ183/BZ186</f>
        <v>2.4390243902439025E-2</v>
      </c>
      <c r="CB183" s="5">
        <f>6/$CB$1</f>
        <v>2.4390243902439025E-2</v>
      </c>
      <c r="CD183">
        <v>7</v>
      </c>
      <c r="CE183" s="5">
        <f>CD183/CD186</f>
        <v>5.6910569105691054E-2</v>
      </c>
      <c r="CF183" s="5">
        <f>7/$CF$1</f>
        <v>5.6910569105691054E-2</v>
      </c>
      <c r="CH183">
        <v>18</v>
      </c>
      <c r="CI183" s="5">
        <f>CH183/CH186</f>
        <v>2.616279069767442E-2</v>
      </c>
      <c r="CJ183" s="5">
        <f>18/$CJ$1</f>
        <v>2.616279069767442E-2</v>
      </c>
      <c r="CL183">
        <v>22</v>
      </c>
      <c r="CM183" s="5">
        <f>CL183/CL186</f>
        <v>2.9023746701846966E-2</v>
      </c>
      <c r="CN183" s="5">
        <f>22/$CN$1</f>
        <v>2.9023746701846966E-2</v>
      </c>
      <c r="CP183">
        <v>11</v>
      </c>
      <c r="CQ183" s="5">
        <f>CP183/CP186</f>
        <v>4.5454545454545456E-2</v>
      </c>
      <c r="CR183" s="5">
        <f>11/$CR$1</f>
        <v>4.5454545454545456E-2</v>
      </c>
      <c r="CT183">
        <v>9</v>
      </c>
      <c r="CU183" s="5">
        <f>CT183/CT186</f>
        <v>2.7027027027027029E-2</v>
      </c>
      <c r="CV183" s="5">
        <f>9/$CV$1</f>
        <v>2.7027027027027029E-2</v>
      </c>
      <c r="CX183">
        <v>24</v>
      </c>
      <c r="CY183" s="5">
        <f>CX183/CX186</f>
        <v>3.5982008995502246E-2</v>
      </c>
      <c r="CZ183" s="5">
        <f>24/$CZ$1</f>
        <v>3.5982008995502246E-2</v>
      </c>
    </row>
    <row r="185" spans="1:104" x14ac:dyDescent="0.25">
      <c r="A185" s="1" t="s">
        <v>32</v>
      </c>
      <c r="B185">
        <v>0</v>
      </c>
      <c r="C185" s="5">
        <f>B185/B186</f>
        <v>0</v>
      </c>
      <c r="D185" s="5">
        <f>0/$D$1</f>
        <v>0</v>
      </c>
      <c r="F185">
        <v>0</v>
      </c>
      <c r="G185" s="5">
        <f>F185/F186</f>
        <v>0</v>
      </c>
      <c r="H185" s="5">
        <f>0/$H$1</f>
        <v>0</v>
      </c>
      <c r="J185">
        <v>0</v>
      </c>
      <c r="K185" s="5">
        <f>J185/J186</f>
        <v>0</v>
      </c>
      <c r="L185" s="5">
        <f>0/$L$1</f>
        <v>0</v>
      </c>
      <c r="N185">
        <v>0</v>
      </c>
      <c r="O185" s="5">
        <f>N185/N186</f>
        <v>0</v>
      </c>
      <c r="P185" s="5">
        <f>0/$P$1</f>
        <v>0</v>
      </c>
      <c r="R185">
        <v>0</v>
      </c>
      <c r="S185" s="5">
        <f>R185/R186</f>
        <v>0</v>
      </c>
      <c r="T185" s="5">
        <f>0/$T$1</f>
        <v>0</v>
      </c>
      <c r="V185">
        <v>0</v>
      </c>
      <c r="W185" s="5">
        <f>V185/V186</f>
        <v>0</v>
      </c>
      <c r="X185" s="5">
        <f>0/$X$1</f>
        <v>0</v>
      </c>
      <c r="Z185">
        <v>0</v>
      </c>
      <c r="AA185" s="5">
        <f>Z185/Z186</f>
        <v>0</v>
      </c>
      <c r="AB185" s="5">
        <f>0/$AB$1</f>
        <v>0</v>
      </c>
      <c r="AD185">
        <v>0</v>
      </c>
      <c r="AE185" s="5">
        <f>AD185/AD186</f>
        <v>0</v>
      </c>
      <c r="AF185" s="5">
        <f>0/$AF$1</f>
        <v>0</v>
      </c>
      <c r="AH185">
        <v>0</v>
      </c>
      <c r="AI185" s="5">
        <f>AH185/AH186</f>
        <v>0</v>
      </c>
      <c r="AJ185" s="5">
        <f>0/$AJ$1</f>
        <v>0</v>
      </c>
      <c r="AL185">
        <v>0</v>
      </c>
      <c r="AM185" s="5">
        <f>AL185/AL186</f>
        <v>0</v>
      </c>
      <c r="AN185" s="5">
        <f>0/$AN$1</f>
        <v>0</v>
      </c>
      <c r="AP185">
        <v>0</v>
      </c>
      <c r="AQ185" s="5">
        <f>AP185/AP186</f>
        <v>0</v>
      </c>
      <c r="AR185" s="5">
        <f>0/$AR$1</f>
        <v>0</v>
      </c>
      <c r="AT185">
        <v>0</v>
      </c>
      <c r="AU185" s="5">
        <f>AT185/AT186</f>
        <v>0</v>
      </c>
      <c r="AV185" s="5">
        <f>0/$AV$1</f>
        <v>0</v>
      </c>
      <c r="AX185">
        <v>0</v>
      </c>
      <c r="AY185" s="5">
        <f>AX185/AX186</f>
        <v>0</v>
      </c>
      <c r="AZ185" s="5">
        <f>0/$AZ$1</f>
        <v>0</v>
      </c>
      <c r="BA185" s="5"/>
      <c r="BB185">
        <v>0</v>
      </c>
      <c r="BC185" s="5">
        <f>BB185/BB186</f>
        <v>0</v>
      </c>
      <c r="BD185" s="5">
        <f>0/$BD$1</f>
        <v>0</v>
      </c>
      <c r="BF185">
        <v>0</v>
      </c>
      <c r="BG185" s="5">
        <f>BF185/BF186</f>
        <v>0</v>
      </c>
      <c r="BH185" s="5">
        <f>0/$BH$1</f>
        <v>0</v>
      </c>
      <c r="BJ185">
        <v>0</v>
      </c>
      <c r="BK185" s="5">
        <f>BJ185/BJ186</f>
        <v>0</v>
      </c>
      <c r="BL185" s="5">
        <f>0/$BL$1</f>
        <v>0</v>
      </c>
      <c r="BN185">
        <v>0</v>
      </c>
      <c r="BO185" s="5">
        <f>BN185/BN186</f>
        <v>0</v>
      </c>
      <c r="BP185" s="5">
        <f>0/$BP$1</f>
        <v>0</v>
      </c>
      <c r="BR185">
        <v>0</v>
      </c>
      <c r="BS185" s="5">
        <f>BR185/BR186</f>
        <v>0</v>
      </c>
      <c r="BT185" s="5">
        <f>0/$BT$1</f>
        <v>0</v>
      </c>
      <c r="BV185">
        <v>0</v>
      </c>
      <c r="BW185" s="5">
        <f>BV185/BV186</f>
        <v>0</v>
      </c>
      <c r="BX185" s="5">
        <f>0/$BX$1</f>
        <v>0</v>
      </c>
      <c r="BZ185">
        <v>0</v>
      </c>
      <c r="CA185" s="5">
        <f>BZ185/BZ186</f>
        <v>0</v>
      </c>
      <c r="CB185" s="5">
        <f>0/$CB$1</f>
        <v>0</v>
      </c>
      <c r="CD185">
        <v>0</v>
      </c>
      <c r="CE185" s="5">
        <f>CD185/CD186</f>
        <v>0</v>
      </c>
      <c r="CF185" s="5">
        <f>0/$CF$1</f>
        <v>0</v>
      </c>
      <c r="CH185">
        <v>0</v>
      </c>
      <c r="CI185" s="5">
        <f>CH185/CH186</f>
        <v>0</v>
      </c>
      <c r="CJ185" s="5">
        <f>0/$CJ$1</f>
        <v>0</v>
      </c>
      <c r="CL185">
        <v>0</v>
      </c>
      <c r="CM185" s="5">
        <f>CL185/CL186</f>
        <v>0</v>
      </c>
      <c r="CN185" s="5">
        <f>0/$CN$1</f>
        <v>0</v>
      </c>
      <c r="CP185">
        <v>0</v>
      </c>
      <c r="CQ185" s="5">
        <f>CP185/CP186</f>
        <v>0</v>
      </c>
      <c r="CR185" s="5">
        <f>0/$CR$1</f>
        <v>0</v>
      </c>
      <c r="CT185">
        <v>0</v>
      </c>
      <c r="CU185" s="5">
        <f>CT185/CT186</f>
        <v>0</v>
      </c>
      <c r="CV185" s="5">
        <f>0/$CV$1</f>
        <v>0</v>
      </c>
      <c r="CX185">
        <v>0</v>
      </c>
      <c r="CY185" s="5">
        <f>CX185/CX186</f>
        <v>0</v>
      </c>
      <c r="CZ185" s="5">
        <f>0/$CZ$1</f>
        <v>0</v>
      </c>
    </row>
    <row r="186" spans="1:104" s="6" customFormat="1" x14ac:dyDescent="0.25">
      <c r="A186" s="7" t="s">
        <v>33</v>
      </c>
      <c r="B186" s="6">
        <v>1000</v>
      </c>
      <c r="D186" s="8">
        <f>1000/$D$1</f>
        <v>1</v>
      </c>
      <c r="F186" s="6">
        <v>501</v>
      </c>
      <c r="H186" s="8">
        <f>501/$H$1</f>
        <v>1</v>
      </c>
      <c r="J186" s="6">
        <v>499</v>
      </c>
      <c r="L186" s="8">
        <f>499/$L$1</f>
        <v>1</v>
      </c>
      <c r="N186" s="6">
        <v>97</v>
      </c>
      <c r="P186" s="8">
        <f>97/$P$1</f>
        <v>1</v>
      </c>
      <c r="R186" s="6">
        <v>198</v>
      </c>
      <c r="T186" s="8">
        <f>198/$T$1</f>
        <v>1</v>
      </c>
      <c r="V186" s="6">
        <v>241</v>
      </c>
      <c r="X186" s="8">
        <f>241/$X$1</f>
        <v>1</v>
      </c>
      <c r="Z186" s="6">
        <v>198</v>
      </c>
      <c r="AB186" s="8">
        <f>198/$AB$1</f>
        <v>1</v>
      </c>
      <c r="AD186" s="6">
        <v>154</v>
      </c>
      <c r="AF186" s="8">
        <f>154/$AF$1</f>
        <v>1</v>
      </c>
      <c r="AH186" s="6">
        <v>120</v>
      </c>
      <c r="AJ186" s="8">
        <f>120/$AJ$1</f>
        <v>1</v>
      </c>
      <c r="AL186" s="6">
        <v>370</v>
      </c>
      <c r="AN186" s="8">
        <f>370/$AN$1</f>
        <v>1</v>
      </c>
      <c r="AP186" s="6">
        <v>378</v>
      </c>
      <c r="AR186" s="8">
        <f>378/$AR$1</f>
        <v>1</v>
      </c>
      <c r="AT186" s="6">
        <v>252</v>
      </c>
      <c r="AV186" s="8">
        <f>252/$AV$1</f>
        <v>1</v>
      </c>
      <c r="AX186" s="6">
        <v>273</v>
      </c>
      <c r="AZ186" s="8">
        <f>273/$AZ$1</f>
        <v>1</v>
      </c>
      <c r="BA186" s="8"/>
      <c r="BB186" s="6">
        <v>203</v>
      </c>
      <c r="BD186" s="8">
        <f>203/$BD$1</f>
        <v>1</v>
      </c>
      <c r="BF186" s="6">
        <v>215</v>
      </c>
      <c r="BH186" s="8">
        <f>215/$BH$1</f>
        <v>1</v>
      </c>
      <c r="BJ186" s="6">
        <v>309</v>
      </c>
      <c r="BL186" s="8">
        <f>309/$BL$1</f>
        <v>1</v>
      </c>
      <c r="BN186" s="6">
        <v>47</v>
      </c>
      <c r="BP186" s="8">
        <f>47/$BP$1</f>
        <v>1</v>
      </c>
      <c r="BR186" s="6">
        <v>314</v>
      </c>
      <c r="BT186" s="8">
        <f>314/$BT$1</f>
        <v>1</v>
      </c>
      <c r="BV186" s="6">
        <v>393</v>
      </c>
      <c r="BX186" s="8">
        <f>393/$BX$1</f>
        <v>1</v>
      </c>
      <c r="BZ186" s="6">
        <v>246</v>
      </c>
      <c r="CB186" s="8">
        <f>246/$CB$1</f>
        <v>1</v>
      </c>
      <c r="CD186" s="6">
        <v>123</v>
      </c>
      <c r="CF186" s="8">
        <f>123/$CF$1</f>
        <v>1</v>
      </c>
      <c r="CH186" s="6">
        <v>688</v>
      </c>
      <c r="CJ186" s="8">
        <f>688/$CJ$1</f>
        <v>1</v>
      </c>
      <c r="CL186" s="6">
        <v>758</v>
      </c>
      <c r="CN186" s="8">
        <f>758/$CN$1</f>
        <v>1</v>
      </c>
      <c r="CP186" s="6">
        <v>242</v>
      </c>
      <c r="CR186" s="8">
        <f>242/$CR$1</f>
        <v>1</v>
      </c>
      <c r="CT186" s="6">
        <v>333</v>
      </c>
      <c r="CV186" s="8">
        <f>333/$CV$1</f>
        <v>1</v>
      </c>
      <c r="CX186" s="6">
        <v>667</v>
      </c>
      <c r="CZ186" s="8">
        <f>667/$CZ$1</f>
        <v>1</v>
      </c>
    </row>
    <row r="187" spans="1:104" ht="15" hidden="1" customHeight="1" x14ac:dyDescent="0.25">
      <c r="A187" s="9" t="s">
        <v>34</v>
      </c>
      <c r="B187">
        <v>0</v>
      </c>
      <c r="D187" s="10">
        <f>0/$D$1</f>
        <v>0</v>
      </c>
      <c r="F187">
        <v>0</v>
      </c>
      <c r="H187" s="10">
        <f>0/$H$1</f>
        <v>0</v>
      </c>
      <c r="J187">
        <v>0</v>
      </c>
      <c r="L187" s="10">
        <f>0/$L$1</f>
        <v>0</v>
      </c>
      <c r="N187">
        <v>0</v>
      </c>
      <c r="P187" s="10">
        <f>0/$P$1</f>
        <v>0</v>
      </c>
      <c r="R187">
        <v>0</v>
      </c>
      <c r="T187" s="10">
        <f>0/$T$1</f>
        <v>0</v>
      </c>
      <c r="V187">
        <v>0</v>
      </c>
      <c r="X187" s="10">
        <f>0/$X$1</f>
        <v>0</v>
      </c>
      <c r="Z187">
        <v>0</v>
      </c>
      <c r="AB187" s="10">
        <f>0/$AB$1</f>
        <v>0</v>
      </c>
      <c r="AD187">
        <v>0</v>
      </c>
      <c r="AF187" s="10">
        <f>0/$AF$1</f>
        <v>0</v>
      </c>
      <c r="AH187">
        <v>0</v>
      </c>
      <c r="AJ187" s="10">
        <f>0/$AJ$1</f>
        <v>0</v>
      </c>
      <c r="AL187">
        <v>0</v>
      </c>
      <c r="AN187" s="10">
        <f>0/$AN$1</f>
        <v>0</v>
      </c>
      <c r="AP187">
        <v>0</v>
      </c>
      <c r="AR187" s="10">
        <f>0/$AR$1</f>
        <v>0</v>
      </c>
      <c r="AT187">
        <v>0</v>
      </c>
      <c r="AV187" s="10">
        <f>0/$AV$1</f>
        <v>0</v>
      </c>
      <c r="AX187">
        <v>0</v>
      </c>
      <c r="AZ187" s="10">
        <f>0/$AZ$1</f>
        <v>0</v>
      </c>
      <c r="BA187" s="10"/>
      <c r="BB187">
        <v>0</v>
      </c>
      <c r="BD187" s="10">
        <f>0/$BD$1</f>
        <v>0</v>
      </c>
      <c r="BF187">
        <v>0</v>
      </c>
      <c r="BH187" s="10">
        <f>0/$BH$1</f>
        <v>0</v>
      </c>
      <c r="BJ187">
        <v>0</v>
      </c>
      <c r="BL187" s="10">
        <f>0/$BL$1</f>
        <v>0</v>
      </c>
      <c r="BN187">
        <v>0</v>
      </c>
      <c r="BP187" s="10">
        <f>0/$BP$1</f>
        <v>0</v>
      </c>
      <c r="BR187">
        <v>0</v>
      </c>
      <c r="BT187" s="10">
        <f>0/$BT$1</f>
        <v>0</v>
      </c>
      <c r="BV187">
        <v>0</v>
      </c>
      <c r="BX187" s="10">
        <f>0/$BX$1</f>
        <v>0</v>
      </c>
      <c r="BZ187">
        <v>0</v>
      </c>
      <c r="CB187" s="10">
        <f>0/$CB$1</f>
        <v>0</v>
      </c>
      <c r="CD187">
        <v>0</v>
      </c>
      <c r="CF187" s="10">
        <f>0/$CF$1</f>
        <v>0</v>
      </c>
      <c r="CH187">
        <v>0</v>
      </c>
      <c r="CJ187" s="10">
        <f>0/$CJ$1</f>
        <v>0</v>
      </c>
      <c r="CL187">
        <v>0</v>
      </c>
      <c r="CN187" s="10">
        <f>0/$CN$1</f>
        <v>0</v>
      </c>
      <c r="CP187">
        <v>0</v>
      </c>
      <c r="CR187" s="10">
        <f>0/$CR$1</f>
        <v>0</v>
      </c>
      <c r="CT187">
        <v>0</v>
      </c>
      <c r="CV187" s="10">
        <f>0/$CV$1</f>
        <v>0</v>
      </c>
      <c r="CX187">
        <v>0</v>
      </c>
      <c r="CZ187" s="10">
        <f>0/$CZ$1</f>
        <v>0</v>
      </c>
    </row>
    <row r="188" spans="1:104" ht="15" hidden="1" customHeight="1" x14ac:dyDescent="0.25">
      <c r="A188" s="9" t="s">
        <v>35</v>
      </c>
      <c r="B188">
        <v>0</v>
      </c>
      <c r="D188" s="10">
        <f>0/$D$1</f>
        <v>0</v>
      </c>
      <c r="F188">
        <v>0</v>
      </c>
      <c r="H188" s="10">
        <f>0/$H$1</f>
        <v>0</v>
      </c>
      <c r="J188">
        <v>0</v>
      </c>
      <c r="L188" s="10">
        <f>0/$L$1</f>
        <v>0</v>
      </c>
      <c r="N188">
        <v>0</v>
      </c>
      <c r="P188" s="10">
        <f>0/$P$1</f>
        <v>0</v>
      </c>
      <c r="R188">
        <v>0</v>
      </c>
      <c r="T188" s="10">
        <f>0/$T$1</f>
        <v>0</v>
      </c>
      <c r="V188">
        <v>0</v>
      </c>
      <c r="X188" s="10">
        <f>0/$X$1</f>
        <v>0</v>
      </c>
      <c r="Z188">
        <v>0</v>
      </c>
      <c r="AB188" s="10">
        <f>0/$AB$1</f>
        <v>0</v>
      </c>
      <c r="AD188">
        <v>0</v>
      </c>
      <c r="AF188" s="10">
        <f>0/$AF$1</f>
        <v>0</v>
      </c>
      <c r="AH188">
        <v>0</v>
      </c>
      <c r="AJ188" s="10">
        <f>0/$AJ$1</f>
        <v>0</v>
      </c>
      <c r="AL188">
        <v>0</v>
      </c>
      <c r="AN188" s="10">
        <f>0/$AN$1</f>
        <v>0</v>
      </c>
      <c r="AP188">
        <v>0</v>
      </c>
      <c r="AR188" s="10">
        <f>0/$AR$1</f>
        <v>0</v>
      </c>
      <c r="AT188">
        <v>0</v>
      </c>
      <c r="AV188" s="10">
        <f>0/$AV$1</f>
        <v>0</v>
      </c>
      <c r="AX188">
        <v>0</v>
      </c>
      <c r="AZ188" s="10">
        <f>0/$AZ$1</f>
        <v>0</v>
      </c>
      <c r="BA188" s="10"/>
      <c r="BB188">
        <v>0</v>
      </c>
      <c r="BD188" s="10">
        <f>0/$BD$1</f>
        <v>0</v>
      </c>
      <c r="BF188">
        <v>0</v>
      </c>
      <c r="BH188" s="10">
        <f>0/$BH$1</f>
        <v>0</v>
      </c>
      <c r="BJ188">
        <v>0</v>
      </c>
      <c r="BL188" s="10">
        <f>0/$BL$1</f>
        <v>0</v>
      </c>
      <c r="BN188">
        <v>0</v>
      </c>
      <c r="BP188" s="10">
        <f>0/$BP$1</f>
        <v>0</v>
      </c>
      <c r="BR188">
        <v>0</v>
      </c>
      <c r="BT188" s="10">
        <f>0/$BT$1</f>
        <v>0</v>
      </c>
      <c r="BV188">
        <v>0</v>
      </c>
      <c r="BX188" s="10">
        <f>0/$BX$1</f>
        <v>0</v>
      </c>
      <c r="BZ188">
        <v>0</v>
      </c>
      <c r="CB188" s="10">
        <f>0/$CB$1</f>
        <v>0</v>
      </c>
      <c r="CD188">
        <v>0</v>
      </c>
      <c r="CF188" s="10">
        <f>0/$CF$1</f>
        <v>0</v>
      </c>
      <c r="CH188">
        <v>0</v>
      </c>
      <c r="CJ188" s="10">
        <f>0/$CJ$1</f>
        <v>0</v>
      </c>
      <c r="CL188">
        <v>0</v>
      </c>
      <c r="CN188" s="10">
        <f>0/$CN$1</f>
        <v>0</v>
      </c>
      <c r="CP188">
        <v>0</v>
      </c>
      <c r="CR188" s="10">
        <f>0/$CR$1</f>
        <v>0</v>
      </c>
      <c r="CT188">
        <v>0</v>
      </c>
      <c r="CV188" s="10">
        <f>0/$CV$1</f>
        <v>0</v>
      </c>
      <c r="CX188">
        <v>0</v>
      </c>
      <c r="CZ188" s="10">
        <f>0/$CZ$1</f>
        <v>0</v>
      </c>
    </row>
    <row r="190" spans="1:104" s="3" customFormat="1" x14ac:dyDescent="0.25">
      <c r="A190" s="11" t="str">
        <f>HYPERLINK("#co_delat!A1","Co bychom měli dělat, aby na tom byla naše krajina **lépe**? &lt;br&gt;&lt;br&gt;*Pokud nevíte, otázku přeskočte.*")</f>
        <v>Co bychom měli dělat, aby na tom byla naše krajina **lépe**? &lt;br&gt;&lt;br&gt;*Pokud nevíte, otázku přeskočte.*</v>
      </c>
      <c r="D190" s="4" t="s">
        <v>27</v>
      </c>
      <c r="H190" s="4" t="s">
        <v>27</v>
      </c>
      <c r="L190" s="4" t="s">
        <v>27</v>
      </c>
      <c r="P190" s="4" t="s">
        <v>27</v>
      </c>
      <c r="T190" s="4" t="s">
        <v>27</v>
      </c>
      <c r="X190" s="4" t="s">
        <v>27</v>
      </c>
      <c r="AB190" s="4" t="s">
        <v>27</v>
      </c>
      <c r="AF190" s="4" t="s">
        <v>27</v>
      </c>
      <c r="AJ190" s="4" t="s">
        <v>27</v>
      </c>
      <c r="AN190" s="4" t="s">
        <v>27</v>
      </c>
      <c r="AR190" s="4" t="s">
        <v>27</v>
      </c>
      <c r="AV190" s="4" t="s">
        <v>27</v>
      </c>
      <c r="AZ190" s="4" t="s">
        <v>27</v>
      </c>
      <c r="BA190" s="4"/>
      <c r="BD190" s="4" t="s">
        <v>27</v>
      </c>
      <c r="BH190" s="4" t="s">
        <v>27</v>
      </c>
      <c r="BL190" s="4" t="s">
        <v>27</v>
      </c>
      <c r="BP190" s="4" t="s">
        <v>27</v>
      </c>
      <c r="BT190" s="4" t="s">
        <v>27</v>
      </c>
      <c r="BX190" s="4" t="s">
        <v>27</v>
      </c>
      <c r="CB190" s="4" t="s">
        <v>27</v>
      </c>
      <c r="CF190" s="4" t="s">
        <v>27</v>
      </c>
      <c r="CJ190" s="4" t="s">
        <v>27</v>
      </c>
      <c r="CN190" s="4" t="s">
        <v>27</v>
      </c>
      <c r="CR190" s="4" t="s">
        <v>27</v>
      </c>
      <c r="CV190" s="4" t="s">
        <v>27</v>
      </c>
      <c r="CZ190" s="4" t="s">
        <v>27</v>
      </c>
    </row>
    <row r="191" spans="1:104" x14ac:dyDescent="0.25">
      <c r="A191" s="1" t="s">
        <v>909</v>
      </c>
      <c r="B191">
        <v>1074</v>
      </c>
      <c r="C191" s="5">
        <f>B191/B193</f>
        <v>1.0740000000000001</v>
      </c>
      <c r="D191" s="5">
        <f>1074/$D$1</f>
        <v>1.0740000000000001</v>
      </c>
      <c r="F191">
        <v>508</v>
      </c>
      <c r="G191" s="5">
        <f>F191/F193</f>
        <v>1.0139720558882235</v>
      </c>
      <c r="H191" s="5">
        <f>508/$H$1</f>
        <v>1.0139720558882235</v>
      </c>
      <c r="J191">
        <v>566</v>
      </c>
      <c r="K191" s="5">
        <f>J191/J193</f>
        <v>1.1342685370741483</v>
      </c>
      <c r="L191" s="5">
        <f>566/$L$1</f>
        <v>1.1342685370741483</v>
      </c>
      <c r="N191">
        <v>98</v>
      </c>
      <c r="O191" s="5">
        <f>N191/N193</f>
        <v>1.0103092783505154</v>
      </c>
      <c r="P191" s="5">
        <f>98/$P$1</f>
        <v>1.0103092783505154</v>
      </c>
      <c r="R191">
        <v>255</v>
      </c>
      <c r="S191" s="5">
        <f>R191/R193</f>
        <v>1.2878787878787878</v>
      </c>
      <c r="T191" s="5">
        <f>255/$T$1</f>
        <v>1.2878787878787878</v>
      </c>
      <c r="V191">
        <v>270</v>
      </c>
      <c r="W191" s="5">
        <f>V191/V193</f>
        <v>1.1203319502074689</v>
      </c>
      <c r="X191" s="5">
        <f>270/$X$1</f>
        <v>1.1203319502074689</v>
      </c>
      <c r="Z191">
        <v>165</v>
      </c>
      <c r="AA191" s="5">
        <f>Z191/Z193</f>
        <v>0.83333333333333337</v>
      </c>
      <c r="AB191" s="5">
        <f>165/$AB$1</f>
        <v>0.83333333333333337</v>
      </c>
      <c r="AD191">
        <v>167</v>
      </c>
      <c r="AE191" s="5">
        <f>AD191/AD193</f>
        <v>1.0844155844155845</v>
      </c>
      <c r="AF191" s="5">
        <f>167/$AF$1</f>
        <v>1.0844155844155845</v>
      </c>
      <c r="AH191">
        <v>123</v>
      </c>
      <c r="AI191" s="5">
        <f>AH191/AH193</f>
        <v>1.0249999999999999</v>
      </c>
      <c r="AJ191" s="5">
        <f>123/$AJ$1</f>
        <v>1.0249999999999999</v>
      </c>
      <c r="AL191">
        <v>357</v>
      </c>
      <c r="AM191" s="5">
        <f>AL191/AL193</f>
        <v>0.96486486486486489</v>
      </c>
      <c r="AN191" s="5">
        <f>357/$AN$1</f>
        <v>0.96486486486486489</v>
      </c>
      <c r="AP191">
        <v>410</v>
      </c>
      <c r="AQ191" s="5">
        <f>AP191/AP193</f>
        <v>1.0846560846560847</v>
      </c>
      <c r="AR191" s="5">
        <f>410/$AR$1</f>
        <v>1.0846560846560847</v>
      </c>
      <c r="AT191">
        <v>307</v>
      </c>
      <c r="AU191" s="5">
        <f>AT191/AT193</f>
        <v>1.2182539682539681</v>
      </c>
      <c r="AV191" s="5">
        <f>307/$AV$1</f>
        <v>1.2182539682539681</v>
      </c>
      <c r="AX191">
        <v>294</v>
      </c>
      <c r="AY191" s="5">
        <f>AX191/AX193</f>
        <v>1.0769230769230769</v>
      </c>
      <c r="AZ191" s="5">
        <f>294/$AZ$1</f>
        <v>1.0769230769230769</v>
      </c>
      <c r="BA191" s="5"/>
      <c r="BB191">
        <v>192</v>
      </c>
      <c r="BC191" s="5">
        <f>BB191/BB193</f>
        <v>0.94581280788177335</v>
      </c>
      <c r="BD191" s="5">
        <f>192/$BD$1</f>
        <v>0.94581280788177335</v>
      </c>
      <c r="BF191">
        <v>206</v>
      </c>
      <c r="BG191" s="5">
        <f>BF191/BF193</f>
        <v>0.95813953488372094</v>
      </c>
      <c r="BH191" s="5">
        <f>206/$BH$1</f>
        <v>0.95813953488372094</v>
      </c>
      <c r="BJ191">
        <v>382</v>
      </c>
      <c r="BK191" s="5">
        <f>BJ191/BJ193</f>
        <v>1.2362459546925566</v>
      </c>
      <c r="BL191" s="5">
        <f>382/$BL$1</f>
        <v>1.2362459546925566</v>
      </c>
      <c r="BN191">
        <v>35</v>
      </c>
      <c r="BO191" s="5">
        <f>BN191/BN193</f>
        <v>0.74468085106382975</v>
      </c>
      <c r="BP191" s="5">
        <f>35/$BP$1</f>
        <v>0.74468085106382975</v>
      </c>
      <c r="BR191">
        <v>237</v>
      </c>
      <c r="BS191" s="5">
        <f>BR191/BR193</f>
        <v>0.75477707006369432</v>
      </c>
      <c r="BT191" s="5">
        <f>237/$BT$1</f>
        <v>0.75477707006369432</v>
      </c>
      <c r="BV191">
        <v>417</v>
      </c>
      <c r="BW191" s="5">
        <f>BV191/BV193</f>
        <v>1.0610687022900764</v>
      </c>
      <c r="BX191" s="5">
        <f>417/$BX$1</f>
        <v>1.0610687022900764</v>
      </c>
      <c r="BZ191">
        <v>385</v>
      </c>
      <c r="CA191" s="5">
        <f>BZ191/BZ193</f>
        <v>1.565040650406504</v>
      </c>
      <c r="CB191" s="5">
        <f>385/$CB$1</f>
        <v>1.565040650406504</v>
      </c>
      <c r="CD191">
        <v>124</v>
      </c>
      <c r="CE191" s="5">
        <f>CD191/CD193</f>
        <v>1.0081300813008129</v>
      </c>
      <c r="CF191" s="5">
        <f>124/$CF$1</f>
        <v>1.0081300813008129</v>
      </c>
      <c r="CH191">
        <v>781</v>
      </c>
      <c r="CI191" s="5">
        <f>CH191/CH193</f>
        <v>1.1351744186046511</v>
      </c>
      <c r="CJ191" s="5">
        <f>781/$CJ$1</f>
        <v>1.1351744186046511</v>
      </c>
      <c r="CL191">
        <v>830</v>
      </c>
      <c r="CM191" s="5">
        <f>CL191/CL193</f>
        <v>1.0949868073878628</v>
      </c>
      <c r="CN191" s="5">
        <f>830/$CN$1</f>
        <v>1.0949868073878628</v>
      </c>
      <c r="CP191">
        <v>244</v>
      </c>
      <c r="CQ191" s="5">
        <f>CP191/CP193</f>
        <v>1.0082644628099173</v>
      </c>
      <c r="CR191" s="5">
        <f>244/$CR$1</f>
        <v>1.0082644628099173</v>
      </c>
      <c r="CT191">
        <v>459</v>
      </c>
      <c r="CU191" s="5">
        <f>CT191/CT193</f>
        <v>1.3783783783783783</v>
      </c>
      <c r="CV191" s="5">
        <f>459/$CV$1</f>
        <v>1.3783783783783783</v>
      </c>
      <c r="CX191">
        <v>615</v>
      </c>
      <c r="CY191" s="5">
        <f>CX191/CX193</f>
        <v>0.92203898050974509</v>
      </c>
      <c r="CZ191" s="5">
        <f>615/$CZ$1</f>
        <v>0.92203898050974509</v>
      </c>
    </row>
    <row r="192" spans="1:104" x14ac:dyDescent="0.25">
      <c r="A192" s="1" t="s">
        <v>32</v>
      </c>
      <c r="B192">
        <v>416</v>
      </c>
      <c r="C192" s="5">
        <f>B192/B193</f>
        <v>0.41599999999999998</v>
      </c>
      <c r="D192" s="5">
        <f>416/$D$1</f>
        <v>0.41599999999999998</v>
      </c>
      <c r="F192">
        <v>215</v>
      </c>
      <c r="G192" s="5">
        <f>F192/F193</f>
        <v>0.42914171656686628</v>
      </c>
      <c r="H192" s="5">
        <f>215/$H$1</f>
        <v>0.42914171656686628</v>
      </c>
      <c r="J192">
        <v>201</v>
      </c>
      <c r="K192" s="5">
        <f>J192/J193</f>
        <v>0.4028056112224449</v>
      </c>
      <c r="L192" s="5">
        <f>201/$L$1</f>
        <v>0.4028056112224449</v>
      </c>
      <c r="N192">
        <v>42</v>
      </c>
      <c r="O192" s="5">
        <f>N192/N193</f>
        <v>0.4329896907216495</v>
      </c>
      <c r="P192" s="5">
        <f>42/$P$1</f>
        <v>0.4329896907216495</v>
      </c>
      <c r="R192">
        <v>73</v>
      </c>
      <c r="S192" s="5">
        <f>R192/R193</f>
        <v>0.36868686868686867</v>
      </c>
      <c r="T192" s="5">
        <f>73/$T$1</f>
        <v>0.36868686868686867</v>
      </c>
      <c r="V192">
        <v>90</v>
      </c>
      <c r="W192" s="5">
        <f>V192/V193</f>
        <v>0.37344398340248963</v>
      </c>
      <c r="X192" s="5">
        <f>90/$X$1</f>
        <v>0.37344398340248963</v>
      </c>
      <c r="Z192">
        <v>93</v>
      </c>
      <c r="AA192" s="5">
        <f>Z192/Z193</f>
        <v>0.46969696969696972</v>
      </c>
      <c r="AB192" s="5">
        <f>93/$AB$1</f>
        <v>0.46969696969696972</v>
      </c>
      <c r="AD192">
        <v>68</v>
      </c>
      <c r="AE192" s="5">
        <f>AD192/AD193</f>
        <v>0.44155844155844154</v>
      </c>
      <c r="AF192" s="5">
        <f>68/$AF$1</f>
        <v>0.44155844155844154</v>
      </c>
      <c r="AH192">
        <v>55</v>
      </c>
      <c r="AI192" s="5">
        <f>AH192/AH193</f>
        <v>0.45833333333333331</v>
      </c>
      <c r="AJ192" s="5">
        <f>55/$AJ$1</f>
        <v>0.45833333333333331</v>
      </c>
      <c r="AL192">
        <v>164</v>
      </c>
      <c r="AM192" s="5">
        <f>AL192/AL193</f>
        <v>0.44324324324324327</v>
      </c>
      <c r="AN192" s="5">
        <f>164/$AN$1</f>
        <v>0.44324324324324327</v>
      </c>
      <c r="AP192">
        <v>155</v>
      </c>
      <c r="AQ192" s="5">
        <f>AP192/AP193</f>
        <v>0.41005291005291006</v>
      </c>
      <c r="AR192" s="5">
        <f>155/$AR$1</f>
        <v>0.41005291005291006</v>
      </c>
      <c r="AT192">
        <v>97</v>
      </c>
      <c r="AU192" s="5">
        <f>AT192/AT193</f>
        <v>0.38492063492063494</v>
      </c>
      <c r="AV192" s="5">
        <f>97/$AV$1</f>
        <v>0.38492063492063494</v>
      </c>
      <c r="AX192">
        <v>112</v>
      </c>
      <c r="AY192" s="5">
        <f>AX192/AX193</f>
        <v>0.41025641025641024</v>
      </c>
      <c r="AZ192" s="5">
        <f>112/$AZ$1</f>
        <v>0.41025641025641024</v>
      </c>
      <c r="BA192" s="5"/>
      <c r="BB192">
        <v>91</v>
      </c>
      <c r="BC192" s="5">
        <f>BB192/BB193</f>
        <v>0.44827586206896552</v>
      </c>
      <c r="BD192" s="5">
        <f>91/$BD$1</f>
        <v>0.44827586206896552</v>
      </c>
      <c r="BF192">
        <v>94</v>
      </c>
      <c r="BG192" s="5">
        <f>BF192/BF193</f>
        <v>0.43720930232558142</v>
      </c>
      <c r="BH192" s="5">
        <f>94/$BH$1</f>
        <v>0.43720930232558142</v>
      </c>
      <c r="BJ192">
        <v>119</v>
      </c>
      <c r="BK192" s="5">
        <f>BJ192/BJ193</f>
        <v>0.38511326860841422</v>
      </c>
      <c r="BL192" s="5">
        <f>119/$BL$1</f>
        <v>0.38511326860841422</v>
      </c>
      <c r="BN192">
        <v>27</v>
      </c>
      <c r="BO192" s="5">
        <f>BN192/BN193</f>
        <v>0.57446808510638303</v>
      </c>
      <c r="BP192" s="5">
        <f>27/$BP$1</f>
        <v>0.57446808510638303</v>
      </c>
      <c r="BR192">
        <v>152</v>
      </c>
      <c r="BS192" s="5">
        <f>BR192/BR193</f>
        <v>0.48407643312101911</v>
      </c>
      <c r="BT192" s="5">
        <f>152/$BT$1</f>
        <v>0.48407643312101911</v>
      </c>
      <c r="BV192">
        <v>171</v>
      </c>
      <c r="BW192" s="5">
        <f>BV192/BV193</f>
        <v>0.4351145038167939</v>
      </c>
      <c r="BX192" s="5">
        <f>171/$BX$1</f>
        <v>0.4351145038167939</v>
      </c>
      <c r="BZ192">
        <v>66</v>
      </c>
      <c r="CA192" s="5">
        <f>BZ192/BZ193</f>
        <v>0.26829268292682928</v>
      </c>
      <c r="CB192" s="5">
        <f>66/$CB$1</f>
        <v>0.26829268292682928</v>
      </c>
      <c r="CD192">
        <v>54</v>
      </c>
      <c r="CE192" s="5">
        <f>CD192/CD193</f>
        <v>0.43902439024390244</v>
      </c>
      <c r="CF192" s="5">
        <f>54/$CF$1</f>
        <v>0.43902439024390244</v>
      </c>
      <c r="CH192">
        <v>276</v>
      </c>
      <c r="CI192" s="5">
        <f>CH192/CH193</f>
        <v>0.40116279069767441</v>
      </c>
      <c r="CJ192" s="5">
        <f>276/$CJ$1</f>
        <v>0.40116279069767441</v>
      </c>
      <c r="CL192">
        <v>315</v>
      </c>
      <c r="CM192" s="5">
        <f>CL192/CL193</f>
        <v>0.41556728232189971</v>
      </c>
      <c r="CN192" s="5">
        <f>315/$CN$1</f>
        <v>0.41556728232189971</v>
      </c>
      <c r="CP192">
        <v>101</v>
      </c>
      <c r="CQ192" s="5">
        <f>CP192/CP193</f>
        <v>0.41735537190082644</v>
      </c>
      <c r="CR192" s="5">
        <f>101/$CR$1</f>
        <v>0.41735537190082644</v>
      </c>
      <c r="CT192">
        <v>97</v>
      </c>
      <c r="CU192" s="5">
        <f>CT192/CT193</f>
        <v>0.29129129129129128</v>
      </c>
      <c r="CV192" s="5">
        <f>97/$CV$1</f>
        <v>0.29129129129129128</v>
      </c>
      <c r="CX192">
        <v>319</v>
      </c>
      <c r="CY192" s="5">
        <f>CX192/CX193</f>
        <v>0.47826086956521741</v>
      </c>
      <c r="CZ192" s="5">
        <f>319/$CZ$1</f>
        <v>0.47826086956521741</v>
      </c>
    </row>
    <row r="193" spans="1:104" s="6" customFormat="1" x14ac:dyDescent="0.25">
      <c r="A193" s="7" t="s">
        <v>33</v>
      </c>
      <c r="B193" s="6">
        <v>1000</v>
      </c>
      <c r="D193" s="8">
        <f>1000/$D$1</f>
        <v>1</v>
      </c>
      <c r="F193" s="6">
        <v>501</v>
      </c>
      <c r="H193" s="8">
        <f>501/$H$1</f>
        <v>1</v>
      </c>
      <c r="J193" s="6">
        <v>499</v>
      </c>
      <c r="L193" s="8">
        <f>499/$L$1</f>
        <v>1</v>
      </c>
      <c r="N193" s="6">
        <v>97</v>
      </c>
      <c r="P193" s="8">
        <f>97/$P$1</f>
        <v>1</v>
      </c>
      <c r="R193" s="6">
        <v>198</v>
      </c>
      <c r="T193" s="8">
        <f>198/$T$1</f>
        <v>1</v>
      </c>
      <c r="V193" s="6">
        <v>241</v>
      </c>
      <c r="X193" s="8">
        <f>241/$X$1</f>
        <v>1</v>
      </c>
      <c r="Z193" s="6">
        <v>198</v>
      </c>
      <c r="AB193" s="8">
        <f>198/$AB$1</f>
        <v>1</v>
      </c>
      <c r="AD193" s="6">
        <v>154</v>
      </c>
      <c r="AF193" s="8">
        <f>154/$AF$1</f>
        <v>1</v>
      </c>
      <c r="AH193" s="6">
        <v>120</v>
      </c>
      <c r="AJ193" s="8">
        <f>120/$AJ$1</f>
        <v>1</v>
      </c>
      <c r="AL193" s="6">
        <v>370</v>
      </c>
      <c r="AN193" s="8">
        <f>370/$AN$1</f>
        <v>1</v>
      </c>
      <c r="AP193" s="6">
        <v>378</v>
      </c>
      <c r="AR193" s="8">
        <f>378/$AR$1</f>
        <v>1</v>
      </c>
      <c r="AT193" s="6">
        <v>252</v>
      </c>
      <c r="AV193" s="8">
        <f>252/$AV$1</f>
        <v>1</v>
      </c>
      <c r="AX193" s="6">
        <v>273</v>
      </c>
      <c r="AZ193" s="8">
        <f>273/$AZ$1</f>
        <v>1</v>
      </c>
      <c r="BA193" s="8"/>
      <c r="BB193" s="6">
        <v>203</v>
      </c>
      <c r="BD193" s="8">
        <f>203/$BD$1</f>
        <v>1</v>
      </c>
      <c r="BF193" s="6">
        <v>215</v>
      </c>
      <c r="BH193" s="8">
        <f>215/$BH$1</f>
        <v>1</v>
      </c>
      <c r="BJ193" s="6">
        <v>309</v>
      </c>
      <c r="BL193" s="8">
        <f>309/$BL$1</f>
        <v>1</v>
      </c>
      <c r="BN193" s="6">
        <v>47</v>
      </c>
      <c r="BP193" s="8">
        <f>47/$BP$1</f>
        <v>1</v>
      </c>
      <c r="BR193" s="6">
        <v>314</v>
      </c>
      <c r="BT193" s="8">
        <f>314/$BT$1</f>
        <v>1</v>
      </c>
      <c r="BV193" s="6">
        <v>393</v>
      </c>
      <c r="BX193" s="8">
        <f>393/$BX$1</f>
        <v>1</v>
      </c>
      <c r="BZ193" s="6">
        <v>246</v>
      </c>
      <c r="CB193" s="8">
        <f>246/$CB$1</f>
        <v>1</v>
      </c>
      <c r="CD193" s="6">
        <v>123</v>
      </c>
      <c r="CF193" s="8">
        <f>123/$CF$1</f>
        <v>1</v>
      </c>
      <c r="CH193" s="6">
        <v>688</v>
      </c>
      <c r="CJ193" s="8">
        <f>688/$CJ$1</f>
        <v>1</v>
      </c>
      <c r="CL193" s="6">
        <v>758</v>
      </c>
      <c r="CN193" s="8">
        <f>758/$CN$1</f>
        <v>1</v>
      </c>
      <c r="CP193" s="6">
        <v>242</v>
      </c>
      <c r="CR193" s="8">
        <f>242/$CR$1</f>
        <v>1</v>
      </c>
      <c r="CT193" s="6">
        <v>333</v>
      </c>
      <c r="CV193" s="8">
        <f>333/$CV$1</f>
        <v>1</v>
      </c>
      <c r="CX193" s="6">
        <v>667</v>
      </c>
      <c r="CZ193" s="8">
        <f>667/$CZ$1</f>
        <v>1</v>
      </c>
    </row>
    <row r="194" spans="1:104" ht="15" hidden="1" customHeight="1" x14ac:dyDescent="0.25">
      <c r="A194" s="9" t="s">
        <v>34</v>
      </c>
      <c r="B194">
        <v>0</v>
      </c>
      <c r="D194" s="10">
        <f>0/$D$1</f>
        <v>0</v>
      </c>
      <c r="F194">
        <v>0</v>
      </c>
      <c r="H194" s="10">
        <f>0/$H$1</f>
        <v>0</v>
      </c>
      <c r="J194">
        <v>0</v>
      </c>
      <c r="L194" s="10">
        <f>0/$L$1</f>
        <v>0</v>
      </c>
      <c r="N194">
        <v>0</v>
      </c>
      <c r="P194" s="10">
        <f>0/$P$1</f>
        <v>0</v>
      </c>
      <c r="R194">
        <v>0</v>
      </c>
      <c r="T194" s="10">
        <f>0/$T$1</f>
        <v>0</v>
      </c>
      <c r="V194">
        <v>0</v>
      </c>
      <c r="X194" s="10">
        <f>0/$X$1</f>
        <v>0</v>
      </c>
      <c r="Z194">
        <v>0</v>
      </c>
      <c r="AB194" s="10">
        <f>0/$AB$1</f>
        <v>0</v>
      </c>
      <c r="AD194">
        <v>0</v>
      </c>
      <c r="AF194" s="10">
        <f>0/$AF$1</f>
        <v>0</v>
      </c>
      <c r="AH194">
        <v>0</v>
      </c>
      <c r="AJ194" s="10">
        <f>0/$AJ$1</f>
        <v>0</v>
      </c>
      <c r="AL194">
        <v>0</v>
      </c>
      <c r="AN194" s="10">
        <f>0/$AN$1</f>
        <v>0</v>
      </c>
      <c r="AP194">
        <v>0</v>
      </c>
      <c r="AR194" s="10">
        <f>0/$AR$1</f>
        <v>0</v>
      </c>
      <c r="AT194">
        <v>0</v>
      </c>
      <c r="AV194" s="10">
        <f>0/$AV$1</f>
        <v>0</v>
      </c>
      <c r="AX194">
        <v>0</v>
      </c>
      <c r="AZ194" s="10">
        <f>0/$AZ$1</f>
        <v>0</v>
      </c>
      <c r="BA194" s="10"/>
      <c r="BB194">
        <v>0</v>
      </c>
      <c r="BD194" s="10">
        <f>0/$BD$1</f>
        <v>0</v>
      </c>
      <c r="BF194">
        <v>0</v>
      </c>
      <c r="BH194" s="10">
        <f>0/$BH$1</f>
        <v>0</v>
      </c>
      <c r="BJ194">
        <v>0</v>
      </c>
      <c r="BL194" s="10">
        <f>0/$BL$1</f>
        <v>0</v>
      </c>
      <c r="BN194">
        <v>0</v>
      </c>
      <c r="BP194" s="10">
        <f>0/$BP$1</f>
        <v>0</v>
      </c>
      <c r="BR194">
        <v>0</v>
      </c>
      <c r="BT194" s="10">
        <f>0/$BT$1</f>
        <v>0</v>
      </c>
      <c r="BV194">
        <v>0</v>
      </c>
      <c r="BX194" s="10">
        <f>0/$BX$1</f>
        <v>0</v>
      </c>
      <c r="BZ194">
        <v>0</v>
      </c>
      <c r="CB194" s="10">
        <f>0/$CB$1</f>
        <v>0</v>
      </c>
      <c r="CD194">
        <v>0</v>
      </c>
      <c r="CF194" s="10">
        <f>0/$CF$1</f>
        <v>0</v>
      </c>
      <c r="CH194">
        <v>0</v>
      </c>
      <c r="CJ194" s="10">
        <f>0/$CJ$1</f>
        <v>0</v>
      </c>
      <c r="CL194">
        <v>0</v>
      </c>
      <c r="CN194" s="10">
        <f>0/$CN$1</f>
        <v>0</v>
      </c>
      <c r="CP194">
        <v>0</v>
      </c>
      <c r="CR194" s="10">
        <f>0/$CR$1</f>
        <v>0</v>
      </c>
      <c r="CT194">
        <v>0</v>
      </c>
      <c r="CV194" s="10">
        <f>0/$CV$1</f>
        <v>0</v>
      </c>
      <c r="CX194">
        <v>0</v>
      </c>
      <c r="CZ194" s="10">
        <f>0/$CZ$1</f>
        <v>0</v>
      </c>
    </row>
    <row r="195" spans="1:104" ht="15" hidden="1" customHeight="1" x14ac:dyDescent="0.25">
      <c r="A195" s="9" t="s">
        <v>35</v>
      </c>
      <c r="B195">
        <v>0</v>
      </c>
      <c r="D195" s="10">
        <f>0/$D$1</f>
        <v>0</v>
      </c>
      <c r="F195">
        <v>0</v>
      </c>
      <c r="H195" s="10">
        <f>0/$H$1</f>
        <v>0</v>
      </c>
      <c r="J195">
        <v>0</v>
      </c>
      <c r="L195" s="10">
        <f>0/$L$1</f>
        <v>0</v>
      </c>
      <c r="N195">
        <v>0</v>
      </c>
      <c r="P195" s="10">
        <f>0/$P$1</f>
        <v>0</v>
      </c>
      <c r="R195">
        <v>0</v>
      </c>
      <c r="T195" s="10">
        <f>0/$T$1</f>
        <v>0</v>
      </c>
      <c r="V195">
        <v>0</v>
      </c>
      <c r="X195" s="10">
        <f>0/$X$1</f>
        <v>0</v>
      </c>
      <c r="Z195">
        <v>0</v>
      </c>
      <c r="AB195" s="10">
        <f>0/$AB$1</f>
        <v>0</v>
      </c>
      <c r="AD195">
        <v>0</v>
      </c>
      <c r="AF195" s="10">
        <f>0/$AF$1</f>
        <v>0</v>
      </c>
      <c r="AH195">
        <v>0</v>
      </c>
      <c r="AJ195" s="10">
        <f>0/$AJ$1</f>
        <v>0</v>
      </c>
      <c r="AL195">
        <v>0</v>
      </c>
      <c r="AN195" s="10">
        <f>0/$AN$1</f>
        <v>0</v>
      </c>
      <c r="AP195">
        <v>0</v>
      </c>
      <c r="AR195" s="10">
        <f>0/$AR$1</f>
        <v>0</v>
      </c>
      <c r="AT195">
        <v>0</v>
      </c>
      <c r="AV195" s="10">
        <f>0/$AV$1</f>
        <v>0</v>
      </c>
      <c r="AX195">
        <v>0</v>
      </c>
      <c r="AZ195" s="10">
        <f>0/$AZ$1</f>
        <v>0</v>
      </c>
      <c r="BA195" s="10"/>
      <c r="BB195">
        <v>0</v>
      </c>
      <c r="BD195" s="10">
        <f>0/$BD$1</f>
        <v>0</v>
      </c>
      <c r="BF195">
        <v>0</v>
      </c>
      <c r="BH195" s="10">
        <f>0/$BH$1</f>
        <v>0</v>
      </c>
      <c r="BJ195">
        <v>0</v>
      </c>
      <c r="BL195" s="10">
        <f>0/$BL$1</f>
        <v>0</v>
      </c>
      <c r="BN195">
        <v>0</v>
      </c>
      <c r="BP195" s="10">
        <f>0/$BP$1</f>
        <v>0</v>
      </c>
      <c r="BR195">
        <v>0</v>
      </c>
      <c r="BT195" s="10">
        <f>0/$BT$1</f>
        <v>0</v>
      </c>
      <c r="BV195">
        <v>0</v>
      </c>
      <c r="BX195" s="10">
        <f>0/$BX$1</f>
        <v>0</v>
      </c>
      <c r="BZ195">
        <v>0</v>
      </c>
      <c r="CB195" s="10">
        <f>0/$CB$1</f>
        <v>0</v>
      </c>
      <c r="CD195">
        <v>0</v>
      </c>
      <c r="CF195" s="10">
        <f>0/$CF$1</f>
        <v>0</v>
      </c>
      <c r="CH195">
        <v>0</v>
      </c>
      <c r="CJ195" s="10">
        <f>0/$CJ$1</f>
        <v>0</v>
      </c>
      <c r="CL195">
        <v>0</v>
      </c>
      <c r="CN195" s="10">
        <f>0/$CN$1</f>
        <v>0</v>
      </c>
      <c r="CP195">
        <v>0</v>
      </c>
      <c r="CR195" s="10">
        <f>0/$CR$1</f>
        <v>0</v>
      </c>
      <c r="CT195">
        <v>0</v>
      </c>
      <c r="CV195" s="10">
        <f>0/$CV$1</f>
        <v>0</v>
      </c>
      <c r="CX195">
        <v>0</v>
      </c>
      <c r="CZ195" s="10">
        <f>0/$CZ$1</f>
        <v>0</v>
      </c>
    </row>
    <row r="197" spans="1:104" s="3" customFormat="1" x14ac:dyDescent="0.25">
      <c r="A197" s="3" t="s">
        <v>2125</v>
      </c>
      <c r="D197" s="4" t="s">
        <v>27</v>
      </c>
      <c r="H197" s="4" t="s">
        <v>27</v>
      </c>
      <c r="L197" s="4" t="s">
        <v>27</v>
      </c>
      <c r="P197" s="4" t="s">
        <v>27</v>
      </c>
      <c r="T197" s="4" t="s">
        <v>27</v>
      </c>
      <c r="X197" s="4" t="s">
        <v>27</v>
      </c>
      <c r="AB197" s="4" t="s">
        <v>27</v>
      </c>
      <c r="AF197" s="4" t="s">
        <v>27</v>
      </c>
      <c r="AJ197" s="4" t="s">
        <v>27</v>
      </c>
      <c r="AN197" s="4" t="s">
        <v>27</v>
      </c>
      <c r="AR197" s="4" t="s">
        <v>27</v>
      </c>
      <c r="AV197" s="4" t="s">
        <v>27</v>
      </c>
      <c r="AZ197" s="4" t="s">
        <v>27</v>
      </c>
      <c r="BA197" s="4"/>
      <c r="BD197" s="4" t="s">
        <v>27</v>
      </c>
      <c r="BH197" s="4" t="s">
        <v>27</v>
      </c>
      <c r="BL197" s="4" t="s">
        <v>27</v>
      </c>
      <c r="BP197" s="4" t="s">
        <v>27</v>
      </c>
      <c r="BT197" s="4" t="s">
        <v>27</v>
      </c>
      <c r="BX197" s="4" t="s">
        <v>27</v>
      </c>
      <c r="CB197" s="4" t="s">
        <v>27</v>
      </c>
      <c r="CF197" s="4" t="s">
        <v>27</v>
      </c>
      <c r="CJ197" s="4" t="s">
        <v>27</v>
      </c>
      <c r="CN197" s="4" t="s">
        <v>27</v>
      </c>
      <c r="CR197" s="4" t="s">
        <v>27</v>
      </c>
      <c r="CV197" s="4" t="s">
        <v>27</v>
      </c>
      <c r="CZ197" s="4" t="s">
        <v>27</v>
      </c>
    </row>
    <row r="198" spans="1:104" x14ac:dyDescent="0.25">
      <c r="A198" s="1" t="s">
        <v>2126</v>
      </c>
      <c r="B198">
        <v>108</v>
      </c>
      <c r="C198" s="5">
        <f>B198/B203</f>
        <v>0.108</v>
      </c>
      <c r="D198" s="5">
        <f>108/$D$1</f>
        <v>0.108</v>
      </c>
      <c r="F198">
        <v>55</v>
      </c>
      <c r="G198" s="5">
        <f>F198/F203</f>
        <v>0.10978043912175649</v>
      </c>
      <c r="H198" s="5">
        <f>55/$H$1</f>
        <v>0.10978043912175649</v>
      </c>
      <c r="J198">
        <v>53</v>
      </c>
      <c r="K198" s="5">
        <f>J198/J203</f>
        <v>0.10621242484969939</v>
      </c>
      <c r="L198" s="5">
        <f>53/$L$1</f>
        <v>0.10621242484969939</v>
      </c>
      <c r="N198">
        <v>9</v>
      </c>
      <c r="O198" s="5">
        <f>N198/N203</f>
        <v>9.2783505154639179E-2</v>
      </c>
      <c r="P198" s="5">
        <f>9/$P$1</f>
        <v>9.2783505154639179E-2</v>
      </c>
      <c r="R198">
        <v>21</v>
      </c>
      <c r="S198" s="5">
        <f>R198/R203</f>
        <v>0.10606060606060606</v>
      </c>
      <c r="T198" s="5">
        <f>21/$T$1</f>
        <v>0.10606060606060606</v>
      </c>
      <c r="V198">
        <v>24</v>
      </c>
      <c r="W198" s="5">
        <f>V198/V203</f>
        <v>9.9585062240663894E-2</v>
      </c>
      <c r="X198" s="5">
        <f>24/$X$1</f>
        <v>9.9585062240663894E-2</v>
      </c>
      <c r="Z198">
        <v>29</v>
      </c>
      <c r="AA198" s="5">
        <f>Z198/Z203</f>
        <v>0.14646464646464646</v>
      </c>
      <c r="AB198" s="5">
        <f>29/$AB$1</f>
        <v>0.14646464646464646</v>
      </c>
      <c r="AD198">
        <v>11</v>
      </c>
      <c r="AE198" s="5">
        <f>AD198/AD203</f>
        <v>7.1428571428571425E-2</v>
      </c>
      <c r="AF198" s="5">
        <f>11/$AF$1</f>
        <v>7.1428571428571425E-2</v>
      </c>
      <c r="AH198">
        <v>14</v>
      </c>
      <c r="AI198" s="5">
        <f>AH198/AH203</f>
        <v>0.11666666666666667</v>
      </c>
      <c r="AJ198" s="5">
        <f>14/$AJ$1</f>
        <v>0.11666666666666667</v>
      </c>
      <c r="AL198">
        <v>56</v>
      </c>
      <c r="AM198" s="5">
        <f>AL198/AL203</f>
        <v>0.15135135135135136</v>
      </c>
      <c r="AN198" s="5">
        <f>56/$AN$1</f>
        <v>0.15135135135135136</v>
      </c>
      <c r="AP198">
        <v>35</v>
      </c>
      <c r="AQ198" s="5">
        <f>AP198/AP203</f>
        <v>9.2592592592592587E-2</v>
      </c>
      <c r="AR198" s="5">
        <f>35/$AR$1</f>
        <v>9.2592592592592587E-2</v>
      </c>
      <c r="AT198">
        <v>17</v>
      </c>
      <c r="AU198" s="5">
        <f>AT198/AT203</f>
        <v>6.7460317460317457E-2</v>
      </c>
      <c r="AV198" s="5">
        <f>17/$AV$1</f>
        <v>6.7460317460317457E-2</v>
      </c>
      <c r="AX198">
        <v>43</v>
      </c>
      <c r="AY198" s="5">
        <f>AX198/AX203</f>
        <v>0.1575091575091575</v>
      </c>
      <c r="AZ198" s="5">
        <f>43/$AZ$1</f>
        <v>0.1575091575091575</v>
      </c>
      <c r="BA198" s="5"/>
      <c r="BB198">
        <v>30</v>
      </c>
      <c r="BC198" s="5">
        <f>BB198/BB203</f>
        <v>0.14778325123152711</v>
      </c>
      <c r="BD198" s="5">
        <f>30/$BD$1</f>
        <v>0.14778325123152711</v>
      </c>
      <c r="BF198">
        <v>21</v>
      </c>
      <c r="BG198" s="5">
        <f>BF198/BF203</f>
        <v>9.7674418604651161E-2</v>
      </c>
      <c r="BH198" s="5">
        <f>21/$BH$1</f>
        <v>9.7674418604651161E-2</v>
      </c>
      <c r="BJ198">
        <v>14</v>
      </c>
      <c r="BK198" s="5">
        <f>BJ198/BJ203</f>
        <v>4.5307443365695796E-2</v>
      </c>
      <c r="BL198" s="5">
        <f>14/$BL$1</f>
        <v>4.5307443365695796E-2</v>
      </c>
      <c r="BN198">
        <v>9</v>
      </c>
      <c r="BO198" s="5">
        <f>BN198/BN203</f>
        <v>0.19148936170212766</v>
      </c>
      <c r="BP198" s="5">
        <f>9/$BP$1</f>
        <v>0.19148936170212766</v>
      </c>
      <c r="BR198">
        <v>35</v>
      </c>
      <c r="BS198" s="5">
        <f>BR198/BR203</f>
        <v>0.11146496815286625</v>
      </c>
      <c r="BT198" s="5">
        <f>35/$BT$1</f>
        <v>0.11146496815286625</v>
      </c>
      <c r="BV198">
        <v>44</v>
      </c>
      <c r="BW198" s="5">
        <f>BV198/BV203</f>
        <v>0.11195928753180662</v>
      </c>
      <c r="BX198" s="5">
        <f>44/$BX$1</f>
        <v>0.11195928753180662</v>
      </c>
      <c r="BZ198">
        <v>20</v>
      </c>
      <c r="CA198" s="5">
        <f>BZ198/BZ203</f>
        <v>8.1300813008130079E-2</v>
      </c>
      <c r="CB198" s="5">
        <f>20/$CB$1</f>
        <v>8.1300813008130079E-2</v>
      </c>
      <c r="CD198">
        <v>8</v>
      </c>
      <c r="CE198" s="5">
        <f>CD198/CD203</f>
        <v>6.5040650406504072E-2</v>
      </c>
      <c r="CF198" s="5">
        <f>8/$CF$1</f>
        <v>6.5040650406504072E-2</v>
      </c>
      <c r="CH198">
        <v>77</v>
      </c>
      <c r="CI198" s="5">
        <f>CH198/CH203</f>
        <v>0.1119186046511628</v>
      </c>
      <c r="CJ198" s="5">
        <f>77/$CJ$1</f>
        <v>0.1119186046511628</v>
      </c>
      <c r="CL198">
        <v>93</v>
      </c>
      <c r="CM198" s="5">
        <f>CL198/CL203</f>
        <v>0.12269129287598944</v>
      </c>
      <c r="CN198" s="5">
        <f>93/$CN$1</f>
        <v>0.12269129287598944</v>
      </c>
      <c r="CP198">
        <v>15</v>
      </c>
      <c r="CQ198" s="5">
        <f>CP198/CP203</f>
        <v>6.1983471074380167E-2</v>
      </c>
      <c r="CR198" s="5">
        <f>15/$CR$1</f>
        <v>6.1983471074380167E-2</v>
      </c>
      <c r="CT198">
        <v>44</v>
      </c>
      <c r="CU198" s="5">
        <f>CT198/CT203</f>
        <v>0.13213213213213212</v>
      </c>
      <c r="CV198" s="5">
        <f>44/$CV$1</f>
        <v>0.13213213213213212</v>
      </c>
      <c r="CX198">
        <v>64</v>
      </c>
      <c r="CY198" s="5">
        <f>CX198/CX203</f>
        <v>9.5952023988005994E-2</v>
      </c>
      <c r="CZ198" s="5">
        <f>64/$CZ$1</f>
        <v>9.5952023988005994E-2</v>
      </c>
    </row>
    <row r="199" spans="1:104" x14ac:dyDescent="0.25">
      <c r="A199" s="1" t="s">
        <v>2127</v>
      </c>
      <c r="B199">
        <v>435</v>
      </c>
      <c r="C199" s="5">
        <f>B199/B203</f>
        <v>0.435</v>
      </c>
      <c r="D199" s="5">
        <f>435/$D$1</f>
        <v>0.435</v>
      </c>
      <c r="F199">
        <v>211</v>
      </c>
      <c r="G199" s="5">
        <f>F199/F203</f>
        <v>0.42115768463073855</v>
      </c>
      <c r="H199" s="5">
        <f>211/$H$1</f>
        <v>0.42115768463073855</v>
      </c>
      <c r="J199">
        <v>224</v>
      </c>
      <c r="K199" s="5">
        <f>J199/J203</f>
        <v>0.44889779559118237</v>
      </c>
      <c r="L199" s="5">
        <f>224/$L$1</f>
        <v>0.44889779559118237</v>
      </c>
      <c r="N199">
        <v>48</v>
      </c>
      <c r="O199" s="5">
        <f>N199/N203</f>
        <v>0.49484536082474229</v>
      </c>
      <c r="P199" s="5">
        <f>48/$P$1</f>
        <v>0.49484536082474229</v>
      </c>
      <c r="R199">
        <v>86</v>
      </c>
      <c r="S199" s="5">
        <f>R199/R203</f>
        <v>0.43434343434343436</v>
      </c>
      <c r="T199" s="5">
        <f>86/$T$1</f>
        <v>0.43434343434343436</v>
      </c>
      <c r="V199">
        <v>108</v>
      </c>
      <c r="W199" s="5">
        <f>V199/V203</f>
        <v>0.44813278008298757</v>
      </c>
      <c r="X199" s="5">
        <f>108/$X$1</f>
        <v>0.44813278008298757</v>
      </c>
      <c r="Z199">
        <v>88</v>
      </c>
      <c r="AA199" s="5">
        <f>Z199/Z203</f>
        <v>0.44444444444444442</v>
      </c>
      <c r="AB199" s="5">
        <f>88/$AB$1</f>
        <v>0.44444444444444442</v>
      </c>
      <c r="AD199">
        <v>64</v>
      </c>
      <c r="AE199" s="5">
        <f>AD199/AD203</f>
        <v>0.41558441558441561</v>
      </c>
      <c r="AF199" s="5">
        <f>64/$AF$1</f>
        <v>0.41558441558441561</v>
      </c>
      <c r="AH199">
        <v>43</v>
      </c>
      <c r="AI199" s="5">
        <f>AH199/AH203</f>
        <v>0.35833333333333334</v>
      </c>
      <c r="AJ199" s="5">
        <f>43/$AJ$1</f>
        <v>0.35833333333333334</v>
      </c>
      <c r="AL199">
        <v>161</v>
      </c>
      <c r="AM199" s="5">
        <f>AL199/AL203</f>
        <v>0.43513513513513513</v>
      </c>
      <c r="AN199" s="5">
        <f>161/$AN$1</f>
        <v>0.43513513513513513</v>
      </c>
      <c r="AP199">
        <v>157</v>
      </c>
      <c r="AQ199" s="5">
        <f>AP199/AP203</f>
        <v>0.41534391534391535</v>
      </c>
      <c r="AR199" s="5">
        <f>157/$AR$1</f>
        <v>0.41534391534391535</v>
      </c>
      <c r="AT199">
        <v>117</v>
      </c>
      <c r="AU199" s="5">
        <f>AT199/AT203</f>
        <v>0.4642857142857143</v>
      </c>
      <c r="AV199" s="5">
        <f>117/$AV$1</f>
        <v>0.4642857142857143</v>
      </c>
      <c r="AX199">
        <v>127</v>
      </c>
      <c r="AY199" s="5">
        <f>AX199/AX203</f>
        <v>0.46520146520146521</v>
      </c>
      <c r="AZ199" s="5">
        <f>127/$AZ$1</f>
        <v>0.46520146520146521</v>
      </c>
      <c r="BA199" s="5"/>
      <c r="BB199">
        <v>90</v>
      </c>
      <c r="BC199" s="5">
        <f>BB199/BB203</f>
        <v>0.44334975369458129</v>
      </c>
      <c r="BD199" s="5">
        <f>90/$BD$1</f>
        <v>0.44334975369458129</v>
      </c>
      <c r="BF199">
        <v>87</v>
      </c>
      <c r="BG199" s="5">
        <f>BF199/BF203</f>
        <v>0.40465116279069768</v>
      </c>
      <c r="BH199" s="5">
        <f>87/$BH$1</f>
        <v>0.40465116279069768</v>
      </c>
      <c r="BJ199">
        <v>131</v>
      </c>
      <c r="BK199" s="5">
        <f>BJ199/BJ203</f>
        <v>0.42394822006472493</v>
      </c>
      <c r="BL199" s="5">
        <f>131/$BL$1</f>
        <v>0.42394822006472493</v>
      </c>
      <c r="BN199">
        <v>16</v>
      </c>
      <c r="BO199" s="5">
        <f>BN199/BN203</f>
        <v>0.34042553191489361</v>
      </c>
      <c r="BP199" s="5">
        <f>16/$BP$1</f>
        <v>0.34042553191489361</v>
      </c>
      <c r="BR199">
        <v>131</v>
      </c>
      <c r="BS199" s="5">
        <f>BR199/BR203</f>
        <v>0.41719745222929938</v>
      </c>
      <c r="BT199" s="5">
        <f>131/$BT$1</f>
        <v>0.41719745222929938</v>
      </c>
      <c r="BV199">
        <v>156</v>
      </c>
      <c r="BW199" s="5">
        <f>BV199/BV203</f>
        <v>0.39694656488549618</v>
      </c>
      <c r="BX199" s="5">
        <f>156/$BX$1</f>
        <v>0.39694656488549618</v>
      </c>
      <c r="BZ199">
        <v>132</v>
      </c>
      <c r="CA199" s="5">
        <f>BZ199/BZ203</f>
        <v>0.53658536585365857</v>
      </c>
      <c r="CB199" s="5">
        <f>132/$CB$1</f>
        <v>0.53658536585365857</v>
      </c>
      <c r="CD199">
        <v>38</v>
      </c>
      <c r="CE199" s="5">
        <f>CD199/CD203</f>
        <v>0.30894308943089432</v>
      </c>
      <c r="CF199" s="5">
        <f>38/$CF$1</f>
        <v>0.30894308943089432</v>
      </c>
      <c r="CH199">
        <v>330</v>
      </c>
      <c r="CI199" s="5">
        <f>CH199/CH203</f>
        <v>0.47965116279069769</v>
      </c>
      <c r="CJ199" s="5">
        <f>330/$CJ$1</f>
        <v>0.47965116279069769</v>
      </c>
      <c r="CL199">
        <v>355</v>
      </c>
      <c r="CM199" s="5">
        <f>CL199/CL203</f>
        <v>0.4683377308707124</v>
      </c>
      <c r="CN199" s="5">
        <f>355/$CN$1</f>
        <v>0.4683377308707124</v>
      </c>
      <c r="CP199">
        <v>80</v>
      </c>
      <c r="CQ199" s="5">
        <f>CP199/CP203</f>
        <v>0.33057851239669422</v>
      </c>
      <c r="CR199" s="5">
        <f>80/$CR$1</f>
        <v>0.33057851239669422</v>
      </c>
      <c r="CT199">
        <v>165</v>
      </c>
      <c r="CU199" s="5">
        <f>CT199/CT203</f>
        <v>0.49549549549549549</v>
      </c>
      <c r="CV199" s="5">
        <f>165/$CV$1</f>
        <v>0.49549549549549549</v>
      </c>
      <c r="CX199">
        <v>270</v>
      </c>
      <c r="CY199" s="5">
        <f>CX199/CX203</f>
        <v>0.40479760119940028</v>
      </c>
      <c r="CZ199" s="5">
        <f>270/$CZ$1</f>
        <v>0.40479760119940028</v>
      </c>
    </row>
    <row r="200" spans="1:104" x14ac:dyDescent="0.25">
      <c r="A200" s="1" t="s">
        <v>2128</v>
      </c>
      <c r="B200">
        <v>437</v>
      </c>
      <c r="C200" s="5">
        <f>B200/B203</f>
        <v>0.437</v>
      </c>
      <c r="D200" s="5">
        <f>437/$D$1</f>
        <v>0.437</v>
      </c>
      <c r="F200">
        <v>225</v>
      </c>
      <c r="G200" s="5">
        <f>F200/F203</f>
        <v>0.44910179640718562</v>
      </c>
      <c r="H200" s="5">
        <f>225/$H$1</f>
        <v>0.44910179640718562</v>
      </c>
      <c r="J200">
        <v>212</v>
      </c>
      <c r="K200" s="5">
        <f>J200/J203</f>
        <v>0.42484969939879758</v>
      </c>
      <c r="L200" s="5">
        <f>212/$L$1</f>
        <v>0.42484969939879758</v>
      </c>
      <c r="N200">
        <v>40</v>
      </c>
      <c r="O200" s="5">
        <f>N200/N203</f>
        <v>0.41237113402061853</v>
      </c>
      <c r="P200" s="5">
        <f>40/$P$1</f>
        <v>0.41237113402061853</v>
      </c>
      <c r="R200">
        <v>88</v>
      </c>
      <c r="S200" s="5">
        <f>R200/R203</f>
        <v>0.44444444444444442</v>
      </c>
      <c r="T200" s="5">
        <f>88/$T$1</f>
        <v>0.44444444444444442</v>
      </c>
      <c r="V200">
        <v>103</v>
      </c>
      <c r="W200" s="5">
        <f>V200/V203</f>
        <v>0.42738589211618255</v>
      </c>
      <c r="X200" s="5">
        <f>103/$X$1</f>
        <v>0.42738589211618255</v>
      </c>
      <c r="Z200">
        <v>75</v>
      </c>
      <c r="AA200" s="5">
        <f>Z200/Z203</f>
        <v>0.37878787878787878</v>
      </c>
      <c r="AB200" s="5">
        <f>75/$AB$1</f>
        <v>0.37878787878787878</v>
      </c>
      <c r="AD200">
        <v>76</v>
      </c>
      <c r="AE200" s="5">
        <f>AD200/AD203</f>
        <v>0.4935064935064935</v>
      </c>
      <c r="AF200" s="5">
        <f>76/$AF$1</f>
        <v>0.4935064935064935</v>
      </c>
      <c r="AH200">
        <v>61</v>
      </c>
      <c r="AI200" s="5">
        <f>AH200/AH203</f>
        <v>0.5083333333333333</v>
      </c>
      <c r="AJ200" s="5">
        <f>61/$AJ$1</f>
        <v>0.5083333333333333</v>
      </c>
      <c r="AL200">
        <v>145</v>
      </c>
      <c r="AM200" s="5">
        <f>AL200/AL203</f>
        <v>0.39189189189189189</v>
      </c>
      <c r="AN200" s="5">
        <f>145/$AN$1</f>
        <v>0.39189189189189189</v>
      </c>
      <c r="AP200">
        <v>176</v>
      </c>
      <c r="AQ200" s="5">
        <f>AP200/AP203</f>
        <v>0.46560846560846558</v>
      </c>
      <c r="AR200" s="5">
        <f>176/$AR$1</f>
        <v>0.46560846560846558</v>
      </c>
      <c r="AT200">
        <v>116</v>
      </c>
      <c r="AU200" s="5">
        <f>AT200/AT203</f>
        <v>0.46031746031746029</v>
      </c>
      <c r="AV200" s="5">
        <f>116/$AV$1</f>
        <v>0.46031746031746029</v>
      </c>
      <c r="AX200">
        <v>101</v>
      </c>
      <c r="AY200" s="5">
        <f>AX200/AX203</f>
        <v>0.36996336996336998</v>
      </c>
      <c r="AZ200" s="5">
        <f>101/$AZ$1</f>
        <v>0.36996336996336998</v>
      </c>
      <c r="BA200" s="5"/>
      <c r="BB200">
        <v>74</v>
      </c>
      <c r="BC200" s="5">
        <f>BB200/BB203</f>
        <v>0.3645320197044335</v>
      </c>
      <c r="BD200" s="5">
        <f>74/$BD$1</f>
        <v>0.3645320197044335</v>
      </c>
      <c r="BF200">
        <v>102</v>
      </c>
      <c r="BG200" s="5">
        <f>BF200/BF203</f>
        <v>0.47441860465116281</v>
      </c>
      <c r="BH200" s="5">
        <f>102/$BH$1</f>
        <v>0.47441860465116281</v>
      </c>
      <c r="BJ200">
        <v>160</v>
      </c>
      <c r="BK200" s="5">
        <f>BJ200/BJ203</f>
        <v>0.51779935275080902</v>
      </c>
      <c r="BL200" s="5">
        <f>160/$BL$1</f>
        <v>0.51779935275080902</v>
      </c>
      <c r="BN200">
        <v>18</v>
      </c>
      <c r="BO200" s="5">
        <f>BN200/BN203</f>
        <v>0.38297872340425532</v>
      </c>
      <c r="BP200" s="5">
        <f>18/$BP$1</f>
        <v>0.38297872340425532</v>
      </c>
      <c r="BR200">
        <v>136</v>
      </c>
      <c r="BS200" s="5">
        <f>BR200/BR203</f>
        <v>0.43312101910828027</v>
      </c>
      <c r="BT200" s="5">
        <f>136/$BT$1</f>
        <v>0.43312101910828027</v>
      </c>
      <c r="BV200">
        <v>191</v>
      </c>
      <c r="BW200" s="5">
        <f>BV200/BV203</f>
        <v>0.48600508905852419</v>
      </c>
      <c r="BX200" s="5">
        <f>191/$BX$1</f>
        <v>0.48600508905852419</v>
      </c>
      <c r="BZ200">
        <v>92</v>
      </c>
      <c r="CA200" s="5">
        <f>BZ200/BZ203</f>
        <v>0.37398373983739835</v>
      </c>
      <c r="CB200" s="5">
        <f>92/$CB$1</f>
        <v>0.37398373983739835</v>
      </c>
      <c r="CD200">
        <v>75</v>
      </c>
      <c r="CE200" s="5">
        <f>CD200/CD203</f>
        <v>0.6097560975609756</v>
      </c>
      <c r="CF200" s="5">
        <f>75/$CF$1</f>
        <v>0.6097560975609756</v>
      </c>
      <c r="CH200">
        <v>267</v>
      </c>
      <c r="CI200" s="5">
        <f>CH200/CH203</f>
        <v>0.38808139534883723</v>
      </c>
      <c r="CJ200" s="5">
        <f>267/$CJ$1</f>
        <v>0.38808139534883723</v>
      </c>
      <c r="CL200">
        <v>293</v>
      </c>
      <c r="CM200" s="5">
        <f>CL200/CL203</f>
        <v>0.38654353562005278</v>
      </c>
      <c r="CN200" s="5">
        <f>293/$CN$1</f>
        <v>0.38654353562005278</v>
      </c>
      <c r="CP200">
        <v>144</v>
      </c>
      <c r="CQ200" s="5">
        <f>CP200/CP203</f>
        <v>0.5950413223140496</v>
      </c>
      <c r="CR200" s="5">
        <f>144/$CR$1</f>
        <v>0.5950413223140496</v>
      </c>
      <c r="CT200">
        <v>120</v>
      </c>
      <c r="CU200" s="5">
        <f>CT200/CT203</f>
        <v>0.36036036036036034</v>
      </c>
      <c r="CV200" s="5">
        <f>120/$CV$1</f>
        <v>0.36036036036036034</v>
      </c>
      <c r="CX200">
        <v>317</v>
      </c>
      <c r="CY200" s="5">
        <f>CX200/CX203</f>
        <v>0.4752623688155922</v>
      </c>
      <c r="CZ200" s="5">
        <f>317/$CZ$1</f>
        <v>0.4752623688155922</v>
      </c>
    </row>
    <row r="201" spans="1:104" x14ac:dyDescent="0.25">
      <c r="A201" s="1" t="s">
        <v>247</v>
      </c>
      <c r="B201">
        <v>20</v>
      </c>
      <c r="C201" s="5">
        <f>B201/B203</f>
        <v>0.02</v>
      </c>
      <c r="D201" s="5">
        <f>20/$D$1</f>
        <v>0.02</v>
      </c>
      <c r="F201">
        <v>10</v>
      </c>
      <c r="G201" s="5">
        <f>F201/F203</f>
        <v>1.9960079840319361E-2</v>
      </c>
      <c r="H201" s="5">
        <f>10/$H$1</f>
        <v>1.9960079840319361E-2</v>
      </c>
      <c r="J201">
        <v>10</v>
      </c>
      <c r="K201" s="5">
        <f>J201/J203</f>
        <v>2.004008016032064E-2</v>
      </c>
      <c r="L201" s="5">
        <f>10/$L$1</f>
        <v>2.004008016032064E-2</v>
      </c>
      <c r="N201">
        <v>0</v>
      </c>
      <c r="O201" s="5">
        <f>N201/N203</f>
        <v>0</v>
      </c>
      <c r="P201" s="5">
        <f>0/$P$1</f>
        <v>0</v>
      </c>
      <c r="R201">
        <v>3</v>
      </c>
      <c r="S201" s="5">
        <f>R201/R203</f>
        <v>1.5151515151515152E-2</v>
      </c>
      <c r="T201" s="5">
        <f>3/$T$1</f>
        <v>1.5151515151515152E-2</v>
      </c>
      <c r="V201">
        <v>6</v>
      </c>
      <c r="W201" s="5">
        <f>V201/V203</f>
        <v>2.4896265560165973E-2</v>
      </c>
      <c r="X201" s="5">
        <f>6/$X$1</f>
        <v>2.4896265560165973E-2</v>
      </c>
      <c r="Z201">
        <v>6</v>
      </c>
      <c r="AA201" s="5">
        <f>Z201/Z203</f>
        <v>3.0303030303030304E-2</v>
      </c>
      <c r="AB201" s="5">
        <f>6/$AB$1</f>
        <v>3.0303030303030304E-2</v>
      </c>
      <c r="AD201">
        <v>3</v>
      </c>
      <c r="AE201" s="5">
        <f>AD201/AD203</f>
        <v>1.948051948051948E-2</v>
      </c>
      <c r="AF201" s="5">
        <f>3/$AF$1</f>
        <v>1.948051948051948E-2</v>
      </c>
      <c r="AH201">
        <v>2</v>
      </c>
      <c r="AI201" s="5">
        <f>AH201/AH203</f>
        <v>1.6666666666666666E-2</v>
      </c>
      <c r="AJ201" s="5">
        <f>2/$AJ$1</f>
        <v>1.6666666666666666E-2</v>
      </c>
      <c r="AL201">
        <v>8</v>
      </c>
      <c r="AM201" s="5">
        <f>AL201/AL203</f>
        <v>2.1621621621621623E-2</v>
      </c>
      <c r="AN201" s="5">
        <f>8/$AN$1</f>
        <v>2.1621621621621623E-2</v>
      </c>
      <c r="AP201">
        <v>10</v>
      </c>
      <c r="AQ201" s="5">
        <f>AP201/AP203</f>
        <v>2.6455026455026454E-2</v>
      </c>
      <c r="AR201" s="5">
        <f>10/$AR$1</f>
        <v>2.6455026455026454E-2</v>
      </c>
      <c r="AT201">
        <v>2</v>
      </c>
      <c r="AU201" s="5">
        <f>AT201/AT203</f>
        <v>7.9365079365079361E-3</v>
      </c>
      <c r="AV201" s="5">
        <f>2/$AV$1</f>
        <v>7.9365079365079361E-3</v>
      </c>
      <c r="AX201">
        <v>2</v>
      </c>
      <c r="AY201" s="5">
        <f>AX201/AX203</f>
        <v>7.326007326007326E-3</v>
      </c>
      <c r="AZ201" s="5">
        <f>2/$AZ$1</f>
        <v>7.326007326007326E-3</v>
      </c>
      <c r="BA201" s="5"/>
      <c r="BB201">
        <v>9</v>
      </c>
      <c r="BC201" s="5">
        <f>BB201/BB203</f>
        <v>4.4334975369458129E-2</v>
      </c>
      <c r="BD201" s="5">
        <f>9/$BD$1</f>
        <v>4.4334975369458129E-2</v>
      </c>
      <c r="BF201">
        <v>5</v>
      </c>
      <c r="BG201" s="5">
        <f>BF201/BF203</f>
        <v>2.3255813953488372E-2</v>
      </c>
      <c r="BH201" s="5">
        <f>5/$BH$1</f>
        <v>2.3255813953488372E-2</v>
      </c>
      <c r="BJ201">
        <v>4</v>
      </c>
      <c r="BK201" s="5">
        <f>BJ201/BJ203</f>
        <v>1.2944983818770227E-2</v>
      </c>
      <c r="BL201" s="5">
        <f>4/$BL$1</f>
        <v>1.2944983818770227E-2</v>
      </c>
      <c r="BN201">
        <v>4</v>
      </c>
      <c r="BO201" s="5">
        <f>BN201/BN203</f>
        <v>8.5106382978723402E-2</v>
      </c>
      <c r="BP201" s="5">
        <f>4/$BP$1</f>
        <v>8.5106382978723402E-2</v>
      </c>
      <c r="BR201">
        <v>12</v>
      </c>
      <c r="BS201" s="5">
        <f>BR201/BR203</f>
        <v>3.8216560509554139E-2</v>
      </c>
      <c r="BT201" s="5">
        <f>12/$BT$1</f>
        <v>3.8216560509554139E-2</v>
      </c>
      <c r="BV201">
        <v>2</v>
      </c>
      <c r="BW201" s="5">
        <f>BV201/BV203</f>
        <v>5.0890585241730284E-3</v>
      </c>
      <c r="BX201" s="5">
        <f>2/$BX$1</f>
        <v>5.0890585241730284E-3</v>
      </c>
      <c r="BZ201">
        <v>2</v>
      </c>
      <c r="CA201" s="5">
        <f>BZ201/BZ203</f>
        <v>8.130081300813009E-3</v>
      </c>
      <c r="CB201" s="5">
        <f>2/$CB$1</f>
        <v>8.130081300813009E-3</v>
      </c>
      <c r="CD201">
        <v>2</v>
      </c>
      <c r="CE201" s="5">
        <f>CD201/CD203</f>
        <v>1.6260162601626018E-2</v>
      </c>
      <c r="CF201" s="5">
        <f>2/$CF$1</f>
        <v>1.6260162601626018E-2</v>
      </c>
      <c r="CH201">
        <v>14</v>
      </c>
      <c r="CI201" s="5">
        <f>CH201/CH203</f>
        <v>2.0348837209302327E-2</v>
      </c>
      <c r="CJ201" s="5">
        <f>14/$CJ$1</f>
        <v>2.0348837209302327E-2</v>
      </c>
      <c r="CL201">
        <v>17</v>
      </c>
      <c r="CM201" s="5">
        <f>CL201/CL203</f>
        <v>2.2427440633245383E-2</v>
      </c>
      <c r="CN201" s="5">
        <f>17/$CN$1</f>
        <v>2.2427440633245383E-2</v>
      </c>
      <c r="CP201">
        <v>3</v>
      </c>
      <c r="CQ201" s="5">
        <f>CP201/CP203</f>
        <v>1.2396694214876033E-2</v>
      </c>
      <c r="CR201" s="5">
        <f>3/$CR$1</f>
        <v>1.2396694214876033E-2</v>
      </c>
      <c r="CT201">
        <v>4</v>
      </c>
      <c r="CU201" s="5">
        <f>CT201/CT203</f>
        <v>1.2012012012012012E-2</v>
      </c>
      <c r="CV201" s="5">
        <f>4/$CV$1</f>
        <v>1.2012012012012012E-2</v>
      </c>
      <c r="CX201">
        <v>16</v>
      </c>
      <c r="CY201" s="5">
        <f>CX201/CX203</f>
        <v>2.3988005997001498E-2</v>
      </c>
      <c r="CZ201" s="5">
        <f>16/$CZ$1</f>
        <v>2.3988005997001498E-2</v>
      </c>
    </row>
    <row r="202" spans="1:104" x14ac:dyDescent="0.25">
      <c r="A202" s="1" t="s">
        <v>32</v>
      </c>
      <c r="B202">
        <v>0</v>
      </c>
      <c r="C202" s="5">
        <f>B202/B203</f>
        <v>0</v>
      </c>
      <c r="D202" s="5">
        <f>0/$D$1</f>
        <v>0</v>
      </c>
      <c r="F202">
        <v>0</v>
      </c>
      <c r="G202" s="5">
        <f>F202/F203</f>
        <v>0</v>
      </c>
      <c r="H202" s="5">
        <f>0/$H$1</f>
        <v>0</v>
      </c>
      <c r="J202">
        <v>0</v>
      </c>
      <c r="K202" s="5">
        <f>J202/J203</f>
        <v>0</v>
      </c>
      <c r="L202" s="5">
        <f>0/$L$1</f>
        <v>0</v>
      </c>
      <c r="N202">
        <v>0</v>
      </c>
      <c r="O202" s="5">
        <f>N202/N203</f>
        <v>0</v>
      </c>
      <c r="P202" s="5">
        <f>0/$P$1</f>
        <v>0</v>
      </c>
      <c r="R202">
        <v>0</v>
      </c>
      <c r="S202" s="5">
        <f>R202/R203</f>
        <v>0</v>
      </c>
      <c r="T202" s="5">
        <f>0/$T$1</f>
        <v>0</v>
      </c>
      <c r="V202">
        <v>0</v>
      </c>
      <c r="W202" s="5">
        <f>V202/V203</f>
        <v>0</v>
      </c>
      <c r="X202" s="5">
        <f>0/$X$1</f>
        <v>0</v>
      </c>
      <c r="Z202">
        <v>0</v>
      </c>
      <c r="AA202" s="5">
        <f>Z202/Z203</f>
        <v>0</v>
      </c>
      <c r="AB202" s="5">
        <f>0/$AB$1</f>
        <v>0</v>
      </c>
      <c r="AD202">
        <v>0</v>
      </c>
      <c r="AE202" s="5">
        <f>AD202/AD203</f>
        <v>0</v>
      </c>
      <c r="AF202" s="5">
        <f>0/$AF$1</f>
        <v>0</v>
      </c>
      <c r="AH202">
        <v>0</v>
      </c>
      <c r="AI202" s="5">
        <f>AH202/AH203</f>
        <v>0</v>
      </c>
      <c r="AJ202" s="5">
        <f>0/$AJ$1</f>
        <v>0</v>
      </c>
      <c r="AL202">
        <v>0</v>
      </c>
      <c r="AM202" s="5">
        <f>AL202/AL203</f>
        <v>0</v>
      </c>
      <c r="AN202" s="5">
        <f>0/$AN$1</f>
        <v>0</v>
      </c>
      <c r="AP202">
        <v>0</v>
      </c>
      <c r="AQ202" s="5">
        <f>AP202/AP203</f>
        <v>0</v>
      </c>
      <c r="AR202" s="5">
        <f>0/$AR$1</f>
        <v>0</v>
      </c>
      <c r="AT202">
        <v>0</v>
      </c>
      <c r="AU202" s="5">
        <f>AT202/AT203</f>
        <v>0</v>
      </c>
      <c r="AV202" s="5">
        <f>0/$AV$1</f>
        <v>0</v>
      </c>
      <c r="AX202">
        <v>0</v>
      </c>
      <c r="AY202" s="5">
        <f>AX202/AX203</f>
        <v>0</v>
      </c>
      <c r="AZ202" s="5">
        <f>0/$AZ$1</f>
        <v>0</v>
      </c>
      <c r="BA202" s="5"/>
      <c r="BB202">
        <v>0</v>
      </c>
      <c r="BC202" s="5">
        <f>BB202/BB203</f>
        <v>0</v>
      </c>
      <c r="BD202" s="5">
        <f>0/$BD$1</f>
        <v>0</v>
      </c>
      <c r="BF202">
        <v>0</v>
      </c>
      <c r="BG202" s="5">
        <f>BF202/BF203</f>
        <v>0</v>
      </c>
      <c r="BH202" s="5">
        <f>0/$BH$1</f>
        <v>0</v>
      </c>
      <c r="BJ202">
        <v>0</v>
      </c>
      <c r="BK202" s="5">
        <f>BJ202/BJ203</f>
        <v>0</v>
      </c>
      <c r="BL202" s="5">
        <f>0/$BL$1</f>
        <v>0</v>
      </c>
      <c r="BN202">
        <v>0</v>
      </c>
      <c r="BO202" s="5">
        <f>BN202/BN203</f>
        <v>0</v>
      </c>
      <c r="BP202" s="5">
        <f>0/$BP$1</f>
        <v>0</v>
      </c>
      <c r="BR202">
        <v>0</v>
      </c>
      <c r="BS202" s="5">
        <f>BR202/BR203</f>
        <v>0</v>
      </c>
      <c r="BT202" s="5">
        <f>0/$BT$1</f>
        <v>0</v>
      </c>
      <c r="BV202">
        <v>0</v>
      </c>
      <c r="BW202" s="5">
        <f>BV202/BV203</f>
        <v>0</v>
      </c>
      <c r="BX202" s="5">
        <f>0/$BX$1</f>
        <v>0</v>
      </c>
      <c r="BZ202">
        <v>0</v>
      </c>
      <c r="CA202" s="5">
        <f>BZ202/BZ203</f>
        <v>0</v>
      </c>
      <c r="CB202" s="5">
        <f>0/$CB$1</f>
        <v>0</v>
      </c>
      <c r="CD202">
        <v>0</v>
      </c>
      <c r="CE202" s="5">
        <f>CD202/CD203</f>
        <v>0</v>
      </c>
      <c r="CF202" s="5">
        <f>0/$CF$1</f>
        <v>0</v>
      </c>
      <c r="CH202">
        <v>0</v>
      </c>
      <c r="CI202" s="5">
        <f>CH202/CH203</f>
        <v>0</v>
      </c>
      <c r="CJ202" s="5">
        <f>0/$CJ$1</f>
        <v>0</v>
      </c>
      <c r="CL202">
        <v>0</v>
      </c>
      <c r="CM202" s="5">
        <f>CL202/CL203</f>
        <v>0</v>
      </c>
      <c r="CN202" s="5">
        <f>0/$CN$1</f>
        <v>0</v>
      </c>
      <c r="CP202">
        <v>0</v>
      </c>
      <c r="CQ202" s="5">
        <f>CP202/CP203</f>
        <v>0</v>
      </c>
      <c r="CR202" s="5">
        <f>0/$CR$1</f>
        <v>0</v>
      </c>
      <c r="CT202">
        <v>0</v>
      </c>
      <c r="CU202" s="5">
        <f>CT202/CT203</f>
        <v>0</v>
      </c>
      <c r="CV202" s="5">
        <f>0/$CV$1</f>
        <v>0</v>
      </c>
      <c r="CX202">
        <v>0</v>
      </c>
      <c r="CY202" s="5">
        <f>CX202/CX203</f>
        <v>0</v>
      </c>
      <c r="CZ202" s="5">
        <f>0/$CZ$1</f>
        <v>0</v>
      </c>
    </row>
    <row r="203" spans="1:104" s="6" customFormat="1" x14ac:dyDescent="0.25">
      <c r="A203" s="7" t="s">
        <v>33</v>
      </c>
      <c r="B203" s="6">
        <v>1000</v>
      </c>
      <c r="D203" s="8">
        <f>1000/$D$1</f>
        <v>1</v>
      </c>
      <c r="F203" s="6">
        <v>501</v>
      </c>
      <c r="H203" s="8">
        <f>501/$H$1</f>
        <v>1</v>
      </c>
      <c r="J203" s="6">
        <v>499</v>
      </c>
      <c r="L203" s="8">
        <f>499/$L$1</f>
        <v>1</v>
      </c>
      <c r="N203" s="6">
        <v>97</v>
      </c>
      <c r="P203" s="8">
        <f>97/$P$1</f>
        <v>1</v>
      </c>
      <c r="R203" s="6">
        <v>198</v>
      </c>
      <c r="T203" s="8">
        <f>198/$T$1</f>
        <v>1</v>
      </c>
      <c r="V203" s="6">
        <v>241</v>
      </c>
      <c r="X203" s="8">
        <f>241/$X$1</f>
        <v>1</v>
      </c>
      <c r="Z203" s="6">
        <v>198</v>
      </c>
      <c r="AB203" s="8">
        <f>198/$AB$1</f>
        <v>1</v>
      </c>
      <c r="AD203" s="6">
        <v>154</v>
      </c>
      <c r="AF203" s="8">
        <f>154/$AF$1</f>
        <v>1</v>
      </c>
      <c r="AH203" s="6">
        <v>120</v>
      </c>
      <c r="AJ203" s="8">
        <f>120/$AJ$1</f>
        <v>1</v>
      </c>
      <c r="AL203" s="6">
        <v>370</v>
      </c>
      <c r="AN203" s="8">
        <f>370/$AN$1</f>
        <v>1</v>
      </c>
      <c r="AP203" s="6">
        <v>378</v>
      </c>
      <c r="AR203" s="8">
        <f>378/$AR$1</f>
        <v>1</v>
      </c>
      <c r="AT203" s="6">
        <v>252</v>
      </c>
      <c r="AV203" s="8">
        <f>252/$AV$1</f>
        <v>1</v>
      </c>
      <c r="AX203" s="6">
        <v>273</v>
      </c>
      <c r="AZ203" s="8">
        <f>273/$AZ$1</f>
        <v>1</v>
      </c>
      <c r="BA203" s="8"/>
      <c r="BB203" s="6">
        <v>203</v>
      </c>
      <c r="BD203" s="8">
        <f>203/$BD$1</f>
        <v>1</v>
      </c>
      <c r="BF203" s="6">
        <v>215</v>
      </c>
      <c r="BH203" s="8">
        <f>215/$BH$1</f>
        <v>1</v>
      </c>
      <c r="BJ203" s="6">
        <v>309</v>
      </c>
      <c r="BL203" s="8">
        <f>309/$BL$1</f>
        <v>1</v>
      </c>
      <c r="BN203" s="6">
        <v>47</v>
      </c>
      <c r="BP203" s="8">
        <f>47/$BP$1</f>
        <v>1</v>
      </c>
      <c r="BR203" s="6">
        <v>314</v>
      </c>
      <c r="BT203" s="8">
        <f>314/$BT$1</f>
        <v>1</v>
      </c>
      <c r="BV203" s="6">
        <v>393</v>
      </c>
      <c r="BX203" s="8">
        <f>393/$BX$1</f>
        <v>1</v>
      </c>
      <c r="BZ203" s="6">
        <v>246</v>
      </c>
      <c r="CB203" s="8">
        <f>246/$CB$1</f>
        <v>1</v>
      </c>
      <c r="CD203" s="6">
        <v>123</v>
      </c>
      <c r="CF203" s="8">
        <f>123/$CF$1</f>
        <v>1</v>
      </c>
      <c r="CH203" s="6">
        <v>688</v>
      </c>
      <c r="CJ203" s="8">
        <f>688/$CJ$1</f>
        <v>1</v>
      </c>
      <c r="CL203" s="6">
        <v>758</v>
      </c>
      <c r="CN203" s="8">
        <f>758/$CN$1</f>
        <v>1</v>
      </c>
      <c r="CP203" s="6">
        <v>242</v>
      </c>
      <c r="CR203" s="8">
        <f>242/$CR$1</f>
        <v>1</v>
      </c>
      <c r="CT203" s="6">
        <v>333</v>
      </c>
      <c r="CV203" s="8">
        <f>333/$CV$1</f>
        <v>1</v>
      </c>
      <c r="CX203" s="6">
        <v>667</v>
      </c>
      <c r="CZ203" s="8">
        <f>667/$CZ$1</f>
        <v>1</v>
      </c>
    </row>
    <row r="204" spans="1:104" ht="15" hidden="1" customHeight="1" x14ac:dyDescent="0.25">
      <c r="A204" s="9" t="s">
        <v>34</v>
      </c>
      <c r="B204">
        <v>0</v>
      </c>
      <c r="D204" s="10">
        <f>0/$D$1</f>
        <v>0</v>
      </c>
      <c r="F204">
        <v>0</v>
      </c>
      <c r="H204" s="10">
        <f>0/$H$1</f>
        <v>0</v>
      </c>
      <c r="J204">
        <v>0</v>
      </c>
      <c r="L204" s="10">
        <f>0/$L$1</f>
        <v>0</v>
      </c>
      <c r="N204">
        <v>0</v>
      </c>
      <c r="P204" s="10">
        <f>0/$P$1</f>
        <v>0</v>
      </c>
      <c r="R204">
        <v>0</v>
      </c>
      <c r="T204" s="10">
        <f>0/$T$1</f>
        <v>0</v>
      </c>
      <c r="V204">
        <v>0</v>
      </c>
      <c r="X204" s="10">
        <f>0/$X$1</f>
        <v>0</v>
      </c>
      <c r="Z204">
        <v>0</v>
      </c>
      <c r="AB204" s="10">
        <f>0/$AB$1</f>
        <v>0</v>
      </c>
      <c r="AD204">
        <v>0</v>
      </c>
      <c r="AF204" s="10">
        <f>0/$AF$1</f>
        <v>0</v>
      </c>
      <c r="AH204">
        <v>0</v>
      </c>
      <c r="AJ204" s="10">
        <f>0/$AJ$1</f>
        <v>0</v>
      </c>
      <c r="AL204">
        <v>0</v>
      </c>
      <c r="AN204" s="10">
        <f>0/$AN$1</f>
        <v>0</v>
      </c>
      <c r="AP204">
        <v>0</v>
      </c>
      <c r="AR204" s="10">
        <f>0/$AR$1</f>
        <v>0</v>
      </c>
      <c r="AT204">
        <v>0</v>
      </c>
      <c r="AV204" s="10">
        <f>0/$AV$1</f>
        <v>0</v>
      </c>
      <c r="AX204">
        <v>0</v>
      </c>
      <c r="AZ204" s="10">
        <f>0/$AZ$1</f>
        <v>0</v>
      </c>
      <c r="BA204" s="10"/>
      <c r="BB204">
        <v>0</v>
      </c>
      <c r="BD204" s="10">
        <f>0/$BD$1</f>
        <v>0</v>
      </c>
      <c r="BF204">
        <v>0</v>
      </c>
      <c r="BH204" s="10">
        <f>0/$BH$1</f>
        <v>0</v>
      </c>
      <c r="BJ204">
        <v>0</v>
      </c>
      <c r="BL204" s="10">
        <f>0/$BL$1</f>
        <v>0</v>
      </c>
      <c r="BN204">
        <v>0</v>
      </c>
      <c r="BP204" s="10">
        <f>0/$BP$1</f>
        <v>0</v>
      </c>
      <c r="BR204">
        <v>0</v>
      </c>
      <c r="BT204" s="10">
        <f>0/$BT$1</f>
        <v>0</v>
      </c>
      <c r="BV204">
        <v>0</v>
      </c>
      <c r="BX204" s="10">
        <f>0/$BX$1</f>
        <v>0</v>
      </c>
      <c r="BZ204">
        <v>0</v>
      </c>
      <c r="CB204" s="10">
        <f>0/$CB$1</f>
        <v>0</v>
      </c>
      <c r="CD204">
        <v>0</v>
      </c>
      <c r="CF204" s="10">
        <f>0/$CF$1</f>
        <v>0</v>
      </c>
      <c r="CH204">
        <v>0</v>
      </c>
      <c r="CJ204" s="10">
        <f>0/$CJ$1</f>
        <v>0</v>
      </c>
      <c r="CL204">
        <v>0</v>
      </c>
      <c r="CN204" s="10">
        <f>0/$CN$1</f>
        <v>0</v>
      </c>
      <c r="CP204">
        <v>0</v>
      </c>
      <c r="CR204" s="10">
        <f>0/$CR$1</f>
        <v>0</v>
      </c>
      <c r="CT204">
        <v>0</v>
      </c>
      <c r="CV204" s="10">
        <f>0/$CV$1</f>
        <v>0</v>
      </c>
      <c r="CX204">
        <v>0</v>
      </c>
      <c r="CZ204" s="10">
        <f>0/$CZ$1</f>
        <v>0</v>
      </c>
    </row>
    <row r="205" spans="1:104" ht="15" hidden="1" customHeight="1" x14ac:dyDescent="0.25">
      <c r="A205" s="9" t="s">
        <v>35</v>
      </c>
      <c r="B205">
        <v>0</v>
      </c>
      <c r="D205" s="10">
        <f>0/$D$1</f>
        <v>0</v>
      </c>
      <c r="F205">
        <v>0</v>
      </c>
      <c r="H205" s="10">
        <f>0/$H$1</f>
        <v>0</v>
      </c>
      <c r="J205">
        <v>0</v>
      </c>
      <c r="L205" s="10">
        <f>0/$L$1</f>
        <v>0</v>
      </c>
      <c r="N205">
        <v>0</v>
      </c>
      <c r="P205" s="10">
        <f>0/$P$1</f>
        <v>0</v>
      </c>
      <c r="R205">
        <v>0</v>
      </c>
      <c r="T205" s="10">
        <f>0/$T$1</f>
        <v>0</v>
      </c>
      <c r="V205">
        <v>0</v>
      </c>
      <c r="X205" s="10">
        <f>0/$X$1</f>
        <v>0</v>
      </c>
      <c r="Z205">
        <v>0</v>
      </c>
      <c r="AB205" s="10">
        <f>0/$AB$1</f>
        <v>0</v>
      </c>
      <c r="AD205">
        <v>0</v>
      </c>
      <c r="AF205" s="10">
        <f>0/$AF$1</f>
        <v>0</v>
      </c>
      <c r="AH205">
        <v>0</v>
      </c>
      <c r="AJ205" s="10">
        <f>0/$AJ$1</f>
        <v>0</v>
      </c>
      <c r="AL205">
        <v>0</v>
      </c>
      <c r="AN205" s="10">
        <f>0/$AN$1</f>
        <v>0</v>
      </c>
      <c r="AP205">
        <v>0</v>
      </c>
      <c r="AR205" s="10">
        <f>0/$AR$1</f>
        <v>0</v>
      </c>
      <c r="AT205">
        <v>0</v>
      </c>
      <c r="AV205" s="10">
        <f>0/$AV$1</f>
        <v>0</v>
      </c>
      <c r="AX205">
        <v>0</v>
      </c>
      <c r="AZ205" s="10">
        <f>0/$AZ$1</f>
        <v>0</v>
      </c>
      <c r="BA205" s="10"/>
      <c r="BB205">
        <v>0</v>
      </c>
      <c r="BD205" s="10">
        <f>0/$BD$1</f>
        <v>0</v>
      </c>
      <c r="BF205">
        <v>0</v>
      </c>
      <c r="BH205" s="10">
        <f>0/$BH$1</f>
        <v>0</v>
      </c>
      <c r="BJ205">
        <v>0</v>
      </c>
      <c r="BL205" s="10">
        <f>0/$BL$1</f>
        <v>0</v>
      </c>
      <c r="BN205">
        <v>0</v>
      </c>
      <c r="BP205" s="10">
        <f>0/$BP$1</f>
        <v>0</v>
      </c>
      <c r="BR205">
        <v>0</v>
      </c>
      <c r="BT205" s="10">
        <f>0/$BT$1</f>
        <v>0</v>
      </c>
      <c r="BV205">
        <v>0</v>
      </c>
      <c r="BX205" s="10">
        <f>0/$BX$1</f>
        <v>0</v>
      </c>
      <c r="BZ205">
        <v>0</v>
      </c>
      <c r="CB205" s="10">
        <f>0/$CB$1</f>
        <v>0</v>
      </c>
      <c r="CD205">
        <v>0</v>
      </c>
      <c r="CF205" s="10">
        <f>0/$CF$1</f>
        <v>0</v>
      </c>
      <c r="CH205">
        <v>0</v>
      </c>
      <c r="CJ205" s="10">
        <f>0/$CJ$1</f>
        <v>0</v>
      </c>
      <c r="CL205">
        <v>0</v>
      </c>
      <c r="CN205" s="10">
        <f>0/$CN$1</f>
        <v>0</v>
      </c>
      <c r="CP205">
        <v>0</v>
      </c>
      <c r="CR205" s="10">
        <f>0/$CR$1</f>
        <v>0</v>
      </c>
      <c r="CT205">
        <v>0</v>
      </c>
      <c r="CV205" s="10">
        <f>0/$CV$1</f>
        <v>0</v>
      </c>
      <c r="CX205">
        <v>0</v>
      </c>
      <c r="CZ205" s="10">
        <f>0/$CZ$1</f>
        <v>0</v>
      </c>
    </row>
    <row r="207" spans="1:104" s="3" customFormat="1" x14ac:dyDescent="0.25">
      <c r="A207" s="11" t="str">
        <f>HYPERLINK("#sucho_jak!A1","A jak konkrétně se u vás **sucho** projevilo? &lt;br&gt;&lt;br&gt;*Pokud nevíte, otázku přeskočte.*")</f>
        <v>A jak konkrétně se u vás **sucho** projevilo? &lt;br&gt;&lt;br&gt;*Pokud nevíte, otázku přeskočte.*</v>
      </c>
      <c r="D207" s="4" t="s">
        <v>27</v>
      </c>
      <c r="H207" s="4" t="s">
        <v>27</v>
      </c>
      <c r="L207" s="4" t="s">
        <v>27</v>
      </c>
      <c r="P207" s="4" t="s">
        <v>27</v>
      </c>
      <c r="T207" s="4" t="s">
        <v>27</v>
      </c>
      <c r="X207" s="4" t="s">
        <v>27</v>
      </c>
      <c r="AB207" s="4" t="s">
        <v>27</v>
      </c>
      <c r="AF207" s="4" t="s">
        <v>27</v>
      </c>
      <c r="AJ207" s="4" t="s">
        <v>27</v>
      </c>
      <c r="AN207" s="4" t="s">
        <v>27</v>
      </c>
      <c r="AR207" s="4" t="s">
        <v>27</v>
      </c>
      <c r="AV207" s="4" t="s">
        <v>27</v>
      </c>
      <c r="AZ207" s="4" t="s">
        <v>27</v>
      </c>
      <c r="BA207" s="4"/>
      <c r="BD207" s="4" t="s">
        <v>27</v>
      </c>
      <c r="BH207" s="4" t="s">
        <v>27</v>
      </c>
      <c r="BL207" s="4" t="s">
        <v>27</v>
      </c>
      <c r="BP207" s="4" t="s">
        <v>27</v>
      </c>
      <c r="BT207" s="4" t="s">
        <v>27</v>
      </c>
      <c r="BX207" s="4" t="s">
        <v>27</v>
      </c>
      <c r="CB207" s="4" t="s">
        <v>27</v>
      </c>
      <c r="CF207" s="4" t="s">
        <v>27</v>
      </c>
      <c r="CJ207" s="4" t="s">
        <v>27</v>
      </c>
      <c r="CN207" s="4" t="s">
        <v>27</v>
      </c>
      <c r="CR207" s="4" t="s">
        <v>27</v>
      </c>
      <c r="CV207" s="4" t="s">
        <v>27</v>
      </c>
      <c r="CZ207" s="4" t="s">
        <v>27</v>
      </c>
    </row>
    <row r="208" spans="1:104" x14ac:dyDescent="0.25">
      <c r="A208" s="1" t="s">
        <v>909</v>
      </c>
      <c r="B208">
        <v>480</v>
      </c>
      <c r="C208" s="5">
        <f>B208/B210</f>
        <v>0.88397790055248615</v>
      </c>
      <c r="D208" s="5">
        <f>480/$D$1</f>
        <v>0.48</v>
      </c>
      <c r="F208">
        <v>243</v>
      </c>
      <c r="G208" s="5">
        <f>F208/F210</f>
        <v>0.9135338345864662</v>
      </c>
      <c r="H208" s="5">
        <f>243/$H$1</f>
        <v>0.48502994011976047</v>
      </c>
      <c r="J208">
        <v>237</v>
      </c>
      <c r="K208" s="5">
        <f>J208/J210</f>
        <v>0.85559566787003605</v>
      </c>
      <c r="L208" s="5">
        <f>237/$L$1</f>
        <v>0.47494989979959917</v>
      </c>
      <c r="N208">
        <v>46</v>
      </c>
      <c r="O208" s="5">
        <f>N208/N210</f>
        <v>0.80701754385964908</v>
      </c>
      <c r="P208" s="5">
        <f>46/$P$1</f>
        <v>0.47422680412371132</v>
      </c>
      <c r="R208">
        <v>100</v>
      </c>
      <c r="S208" s="5">
        <f>R208/R210</f>
        <v>0.93457943925233644</v>
      </c>
      <c r="T208" s="5">
        <f>100/$T$1</f>
        <v>0.50505050505050508</v>
      </c>
      <c r="V208">
        <v>128</v>
      </c>
      <c r="W208" s="5">
        <f>V208/V210</f>
        <v>0.96969696969696972</v>
      </c>
      <c r="X208" s="5">
        <f>128/$X$1</f>
        <v>0.53112033195020747</v>
      </c>
      <c r="Z208">
        <v>93</v>
      </c>
      <c r="AA208" s="5">
        <f>Z208/Z210</f>
        <v>0.79487179487179482</v>
      </c>
      <c r="AB208" s="5">
        <f>93/$AB$1</f>
        <v>0.46969696969696972</v>
      </c>
      <c r="AD208">
        <v>67</v>
      </c>
      <c r="AE208" s="5">
        <f>AD208/AD210</f>
        <v>0.89333333333333331</v>
      </c>
      <c r="AF208" s="5">
        <f>67/$AF$1</f>
        <v>0.43506493506493504</v>
      </c>
      <c r="AH208">
        <v>46</v>
      </c>
      <c r="AI208" s="5">
        <f>AH208/AH210</f>
        <v>0.80701754385964908</v>
      </c>
      <c r="AJ208" s="5">
        <f>46/$AJ$1</f>
        <v>0.38333333333333336</v>
      </c>
      <c r="AL208">
        <v>176</v>
      </c>
      <c r="AM208" s="5">
        <f>AL208/AL210</f>
        <v>0.81105990783410142</v>
      </c>
      <c r="AN208" s="5">
        <f>176/$AN$1</f>
        <v>0.4756756756756757</v>
      </c>
      <c r="AP208">
        <v>174</v>
      </c>
      <c r="AQ208" s="5">
        <f>AP208/AP210</f>
        <v>0.90625</v>
      </c>
      <c r="AR208" s="5">
        <f>174/$AR$1</f>
        <v>0.46031746031746029</v>
      </c>
      <c r="AT208">
        <v>130</v>
      </c>
      <c r="AU208" s="5">
        <f>AT208/AT210</f>
        <v>0.97014925373134331</v>
      </c>
      <c r="AV208" s="5">
        <f>130/$AV$1</f>
        <v>0.51587301587301593</v>
      </c>
      <c r="AX208">
        <v>144</v>
      </c>
      <c r="AY208" s="5">
        <f>AX208/AX210</f>
        <v>0.84705882352941175</v>
      </c>
      <c r="AZ208" s="5">
        <f>144/$AZ$1</f>
        <v>0.52747252747252749</v>
      </c>
      <c r="BA208" s="5"/>
      <c r="BB208">
        <v>110</v>
      </c>
      <c r="BC208" s="5">
        <f>BB208/BB210</f>
        <v>0.91666666666666663</v>
      </c>
      <c r="BD208" s="5">
        <f>110/$BD$1</f>
        <v>0.54187192118226601</v>
      </c>
      <c r="BF208">
        <v>77</v>
      </c>
      <c r="BG208" s="5">
        <f>BF208/BF210</f>
        <v>0.71296296296296291</v>
      </c>
      <c r="BH208" s="5">
        <f>77/$BH$1</f>
        <v>0.35813953488372091</v>
      </c>
      <c r="BJ208">
        <v>149</v>
      </c>
      <c r="BK208" s="5">
        <f>BJ208/BJ210</f>
        <v>1.0275862068965518</v>
      </c>
      <c r="BL208" s="5">
        <f>149/$BL$1</f>
        <v>0.48220064724919093</v>
      </c>
      <c r="BN208">
        <v>24</v>
      </c>
      <c r="BO208" s="5">
        <f>BN208/BN210</f>
        <v>0.96</v>
      </c>
      <c r="BP208" s="5">
        <f>24/$BP$1</f>
        <v>0.51063829787234039</v>
      </c>
      <c r="BR208">
        <v>124</v>
      </c>
      <c r="BS208" s="5">
        <f>BR208/BR210</f>
        <v>0.74698795180722888</v>
      </c>
      <c r="BT208" s="5">
        <f>124/$BT$1</f>
        <v>0.39490445859872614</v>
      </c>
      <c r="BV208">
        <v>163</v>
      </c>
      <c r="BW208" s="5">
        <f>BV208/BV210</f>
        <v>0.81499999999999995</v>
      </c>
      <c r="BX208" s="5">
        <f>163/$BX$1</f>
        <v>0.41475826972010177</v>
      </c>
      <c r="BZ208">
        <v>169</v>
      </c>
      <c r="CA208" s="5">
        <f>BZ208/BZ210</f>
        <v>1.111842105263158</v>
      </c>
      <c r="CB208" s="5">
        <f>169/$CB$1</f>
        <v>0.68699186991869921</v>
      </c>
      <c r="CD208">
        <v>34</v>
      </c>
      <c r="CE208" s="5">
        <f>CD208/CD210</f>
        <v>0.73913043478260865</v>
      </c>
      <c r="CF208" s="5">
        <f>34/$CF$1</f>
        <v>0.27642276422764228</v>
      </c>
      <c r="CH208">
        <v>385</v>
      </c>
      <c r="CI208" s="5">
        <f>CH208/CH210</f>
        <v>0.94594594594594594</v>
      </c>
      <c r="CJ208" s="5">
        <f>385/$CJ$1</f>
        <v>0.55959302325581395</v>
      </c>
      <c r="CL208">
        <v>402</v>
      </c>
      <c r="CM208" s="5">
        <f>CL208/CL210</f>
        <v>0.8973214285714286</v>
      </c>
      <c r="CN208" s="5">
        <f>402/$CN$1</f>
        <v>0.53034300791556732</v>
      </c>
      <c r="CP208">
        <v>78</v>
      </c>
      <c r="CQ208" s="5">
        <f>CP208/CP210</f>
        <v>0.82105263157894737</v>
      </c>
      <c r="CR208" s="5">
        <f>78/$CR$1</f>
        <v>0.32231404958677684</v>
      </c>
      <c r="CT208">
        <v>212</v>
      </c>
      <c r="CU208" s="5">
        <f>CT208/CT210</f>
        <v>1.0143540669856459</v>
      </c>
      <c r="CV208" s="5">
        <f>212/$CV$1</f>
        <v>0.63663663663663661</v>
      </c>
      <c r="CX208">
        <v>268</v>
      </c>
      <c r="CY208" s="5">
        <f>CX208/CX210</f>
        <v>0.80239520958083832</v>
      </c>
      <c r="CZ208" s="5">
        <f>268/$CZ$1</f>
        <v>0.40179910044977513</v>
      </c>
    </row>
    <row r="209" spans="1:104" x14ac:dyDescent="0.25">
      <c r="A209" s="1" t="s">
        <v>32</v>
      </c>
      <c r="B209">
        <v>158</v>
      </c>
      <c r="C209" s="5">
        <f>B209/B210</f>
        <v>0.29097605893186002</v>
      </c>
      <c r="D209" s="5">
        <f>158/$D$1</f>
        <v>0.158</v>
      </c>
      <c r="F209">
        <v>77</v>
      </c>
      <c r="G209" s="5">
        <f>F209/F210</f>
        <v>0.28947368421052633</v>
      </c>
      <c r="H209" s="5">
        <f>77/$H$1</f>
        <v>0.15369261477045909</v>
      </c>
      <c r="J209">
        <v>81</v>
      </c>
      <c r="K209" s="5">
        <f>J209/J210</f>
        <v>0.29241877256317689</v>
      </c>
      <c r="L209" s="5">
        <f>81/$L$1</f>
        <v>0.16232464929859719</v>
      </c>
      <c r="N209">
        <v>22</v>
      </c>
      <c r="O209" s="5">
        <f>N209/N210</f>
        <v>0.38596491228070173</v>
      </c>
      <c r="P209" s="5">
        <f>22/$P$1</f>
        <v>0.22680412371134021</v>
      </c>
      <c r="R209">
        <v>28</v>
      </c>
      <c r="S209" s="5">
        <f>R209/R210</f>
        <v>0.26168224299065418</v>
      </c>
      <c r="T209" s="5">
        <f>28/$T$1</f>
        <v>0.14141414141414141</v>
      </c>
      <c r="V209">
        <v>31</v>
      </c>
      <c r="W209" s="5">
        <f>V209/V210</f>
        <v>0.23484848484848486</v>
      </c>
      <c r="X209" s="5">
        <f>31/$X$1</f>
        <v>0.12863070539419086</v>
      </c>
      <c r="Z209">
        <v>41</v>
      </c>
      <c r="AA209" s="5">
        <f>Z209/Z210</f>
        <v>0.3504273504273504</v>
      </c>
      <c r="AB209" s="5">
        <f>41/$AB$1</f>
        <v>0.20707070707070707</v>
      </c>
      <c r="AD209">
        <v>20</v>
      </c>
      <c r="AE209" s="5">
        <f>AD209/AD210</f>
        <v>0.26666666666666666</v>
      </c>
      <c r="AF209" s="5">
        <f>20/$AF$1</f>
        <v>0.12987012987012986</v>
      </c>
      <c r="AH209">
        <v>18</v>
      </c>
      <c r="AI209" s="5">
        <f>AH209/AH210</f>
        <v>0.31578947368421051</v>
      </c>
      <c r="AJ209" s="5">
        <f>18/$AJ$1</f>
        <v>0.15</v>
      </c>
      <c r="AL209">
        <v>76</v>
      </c>
      <c r="AM209" s="5">
        <f>AL209/AL210</f>
        <v>0.35023041474654376</v>
      </c>
      <c r="AN209" s="5">
        <f>76/$AN$1</f>
        <v>0.20540540540540542</v>
      </c>
      <c r="AP209">
        <v>50</v>
      </c>
      <c r="AQ209" s="5">
        <f>AP209/AP210</f>
        <v>0.26041666666666669</v>
      </c>
      <c r="AR209" s="5">
        <f>50/$AR$1</f>
        <v>0.13227513227513227</v>
      </c>
      <c r="AT209">
        <v>32</v>
      </c>
      <c r="AU209" s="5">
        <f>AT209/AT210</f>
        <v>0.23880597014925373</v>
      </c>
      <c r="AV209" s="5">
        <f>32/$AV$1</f>
        <v>0.12698412698412698</v>
      </c>
      <c r="AX209">
        <v>47</v>
      </c>
      <c r="AY209" s="5">
        <f>AX209/AX210</f>
        <v>0.27647058823529413</v>
      </c>
      <c r="AZ209" s="5">
        <f>47/$AZ$1</f>
        <v>0.17216117216117216</v>
      </c>
      <c r="BA209" s="5"/>
      <c r="BB209">
        <v>31</v>
      </c>
      <c r="BC209" s="5">
        <f>BB209/BB210</f>
        <v>0.25833333333333336</v>
      </c>
      <c r="BD209" s="5">
        <f>31/$BD$1</f>
        <v>0.15270935960591134</v>
      </c>
      <c r="BF209">
        <v>45</v>
      </c>
      <c r="BG209" s="5">
        <f>BF209/BF210</f>
        <v>0.41666666666666669</v>
      </c>
      <c r="BH209" s="5">
        <f>45/$BH$1</f>
        <v>0.20930232558139536</v>
      </c>
      <c r="BJ209">
        <v>35</v>
      </c>
      <c r="BK209" s="5">
        <f>BJ209/BJ210</f>
        <v>0.2413793103448276</v>
      </c>
      <c r="BL209" s="5">
        <f>35/$BL$1</f>
        <v>0.11326860841423948</v>
      </c>
      <c r="BN209">
        <v>8</v>
      </c>
      <c r="BO209" s="5">
        <f>BN209/BN210</f>
        <v>0.32</v>
      </c>
      <c r="BP209" s="5">
        <f>8/$BP$1</f>
        <v>0.1702127659574468</v>
      </c>
      <c r="BR209">
        <v>57</v>
      </c>
      <c r="BS209" s="5">
        <f>BR209/BR210</f>
        <v>0.34337349397590361</v>
      </c>
      <c r="BT209" s="5">
        <f>57/$BT$1</f>
        <v>0.18152866242038215</v>
      </c>
      <c r="BV209">
        <v>66</v>
      </c>
      <c r="BW209" s="5">
        <f>BV209/BV210</f>
        <v>0.33</v>
      </c>
      <c r="BX209" s="5">
        <f>66/$BX$1</f>
        <v>0.16793893129770993</v>
      </c>
      <c r="BZ209">
        <v>27</v>
      </c>
      <c r="CA209" s="5">
        <f>BZ209/BZ210</f>
        <v>0.17763157894736842</v>
      </c>
      <c r="CB209" s="5">
        <f>27/$CB$1</f>
        <v>0.10975609756097561</v>
      </c>
      <c r="CD209">
        <v>16</v>
      </c>
      <c r="CE209" s="5">
        <f>CD209/CD210</f>
        <v>0.34782608695652173</v>
      </c>
      <c r="CF209" s="5">
        <f>16/$CF$1</f>
        <v>0.13008130081300814</v>
      </c>
      <c r="CH209">
        <v>105</v>
      </c>
      <c r="CI209" s="5">
        <f>CH209/CH210</f>
        <v>0.25798525798525801</v>
      </c>
      <c r="CJ209" s="5">
        <f>105/$CJ$1</f>
        <v>0.15261627906976744</v>
      </c>
      <c r="CL209">
        <v>132</v>
      </c>
      <c r="CM209" s="5">
        <f>CL209/CL210</f>
        <v>0.29464285714285715</v>
      </c>
      <c r="CN209" s="5">
        <f>132/$CN$1</f>
        <v>0.17414248021108181</v>
      </c>
      <c r="CP209">
        <v>26</v>
      </c>
      <c r="CQ209" s="5">
        <f>CP209/CP210</f>
        <v>0.27368421052631581</v>
      </c>
      <c r="CR209" s="5">
        <f>26/$CR$1</f>
        <v>0.10743801652892562</v>
      </c>
      <c r="CT209">
        <v>50</v>
      </c>
      <c r="CU209" s="5">
        <f>CT209/CT210</f>
        <v>0.23923444976076555</v>
      </c>
      <c r="CV209" s="5">
        <f>50/$CV$1</f>
        <v>0.15015015015015015</v>
      </c>
      <c r="CX209">
        <v>108</v>
      </c>
      <c r="CY209" s="5">
        <f>CX209/CX210</f>
        <v>0.32335329341317365</v>
      </c>
      <c r="CZ209" s="5">
        <f>108/$CZ$1</f>
        <v>0.16191904047976011</v>
      </c>
    </row>
    <row r="210" spans="1:104" s="6" customFormat="1" x14ac:dyDescent="0.25">
      <c r="A210" s="7" t="s">
        <v>33</v>
      </c>
      <c r="B210" s="6">
        <v>543</v>
      </c>
      <c r="D210" s="8">
        <f>543/$D$1</f>
        <v>0.54300000000000004</v>
      </c>
      <c r="F210" s="6">
        <v>266</v>
      </c>
      <c r="H210" s="8">
        <f>266/$H$1</f>
        <v>0.53093812375249505</v>
      </c>
      <c r="J210" s="6">
        <v>277</v>
      </c>
      <c r="L210" s="8">
        <f>277/$L$1</f>
        <v>0.55511022044088176</v>
      </c>
      <c r="N210" s="6">
        <v>57</v>
      </c>
      <c r="P210" s="8">
        <f>57/$P$1</f>
        <v>0.58762886597938147</v>
      </c>
      <c r="R210" s="6">
        <v>107</v>
      </c>
      <c r="T210" s="8">
        <f>107/$T$1</f>
        <v>0.54040404040404044</v>
      </c>
      <c r="V210" s="6">
        <v>132</v>
      </c>
      <c r="X210" s="8">
        <f>132/$X$1</f>
        <v>0.5477178423236515</v>
      </c>
      <c r="Z210" s="6">
        <v>117</v>
      </c>
      <c r="AB210" s="8">
        <f>117/$AB$1</f>
        <v>0.59090909090909094</v>
      </c>
      <c r="AD210" s="6">
        <v>75</v>
      </c>
      <c r="AF210" s="8">
        <f>75/$AF$1</f>
        <v>0.48701298701298701</v>
      </c>
      <c r="AH210" s="6">
        <v>57</v>
      </c>
      <c r="AJ210" s="8">
        <f>57/$AJ$1</f>
        <v>0.47499999999999998</v>
      </c>
      <c r="AL210" s="6">
        <v>217</v>
      </c>
      <c r="AN210" s="8">
        <f>217/$AN$1</f>
        <v>0.58648648648648649</v>
      </c>
      <c r="AP210" s="6">
        <v>192</v>
      </c>
      <c r="AR210" s="8">
        <f>192/$AR$1</f>
        <v>0.50793650793650791</v>
      </c>
      <c r="AT210" s="6">
        <v>134</v>
      </c>
      <c r="AV210" s="8">
        <f>134/$AV$1</f>
        <v>0.53174603174603174</v>
      </c>
      <c r="AX210" s="6">
        <v>170</v>
      </c>
      <c r="AZ210" s="8">
        <f>170/$AZ$1</f>
        <v>0.62271062271062272</v>
      </c>
      <c r="BA210" s="8"/>
      <c r="BB210" s="6">
        <v>120</v>
      </c>
      <c r="BD210" s="8">
        <f>120/$BD$1</f>
        <v>0.59113300492610843</v>
      </c>
      <c r="BF210" s="6">
        <v>108</v>
      </c>
      <c r="BH210" s="8">
        <f>108/$BH$1</f>
        <v>0.50232558139534889</v>
      </c>
      <c r="BJ210" s="6">
        <v>145</v>
      </c>
      <c r="BL210" s="8">
        <f>145/$BL$1</f>
        <v>0.46925566343042069</v>
      </c>
      <c r="BN210" s="6">
        <v>25</v>
      </c>
      <c r="BP210" s="8">
        <f>25/$BP$1</f>
        <v>0.53191489361702127</v>
      </c>
      <c r="BR210" s="6">
        <v>166</v>
      </c>
      <c r="BT210" s="8">
        <f>166/$BT$1</f>
        <v>0.5286624203821656</v>
      </c>
      <c r="BV210" s="6">
        <v>200</v>
      </c>
      <c r="BX210" s="8">
        <f>200/$BX$1</f>
        <v>0.5089058524173028</v>
      </c>
      <c r="BZ210" s="6">
        <v>152</v>
      </c>
      <c r="CB210" s="8">
        <f>152/$CB$1</f>
        <v>0.61788617886178865</v>
      </c>
      <c r="CD210" s="6">
        <v>46</v>
      </c>
      <c r="CF210" s="8">
        <f>46/$CF$1</f>
        <v>0.37398373983739835</v>
      </c>
      <c r="CH210" s="6">
        <v>407</v>
      </c>
      <c r="CJ210" s="8">
        <f>407/$CJ$1</f>
        <v>0.59156976744186052</v>
      </c>
      <c r="CL210" s="6">
        <v>448</v>
      </c>
      <c r="CN210" s="8">
        <f>448/$CN$1</f>
        <v>0.59102902374670185</v>
      </c>
      <c r="CP210" s="6">
        <v>95</v>
      </c>
      <c r="CR210" s="8">
        <f>95/$CR$1</f>
        <v>0.3925619834710744</v>
      </c>
      <c r="CT210" s="6">
        <v>209</v>
      </c>
      <c r="CV210" s="8">
        <f>209/$CV$1</f>
        <v>0.62762762762762758</v>
      </c>
      <c r="CX210" s="6">
        <v>334</v>
      </c>
      <c r="CZ210" s="8">
        <f>334/$CZ$1</f>
        <v>0.50074962518740629</v>
      </c>
    </row>
    <row r="211" spans="1:104" ht="15" hidden="1" customHeight="1" x14ac:dyDescent="0.25">
      <c r="A211" s="9" t="s">
        <v>34</v>
      </c>
      <c r="B211">
        <v>0</v>
      </c>
      <c r="D211" s="10">
        <f>0/$D$1</f>
        <v>0</v>
      </c>
      <c r="F211">
        <v>0</v>
      </c>
      <c r="H211" s="10">
        <f>0/$H$1</f>
        <v>0</v>
      </c>
      <c r="J211">
        <v>0</v>
      </c>
      <c r="L211" s="10">
        <f>0/$L$1</f>
        <v>0</v>
      </c>
      <c r="N211">
        <v>0</v>
      </c>
      <c r="P211" s="10">
        <f>0/$P$1</f>
        <v>0</v>
      </c>
      <c r="R211">
        <v>0</v>
      </c>
      <c r="T211" s="10">
        <f>0/$T$1</f>
        <v>0</v>
      </c>
      <c r="V211">
        <v>0</v>
      </c>
      <c r="X211" s="10">
        <f>0/$X$1</f>
        <v>0</v>
      </c>
      <c r="Z211">
        <v>0</v>
      </c>
      <c r="AB211" s="10">
        <f>0/$AB$1</f>
        <v>0</v>
      </c>
      <c r="AD211">
        <v>0</v>
      </c>
      <c r="AF211" s="10">
        <f>0/$AF$1</f>
        <v>0</v>
      </c>
      <c r="AH211">
        <v>0</v>
      </c>
      <c r="AJ211" s="10">
        <f>0/$AJ$1</f>
        <v>0</v>
      </c>
      <c r="AL211">
        <v>0</v>
      </c>
      <c r="AN211" s="10">
        <f>0/$AN$1</f>
        <v>0</v>
      </c>
      <c r="AP211">
        <v>0</v>
      </c>
      <c r="AR211" s="10">
        <f>0/$AR$1</f>
        <v>0</v>
      </c>
      <c r="AT211">
        <v>0</v>
      </c>
      <c r="AV211" s="10">
        <f>0/$AV$1</f>
        <v>0</v>
      </c>
      <c r="AX211">
        <v>0</v>
      </c>
      <c r="AZ211" s="10">
        <f>0/$AZ$1</f>
        <v>0</v>
      </c>
      <c r="BA211" s="10"/>
      <c r="BB211">
        <v>0</v>
      </c>
      <c r="BD211" s="10">
        <f>0/$BD$1</f>
        <v>0</v>
      </c>
      <c r="BF211">
        <v>0</v>
      </c>
      <c r="BH211" s="10">
        <f>0/$BH$1</f>
        <v>0</v>
      </c>
      <c r="BJ211">
        <v>0</v>
      </c>
      <c r="BL211" s="10">
        <f>0/$BL$1</f>
        <v>0</v>
      </c>
      <c r="BN211">
        <v>0</v>
      </c>
      <c r="BP211" s="10">
        <f>0/$BP$1</f>
        <v>0</v>
      </c>
      <c r="BR211">
        <v>0</v>
      </c>
      <c r="BT211" s="10">
        <f>0/$BT$1</f>
        <v>0</v>
      </c>
      <c r="BV211">
        <v>0</v>
      </c>
      <c r="BX211" s="10">
        <f>0/$BX$1</f>
        <v>0</v>
      </c>
      <c r="BZ211">
        <v>0</v>
      </c>
      <c r="CB211" s="10">
        <f>0/$CB$1</f>
        <v>0</v>
      </c>
      <c r="CD211">
        <v>0</v>
      </c>
      <c r="CF211" s="10">
        <f>0/$CF$1</f>
        <v>0</v>
      </c>
      <c r="CH211">
        <v>0</v>
      </c>
      <c r="CJ211" s="10">
        <f>0/$CJ$1</f>
        <v>0</v>
      </c>
      <c r="CL211">
        <v>0</v>
      </c>
      <c r="CN211" s="10">
        <f>0/$CN$1</f>
        <v>0</v>
      </c>
      <c r="CP211">
        <v>0</v>
      </c>
      <c r="CR211" s="10">
        <f>0/$CR$1</f>
        <v>0</v>
      </c>
      <c r="CT211">
        <v>0</v>
      </c>
      <c r="CV211" s="10">
        <f>0/$CV$1</f>
        <v>0</v>
      </c>
      <c r="CX211">
        <v>0</v>
      </c>
      <c r="CZ211" s="10">
        <f>0/$CZ$1</f>
        <v>0</v>
      </c>
    </row>
    <row r="212" spans="1:104" s="12" customFormat="1" x14ac:dyDescent="0.25">
      <c r="A212" s="9" t="s">
        <v>35</v>
      </c>
      <c r="B212" s="12">
        <v>457</v>
      </c>
      <c r="D212" s="10">
        <f>457/$D$1</f>
        <v>0.45700000000000002</v>
      </c>
      <c r="F212" s="12">
        <v>235</v>
      </c>
      <c r="H212" s="10">
        <f>235/$H$1</f>
        <v>0.46906187624750501</v>
      </c>
      <c r="J212" s="12">
        <v>222</v>
      </c>
      <c r="L212" s="10">
        <f>222/$L$1</f>
        <v>0.44488977955911824</v>
      </c>
      <c r="N212" s="12">
        <v>40</v>
      </c>
      <c r="P212" s="10">
        <f>40/$P$1</f>
        <v>0.41237113402061853</v>
      </c>
      <c r="R212" s="12">
        <v>91</v>
      </c>
      <c r="T212" s="10">
        <f>91/$T$1</f>
        <v>0.45959595959595961</v>
      </c>
      <c r="V212" s="12">
        <v>109</v>
      </c>
      <c r="X212" s="10">
        <f>109/$X$1</f>
        <v>0.45228215767634855</v>
      </c>
      <c r="Z212" s="12">
        <v>81</v>
      </c>
      <c r="AB212" s="10">
        <f>81/$AB$1</f>
        <v>0.40909090909090912</v>
      </c>
      <c r="AD212" s="12">
        <v>79</v>
      </c>
      <c r="AF212" s="10">
        <f>79/$AF$1</f>
        <v>0.51298701298701299</v>
      </c>
      <c r="AH212" s="12">
        <v>63</v>
      </c>
      <c r="AJ212" s="10">
        <f>63/$AJ$1</f>
        <v>0.52500000000000002</v>
      </c>
      <c r="AL212" s="12">
        <v>153</v>
      </c>
      <c r="AN212" s="10">
        <f>153/$AN$1</f>
        <v>0.41351351351351351</v>
      </c>
      <c r="AP212" s="12">
        <v>186</v>
      </c>
      <c r="AR212" s="10">
        <f>186/$AR$1</f>
        <v>0.49206349206349204</v>
      </c>
      <c r="AT212" s="12">
        <v>118</v>
      </c>
      <c r="AV212" s="10">
        <f>118/$AV$1</f>
        <v>0.46825396825396826</v>
      </c>
      <c r="AX212" s="12">
        <v>103</v>
      </c>
      <c r="AZ212" s="10">
        <f>103/$AZ$1</f>
        <v>0.37728937728937728</v>
      </c>
      <c r="BA212" s="10"/>
      <c r="BB212" s="12">
        <v>83</v>
      </c>
      <c r="BD212" s="10">
        <f>83/$BD$1</f>
        <v>0.40886699507389163</v>
      </c>
      <c r="BF212" s="12">
        <v>107</v>
      </c>
      <c r="BH212" s="10">
        <f>107/$BH$1</f>
        <v>0.49767441860465117</v>
      </c>
      <c r="BJ212" s="12">
        <v>164</v>
      </c>
      <c r="BL212" s="10">
        <f>164/$BL$1</f>
        <v>0.53074433656957931</v>
      </c>
      <c r="BN212" s="12">
        <v>22</v>
      </c>
      <c r="BP212" s="10">
        <f>22/$BP$1</f>
        <v>0.46808510638297873</v>
      </c>
      <c r="BR212" s="12">
        <v>148</v>
      </c>
      <c r="BT212" s="10">
        <f>148/$BT$1</f>
        <v>0.4713375796178344</v>
      </c>
      <c r="BV212" s="12">
        <v>193</v>
      </c>
      <c r="BX212" s="10">
        <f>193/$BX$1</f>
        <v>0.4910941475826972</v>
      </c>
      <c r="BZ212" s="12">
        <v>94</v>
      </c>
      <c r="CB212" s="10">
        <f>94/$CB$1</f>
        <v>0.38211382113821141</v>
      </c>
      <c r="CD212" s="12">
        <v>77</v>
      </c>
      <c r="CF212" s="10">
        <f>77/$CF$1</f>
        <v>0.62601626016260159</v>
      </c>
      <c r="CH212" s="12">
        <v>281</v>
      </c>
      <c r="CJ212" s="10">
        <f>281/$CJ$1</f>
        <v>0.40843023255813954</v>
      </c>
      <c r="CL212" s="12">
        <v>310</v>
      </c>
      <c r="CN212" s="10">
        <f>310/$CN$1</f>
        <v>0.40897097625329815</v>
      </c>
      <c r="CP212" s="12">
        <v>147</v>
      </c>
      <c r="CR212" s="10">
        <f>147/$CR$1</f>
        <v>0.6074380165289256</v>
      </c>
      <c r="CT212" s="12">
        <v>124</v>
      </c>
      <c r="CV212" s="10">
        <f>124/$CV$1</f>
        <v>0.37237237237237236</v>
      </c>
      <c r="CX212" s="12">
        <v>333</v>
      </c>
      <c r="CZ212" s="10">
        <f>333/$CZ$1</f>
        <v>0.49925037481259371</v>
      </c>
    </row>
    <row r="214" spans="1:104" s="3" customFormat="1" x14ac:dyDescent="0.25">
      <c r="A214" s="3" t="s">
        <v>2555</v>
      </c>
      <c r="D214" s="4" t="s">
        <v>27</v>
      </c>
      <c r="H214" s="4" t="s">
        <v>27</v>
      </c>
      <c r="L214" s="4" t="s">
        <v>27</v>
      </c>
      <c r="P214" s="4" t="s">
        <v>27</v>
      </c>
      <c r="T214" s="4" t="s">
        <v>27</v>
      </c>
      <c r="X214" s="4" t="s">
        <v>27</v>
      </c>
      <c r="AB214" s="4" t="s">
        <v>27</v>
      </c>
      <c r="AF214" s="4" t="s">
        <v>27</v>
      </c>
      <c r="AJ214" s="4" t="s">
        <v>27</v>
      </c>
      <c r="AN214" s="4" t="s">
        <v>27</v>
      </c>
      <c r="AR214" s="4" t="s">
        <v>27</v>
      </c>
      <c r="AV214" s="4" t="s">
        <v>27</v>
      </c>
      <c r="AZ214" s="4" t="s">
        <v>27</v>
      </c>
      <c r="BA214" s="4"/>
      <c r="BD214" s="4" t="s">
        <v>27</v>
      </c>
      <c r="BH214" s="4" t="s">
        <v>27</v>
      </c>
      <c r="BL214" s="4" t="s">
        <v>27</v>
      </c>
      <c r="BP214" s="4" t="s">
        <v>27</v>
      </c>
      <c r="BT214" s="4" t="s">
        <v>27</v>
      </c>
      <c r="BX214" s="4" t="s">
        <v>27</v>
      </c>
      <c r="CB214" s="4" t="s">
        <v>27</v>
      </c>
      <c r="CF214" s="4" t="s">
        <v>27</v>
      </c>
      <c r="CJ214" s="4" t="s">
        <v>27</v>
      </c>
      <c r="CN214" s="4" t="s">
        <v>27</v>
      </c>
      <c r="CR214" s="4" t="s">
        <v>27</v>
      </c>
      <c r="CV214" s="4" t="s">
        <v>27</v>
      </c>
      <c r="CZ214" s="4" t="s">
        <v>27</v>
      </c>
    </row>
    <row r="215" spans="1:104" x14ac:dyDescent="0.25">
      <c r="A215" s="1" t="s">
        <v>2126</v>
      </c>
      <c r="B215">
        <v>156</v>
      </c>
      <c r="C215" s="5">
        <f>B215/B220</f>
        <v>0.156</v>
      </c>
      <c r="D215" s="5">
        <f>156/$D$1</f>
        <v>0.156</v>
      </c>
      <c r="F215">
        <v>73</v>
      </c>
      <c r="G215" s="5">
        <f>F215/F220</f>
        <v>0.14570858283433133</v>
      </c>
      <c r="H215" s="5">
        <f>73/$H$1</f>
        <v>0.14570858283433133</v>
      </c>
      <c r="J215">
        <v>83</v>
      </c>
      <c r="K215" s="5">
        <f>J215/J220</f>
        <v>0.16633266533066132</v>
      </c>
      <c r="L215" s="5">
        <f>83/$L$1</f>
        <v>0.16633266533066132</v>
      </c>
      <c r="N215">
        <v>14</v>
      </c>
      <c r="O215" s="5">
        <f>N215/N220</f>
        <v>0.14432989690721648</v>
      </c>
      <c r="P215" s="5">
        <f>14/$P$1</f>
        <v>0.14432989690721648</v>
      </c>
      <c r="R215">
        <v>18</v>
      </c>
      <c r="S215" s="5">
        <f>R215/R220</f>
        <v>9.0909090909090912E-2</v>
      </c>
      <c r="T215" s="5">
        <f>18/$T$1</f>
        <v>9.0909090909090912E-2</v>
      </c>
      <c r="V215">
        <v>32</v>
      </c>
      <c r="W215" s="5">
        <f>V215/V220</f>
        <v>0.13278008298755187</v>
      </c>
      <c r="X215" s="5">
        <f>32/$X$1</f>
        <v>0.13278008298755187</v>
      </c>
      <c r="Z215">
        <v>35</v>
      </c>
      <c r="AA215" s="5">
        <f>Z215/Z220</f>
        <v>0.17676767676767677</v>
      </c>
      <c r="AB215" s="5">
        <f>35/$AB$1</f>
        <v>0.17676767676767677</v>
      </c>
      <c r="AD215">
        <v>30</v>
      </c>
      <c r="AE215" s="5">
        <f>AD215/AD220</f>
        <v>0.19480519480519481</v>
      </c>
      <c r="AF215" s="5">
        <f>30/$AF$1</f>
        <v>0.19480519480519481</v>
      </c>
      <c r="AH215">
        <v>29</v>
      </c>
      <c r="AI215" s="5">
        <f>AH215/AH220</f>
        <v>0.24166666666666667</v>
      </c>
      <c r="AJ215" s="5">
        <f>29/$AJ$1</f>
        <v>0.24166666666666667</v>
      </c>
      <c r="AL215">
        <v>64</v>
      </c>
      <c r="AM215" s="5">
        <f>AL215/AL220</f>
        <v>0.17297297297297298</v>
      </c>
      <c r="AN215" s="5">
        <f>64/$AN$1</f>
        <v>0.17297297297297298</v>
      </c>
      <c r="AP215">
        <v>63</v>
      </c>
      <c r="AQ215" s="5">
        <f>AP215/AP220</f>
        <v>0.16666666666666666</v>
      </c>
      <c r="AR215" s="5">
        <f>63/$AR$1</f>
        <v>0.16666666666666666</v>
      </c>
      <c r="AT215">
        <v>29</v>
      </c>
      <c r="AU215" s="5">
        <f>AT215/AT220</f>
        <v>0.11507936507936507</v>
      </c>
      <c r="AV215" s="5">
        <f>29/$AV$1</f>
        <v>0.11507936507936507</v>
      </c>
      <c r="AX215">
        <v>36</v>
      </c>
      <c r="AY215" s="5">
        <f>AX215/AX220</f>
        <v>0.13186813186813187</v>
      </c>
      <c r="AZ215" s="5">
        <f>36/$AZ$1</f>
        <v>0.13186813186813187</v>
      </c>
      <c r="BA215" s="5"/>
      <c r="BB215">
        <v>29</v>
      </c>
      <c r="BC215" s="5">
        <f>BB215/BB220</f>
        <v>0.14285714285714285</v>
      </c>
      <c r="BD215" s="5">
        <f>29/$BD$1</f>
        <v>0.14285714285714285</v>
      </c>
      <c r="BF215">
        <v>45</v>
      </c>
      <c r="BG215" s="5">
        <f>BF215/BF220</f>
        <v>0.20930232558139536</v>
      </c>
      <c r="BH215" s="5">
        <f>45/$BH$1</f>
        <v>0.20930232558139536</v>
      </c>
      <c r="BJ215">
        <v>46</v>
      </c>
      <c r="BK215" s="5">
        <f>BJ215/BJ220</f>
        <v>0.14886731391585761</v>
      </c>
      <c r="BL215" s="5">
        <f>46/$BL$1</f>
        <v>0.14886731391585761</v>
      </c>
      <c r="BN215">
        <v>9</v>
      </c>
      <c r="BO215" s="5">
        <f>BN215/BN220</f>
        <v>0.19148936170212766</v>
      </c>
      <c r="BP215" s="5">
        <f>9/$BP$1</f>
        <v>0.19148936170212766</v>
      </c>
      <c r="BR215">
        <v>61</v>
      </c>
      <c r="BS215" s="5">
        <f>BR215/BR220</f>
        <v>0.19426751592356689</v>
      </c>
      <c r="BT215" s="5">
        <f>61/$BT$1</f>
        <v>0.19426751592356689</v>
      </c>
      <c r="BV215">
        <v>58</v>
      </c>
      <c r="BW215" s="5">
        <f>BV215/BV220</f>
        <v>0.1475826972010178</v>
      </c>
      <c r="BX215" s="5">
        <f>58/$BX$1</f>
        <v>0.1475826972010178</v>
      </c>
      <c r="BZ215">
        <v>28</v>
      </c>
      <c r="CA215" s="5">
        <f>BZ215/BZ220</f>
        <v>0.11382113821138211</v>
      </c>
      <c r="CB215" s="5">
        <f>28/$CB$1</f>
        <v>0.11382113821138211</v>
      </c>
      <c r="CD215">
        <v>20</v>
      </c>
      <c r="CE215" s="5">
        <f>CD215/CD220</f>
        <v>0.16260162601626016</v>
      </c>
      <c r="CF215" s="5">
        <f>20/$CF$1</f>
        <v>0.16260162601626016</v>
      </c>
      <c r="CH215">
        <v>107</v>
      </c>
      <c r="CI215" s="5">
        <f>CH215/CH220</f>
        <v>0.15552325581395349</v>
      </c>
      <c r="CJ215" s="5">
        <f>107/$CJ$1</f>
        <v>0.15552325581395349</v>
      </c>
      <c r="CL215">
        <v>136</v>
      </c>
      <c r="CM215" s="5">
        <f>CL215/CL220</f>
        <v>0.17941952506596306</v>
      </c>
      <c r="CN215" s="5">
        <f>136/$CN$1</f>
        <v>0.17941952506596306</v>
      </c>
      <c r="CP215">
        <v>20</v>
      </c>
      <c r="CQ215" s="5">
        <f>CP215/CP220</f>
        <v>8.2644628099173556E-2</v>
      </c>
      <c r="CR215" s="5">
        <f>20/$CR$1</f>
        <v>8.2644628099173556E-2</v>
      </c>
      <c r="CT215">
        <v>60</v>
      </c>
      <c r="CU215" s="5">
        <f>CT215/CT220</f>
        <v>0.18018018018018017</v>
      </c>
      <c r="CV215" s="5">
        <f>60/$CV$1</f>
        <v>0.18018018018018017</v>
      </c>
      <c r="CX215">
        <v>96</v>
      </c>
      <c r="CY215" s="5">
        <f>CX215/CX220</f>
        <v>0.14392803598200898</v>
      </c>
      <c r="CZ215" s="5">
        <f>96/$CZ$1</f>
        <v>0.14392803598200898</v>
      </c>
    </row>
    <row r="216" spans="1:104" x14ac:dyDescent="0.25">
      <c r="A216" s="1" t="s">
        <v>2127</v>
      </c>
      <c r="B216">
        <v>438</v>
      </c>
      <c r="C216" s="5">
        <f>B216/B220</f>
        <v>0.438</v>
      </c>
      <c r="D216" s="5">
        <f>438/$D$1</f>
        <v>0.438</v>
      </c>
      <c r="F216">
        <v>217</v>
      </c>
      <c r="G216" s="5">
        <f>F216/F220</f>
        <v>0.43313373253493015</v>
      </c>
      <c r="H216" s="5">
        <f>217/$H$1</f>
        <v>0.43313373253493015</v>
      </c>
      <c r="J216">
        <v>221</v>
      </c>
      <c r="K216" s="5">
        <f>J216/J220</f>
        <v>0.44288577154308617</v>
      </c>
      <c r="L216" s="5">
        <f>221/$L$1</f>
        <v>0.44288577154308617</v>
      </c>
      <c r="N216">
        <v>38</v>
      </c>
      <c r="O216" s="5">
        <f>N216/N220</f>
        <v>0.39175257731958762</v>
      </c>
      <c r="P216" s="5">
        <f>38/$P$1</f>
        <v>0.39175257731958762</v>
      </c>
      <c r="R216">
        <v>90</v>
      </c>
      <c r="S216" s="5">
        <f>R216/R220</f>
        <v>0.45454545454545453</v>
      </c>
      <c r="T216" s="5">
        <f>90/$T$1</f>
        <v>0.45454545454545453</v>
      </c>
      <c r="V216">
        <v>104</v>
      </c>
      <c r="W216" s="5">
        <f>V216/V220</f>
        <v>0.43153526970954359</v>
      </c>
      <c r="X216" s="5">
        <f>104/$X$1</f>
        <v>0.43153526970954359</v>
      </c>
      <c r="Z216">
        <v>81</v>
      </c>
      <c r="AA216" s="5">
        <f>Z216/Z220</f>
        <v>0.40909090909090912</v>
      </c>
      <c r="AB216" s="5">
        <f>81/$AB$1</f>
        <v>0.40909090909090912</v>
      </c>
      <c r="AD216">
        <v>68</v>
      </c>
      <c r="AE216" s="5">
        <f>AD216/AD220</f>
        <v>0.44155844155844154</v>
      </c>
      <c r="AF216" s="5">
        <f>68/$AF$1</f>
        <v>0.44155844155844154</v>
      </c>
      <c r="AH216">
        <v>61</v>
      </c>
      <c r="AI216" s="5">
        <f>AH216/AH220</f>
        <v>0.5083333333333333</v>
      </c>
      <c r="AJ216" s="5">
        <f>61/$AJ$1</f>
        <v>0.5083333333333333</v>
      </c>
      <c r="AL216">
        <v>162</v>
      </c>
      <c r="AM216" s="5">
        <f>AL216/AL220</f>
        <v>0.43783783783783786</v>
      </c>
      <c r="AN216" s="5">
        <f>162/$AN$1</f>
        <v>0.43783783783783786</v>
      </c>
      <c r="AP216">
        <v>162</v>
      </c>
      <c r="AQ216" s="5">
        <f>AP216/AP220</f>
        <v>0.42857142857142855</v>
      </c>
      <c r="AR216" s="5">
        <f>162/$AR$1</f>
        <v>0.42857142857142855</v>
      </c>
      <c r="AT216">
        <v>114</v>
      </c>
      <c r="AU216" s="5">
        <f>AT216/AT220</f>
        <v>0.45238095238095238</v>
      </c>
      <c r="AV216" s="5">
        <f>114/$AV$1</f>
        <v>0.45238095238095238</v>
      </c>
      <c r="AX216">
        <v>105</v>
      </c>
      <c r="AY216" s="5">
        <f>AX216/AX220</f>
        <v>0.38461538461538464</v>
      </c>
      <c r="AZ216" s="5">
        <f>105/$AZ$1</f>
        <v>0.38461538461538464</v>
      </c>
      <c r="BA216" s="5"/>
      <c r="BB216">
        <v>93</v>
      </c>
      <c r="BC216" s="5">
        <f>BB216/BB220</f>
        <v>0.45812807881773399</v>
      </c>
      <c r="BD216" s="5">
        <f>93/$BD$1</f>
        <v>0.45812807881773399</v>
      </c>
      <c r="BF216">
        <v>93</v>
      </c>
      <c r="BG216" s="5">
        <f>BF216/BF220</f>
        <v>0.4325581395348837</v>
      </c>
      <c r="BH216" s="5">
        <f>93/$BH$1</f>
        <v>0.4325581395348837</v>
      </c>
      <c r="BJ216">
        <v>147</v>
      </c>
      <c r="BK216" s="5">
        <f>BJ216/BJ220</f>
        <v>0.47572815533980584</v>
      </c>
      <c r="BL216" s="5">
        <f>147/$BL$1</f>
        <v>0.47572815533980584</v>
      </c>
      <c r="BN216">
        <v>19</v>
      </c>
      <c r="BO216" s="5">
        <f>BN216/BN220</f>
        <v>0.40425531914893614</v>
      </c>
      <c r="BP216" s="5">
        <f>19/$BP$1</f>
        <v>0.40425531914893614</v>
      </c>
      <c r="BR216">
        <v>126</v>
      </c>
      <c r="BS216" s="5">
        <f>BR216/BR220</f>
        <v>0.40127388535031849</v>
      </c>
      <c r="BT216" s="5">
        <f>126/$BT$1</f>
        <v>0.40127388535031849</v>
      </c>
      <c r="BV216">
        <v>183</v>
      </c>
      <c r="BW216" s="5">
        <f>BV216/BV220</f>
        <v>0.46564885496183206</v>
      </c>
      <c r="BX216" s="5">
        <f>183/$BX$1</f>
        <v>0.46564885496183206</v>
      </c>
      <c r="BZ216">
        <v>110</v>
      </c>
      <c r="CA216" s="5">
        <f>BZ216/BZ220</f>
        <v>0.44715447154471544</v>
      </c>
      <c r="CB216" s="5">
        <f>110/$CB$1</f>
        <v>0.44715447154471544</v>
      </c>
      <c r="CD216">
        <v>49</v>
      </c>
      <c r="CE216" s="5">
        <f>CD216/CD220</f>
        <v>0.3983739837398374</v>
      </c>
      <c r="CF216" s="5">
        <f>49/$CF$1</f>
        <v>0.3983739837398374</v>
      </c>
      <c r="CH216">
        <v>325</v>
      </c>
      <c r="CI216" s="5">
        <f>CH216/CH220</f>
        <v>0.47238372093023256</v>
      </c>
      <c r="CJ216" s="5">
        <f>325/$CJ$1</f>
        <v>0.47238372093023256</v>
      </c>
      <c r="CL216">
        <v>339</v>
      </c>
      <c r="CM216" s="5">
        <f>CL216/CL220</f>
        <v>0.44722955145118731</v>
      </c>
      <c r="CN216" s="5">
        <f>339/$CN$1</f>
        <v>0.44722955145118731</v>
      </c>
      <c r="CP216">
        <v>99</v>
      </c>
      <c r="CQ216" s="5">
        <f>CP216/CP220</f>
        <v>0.40909090909090912</v>
      </c>
      <c r="CR216" s="5">
        <f>99/$CR$1</f>
        <v>0.40909090909090912</v>
      </c>
      <c r="CT216">
        <v>151</v>
      </c>
      <c r="CU216" s="5">
        <f>CT216/CT220</f>
        <v>0.45345345345345345</v>
      </c>
      <c r="CV216" s="5">
        <f>151/$CV$1</f>
        <v>0.45345345345345345</v>
      </c>
      <c r="CX216">
        <v>287</v>
      </c>
      <c r="CY216" s="5">
        <f>CX216/CX220</f>
        <v>0.43028485757121437</v>
      </c>
      <c r="CZ216" s="5">
        <f>287/$CZ$1</f>
        <v>0.43028485757121437</v>
      </c>
    </row>
    <row r="217" spans="1:104" x14ac:dyDescent="0.25">
      <c r="A217" s="1" t="s">
        <v>2556</v>
      </c>
      <c r="B217">
        <v>338</v>
      </c>
      <c r="C217" s="5">
        <f>B217/B220</f>
        <v>0.33800000000000002</v>
      </c>
      <c r="D217" s="5">
        <f>338/$D$1</f>
        <v>0.33800000000000002</v>
      </c>
      <c r="F217">
        <v>179</v>
      </c>
      <c r="G217" s="5">
        <f>F217/F220</f>
        <v>0.35728542914171657</v>
      </c>
      <c r="H217" s="5">
        <f>179/$H$1</f>
        <v>0.35728542914171657</v>
      </c>
      <c r="J217">
        <v>159</v>
      </c>
      <c r="K217" s="5">
        <f>J217/J220</f>
        <v>0.31863727454909818</v>
      </c>
      <c r="L217" s="5">
        <f>159/$L$1</f>
        <v>0.31863727454909818</v>
      </c>
      <c r="N217">
        <v>37</v>
      </c>
      <c r="O217" s="5">
        <f>N217/N220</f>
        <v>0.38144329896907214</v>
      </c>
      <c r="P217" s="5">
        <f>37/$P$1</f>
        <v>0.38144329896907214</v>
      </c>
      <c r="R217">
        <v>74</v>
      </c>
      <c r="S217" s="5">
        <f>R217/R220</f>
        <v>0.37373737373737376</v>
      </c>
      <c r="T217" s="5">
        <f>74/$T$1</f>
        <v>0.37373737373737376</v>
      </c>
      <c r="V217">
        <v>86</v>
      </c>
      <c r="W217" s="5">
        <f>V217/V220</f>
        <v>0.35684647302904565</v>
      </c>
      <c r="X217" s="5">
        <f>86/$X$1</f>
        <v>0.35684647302904565</v>
      </c>
      <c r="Z217">
        <v>71</v>
      </c>
      <c r="AA217" s="5">
        <f>Z217/Z220</f>
        <v>0.35858585858585856</v>
      </c>
      <c r="AB217" s="5">
        <f>71/$AB$1</f>
        <v>0.35858585858585856</v>
      </c>
      <c r="AD217">
        <v>47</v>
      </c>
      <c r="AE217" s="5">
        <f>AD217/AD220</f>
        <v>0.30519480519480519</v>
      </c>
      <c r="AF217" s="5">
        <f>47/$AF$1</f>
        <v>0.30519480519480519</v>
      </c>
      <c r="AH217">
        <v>25</v>
      </c>
      <c r="AI217" s="5">
        <f>AH217/AH220</f>
        <v>0.20833333333333334</v>
      </c>
      <c r="AJ217" s="5">
        <f>25/$AJ$1</f>
        <v>0.20833333333333334</v>
      </c>
      <c r="AL217">
        <v>110</v>
      </c>
      <c r="AM217" s="5">
        <f>AL217/AL220</f>
        <v>0.29729729729729731</v>
      </c>
      <c r="AN217" s="5">
        <f>110/$AN$1</f>
        <v>0.29729729729729731</v>
      </c>
      <c r="AP217">
        <v>130</v>
      </c>
      <c r="AQ217" s="5">
        <f>AP217/AP220</f>
        <v>0.3439153439153439</v>
      </c>
      <c r="AR217" s="5">
        <f>130/$AR$1</f>
        <v>0.3439153439153439</v>
      </c>
      <c r="AT217">
        <v>98</v>
      </c>
      <c r="AU217" s="5">
        <f>AT217/AT220</f>
        <v>0.3888888888888889</v>
      </c>
      <c r="AV217" s="5">
        <f>98/$AV$1</f>
        <v>0.3888888888888889</v>
      </c>
      <c r="AX217">
        <v>111</v>
      </c>
      <c r="AY217" s="5">
        <f>AX217/AX220</f>
        <v>0.40659340659340659</v>
      </c>
      <c r="AZ217" s="5">
        <f>111/$AZ$1</f>
        <v>0.40659340659340659</v>
      </c>
      <c r="BA217" s="5"/>
      <c r="BB217">
        <v>63</v>
      </c>
      <c r="BC217" s="5">
        <f>BB217/BB220</f>
        <v>0.31034482758620691</v>
      </c>
      <c r="BD217" s="5">
        <f>63/$BD$1</f>
        <v>0.31034482758620691</v>
      </c>
      <c r="BF217">
        <v>62</v>
      </c>
      <c r="BG217" s="5">
        <f>BF217/BF220</f>
        <v>0.28837209302325584</v>
      </c>
      <c r="BH217" s="5">
        <f>62/$BH$1</f>
        <v>0.28837209302325584</v>
      </c>
      <c r="BJ217">
        <v>102</v>
      </c>
      <c r="BK217" s="5">
        <f>BJ217/BJ220</f>
        <v>0.3300970873786408</v>
      </c>
      <c r="BL217" s="5">
        <f>102/$BL$1</f>
        <v>0.3300970873786408</v>
      </c>
      <c r="BN217">
        <v>14</v>
      </c>
      <c r="BO217" s="5">
        <f>BN217/BN220</f>
        <v>0.2978723404255319</v>
      </c>
      <c r="BP217" s="5">
        <f>14/$BP$1</f>
        <v>0.2978723404255319</v>
      </c>
      <c r="BR217">
        <v>99</v>
      </c>
      <c r="BS217" s="5">
        <f>BR217/BR220</f>
        <v>0.31528662420382164</v>
      </c>
      <c r="BT217" s="5">
        <f>99/$BT$1</f>
        <v>0.31528662420382164</v>
      </c>
      <c r="BV217">
        <v>129</v>
      </c>
      <c r="BW217" s="5">
        <f>BV217/BV220</f>
        <v>0.3282442748091603</v>
      </c>
      <c r="BX217" s="5">
        <f>129/$BX$1</f>
        <v>0.3282442748091603</v>
      </c>
      <c r="BZ217">
        <v>96</v>
      </c>
      <c r="CA217" s="5">
        <f>BZ217/BZ220</f>
        <v>0.3902439024390244</v>
      </c>
      <c r="CB217" s="5">
        <f>96/$CB$1</f>
        <v>0.3902439024390244</v>
      </c>
      <c r="CD217">
        <v>46</v>
      </c>
      <c r="CE217" s="5">
        <f>CD217/CD220</f>
        <v>0.37398373983739835</v>
      </c>
      <c r="CF217" s="5">
        <f>46/$CF$1</f>
        <v>0.37398373983739835</v>
      </c>
      <c r="CH217">
        <v>210</v>
      </c>
      <c r="CI217" s="5">
        <f>CH217/CH220</f>
        <v>0.30523255813953487</v>
      </c>
      <c r="CJ217" s="5">
        <f>210/$CJ$1</f>
        <v>0.30523255813953487</v>
      </c>
      <c r="CL217">
        <v>227</v>
      </c>
      <c r="CM217" s="5">
        <f>CL217/CL220</f>
        <v>0.29947229551451188</v>
      </c>
      <c r="CN217" s="5">
        <f>227/$CN$1</f>
        <v>0.29947229551451188</v>
      </c>
      <c r="CP217">
        <v>111</v>
      </c>
      <c r="CQ217" s="5">
        <f>CP217/CP220</f>
        <v>0.45867768595041325</v>
      </c>
      <c r="CR217" s="5">
        <f>111/$CR$1</f>
        <v>0.45867768595041325</v>
      </c>
      <c r="CT217">
        <v>100</v>
      </c>
      <c r="CU217" s="5">
        <f>CT217/CT220</f>
        <v>0.3003003003003003</v>
      </c>
      <c r="CV217" s="5">
        <f>100/$CV$1</f>
        <v>0.3003003003003003</v>
      </c>
      <c r="CX217">
        <v>238</v>
      </c>
      <c r="CY217" s="5">
        <f>CX217/CX220</f>
        <v>0.3568215892053973</v>
      </c>
      <c r="CZ217" s="5">
        <f>238/$CZ$1</f>
        <v>0.3568215892053973</v>
      </c>
    </row>
    <row r="218" spans="1:104" x14ac:dyDescent="0.25">
      <c r="A218" s="1" t="s">
        <v>247</v>
      </c>
      <c r="B218">
        <v>68</v>
      </c>
      <c r="C218" s="5">
        <f>B218/B220</f>
        <v>6.8000000000000005E-2</v>
      </c>
      <c r="D218" s="5">
        <f>68/$D$1</f>
        <v>6.8000000000000005E-2</v>
      </c>
      <c r="F218">
        <v>32</v>
      </c>
      <c r="G218" s="5">
        <f>F218/F220</f>
        <v>6.3872255489021951E-2</v>
      </c>
      <c r="H218" s="5">
        <f>32/$H$1</f>
        <v>6.3872255489021951E-2</v>
      </c>
      <c r="J218">
        <v>36</v>
      </c>
      <c r="K218" s="5">
        <f>J218/J220</f>
        <v>7.2144288577154311E-2</v>
      </c>
      <c r="L218" s="5">
        <f>36/$L$1</f>
        <v>7.2144288577154311E-2</v>
      </c>
      <c r="N218">
        <v>8</v>
      </c>
      <c r="O218" s="5">
        <f>N218/N220</f>
        <v>8.247422680412371E-2</v>
      </c>
      <c r="P218" s="5">
        <f>8/$P$1</f>
        <v>8.247422680412371E-2</v>
      </c>
      <c r="R218">
        <v>16</v>
      </c>
      <c r="S218" s="5">
        <f>R218/R220</f>
        <v>8.0808080808080815E-2</v>
      </c>
      <c r="T218" s="5">
        <f>16/$T$1</f>
        <v>8.0808080808080815E-2</v>
      </c>
      <c r="V218">
        <v>19</v>
      </c>
      <c r="W218" s="5">
        <f>V218/V220</f>
        <v>7.8838174273858919E-2</v>
      </c>
      <c r="X218" s="5">
        <f>19/$X$1</f>
        <v>7.8838174273858919E-2</v>
      </c>
      <c r="Z218">
        <v>11</v>
      </c>
      <c r="AA218" s="5">
        <f>Z218/Z220</f>
        <v>5.5555555555555552E-2</v>
      </c>
      <c r="AB218" s="5">
        <f>11/$AB$1</f>
        <v>5.5555555555555552E-2</v>
      </c>
      <c r="AD218">
        <v>9</v>
      </c>
      <c r="AE218" s="5">
        <f>AD218/AD220</f>
        <v>5.844155844155844E-2</v>
      </c>
      <c r="AF218" s="5">
        <f>9/$AF$1</f>
        <v>5.844155844155844E-2</v>
      </c>
      <c r="AH218">
        <v>5</v>
      </c>
      <c r="AI218" s="5">
        <f>AH218/AH220</f>
        <v>4.1666666666666664E-2</v>
      </c>
      <c r="AJ218" s="5">
        <f>5/$AJ$1</f>
        <v>4.1666666666666664E-2</v>
      </c>
      <c r="AL218">
        <v>34</v>
      </c>
      <c r="AM218" s="5">
        <f>AL218/AL220</f>
        <v>9.1891891891891897E-2</v>
      </c>
      <c r="AN218" s="5">
        <f>34/$AN$1</f>
        <v>9.1891891891891897E-2</v>
      </c>
      <c r="AP218">
        <v>23</v>
      </c>
      <c r="AQ218" s="5">
        <f>AP218/AP220</f>
        <v>6.0846560846560843E-2</v>
      </c>
      <c r="AR218" s="5">
        <f>23/$AR$1</f>
        <v>6.0846560846560843E-2</v>
      </c>
      <c r="AT218">
        <v>11</v>
      </c>
      <c r="AU218" s="5">
        <f>AT218/AT220</f>
        <v>4.3650793650793648E-2</v>
      </c>
      <c r="AV218" s="5">
        <f>11/$AV$1</f>
        <v>4.3650793650793648E-2</v>
      </c>
      <c r="AX218">
        <v>21</v>
      </c>
      <c r="AY218" s="5">
        <f>AX218/AX220</f>
        <v>7.6923076923076927E-2</v>
      </c>
      <c r="AZ218" s="5">
        <f>21/$AZ$1</f>
        <v>7.6923076923076927E-2</v>
      </c>
      <c r="BA218" s="5"/>
      <c r="BB218">
        <v>18</v>
      </c>
      <c r="BC218" s="5">
        <f>BB218/BB220</f>
        <v>8.8669950738916259E-2</v>
      </c>
      <c r="BD218" s="5">
        <f>18/$BD$1</f>
        <v>8.8669950738916259E-2</v>
      </c>
      <c r="BF218">
        <v>15</v>
      </c>
      <c r="BG218" s="5">
        <f>BF218/BF220</f>
        <v>6.9767441860465115E-2</v>
      </c>
      <c r="BH218" s="5">
        <f>15/$BH$1</f>
        <v>6.9767441860465115E-2</v>
      </c>
      <c r="BJ218">
        <v>14</v>
      </c>
      <c r="BK218" s="5">
        <f>BJ218/BJ220</f>
        <v>4.5307443365695796E-2</v>
      </c>
      <c r="BL218" s="5">
        <f>14/$BL$1</f>
        <v>4.5307443365695796E-2</v>
      </c>
      <c r="BN218">
        <v>5</v>
      </c>
      <c r="BO218" s="5">
        <f>BN218/BN220</f>
        <v>0.10638297872340426</v>
      </c>
      <c r="BP218" s="5">
        <f>5/$BP$1</f>
        <v>0.10638297872340426</v>
      </c>
      <c r="BR218">
        <v>28</v>
      </c>
      <c r="BS218" s="5">
        <f>BR218/BR220</f>
        <v>8.9171974522292988E-2</v>
      </c>
      <c r="BT218" s="5">
        <f>28/$BT$1</f>
        <v>8.9171974522292988E-2</v>
      </c>
      <c r="BV218">
        <v>23</v>
      </c>
      <c r="BW218" s="5">
        <f>BV218/BV220</f>
        <v>5.8524173027989825E-2</v>
      </c>
      <c r="BX218" s="5">
        <f>23/$BX$1</f>
        <v>5.8524173027989825E-2</v>
      </c>
      <c r="BZ218">
        <v>12</v>
      </c>
      <c r="CA218" s="5">
        <f>BZ218/BZ220</f>
        <v>4.878048780487805E-2</v>
      </c>
      <c r="CB218" s="5">
        <f>12/$CB$1</f>
        <v>4.878048780487805E-2</v>
      </c>
      <c r="CD218">
        <v>8</v>
      </c>
      <c r="CE218" s="5">
        <f>CD218/CD220</f>
        <v>6.5040650406504072E-2</v>
      </c>
      <c r="CF218" s="5">
        <f>8/$CF$1</f>
        <v>6.5040650406504072E-2</v>
      </c>
      <c r="CH218">
        <v>46</v>
      </c>
      <c r="CI218" s="5">
        <f>CH218/CH220</f>
        <v>6.6860465116279064E-2</v>
      </c>
      <c r="CJ218" s="5">
        <f>46/$CJ$1</f>
        <v>6.6860465116279064E-2</v>
      </c>
      <c r="CL218">
        <v>56</v>
      </c>
      <c r="CM218" s="5">
        <f>CL218/CL220</f>
        <v>7.3878627968337732E-2</v>
      </c>
      <c r="CN218" s="5">
        <f>56/$CN$1</f>
        <v>7.3878627968337732E-2</v>
      </c>
      <c r="CP218">
        <v>12</v>
      </c>
      <c r="CQ218" s="5">
        <f>CP218/CP220</f>
        <v>4.9586776859504134E-2</v>
      </c>
      <c r="CR218" s="5">
        <f>12/$CR$1</f>
        <v>4.9586776859504134E-2</v>
      </c>
      <c r="CT218">
        <v>22</v>
      </c>
      <c r="CU218" s="5">
        <f>CT218/CT220</f>
        <v>6.6066066066066062E-2</v>
      </c>
      <c r="CV218" s="5">
        <f>22/$CV$1</f>
        <v>6.6066066066066062E-2</v>
      </c>
      <c r="CX218">
        <v>46</v>
      </c>
      <c r="CY218" s="5">
        <f>CX218/CX220</f>
        <v>6.8965517241379309E-2</v>
      </c>
      <c r="CZ218" s="5">
        <f>46/$CZ$1</f>
        <v>6.8965517241379309E-2</v>
      </c>
    </row>
    <row r="219" spans="1:104" x14ac:dyDescent="0.25">
      <c r="A219" s="1" t="s">
        <v>32</v>
      </c>
      <c r="B219">
        <v>0</v>
      </c>
      <c r="C219" s="5">
        <f>B219/B220</f>
        <v>0</v>
      </c>
      <c r="D219" s="5">
        <f>0/$D$1</f>
        <v>0</v>
      </c>
      <c r="F219">
        <v>0</v>
      </c>
      <c r="G219" s="5">
        <f>F219/F220</f>
        <v>0</v>
      </c>
      <c r="H219" s="5">
        <f>0/$H$1</f>
        <v>0</v>
      </c>
      <c r="J219">
        <v>0</v>
      </c>
      <c r="K219" s="5">
        <f>J219/J220</f>
        <v>0</v>
      </c>
      <c r="L219" s="5">
        <f>0/$L$1</f>
        <v>0</v>
      </c>
      <c r="N219">
        <v>0</v>
      </c>
      <c r="O219" s="5">
        <f>N219/N220</f>
        <v>0</v>
      </c>
      <c r="P219" s="5">
        <f>0/$P$1</f>
        <v>0</v>
      </c>
      <c r="R219">
        <v>0</v>
      </c>
      <c r="S219" s="5">
        <f>R219/R220</f>
        <v>0</v>
      </c>
      <c r="T219" s="5">
        <f>0/$T$1</f>
        <v>0</v>
      </c>
      <c r="V219">
        <v>0</v>
      </c>
      <c r="W219" s="5">
        <f>V219/V220</f>
        <v>0</v>
      </c>
      <c r="X219" s="5">
        <f>0/$X$1</f>
        <v>0</v>
      </c>
      <c r="Z219">
        <v>0</v>
      </c>
      <c r="AA219" s="5">
        <f>Z219/Z220</f>
        <v>0</v>
      </c>
      <c r="AB219" s="5">
        <f>0/$AB$1</f>
        <v>0</v>
      </c>
      <c r="AD219">
        <v>0</v>
      </c>
      <c r="AE219" s="5">
        <f>AD219/AD220</f>
        <v>0</v>
      </c>
      <c r="AF219" s="5">
        <f>0/$AF$1</f>
        <v>0</v>
      </c>
      <c r="AH219">
        <v>0</v>
      </c>
      <c r="AI219" s="5">
        <f>AH219/AH220</f>
        <v>0</v>
      </c>
      <c r="AJ219" s="5">
        <f>0/$AJ$1</f>
        <v>0</v>
      </c>
      <c r="AL219">
        <v>0</v>
      </c>
      <c r="AM219" s="5">
        <f>AL219/AL220</f>
        <v>0</v>
      </c>
      <c r="AN219" s="5">
        <f>0/$AN$1</f>
        <v>0</v>
      </c>
      <c r="AP219">
        <v>0</v>
      </c>
      <c r="AQ219" s="5">
        <f>AP219/AP220</f>
        <v>0</v>
      </c>
      <c r="AR219" s="5">
        <f>0/$AR$1</f>
        <v>0</v>
      </c>
      <c r="AT219">
        <v>0</v>
      </c>
      <c r="AU219" s="5">
        <f>AT219/AT220</f>
        <v>0</v>
      </c>
      <c r="AV219" s="5">
        <f>0/$AV$1</f>
        <v>0</v>
      </c>
      <c r="AX219">
        <v>0</v>
      </c>
      <c r="AY219" s="5">
        <f>AX219/AX220</f>
        <v>0</v>
      </c>
      <c r="AZ219" s="5">
        <f>0/$AZ$1</f>
        <v>0</v>
      </c>
      <c r="BA219" s="5"/>
      <c r="BB219">
        <v>0</v>
      </c>
      <c r="BC219" s="5">
        <f>BB219/BB220</f>
        <v>0</v>
      </c>
      <c r="BD219" s="5">
        <f>0/$BD$1</f>
        <v>0</v>
      </c>
      <c r="BF219">
        <v>0</v>
      </c>
      <c r="BG219" s="5">
        <f>BF219/BF220</f>
        <v>0</v>
      </c>
      <c r="BH219" s="5">
        <f>0/$BH$1</f>
        <v>0</v>
      </c>
      <c r="BJ219">
        <v>0</v>
      </c>
      <c r="BK219" s="5">
        <f>BJ219/BJ220</f>
        <v>0</v>
      </c>
      <c r="BL219" s="5">
        <f>0/$BL$1</f>
        <v>0</v>
      </c>
      <c r="BN219">
        <v>0</v>
      </c>
      <c r="BO219" s="5">
        <f>BN219/BN220</f>
        <v>0</v>
      </c>
      <c r="BP219" s="5">
        <f>0/$BP$1</f>
        <v>0</v>
      </c>
      <c r="BR219">
        <v>0</v>
      </c>
      <c r="BS219" s="5">
        <f>BR219/BR220</f>
        <v>0</v>
      </c>
      <c r="BT219" s="5">
        <f>0/$BT$1</f>
        <v>0</v>
      </c>
      <c r="BV219">
        <v>0</v>
      </c>
      <c r="BW219" s="5">
        <f>BV219/BV220</f>
        <v>0</v>
      </c>
      <c r="BX219" s="5">
        <f>0/$BX$1</f>
        <v>0</v>
      </c>
      <c r="BZ219">
        <v>0</v>
      </c>
      <c r="CA219" s="5">
        <f>BZ219/BZ220</f>
        <v>0</v>
      </c>
      <c r="CB219" s="5">
        <f>0/$CB$1</f>
        <v>0</v>
      </c>
      <c r="CD219">
        <v>0</v>
      </c>
      <c r="CE219" s="5">
        <f>CD219/CD220</f>
        <v>0</v>
      </c>
      <c r="CF219" s="5">
        <f>0/$CF$1</f>
        <v>0</v>
      </c>
      <c r="CH219">
        <v>0</v>
      </c>
      <c r="CI219" s="5">
        <f>CH219/CH220</f>
        <v>0</v>
      </c>
      <c r="CJ219" s="5">
        <f>0/$CJ$1</f>
        <v>0</v>
      </c>
      <c r="CL219">
        <v>0</v>
      </c>
      <c r="CM219" s="5">
        <f>CL219/CL220</f>
        <v>0</v>
      </c>
      <c r="CN219" s="5">
        <f>0/$CN$1</f>
        <v>0</v>
      </c>
      <c r="CP219">
        <v>0</v>
      </c>
      <c r="CQ219" s="5">
        <f>CP219/CP220</f>
        <v>0</v>
      </c>
      <c r="CR219" s="5">
        <f>0/$CR$1</f>
        <v>0</v>
      </c>
      <c r="CT219">
        <v>0</v>
      </c>
      <c r="CU219" s="5">
        <f>CT219/CT220</f>
        <v>0</v>
      </c>
      <c r="CV219" s="5">
        <f>0/$CV$1</f>
        <v>0</v>
      </c>
      <c r="CX219">
        <v>0</v>
      </c>
      <c r="CY219" s="5">
        <f>CX219/CX220</f>
        <v>0</v>
      </c>
      <c r="CZ219" s="5">
        <f>0/$CZ$1</f>
        <v>0</v>
      </c>
    </row>
    <row r="220" spans="1:104" s="6" customFormat="1" x14ac:dyDescent="0.25">
      <c r="A220" s="7" t="s">
        <v>33</v>
      </c>
      <c r="B220" s="6">
        <v>1000</v>
      </c>
      <c r="D220" s="8">
        <f>1000/$D$1</f>
        <v>1</v>
      </c>
      <c r="F220" s="6">
        <v>501</v>
      </c>
      <c r="H220" s="8">
        <f>501/$H$1</f>
        <v>1</v>
      </c>
      <c r="J220" s="6">
        <v>499</v>
      </c>
      <c r="L220" s="8">
        <f>499/$L$1</f>
        <v>1</v>
      </c>
      <c r="N220" s="6">
        <v>97</v>
      </c>
      <c r="P220" s="8">
        <f>97/$P$1</f>
        <v>1</v>
      </c>
      <c r="R220" s="6">
        <v>198</v>
      </c>
      <c r="T220" s="8">
        <f>198/$T$1</f>
        <v>1</v>
      </c>
      <c r="V220" s="6">
        <v>241</v>
      </c>
      <c r="X220" s="8">
        <f>241/$X$1</f>
        <v>1</v>
      </c>
      <c r="Z220" s="6">
        <v>198</v>
      </c>
      <c r="AB220" s="8">
        <f>198/$AB$1</f>
        <v>1</v>
      </c>
      <c r="AD220" s="6">
        <v>154</v>
      </c>
      <c r="AF220" s="8">
        <f>154/$AF$1</f>
        <v>1</v>
      </c>
      <c r="AH220" s="6">
        <v>120</v>
      </c>
      <c r="AJ220" s="8">
        <f>120/$AJ$1</f>
        <v>1</v>
      </c>
      <c r="AL220" s="6">
        <v>370</v>
      </c>
      <c r="AN220" s="8">
        <f>370/$AN$1</f>
        <v>1</v>
      </c>
      <c r="AP220" s="6">
        <v>378</v>
      </c>
      <c r="AR220" s="8">
        <f>378/$AR$1</f>
        <v>1</v>
      </c>
      <c r="AT220" s="6">
        <v>252</v>
      </c>
      <c r="AV220" s="8">
        <f>252/$AV$1</f>
        <v>1</v>
      </c>
      <c r="AX220" s="6">
        <v>273</v>
      </c>
      <c r="AZ220" s="8">
        <f>273/$AZ$1</f>
        <v>1</v>
      </c>
      <c r="BA220" s="8"/>
      <c r="BB220" s="6">
        <v>203</v>
      </c>
      <c r="BD220" s="8">
        <f>203/$BD$1</f>
        <v>1</v>
      </c>
      <c r="BF220" s="6">
        <v>215</v>
      </c>
      <c r="BH220" s="8">
        <f>215/$BH$1</f>
        <v>1</v>
      </c>
      <c r="BJ220" s="6">
        <v>309</v>
      </c>
      <c r="BL220" s="8">
        <f>309/$BL$1</f>
        <v>1</v>
      </c>
      <c r="BN220" s="6">
        <v>47</v>
      </c>
      <c r="BP220" s="8">
        <f>47/$BP$1</f>
        <v>1</v>
      </c>
      <c r="BR220" s="6">
        <v>314</v>
      </c>
      <c r="BT220" s="8">
        <f>314/$BT$1</f>
        <v>1</v>
      </c>
      <c r="BV220" s="6">
        <v>393</v>
      </c>
      <c r="BX220" s="8">
        <f>393/$BX$1</f>
        <v>1</v>
      </c>
      <c r="BZ220" s="6">
        <v>246</v>
      </c>
      <c r="CB220" s="8">
        <f>246/$CB$1</f>
        <v>1</v>
      </c>
      <c r="CD220" s="6">
        <v>123</v>
      </c>
      <c r="CF220" s="8">
        <f>123/$CF$1</f>
        <v>1</v>
      </c>
      <c r="CH220" s="6">
        <v>688</v>
      </c>
      <c r="CJ220" s="8">
        <f>688/$CJ$1</f>
        <v>1</v>
      </c>
      <c r="CL220" s="6">
        <v>758</v>
      </c>
      <c r="CN220" s="8">
        <f>758/$CN$1</f>
        <v>1</v>
      </c>
      <c r="CP220" s="6">
        <v>242</v>
      </c>
      <c r="CR220" s="8">
        <f>242/$CR$1</f>
        <v>1</v>
      </c>
      <c r="CT220" s="6">
        <v>333</v>
      </c>
      <c r="CV220" s="8">
        <f>333/$CV$1</f>
        <v>1</v>
      </c>
      <c r="CX220" s="6">
        <v>667</v>
      </c>
      <c r="CZ220" s="8">
        <f>667/$CZ$1</f>
        <v>1</v>
      </c>
    </row>
    <row r="221" spans="1:104" ht="15" hidden="1" customHeight="1" x14ac:dyDescent="0.25">
      <c r="A221" s="9" t="s">
        <v>34</v>
      </c>
      <c r="B221">
        <v>0</v>
      </c>
      <c r="D221" s="10">
        <f>0/$D$1</f>
        <v>0</v>
      </c>
      <c r="F221">
        <v>0</v>
      </c>
      <c r="H221" s="10">
        <f>0/$H$1</f>
        <v>0</v>
      </c>
      <c r="J221">
        <v>0</v>
      </c>
      <c r="L221" s="10">
        <f>0/$L$1</f>
        <v>0</v>
      </c>
      <c r="N221">
        <v>0</v>
      </c>
      <c r="P221" s="10">
        <f>0/$P$1</f>
        <v>0</v>
      </c>
      <c r="R221">
        <v>0</v>
      </c>
      <c r="T221" s="10">
        <f>0/$T$1</f>
        <v>0</v>
      </c>
      <c r="V221">
        <v>0</v>
      </c>
      <c r="X221" s="10">
        <f>0/$X$1</f>
        <v>0</v>
      </c>
      <c r="Z221">
        <v>0</v>
      </c>
      <c r="AB221" s="10">
        <f>0/$AB$1</f>
        <v>0</v>
      </c>
      <c r="AD221">
        <v>0</v>
      </c>
      <c r="AF221" s="10">
        <f>0/$AF$1</f>
        <v>0</v>
      </c>
      <c r="AH221">
        <v>0</v>
      </c>
      <c r="AJ221" s="10">
        <f>0/$AJ$1</f>
        <v>0</v>
      </c>
      <c r="AL221">
        <v>0</v>
      </c>
      <c r="AN221" s="10">
        <f>0/$AN$1</f>
        <v>0</v>
      </c>
      <c r="AP221">
        <v>0</v>
      </c>
      <c r="AR221" s="10">
        <f>0/$AR$1</f>
        <v>0</v>
      </c>
      <c r="AT221">
        <v>0</v>
      </c>
      <c r="AV221" s="10">
        <f>0/$AV$1</f>
        <v>0</v>
      </c>
      <c r="AX221">
        <v>0</v>
      </c>
      <c r="AZ221" s="10">
        <f>0/$AZ$1</f>
        <v>0</v>
      </c>
      <c r="BA221" s="10"/>
      <c r="BB221">
        <v>0</v>
      </c>
      <c r="BD221" s="10">
        <f>0/$BD$1</f>
        <v>0</v>
      </c>
      <c r="BF221">
        <v>0</v>
      </c>
      <c r="BH221" s="10">
        <f>0/$BH$1</f>
        <v>0</v>
      </c>
      <c r="BJ221">
        <v>0</v>
      </c>
      <c r="BL221" s="10">
        <f>0/$BL$1</f>
        <v>0</v>
      </c>
      <c r="BN221">
        <v>0</v>
      </c>
      <c r="BP221" s="10">
        <f>0/$BP$1</f>
        <v>0</v>
      </c>
      <c r="BR221">
        <v>0</v>
      </c>
      <c r="BT221" s="10">
        <f>0/$BT$1</f>
        <v>0</v>
      </c>
      <c r="BV221">
        <v>0</v>
      </c>
      <c r="BX221" s="10">
        <f>0/$BX$1</f>
        <v>0</v>
      </c>
      <c r="BZ221">
        <v>0</v>
      </c>
      <c r="CB221" s="10">
        <f>0/$CB$1</f>
        <v>0</v>
      </c>
      <c r="CD221">
        <v>0</v>
      </c>
      <c r="CF221" s="10">
        <f>0/$CF$1</f>
        <v>0</v>
      </c>
      <c r="CH221">
        <v>0</v>
      </c>
      <c r="CJ221" s="10">
        <f>0/$CJ$1</f>
        <v>0</v>
      </c>
      <c r="CL221">
        <v>0</v>
      </c>
      <c r="CN221" s="10">
        <f>0/$CN$1</f>
        <v>0</v>
      </c>
      <c r="CP221">
        <v>0</v>
      </c>
      <c r="CR221" s="10">
        <f>0/$CR$1</f>
        <v>0</v>
      </c>
      <c r="CT221">
        <v>0</v>
      </c>
      <c r="CV221" s="10">
        <f>0/$CV$1</f>
        <v>0</v>
      </c>
      <c r="CX221">
        <v>0</v>
      </c>
      <c r="CZ221" s="10">
        <f>0/$CZ$1</f>
        <v>0</v>
      </c>
    </row>
    <row r="222" spans="1:104" ht="15" hidden="1" customHeight="1" x14ac:dyDescent="0.25">
      <c r="A222" s="9" t="s">
        <v>35</v>
      </c>
      <c r="B222">
        <v>0</v>
      </c>
      <c r="D222" s="10">
        <f>0/$D$1</f>
        <v>0</v>
      </c>
      <c r="F222">
        <v>0</v>
      </c>
      <c r="H222" s="10">
        <f>0/$H$1</f>
        <v>0</v>
      </c>
      <c r="J222">
        <v>0</v>
      </c>
      <c r="L222" s="10">
        <f>0/$L$1</f>
        <v>0</v>
      </c>
      <c r="N222">
        <v>0</v>
      </c>
      <c r="P222" s="10">
        <f>0/$P$1</f>
        <v>0</v>
      </c>
      <c r="R222">
        <v>0</v>
      </c>
      <c r="T222" s="10">
        <f>0/$T$1</f>
        <v>0</v>
      </c>
      <c r="V222">
        <v>0</v>
      </c>
      <c r="X222" s="10">
        <f>0/$X$1</f>
        <v>0</v>
      </c>
      <c r="Z222">
        <v>0</v>
      </c>
      <c r="AB222" s="10">
        <f>0/$AB$1</f>
        <v>0</v>
      </c>
      <c r="AD222">
        <v>0</v>
      </c>
      <c r="AF222" s="10">
        <f>0/$AF$1</f>
        <v>0</v>
      </c>
      <c r="AH222">
        <v>0</v>
      </c>
      <c r="AJ222" s="10">
        <f>0/$AJ$1</f>
        <v>0</v>
      </c>
      <c r="AL222">
        <v>0</v>
      </c>
      <c r="AN222" s="10">
        <f>0/$AN$1</f>
        <v>0</v>
      </c>
      <c r="AP222">
        <v>0</v>
      </c>
      <c r="AR222" s="10">
        <f>0/$AR$1</f>
        <v>0</v>
      </c>
      <c r="AT222">
        <v>0</v>
      </c>
      <c r="AV222" s="10">
        <f>0/$AV$1</f>
        <v>0</v>
      </c>
      <c r="AX222">
        <v>0</v>
      </c>
      <c r="AZ222" s="10">
        <f>0/$AZ$1</f>
        <v>0</v>
      </c>
      <c r="BA222" s="10"/>
      <c r="BB222">
        <v>0</v>
      </c>
      <c r="BD222" s="10">
        <f>0/$BD$1</f>
        <v>0</v>
      </c>
      <c r="BF222">
        <v>0</v>
      </c>
      <c r="BH222" s="10">
        <f>0/$BH$1</f>
        <v>0</v>
      </c>
      <c r="BJ222">
        <v>0</v>
      </c>
      <c r="BL222" s="10">
        <f>0/$BL$1</f>
        <v>0</v>
      </c>
      <c r="BN222">
        <v>0</v>
      </c>
      <c r="BP222" s="10">
        <f>0/$BP$1</f>
        <v>0</v>
      </c>
      <c r="BR222">
        <v>0</v>
      </c>
      <c r="BT222" s="10">
        <f>0/$BT$1</f>
        <v>0</v>
      </c>
      <c r="BV222">
        <v>0</v>
      </c>
      <c r="BX222" s="10">
        <f>0/$BX$1</f>
        <v>0</v>
      </c>
      <c r="BZ222">
        <v>0</v>
      </c>
      <c r="CB222" s="10">
        <f>0/$CB$1</f>
        <v>0</v>
      </c>
      <c r="CD222">
        <v>0</v>
      </c>
      <c r="CF222" s="10">
        <f>0/$CF$1</f>
        <v>0</v>
      </c>
      <c r="CH222">
        <v>0</v>
      </c>
      <c r="CJ222" s="10">
        <f>0/$CJ$1</f>
        <v>0</v>
      </c>
      <c r="CL222">
        <v>0</v>
      </c>
      <c r="CN222" s="10">
        <f>0/$CN$1</f>
        <v>0</v>
      </c>
      <c r="CP222">
        <v>0</v>
      </c>
      <c r="CR222" s="10">
        <f>0/$CR$1</f>
        <v>0</v>
      </c>
      <c r="CT222">
        <v>0</v>
      </c>
      <c r="CV222" s="10">
        <f>0/$CV$1</f>
        <v>0</v>
      </c>
      <c r="CX222">
        <v>0</v>
      </c>
      <c r="CZ222" s="10">
        <f>0/$CZ$1</f>
        <v>0</v>
      </c>
    </row>
    <row r="224" spans="1:104" s="3" customFormat="1" x14ac:dyDescent="0.25">
      <c r="A224" s="11" t="str">
        <f>HYPERLINK("#ovzdusi_jak!A1","A jak konkrétně se vás dotýká? &lt;br&gt;&lt;br&gt;*Pokud nevíte, otázku přeskočte.*")</f>
        <v>A jak konkrétně se vás dotýká? &lt;br&gt;&lt;br&gt;*Pokud nevíte, otázku přeskočte.*</v>
      </c>
      <c r="D224" s="4" t="s">
        <v>27</v>
      </c>
      <c r="H224" s="4" t="s">
        <v>27</v>
      </c>
      <c r="L224" s="4" t="s">
        <v>27</v>
      </c>
      <c r="P224" s="4" t="s">
        <v>27</v>
      </c>
      <c r="T224" s="4" t="s">
        <v>27</v>
      </c>
      <c r="X224" s="4" t="s">
        <v>27</v>
      </c>
      <c r="AB224" s="4" t="s">
        <v>27</v>
      </c>
      <c r="AF224" s="4" t="s">
        <v>27</v>
      </c>
      <c r="AJ224" s="4" t="s">
        <v>27</v>
      </c>
      <c r="AN224" s="4" t="s">
        <v>27</v>
      </c>
      <c r="AR224" s="4" t="s">
        <v>27</v>
      </c>
      <c r="AV224" s="4" t="s">
        <v>27</v>
      </c>
      <c r="AZ224" s="4" t="s">
        <v>27</v>
      </c>
      <c r="BA224" s="4"/>
      <c r="BD224" s="4" t="s">
        <v>27</v>
      </c>
      <c r="BH224" s="4" t="s">
        <v>27</v>
      </c>
      <c r="BL224" s="4" t="s">
        <v>27</v>
      </c>
      <c r="BP224" s="4" t="s">
        <v>27</v>
      </c>
      <c r="BT224" s="4" t="s">
        <v>27</v>
      </c>
      <c r="BX224" s="4" t="s">
        <v>27</v>
      </c>
      <c r="CB224" s="4" t="s">
        <v>27</v>
      </c>
      <c r="CF224" s="4" t="s">
        <v>27</v>
      </c>
      <c r="CJ224" s="4" t="s">
        <v>27</v>
      </c>
      <c r="CN224" s="4" t="s">
        <v>27</v>
      </c>
      <c r="CR224" s="4" t="s">
        <v>27</v>
      </c>
      <c r="CV224" s="4" t="s">
        <v>27</v>
      </c>
      <c r="CZ224" s="4" t="s">
        <v>27</v>
      </c>
    </row>
    <row r="225" spans="1:104" x14ac:dyDescent="0.25">
      <c r="A225" s="1" t="s">
        <v>909</v>
      </c>
      <c r="B225">
        <v>403</v>
      </c>
      <c r="C225" s="5">
        <f>B225/B227</f>
        <v>0.67845117845117842</v>
      </c>
      <c r="D225" s="5">
        <f>403/$D$1</f>
        <v>0.40300000000000002</v>
      </c>
      <c r="F225">
        <v>194</v>
      </c>
      <c r="G225" s="5">
        <f>F225/F227</f>
        <v>0.66896551724137931</v>
      </c>
      <c r="H225" s="5">
        <f>194/$H$1</f>
        <v>0.38722554890219563</v>
      </c>
      <c r="J225">
        <v>209</v>
      </c>
      <c r="K225" s="5">
        <f>J225/J227</f>
        <v>0.6875</v>
      </c>
      <c r="L225" s="5">
        <f>209/$L$1</f>
        <v>0.41883767535070138</v>
      </c>
      <c r="N225">
        <v>30</v>
      </c>
      <c r="O225" s="5">
        <f>N225/N227</f>
        <v>0.57692307692307687</v>
      </c>
      <c r="P225" s="5">
        <f>30/$P$1</f>
        <v>0.30927835051546393</v>
      </c>
      <c r="R225">
        <v>71</v>
      </c>
      <c r="S225" s="5">
        <f>R225/R227</f>
        <v>0.65740740740740744</v>
      </c>
      <c r="T225" s="5">
        <f>71/$T$1</f>
        <v>0.35858585858585856</v>
      </c>
      <c r="V225">
        <v>99</v>
      </c>
      <c r="W225" s="5">
        <f>V225/V227</f>
        <v>0.7279411764705882</v>
      </c>
      <c r="X225" s="5">
        <f>99/$X$1</f>
        <v>0.41078838174273857</v>
      </c>
      <c r="Z225">
        <v>76</v>
      </c>
      <c r="AA225" s="5">
        <f>Z225/Z227</f>
        <v>0.65517241379310343</v>
      </c>
      <c r="AB225" s="5">
        <f>76/$AB$1</f>
        <v>0.38383838383838381</v>
      </c>
      <c r="AD225">
        <v>71</v>
      </c>
      <c r="AE225" s="5">
        <f>AD225/AD227</f>
        <v>0.72448979591836737</v>
      </c>
      <c r="AF225" s="5">
        <f>71/$AF$1</f>
        <v>0.46103896103896103</v>
      </c>
      <c r="AH225">
        <v>58</v>
      </c>
      <c r="AI225" s="5">
        <f>AH225/AH227</f>
        <v>0.64444444444444449</v>
      </c>
      <c r="AJ225" s="5">
        <f>58/$AJ$1</f>
        <v>0.48333333333333334</v>
      </c>
      <c r="AL225">
        <v>138</v>
      </c>
      <c r="AM225" s="5">
        <f>AL225/AL227</f>
        <v>0.61061946902654862</v>
      </c>
      <c r="AN225" s="5">
        <f>138/$AN$1</f>
        <v>0.37297297297297299</v>
      </c>
      <c r="AP225">
        <v>163</v>
      </c>
      <c r="AQ225" s="5">
        <f>AP225/AP227</f>
        <v>0.72444444444444445</v>
      </c>
      <c r="AR225" s="5">
        <f>163/$AR$1</f>
        <v>0.43121693121693122</v>
      </c>
      <c r="AT225">
        <v>102</v>
      </c>
      <c r="AU225" s="5">
        <f>AT225/AT227</f>
        <v>0.71328671328671334</v>
      </c>
      <c r="AV225" s="5">
        <f>102/$AV$1</f>
        <v>0.40476190476190477</v>
      </c>
      <c r="AX225">
        <v>90</v>
      </c>
      <c r="AY225" s="5">
        <f>AX225/AX227</f>
        <v>0.63829787234042556</v>
      </c>
      <c r="AZ225" s="5">
        <f>90/$AZ$1</f>
        <v>0.32967032967032966</v>
      </c>
      <c r="BA225" s="5"/>
      <c r="BB225">
        <v>69</v>
      </c>
      <c r="BC225" s="5">
        <f>BB225/BB227</f>
        <v>0.56557377049180324</v>
      </c>
      <c r="BD225" s="5">
        <f>69/$BD$1</f>
        <v>0.33990147783251229</v>
      </c>
      <c r="BF225">
        <v>94</v>
      </c>
      <c r="BG225" s="5">
        <f>BF225/BF227</f>
        <v>0.6811594202898551</v>
      </c>
      <c r="BH225" s="5">
        <f>94/$BH$1</f>
        <v>0.43720930232558142</v>
      </c>
      <c r="BJ225">
        <v>150</v>
      </c>
      <c r="BK225" s="5">
        <f>BJ225/BJ227</f>
        <v>0.77720207253886009</v>
      </c>
      <c r="BL225" s="5">
        <f>150/$BL$1</f>
        <v>0.4854368932038835</v>
      </c>
      <c r="BN225">
        <v>9</v>
      </c>
      <c r="BO225" s="5">
        <f>BN225/BN227</f>
        <v>0.32142857142857145</v>
      </c>
      <c r="BP225" s="5">
        <f>9/$BP$1</f>
        <v>0.19148936170212766</v>
      </c>
      <c r="BR225">
        <v>113</v>
      </c>
      <c r="BS225" s="5">
        <f>BR225/BR227</f>
        <v>0.60427807486631013</v>
      </c>
      <c r="BT225" s="5">
        <f>113/$BT$1</f>
        <v>0.35987261146496813</v>
      </c>
      <c r="BV225">
        <v>160</v>
      </c>
      <c r="BW225" s="5">
        <f>BV225/BV227</f>
        <v>0.66390041493775931</v>
      </c>
      <c r="BX225" s="5">
        <f>160/$BX$1</f>
        <v>0.40712468193384221</v>
      </c>
      <c r="BZ225">
        <v>121</v>
      </c>
      <c r="CA225" s="5">
        <f>BZ225/BZ227</f>
        <v>0.87681159420289856</v>
      </c>
      <c r="CB225" s="5">
        <f>121/$CB$1</f>
        <v>0.491869918699187</v>
      </c>
      <c r="CD225">
        <v>41</v>
      </c>
      <c r="CE225" s="5">
        <f>CD225/CD227</f>
        <v>0.59420289855072461</v>
      </c>
      <c r="CF225" s="5">
        <f>41/$CF$1</f>
        <v>0.33333333333333331</v>
      </c>
      <c r="CH225">
        <v>298</v>
      </c>
      <c r="CI225" s="5">
        <f>CH225/CH227</f>
        <v>0.68981481481481477</v>
      </c>
      <c r="CJ225" s="5">
        <f>298/$CJ$1</f>
        <v>0.43313953488372092</v>
      </c>
      <c r="CL225">
        <v>319</v>
      </c>
      <c r="CM225" s="5">
        <f>CL225/CL227</f>
        <v>0.67157894736842105</v>
      </c>
      <c r="CN225" s="5">
        <f>319/$CN$1</f>
        <v>0.420844327176781</v>
      </c>
      <c r="CP225">
        <v>84</v>
      </c>
      <c r="CQ225" s="5">
        <f>CP225/CP227</f>
        <v>0.70588235294117652</v>
      </c>
      <c r="CR225" s="5">
        <f>84/$CR$1</f>
        <v>0.34710743801652894</v>
      </c>
      <c r="CT225">
        <v>155</v>
      </c>
      <c r="CU225" s="5">
        <f>CT225/CT227</f>
        <v>0.7345971563981043</v>
      </c>
      <c r="CV225" s="5">
        <f>155/$CV$1</f>
        <v>0.46546546546546547</v>
      </c>
      <c r="CX225">
        <v>248</v>
      </c>
      <c r="CY225" s="5">
        <f>CX225/CX227</f>
        <v>0.64751958224543082</v>
      </c>
      <c r="CZ225" s="5">
        <f>248/$CZ$1</f>
        <v>0.37181409295352325</v>
      </c>
    </row>
    <row r="226" spans="1:104" x14ac:dyDescent="0.25">
      <c r="A226" s="1" t="s">
        <v>32</v>
      </c>
      <c r="B226">
        <v>225</v>
      </c>
      <c r="C226" s="5">
        <f>B226/B227</f>
        <v>0.37878787878787878</v>
      </c>
      <c r="D226" s="5">
        <f>225/$D$1</f>
        <v>0.22500000000000001</v>
      </c>
      <c r="F226">
        <v>109</v>
      </c>
      <c r="G226" s="5">
        <f>F226/F227</f>
        <v>0.37586206896551722</v>
      </c>
      <c r="H226" s="5">
        <f>109/$H$1</f>
        <v>0.21756487025948104</v>
      </c>
      <c r="J226">
        <v>116</v>
      </c>
      <c r="K226" s="5">
        <f>J226/J227</f>
        <v>0.38157894736842107</v>
      </c>
      <c r="L226" s="5">
        <f>116/$L$1</f>
        <v>0.23246492985971945</v>
      </c>
      <c r="N226">
        <v>25</v>
      </c>
      <c r="O226" s="5">
        <f>N226/N227</f>
        <v>0.48076923076923078</v>
      </c>
      <c r="P226" s="5">
        <f>25/$P$1</f>
        <v>0.25773195876288657</v>
      </c>
      <c r="R226">
        <v>43</v>
      </c>
      <c r="S226" s="5">
        <f>R226/R227</f>
        <v>0.39814814814814814</v>
      </c>
      <c r="T226" s="5">
        <f>43/$T$1</f>
        <v>0.21717171717171718</v>
      </c>
      <c r="V226">
        <v>47</v>
      </c>
      <c r="W226" s="5">
        <f>V226/V227</f>
        <v>0.34558823529411764</v>
      </c>
      <c r="X226" s="5">
        <f>47/$X$1</f>
        <v>0.19502074688796681</v>
      </c>
      <c r="Z226">
        <v>46</v>
      </c>
      <c r="AA226" s="5">
        <f>Z226/Z227</f>
        <v>0.39655172413793105</v>
      </c>
      <c r="AB226" s="5">
        <f>46/$AB$1</f>
        <v>0.23232323232323232</v>
      </c>
      <c r="AD226">
        <v>33</v>
      </c>
      <c r="AE226" s="5">
        <f>AD226/AD227</f>
        <v>0.33673469387755101</v>
      </c>
      <c r="AF226" s="5">
        <f>33/$AF$1</f>
        <v>0.21428571428571427</v>
      </c>
      <c r="AH226">
        <v>35</v>
      </c>
      <c r="AI226" s="5">
        <f>AH226/AH227</f>
        <v>0.3888888888888889</v>
      </c>
      <c r="AJ226" s="5">
        <f>35/$AJ$1</f>
        <v>0.29166666666666669</v>
      </c>
      <c r="AL226">
        <v>99</v>
      </c>
      <c r="AM226" s="5">
        <f>AL226/AL227</f>
        <v>0.43805309734513276</v>
      </c>
      <c r="AN226" s="5">
        <f>99/$AN$1</f>
        <v>0.26756756756756755</v>
      </c>
      <c r="AP226">
        <v>74</v>
      </c>
      <c r="AQ226" s="5">
        <f>AP226/AP227</f>
        <v>0.3288888888888889</v>
      </c>
      <c r="AR226" s="5">
        <f>74/$AR$1</f>
        <v>0.19576719576719576</v>
      </c>
      <c r="AT226">
        <v>52</v>
      </c>
      <c r="AU226" s="5">
        <f>AT226/AT227</f>
        <v>0.36363636363636365</v>
      </c>
      <c r="AV226" s="5">
        <f>52/$AV$1</f>
        <v>0.20634920634920634</v>
      </c>
      <c r="AX226">
        <v>59</v>
      </c>
      <c r="AY226" s="5">
        <f>AX226/AX227</f>
        <v>0.41843971631205673</v>
      </c>
      <c r="AZ226" s="5">
        <f>59/$AZ$1</f>
        <v>0.21611721611721613</v>
      </c>
      <c r="BA226" s="5"/>
      <c r="BB226">
        <v>59</v>
      </c>
      <c r="BC226" s="5">
        <f>BB226/BB227</f>
        <v>0.48360655737704916</v>
      </c>
      <c r="BD226" s="5">
        <f>59/$BD$1</f>
        <v>0.29064039408866993</v>
      </c>
      <c r="BF226">
        <v>51</v>
      </c>
      <c r="BG226" s="5">
        <f>BF226/BF227</f>
        <v>0.36956521739130432</v>
      </c>
      <c r="BH226" s="5">
        <f>51/$BH$1</f>
        <v>0.23720930232558141</v>
      </c>
      <c r="BJ226">
        <v>56</v>
      </c>
      <c r="BK226" s="5">
        <f>BJ226/BJ227</f>
        <v>0.29015544041450775</v>
      </c>
      <c r="BL226" s="5">
        <f>56/$BL$1</f>
        <v>0.18122977346278318</v>
      </c>
      <c r="BN226">
        <v>19</v>
      </c>
      <c r="BO226" s="5">
        <f>BN226/BN227</f>
        <v>0.6785714285714286</v>
      </c>
      <c r="BP226" s="5">
        <f>19/$BP$1</f>
        <v>0.40425531914893614</v>
      </c>
      <c r="BR226">
        <v>80</v>
      </c>
      <c r="BS226" s="5">
        <f>BR226/BR227</f>
        <v>0.42780748663101603</v>
      </c>
      <c r="BT226" s="5">
        <f>80/$BT$1</f>
        <v>0.25477707006369427</v>
      </c>
      <c r="BV226">
        <v>95</v>
      </c>
      <c r="BW226" s="5">
        <f>BV226/BV227</f>
        <v>0.39419087136929459</v>
      </c>
      <c r="BX226" s="5">
        <f>95/$BX$1</f>
        <v>0.24173027989821882</v>
      </c>
      <c r="BZ226">
        <v>31</v>
      </c>
      <c r="CA226" s="5">
        <f>BZ226/BZ227</f>
        <v>0.22463768115942029</v>
      </c>
      <c r="CB226" s="5">
        <f>31/$CB$1</f>
        <v>0.12601626016260162</v>
      </c>
      <c r="CD226">
        <v>30</v>
      </c>
      <c r="CE226" s="5">
        <f>CD226/CD227</f>
        <v>0.43478260869565216</v>
      </c>
      <c r="CF226" s="5">
        <f>30/$CF$1</f>
        <v>0.24390243902439024</v>
      </c>
      <c r="CH226">
        <v>161</v>
      </c>
      <c r="CI226" s="5">
        <f>CH226/CH227</f>
        <v>0.37268518518518517</v>
      </c>
      <c r="CJ226" s="5">
        <f>161/$CJ$1</f>
        <v>0.23401162790697674</v>
      </c>
      <c r="CL226">
        <v>185</v>
      </c>
      <c r="CM226" s="5">
        <f>CL226/CL227</f>
        <v>0.38947368421052631</v>
      </c>
      <c r="CN226" s="5">
        <f>185/$CN$1</f>
        <v>0.24406332453825857</v>
      </c>
      <c r="CP226">
        <v>40</v>
      </c>
      <c r="CQ226" s="5">
        <f>CP226/CP227</f>
        <v>0.33613445378151263</v>
      </c>
      <c r="CR226" s="5">
        <f>40/$CR$1</f>
        <v>0.16528925619834711</v>
      </c>
      <c r="CT226">
        <v>75</v>
      </c>
      <c r="CU226" s="5">
        <f>CT226/CT227</f>
        <v>0.35545023696682465</v>
      </c>
      <c r="CV226" s="5">
        <f>75/$CV$1</f>
        <v>0.22522522522522523</v>
      </c>
      <c r="CX226">
        <v>150</v>
      </c>
      <c r="CY226" s="5">
        <f>CX226/CX227</f>
        <v>0.391644908616188</v>
      </c>
      <c r="CZ226" s="5">
        <f>150/$CZ$1</f>
        <v>0.22488755622188905</v>
      </c>
    </row>
    <row r="227" spans="1:104" s="6" customFormat="1" x14ac:dyDescent="0.25">
      <c r="A227" s="7" t="s">
        <v>33</v>
      </c>
      <c r="B227" s="6">
        <v>594</v>
      </c>
      <c r="D227" s="8">
        <f>594/$D$1</f>
        <v>0.59399999999999997</v>
      </c>
      <c r="F227" s="6">
        <v>290</v>
      </c>
      <c r="H227" s="8">
        <f>290/$H$1</f>
        <v>0.57884231536926145</v>
      </c>
      <c r="J227" s="6">
        <v>304</v>
      </c>
      <c r="L227" s="8">
        <f>304/$L$1</f>
        <v>0.60921843687374755</v>
      </c>
      <c r="N227" s="6">
        <v>52</v>
      </c>
      <c r="P227" s="8">
        <f>52/$P$1</f>
        <v>0.53608247422680411</v>
      </c>
      <c r="R227" s="6">
        <v>108</v>
      </c>
      <c r="T227" s="8">
        <f>108/$T$1</f>
        <v>0.54545454545454541</v>
      </c>
      <c r="V227" s="6">
        <v>136</v>
      </c>
      <c r="X227" s="8">
        <f>136/$X$1</f>
        <v>0.56431535269709543</v>
      </c>
      <c r="Z227" s="6">
        <v>116</v>
      </c>
      <c r="AB227" s="8">
        <f>116/$AB$1</f>
        <v>0.58585858585858586</v>
      </c>
      <c r="AD227" s="6">
        <v>98</v>
      </c>
      <c r="AF227" s="8">
        <f>98/$AF$1</f>
        <v>0.63636363636363635</v>
      </c>
      <c r="AH227" s="6">
        <v>90</v>
      </c>
      <c r="AJ227" s="8">
        <f>90/$AJ$1</f>
        <v>0.75</v>
      </c>
      <c r="AL227" s="6">
        <v>226</v>
      </c>
      <c r="AN227" s="8">
        <f>226/$AN$1</f>
        <v>0.61081081081081079</v>
      </c>
      <c r="AP227" s="6">
        <v>225</v>
      </c>
      <c r="AR227" s="8">
        <f>225/$AR$1</f>
        <v>0.59523809523809523</v>
      </c>
      <c r="AT227" s="6">
        <v>143</v>
      </c>
      <c r="AV227" s="8">
        <f>143/$AV$1</f>
        <v>0.56746031746031744</v>
      </c>
      <c r="AX227" s="6">
        <v>141</v>
      </c>
      <c r="AZ227" s="8">
        <f>141/$AZ$1</f>
        <v>0.51648351648351654</v>
      </c>
      <c r="BA227" s="8"/>
      <c r="BB227" s="6">
        <v>122</v>
      </c>
      <c r="BD227" s="8">
        <f>122/$BD$1</f>
        <v>0.60098522167487689</v>
      </c>
      <c r="BF227" s="6">
        <v>138</v>
      </c>
      <c r="BH227" s="8">
        <f>138/$BH$1</f>
        <v>0.64186046511627903</v>
      </c>
      <c r="BJ227" s="6">
        <v>193</v>
      </c>
      <c r="BL227" s="8">
        <f>193/$BL$1</f>
        <v>0.62459546925566345</v>
      </c>
      <c r="BN227" s="6">
        <v>28</v>
      </c>
      <c r="BP227" s="8">
        <f>28/$BP$1</f>
        <v>0.5957446808510638</v>
      </c>
      <c r="BR227" s="6">
        <v>187</v>
      </c>
      <c r="BT227" s="8">
        <f>187/$BT$1</f>
        <v>0.59554140127388533</v>
      </c>
      <c r="BV227" s="6">
        <v>241</v>
      </c>
      <c r="BX227" s="8">
        <f>241/$BX$1</f>
        <v>0.61323155216284986</v>
      </c>
      <c r="BZ227" s="6">
        <v>138</v>
      </c>
      <c r="CB227" s="8">
        <f>138/$CB$1</f>
        <v>0.56097560975609762</v>
      </c>
      <c r="CD227" s="6">
        <v>69</v>
      </c>
      <c r="CF227" s="8">
        <f>69/$CF$1</f>
        <v>0.56097560975609762</v>
      </c>
      <c r="CH227" s="6">
        <v>432</v>
      </c>
      <c r="CJ227" s="8">
        <f>432/$CJ$1</f>
        <v>0.62790697674418605</v>
      </c>
      <c r="CL227" s="6">
        <v>475</v>
      </c>
      <c r="CN227" s="8">
        <f>475/$CN$1</f>
        <v>0.62664907651715041</v>
      </c>
      <c r="CP227" s="6">
        <v>119</v>
      </c>
      <c r="CR227" s="8">
        <f>119/$CR$1</f>
        <v>0.49173553719008267</v>
      </c>
      <c r="CT227" s="6">
        <v>211</v>
      </c>
      <c r="CV227" s="8">
        <f>211/$CV$1</f>
        <v>0.63363363363363367</v>
      </c>
      <c r="CX227" s="6">
        <v>383</v>
      </c>
      <c r="CZ227" s="8">
        <f>383/$CZ$1</f>
        <v>0.57421289355322336</v>
      </c>
    </row>
    <row r="228" spans="1:104" ht="15" hidden="1" customHeight="1" x14ac:dyDescent="0.25">
      <c r="A228" s="9" t="s">
        <v>34</v>
      </c>
      <c r="B228">
        <v>0</v>
      </c>
      <c r="D228" s="10">
        <f>0/$D$1</f>
        <v>0</v>
      </c>
      <c r="F228">
        <v>0</v>
      </c>
      <c r="H228" s="10">
        <f>0/$H$1</f>
        <v>0</v>
      </c>
      <c r="J228">
        <v>0</v>
      </c>
      <c r="L228" s="10">
        <f>0/$L$1</f>
        <v>0</v>
      </c>
      <c r="N228">
        <v>0</v>
      </c>
      <c r="P228" s="10">
        <f>0/$P$1</f>
        <v>0</v>
      </c>
      <c r="R228">
        <v>0</v>
      </c>
      <c r="T228" s="10">
        <f>0/$T$1</f>
        <v>0</v>
      </c>
      <c r="V228">
        <v>0</v>
      </c>
      <c r="X228" s="10">
        <f>0/$X$1</f>
        <v>0</v>
      </c>
      <c r="Z228">
        <v>0</v>
      </c>
      <c r="AB228" s="10">
        <f>0/$AB$1</f>
        <v>0</v>
      </c>
      <c r="AD228">
        <v>0</v>
      </c>
      <c r="AF228" s="10">
        <f>0/$AF$1</f>
        <v>0</v>
      </c>
      <c r="AH228">
        <v>0</v>
      </c>
      <c r="AJ228" s="10">
        <f>0/$AJ$1</f>
        <v>0</v>
      </c>
      <c r="AL228">
        <v>0</v>
      </c>
      <c r="AN228" s="10">
        <f>0/$AN$1</f>
        <v>0</v>
      </c>
      <c r="AP228">
        <v>0</v>
      </c>
      <c r="AR228" s="10">
        <f>0/$AR$1</f>
        <v>0</v>
      </c>
      <c r="AT228">
        <v>0</v>
      </c>
      <c r="AV228" s="10">
        <f>0/$AV$1</f>
        <v>0</v>
      </c>
      <c r="AX228">
        <v>0</v>
      </c>
      <c r="AZ228" s="10">
        <f>0/$AZ$1</f>
        <v>0</v>
      </c>
      <c r="BA228" s="10"/>
      <c r="BB228">
        <v>0</v>
      </c>
      <c r="BD228" s="10">
        <f>0/$BD$1</f>
        <v>0</v>
      </c>
      <c r="BF228">
        <v>0</v>
      </c>
      <c r="BH228" s="10">
        <f>0/$BH$1</f>
        <v>0</v>
      </c>
      <c r="BJ228">
        <v>0</v>
      </c>
      <c r="BL228" s="10">
        <f>0/$BL$1</f>
        <v>0</v>
      </c>
      <c r="BN228">
        <v>0</v>
      </c>
      <c r="BP228" s="10">
        <f>0/$BP$1</f>
        <v>0</v>
      </c>
      <c r="BR228">
        <v>0</v>
      </c>
      <c r="BT228" s="10">
        <f>0/$BT$1</f>
        <v>0</v>
      </c>
      <c r="BV228">
        <v>0</v>
      </c>
      <c r="BX228" s="10">
        <f>0/$BX$1</f>
        <v>0</v>
      </c>
      <c r="BZ228">
        <v>0</v>
      </c>
      <c r="CB228" s="10">
        <f>0/$CB$1</f>
        <v>0</v>
      </c>
      <c r="CD228">
        <v>0</v>
      </c>
      <c r="CF228" s="10">
        <f>0/$CF$1</f>
        <v>0</v>
      </c>
      <c r="CH228">
        <v>0</v>
      </c>
      <c r="CJ228" s="10">
        <f>0/$CJ$1</f>
        <v>0</v>
      </c>
      <c r="CL228">
        <v>0</v>
      </c>
      <c r="CN228" s="10">
        <f>0/$CN$1</f>
        <v>0</v>
      </c>
      <c r="CP228">
        <v>0</v>
      </c>
      <c r="CR228" s="10">
        <f>0/$CR$1</f>
        <v>0</v>
      </c>
      <c r="CT228">
        <v>0</v>
      </c>
      <c r="CV228" s="10">
        <f>0/$CV$1</f>
        <v>0</v>
      </c>
      <c r="CX228">
        <v>0</v>
      </c>
      <c r="CZ228" s="10">
        <f>0/$CZ$1</f>
        <v>0</v>
      </c>
    </row>
    <row r="229" spans="1:104" s="12" customFormat="1" x14ac:dyDescent="0.25">
      <c r="A229" s="9" t="s">
        <v>35</v>
      </c>
      <c r="B229" s="12">
        <v>406</v>
      </c>
      <c r="D229" s="10">
        <f>406/$D$1</f>
        <v>0.40600000000000003</v>
      </c>
      <c r="F229" s="12">
        <v>211</v>
      </c>
      <c r="H229" s="10">
        <f>211/$H$1</f>
        <v>0.42115768463073855</v>
      </c>
      <c r="J229" s="12">
        <v>195</v>
      </c>
      <c r="L229" s="10">
        <f>195/$L$1</f>
        <v>0.39078156312625251</v>
      </c>
      <c r="N229" s="12">
        <v>45</v>
      </c>
      <c r="P229" s="10">
        <f>45/$P$1</f>
        <v>0.46391752577319589</v>
      </c>
      <c r="R229" s="12">
        <v>90</v>
      </c>
      <c r="T229" s="10">
        <f>90/$T$1</f>
        <v>0.45454545454545453</v>
      </c>
      <c r="V229" s="12">
        <v>105</v>
      </c>
      <c r="X229" s="10">
        <f>105/$X$1</f>
        <v>0.43568464730290457</v>
      </c>
      <c r="Z229" s="12">
        <v>82</v>
      </c>
      <c r="AB229" s="10">
        <f>82/$AB$1</f>
        <v>0.41414141414141414</v>
      </c>
      <c r="AD229" s="12">
        <v>56</v>
      </c>
      <c r="AF229" s="10">
        <f>56/$AF$1</f>
        <v>0.36363636363636365</v>
      </c>
      <c r="AH229" s="12">
        <v>30</v>
      </c>
      <c r="AJ229" s="10">
        <f>30/$AJ$1</f>
        <v>0.25</v>
      </c>
      <c r="AL229" s="12">
        <v>144</v>
      </c>
      <c r="AN229" s="10">
        <f>144/$AN$1</f>
        <v>0.38918918918918921</v>
      </c>
      <c r="AP229" s="12">
        <v>153</v>
      </c>
      <c r="AR229" s="10">
        <f>153/$AR$1</f>
        <v>0.40476190476190477</v>
      </c>
      <c r="AT229" s="12">
        <v>109</v>
      </c>
      <c r="AV229" s="10">
        <f>109/$AV$1</f>
        <v>0.43253968253968256</v>
      </c>
      <c r="AX229" s="12">
        <v>132</v>
      </c>
      <c r="AZ229" s="10">
        <f>132/$AZ$1</f>
        <v>0.48351648351648352</v>
      </c>
      <c r="BA229" s="10"/>
      <c r="BB229" s="12">
        <v>81</v>
      </c>
      <c r="BD229" s="10">
        <f>81/$BD$1</f>
        <v>0.39901477832512317</v>
      </c>
      <c r="BF229" s="12">
        <v>77</v>
      </c>
      <c r="BH229" s="10">
        <f>77/$BH$1</f>
        <v>0.35813953488372091</v>
      </c>
      <c r="BJ229" s="12">
        <v>116</v>
      </c>
      <c r="BL229" s="10">
        <f>116/$BL$1</f>
        <v>0.37540453074433655</v>
      </c>
      <c r="BN229" s="12">
        <v>19</v>
      </c>
      <c r="BP229" s="10">
        <f>19/$BP$1</f>
        <v>0.40425531914893614</v>
      </c>
      <c r="BR229" s="12">
        <v>127</v>
      </c>
      <c r="BT229" s="10">
        <f>127/$BT$1</f>
        <v>0.40445859872611467</v>
      </c>
      <c r="BV229" s="12">
        <v>152</v>
      </c>
      <c r="BX229" s="10">
        <f>152/$BX$1</f>
        <v>0.38676844783715014</v>
      </c>
      <c r="BZ229" s="12">
        <v>108</v>
      </c>
      <c r="CB229" s="10">
        <f>108/$CB$1</f>
        <v>0.43902439024390244</v>
      </c>
      <c r="CD229" s="12">
        <v>54</v>
      </c>
      <c r="CF229" s="10">
        <f>54/$CF$1</f>
        <v>0.43902439024390244</v>
      </c>
      <c r="CH229" s="12">
        <v>256</v>
      </c>
      <c r="CJ229" s="10">
        <f>256/$CJ$1</f>
        <v>0.37209302325581395</v>
      </c>
      <c r="CL229" s="12">
        <v>283</v>
      </c>
      <c r="CN229" s="10">
        <f>283/$CN$1</f>
        <v>0.37335092348284959</v>
      </c>
      <c r="CP229" s="12">
        <v>123</v>
      </c>
      <c r="CR229" s="10">
        <f>123/$CR$1</f>
        <v>0.50826446280991733</v>
      </c>
      <c r="CT229" s="12">
        <v>122</v>
      </c>
      <c r="CV229" s="10">
        <f>122/$CV$1</f>
        <v>0.36636636636636638</v>
      </c>
      <c r="CX229" s="12">
        <v>284</v>
      </c>
      <c r="CZ229" s="10">
        <f>284/$CZ$1</f>
        <v>0.42578710644677659</v>
      </c>
    </row>
    <row r="231" spans="1:104" s="3" customFormat="1" x14ac:dyDescent="0.25">
      <c r="A231" s="3" t="s">
        <v>2892</v>
      </c>
      <c r="D231" s="4" t="s">
        <v>27</v>
      </c>
      <c r="H231" s="4" t="s">
        <v>27</v>
      </c>
      <c r="L231" s="4" t="s">
        <v>27</v>
      </c>
      <c r="P231" s="4" t="s">
        <v>27</v>
      </c>
      <c r="T231" s="4" t="s">
        <v>27</v>
      </c>
      <c r="X231" s="4" t="s">
        <v>27</v>
      </c>
      <c r="AB231" s="4" t="s">
        <v>27</v>
      </c>
      <c r="AF231" s="4" t="s">
        <v>27</v>
      </c>
      <c r="AJ231" s="4" t="s">
        <v>27</v>
      </c>
      <c r="AN231" s="4" t="s">
        <v>27</v>
      </c>
      <c r="AR231" s="4" t="s">
        <v>27</v>
      </c>
      <c r="AV231" s="4" t="s">
        <v>27</v>
      </c>
      <c r="AZ231" s="4" t="s">
        <v>27</v>
      </c>
      <c r="BA231" s="4"/>
      <c r="BD231" s="4" t="s">
        <v>27</v>
      </c>
      <c r="BH231" s="4" t="s">
        <v>27</v>
      </c>
      <c r="BL231" s="4" t="s">
        <v>27</v>
      </c>
      <c r="BP231" s="4" t="s">
        <v>27</v>
      </c>
      <c r="BT231" s="4" t="s">
        <v>27</v>
      </c>
      <c r="BX231" s="4" t="s">
        <v>27</v>
      </c>
      <c r="CB231" s="4" t="s">
        <v>27</v>
      </c>
      <c r="CF231" s="4" t="s">
        <v>27</v>
      </c>
      <c r="CJ231" s="4" t="s">
        <v>27</v>
      </c>
      <c r="CN231" s="4" t="s">
        <v>27</v>
      </c>
      <c r="CR231" s="4" t="s">
        <v>27</v>
      </c>
      <c r="CV231" s="4" t="s">
        <v>27</v>
      </c>
      <c r="CZ231" s="4" t="s">
        <v>27</v>
      </c>
    </row>
    <row r="232" spans="1:104" x14ac:dyDescent="0.25">
      <c r="A232" s="1" t="s">
        <v>2893</v>
      </c>
      <c r="B232">
        <v>71</v>
      </c>
      <c r="C232" s="5">
        <f>B232/B236</f>
        <v>7.0999999999999994E-2</v>
      </c>
      <c r="D232" s="5">
        <f>71/$D$1</f>
        <v>7.0999999999999994E-2</v>
      </c>
      <c r="F232">
        <v>42</v>
      </c>
      <c r="G232" s="5">
        <f>F232/F236</f>
        <v>8.3832335329341312E-2</v>
      </c>
      <c r="H232" s="5">
        <f>42/$H$1</f>
        <v>8.3832335329341312E-2</v>
      </c>
      <c r="J232">
        <v>29</v>
      </c>
      <c r="K232" s="5">
        <f>J232/J236</f>
        <v>5.8116232464929862E-2</v>
      </c>
      <c r="L232" s="5">
        <f>29/$L$1</f>
        <v>5.8116232464929862E-2</v>
      </c>
      <c r="N232">
        <v>5</v>
      </c>
      <c r="O232" s="5">
        <f>N232/N236</f>
        <v>5.1546391752577317E-2</v>
      </c>
      <c r="P232" s="5">
        <f>5/$P$1</f>
        <v>5.1546391752577317E-2</v>
      </c>
      <c r="R232">
        <v>10</v>
      </c>
      <c r="S232" s="5">
        <f>R232/R236</f>
        <v>5.0505050505050504E-2</v>
      </c>
      <c r="T232" s="5">
        <f>10/$T$1</f>
        <v>5.0505050505050504E-2</v>
      </c>
      <c r="V232">
        <v>11</v>
      </c>
      <c r="W232" s="5">
        <f>V232/V236</f>
        <v>4.5643153526970952E-2</v>
      </c>
      <c r="X232" s="5">
        <f>11/$X$1</f>
        <v>4.5643153526970952E-2</v>
      </c>
      <c r="Z232">
        <v>14</v>
      </c>
      <c r="AA232" s="5">
        <f>Z232/Z236</f>
        <v>7.0707070707070704E-2</v>
      </c>
      <c r="AB232" s="5">
        <f>14/$AB$1</f>
        <v>7.0707070707070704E-2</v>
      </c>
      <c r="AD232">
        <v>15</v>
      </c>
      <c r="AE232" s="5">
        <f>AD232/AD236</f>
        <v>9.7402597402597407E-2</v>
      </c>
      <c r="AF232" s="5">
        <f>15/$AF$1</f>
        <v>9.7402597402597407E-2</v>
      </c>
      <c r="AH232">
        <v>16</v>
      </c>
      <c r="AI232" s="5">
        <f>AH232/AH236</f>
        <v>0.13333333333333333</v>
      </c>
      <c r="AJ232" s="5">
        <f>16/$AJ$1</f>
        <v>0.13333333333333333</v>
      </c>
      <c r="AL232">
        <v>19</v>
      </c>
      <c r="AM232" s="5">
        <f>AL232/AL236</f>
        <v>5.1351351351351354E-2</v>
      </c>
      <c r="AN232" s="5">
        <f>19/$AN$1</f>
        <v>5.1351351351351354E-2</v>
      </c>
      <c r="AP232">
        <v>27</v>
      </c>
      <c r="AQ232" s="5">
        <f>AP232/AP236</f>
        <v>7.1428571428571425E-2</v>
      </c>
      <c r="AR232" s="5">
        <f>27/$AR$1</f>
        <v>7.1428571428571425E-2</v>
      </c>
      <c r="AT232">
        <v>25</v>
      </c>
      <c r="AU232" s="5">
        <f>AT232/AT236</f>
        <v>9.9206349206349201E-2</v>
      </c>
      <c r="AV232" s="5">
        <f>25/$AV$1</f>
        <v>9.9206349206349201E-2</v>
      </c>
      <c r="AX232">
        <v>27</v>
      </c>
      <c r="AY232" s="5">
        <f>AX232/AX236</f>
        <v>9.8901098901098897E-2</v>
      </c>
      <c r="AZ232" s="5">
        <f>27/$AZ$1</f>
        <v>9.8901098901098897E-2</v>
      </c>
      <c r="BA232" s="5"/>
      <c r="BB232">
        <v>12</v>
      </c>
      <c r="BC232" s="5">
        <f>BB232/BB236</f>
        <v>5.9113300492610835E-2</v>
      </c>
      <c r="BD232" s="5">
        <f>12/$BD$1</f>
        <v>5.9113300492610835E-2</v>
      </c>
      <c r="BF232">
        <v>14</v>
      </c>
      <c r="BG232" s="5">
        <f>BF232/BF236</f>
        <v>6.5116279069767441E-2</v>
      </c>
      <c r="BH232" s="5">
        <f>14/$BH$1</f>
        <v>6.5116279069767441E-2</v>
      </c>
      <c r="BJ232">
        <v>18</v>
      </c>
      <c r="BK232" s="5">
        <f>BJ232/BJ236</f>
        <v>5.8252427184466021E-2</v>
      </c>
      <c r="BL232" s="5">
        <f>18/$BL$1</f>
        <v>5.8252427184466021E-2</v>
      </c>
      <c r="BN232">
        <v>6</v>
      </c>
      <c r="BO232" s="5">
        <f>BN232/BN236</f>
        <v>0.1276595744680851</v>
      </c>
      <c r="BP232" s="5">
        <f>6/$BP$1</f>
        <v>0.1276595744680851</v>
      </c>
      <c r="BR232">
        <v>20</v>
      </c>
      <c r="BS232" s="5">
        <f>BR232/BR236</f>
        <v>6.3694267515923567E-2</v>
      </c>
      <c r="BT232" s="5">
        <f>20/$BT$1</f>
        <v>6.3694267515923567E-2</v>
      </c>
      <c r="BV232">
        <v>30</v>
      </c>
      <c r="BW232" s="5">
        <f>BV232/BV236</f>
        <v>7.6335877862595422E-2</v>
      </c>
      <c r="BX232" s="5">
        <f>30/$BX$1</f>
        <v>7.6335877862595422E-2</v>
      </c>
      <c r="BZ232">
        <v>15</v>
      </c>
      <c r="CA232" s="5">
        <f>BZ232/BZ236</f>
        <v>6.097560975609756E-2</v>
      </c>
      <c r="CB232" s="5">
        <f>15/$CB$1</f>
        <v>6.097560975609756E-2</v>
      </c>
      <c r="CD232">
        <v>15</v>
      </c>
      <c r="CE232" s="5">
        <f>CD232/CD236</f>
        <v>0.12195121951219512</v>
      </c>
      <c r="CF232" s="5">
        <f>15/$CF$1</f>
        <v>0.12195121951219512</v>
      </c>
      <c r="CH232">
        <v>33</v>
      </c>
      <c r="CI232" s="5">
        <f>CH232/CH236</f>
        <v>4.7965116279069769E-2</v>
      </c>
      <c r="CJ232" s="5">
        <f>33/$CJ$1</f>
        <v>4.7965116279069769E-2</v>
      </c>
      <c r="CL232">
        <v>41</v>
      </c>
      <c r="CM232" s="5">
        <f>CL232/CL236</f>
        <v>5.4089709762532981E-2</v>
      </c>
      <c r="CN232" s="5">
        <f>41/$CN$1</f>
        <v>5.4089709762532981E-2</v>
      </c>
      <c r="CP232">
        <v>30</v>
      </c>
      <c r="CQ232" s="5">
        <f>CP232/CP236</f>
        <v>0.12396694214876033</v>
      </c>
      <c r="CR232" s="5">
        <f>30/$CR$1</f>
        <v>0.12396694214876033</v>
      </c>
      <c r="CT232">
        <v>32</v>
      </c>
      <c r="CU232" s="5">
        <f>CT232/CT236</f>
        <v>9.6096096096096095E-2</v>
      </c>
      <c r="CV232" s="5">
        <f>32/$CV$1</f>
        <v>9.6096096096096095E-2</v>
      </c>
      <c r="CX232">
        <v>39</v>
      </c>
      <c r="CY232" s="5">
        <f>CX232/CX236</f>
        <v>5.8470764617691157E-2</v>
      </c>
      <c r="CZ232" s="5">
        <f>39/$CZ$1</f>
        <v>5.8470764617691157E-2</v>
      </c>
    </row>
    <row r="233" spans="1:104" x14ac:dyDescent="0.25">
      <c r="A233" s="1" t="s">
        <v>2894</v>
      </c>
      <c r="B233">
        <v>606</v>
      </c>
      <c r="C233" s="5">
        <f>B233/B236</f>
        <v>0.60599999999999998</v>
      </c>
      <c r="D233" s="5">
        <f>606/$D$1</f>
        <v>0.60599999999999998</v>
      </c>
      <c r="F233">
        <v>300</v>
      </c>
      <c r="G233" s="5">
        <f>F233/F236</f>
        <v>0.59880239520958078</v>
      </c>
      <c r="H233" s="5">
        <f>300/$H$1</f>
        <v>0.59880239520958078</v>
      </c>
      <c r="J233">
        <v>306</v>
      </c>
      <c r="K233" s="5">
        <f>J233/J236</f>
        <v>0.61322645290581157</v>
      </c>
      <c r="L233" s="5">
        <f>306/$L$1</f>
        <v>0.61322645290581157</v>
      </c>
      <c r="N233">
        <v>61</v>
      </c>
      <c r="O233" s="5">
        <f>N233/N236</f>
        <v>0.62886597938144329</v>
      </c>
      <c r="P233" s="5">
        <f>61/$P$1</f>
        <v>0.62886597938144329</v>
      </c>
      <c r="R233">
        <v>109</v>
      </c>
      <c r="S233" s="5">
        <f>R233/R236</f>
        <v>0.5505050505050505</v>
      </c>
      <c r="T233" s="5">
        <f>109/$T$1</f>
        <v>0.5505050505050505</v>
      </c>
      <c r="V233">
        <v>161</v>
      </c>
      <c r="W233" s="5">
        <f>V233/V236</f>
        <v>0.66804979253112029</v>
      </c>
      <c r="X233" s="5">
        <f>161/$X$1</f>
        <v>0.66804979253112029</v>
      </c>
      <c r="Z233">
        <v>116</v>
      </c>
      <c r="AA233" s="5">
        <f>Z233/Z236</f>
        <v>0.58585858585858586</v>
      </c>
      <c r="AB233" s="5">
        <f>116/$AB$1</f>
        <v>0.58585858585858586</v>
      </c>
      <c r="AD233">
        <v>89</v>
      </c>
      <c r="AE233" s="5">
        <f>AD233/AD236</f>
        <v>0.57792207792207795</v>
      </c>
      <c r="AF233" s="5">
        <f>89/$AF$1</f>
        <v>0.57792207792207795</v>
      </c>
      <c r="AH233">
        <v>74</v>
      </c>
      <c r="AI233" s="5">
        <f>AH233/AH236</f>
        <v>0.6166666666666667</v>
      </c>
      <c r="AJ233" s="5">
        <f>74/$AJ$1</f>
        <v>0.6166666666666667</v>
      </c>
      <c r="AL233">
        <v>219</v>
      </c>
      <c r="AM233" s="5">
        <f>AL233/AL236</f>
        <v>0.59189189189189184</v>
      </c>
      <c r="AN233" s="5">
        <f>219/$AN$1</f>
        <v>0.59189189189189184</v>
      </c>
      <c r="AP233">
        <v>242</v>
      </c>
      <c r="AQ233" s="5">
        <f>AP233/AP236</f>
        <v>0.64021164021164023</v>
      </c>
      <c r="AR233" s="5">
        <f>242/$AR$1</f>
        <v>0.64021164021164023</v>
      </c>
      <c r="AT233">
        <v>145</v>
      </c>
      <c r="AU233" s="5">
        <f>AT233/AT236</f>
        <v>0.57539682539682535</v>
      </c>
      <c r="AV233" s="5">
        <f>145/$AV$1</f>
        <v>0.57539682539682535</v>
      </c>
      <c r="AX233">
        <v>170</v>
      </c>
      <c r="AY233" s="5">
        <f>AX233/AX236</f>
        <v>0.62271062271062272</v>
      </c>
      <c r="AZ233" s="5">
        <f>170/$AZ$1</f>
        <v>0.62271062271062272</v>
      </c>
      <c r="BA233" s="5"/>
      <c r="BB233">
        <v>117</v>
      </c>
      <c r="BC233" s="5">
        <f>BB233/BB236</f>
        <v>0.57635467980295563</v>
      </c>
      <c r="BD233" s="5">
        <f>117/$BD$1</f>
        <v>0.57635467980295563</v>
      </c>
      <c r="BF233">
        <v>133</v>
      </c>
      <c r="BG233" s="5">
        <f>BF233/BF236</f>
        <v>0.61860465116279073</v>
      </c>
      <c r="BH233" s="5">
        <f>133/$BH$1</f>
        <v>0.61860465116279073</v>
      </c>
      <c r="BJ233">
        <v>186</v>
      </c>
      <c r="BK233" s="5">
        <f>BJ233/BJ236</f>
        <v>0.60194174757281549</v>
      </c>
      <c r="BL233" s="5">
        <f>186/$BL$1</f>
        <v>0.60194174757281549</v>
      </c>
      <c r="BN233">
        <v>26</v>
      </c>
      <c r="BO233" s="5">
        <f>BN233/BN236</f>
        <v>0.55319148936170215</v>
      </c>
      <c r="BP233" s="5">
        <f>26/$BP$1</f>
        <v>0.55319148936170215</v>
      </c>
      <c r="BR233">
        <v>196</v>
      </c>
      <c r="BS233" s="5">
        <f>BR233/BR236</f>
        <v>0.62420382165605093</v>
      </c>
      <c r="BT233" s="5">
        <f>196/$BT$1</f>
        <v>0.62420382165605093</v>
      </c>
      <c r="BV233">
        <v>243</v>
      </c>
      <c r="BW233" s="5">
        <f>BV233/BV236</f>
        <v>0.61832061068702293</v>
      </c>
      <c r="BX233" s="5">
        <f>243/$BX$1</f>
        <v>0.61832061068702293</v>
      </c>
      <c r="BZ233">
        <v>141</v>
      </c>
      <c r="CA233" s="5">
        <f>BZ233/BZ236</f>
        <v>0.57317073170731703</v>
      </c>
      <c r="CB233" s="5">
        <f>141/$CB$1</f>
        <v>0.57317073170731703</v>
      </c>
      <c r="CD233">
        <v>79</v>
      </c>
      <c r="CE233" s="5">
        <f>CD233/CD236</f>
        <v>0.64227642276422769</v>
      </c>
      <c r="CF233" s="5">
        <f>79/$CF$1</f>
        <v>0.64227642276422769</v>
      </c>
      <c r="CH233">
        <v>417</v>
      </c>
      <c r="CI233" s="5">
        <f>CH233/CH236</f>
        <v>0.60610465116279066</v>
      </c>
      <c r="CJ233" s="5">
        <f>417/$CJ$1</f>
        <v>0.60610465116279066</v>
      </c>
      <c r="CL233">
        <v>466</v>
      </c>
      <c r="CM233" s="5">
        <f>CL233/CL236</f>
        <v>0.61477572559366755</v>
      </c>
      <c r="CN233" s="5">
        <f>466/$CN$1</f>
        <v>0.61477572559366755</v>
      </c>
      <c r="CP233">
        <v>140</v>
      </c>
      <c r="CQ233" s="5">
        <f>CP233/CP236</f>
        <v>0.57851239669421484</v>
      </c>
      <c r="CR233" s="5">
        <f>140/$CR$1</f>
        <v>0.57851239669421484</v>
      </c>
      <c r="CT233">
        <v>199</v>
      </c>
      <c r="CU233" s="5">
        <f>CT233/CT236</f>
        <v>0.59759759759759756</v>
      </c>
      <c r="CV233" s="5">
        <f>199/$CV$1</f>
        <v>0.59759759759759756</v>
      </c>
      <c r="CX233">
        <v>407</v>
      </c>
      <c r="CY233" s="5">
        <f>CX233/CX236</f>
        <v>0.61019490254872566</v>
      </c>
      <c r="CZ233" s="5">
        <f>407/$CZ$1</f>
        <v>0.61019490254872566</v>
      </c>
    </row>
    <row r="234" spans="1:104" x14ac:dyDescent="0.25">
      <c r="A234" s="1" t="s">
        <v>2895</v>
      </c>
      <c r="B234">
        <v>323</v>
      </c>
      <c r="C234" s="5">
        <f>B234/B236</f>
        <v>0.32300000000000001</v>
      </c>
      <c r="D234" s="5">
        <f>323/$D$1</f>
        <v>0.32300000000000001</v>
      </c>
      <c r="F234">
        <v>159</v>
      </c>
      <c r="G234" s="5">
        <f>F234/F236</f>
        <v>0.31736526946107785</v>
      </c>
      <c r="H234" s="5">
        <f>159/$H$1</f>
        <v>0.31736526946107785</v>
      </c>
      <c r="J234">
        <v>164</v>
      </c>
      <c r="K234" s="5">
        <f>J234/J236</f>
        <v>0.32865731462925851</v>
      </c>
      <c r="L234" s="5">
        <f>164/$L$1</f>
        <v>0.32865731462925851</v>
      </c>
      <c r="N234">
        <v>31</v>
      </c>
      <c r="O234" s="5">
        <f>N234/N236</f>
        <v>0.31958762886597936</v>
      </c>
      <c r="P234" s="5">
        <f>31/$P$1</f>
        <v>0.31958762886597936</v>
      </c>
      <c r="R234">
        <v>79</v>
      </c>
      <c r="S234" s="5">
        <f>R234/R236</f>
        <v>0.39898989898989901</v>
      </c>
      <c r="T234" s="5">
        <f>79/$T$1</f>
        <v>0.39898989898989901</v>
      </c>
      <c r="V234">
        <v>69</v>
      </c>
      <c r="W234" s="5">
        <f>V234/V236</f>
        <v>0.2863070539419087</v>
      </c>
      <c r="X234" s="5">
        <f>69/$X$1</f>
        <v>0.2863070539419087</v>
      </c>
      <c r="Z234">
        <v>68</v>
      </c>
      <c r="AA234" s="5">
        <f>Z234/Z236</f>
        <v>0.34343434343434343</v>
      </c>
      <c r="AB234" s="5">
        <f>68/$AB$1</f>
        <v>0.34343434343434343</v>
      </c>
      <c r="AD234">
        <v>50</v>
      </c>
      <c r="AE234" s="5">
        <f>AD234/AD236</f>
        <v>0.32467532467532467</v>
      </c>
      <c r="AF234" s="5">
        <f>50/$AF$1</f>
        <v>0.32467532467532467</v>
      </c>
      <c r="AH234">
        <v>30</v>
      </c>
      <c r="AI234" s="5">
        <f>AH234/AH236</f>
        <v>0.25</v>
      </c>
      <c r="AJ234" s="5">
        <f>30/$AJ$1</f>
        <v>0.25</v>
      </c>
      <c r="AL234">
        <v>132</v>
      </c>
      <c r="AM234" s="5">
        <f>AL234/AL236</f>
        <v>0.35675675675675678</v>
      </c>
      <c r="AN234" s="5">
        <f>132/$AN$1</f>
        <v>0.35675675675675678</v>
      </c>
      <c r="AP234">
        <v>109</v>
      </c>
      <c r="AQ234" s="5">
        <f>AP234/AP236</f>
        <v>0.28835978835978837</v>
      </c>
      <c r="AR234" s="5">
        <f>109/$AR$1</f>
        <v>0.28835978835978837</v>
      </c>
      <c r="AT234">
        <v>82</v>
      </c>
      <c r="AU234" s="5">
        <f>AT234/AT236</f>
        <v>0.32539682539682541</v>
      </c>
      <c r="AV234" s="5">
        <f>82/$AV$1</f>
        <v>0.32539682539682541</v>
      </c>
      <c r="AX234">
        <v>76</v>
      </c>
      <c r="AY234" s="5">
        <f>AX234/AX236</f>
        <v>0.2783882783882784</v>
      </c>
      <c r="AZ234" s="5">
        <f>76/$AZ$1</f>
        <v>0.2783882783882784</v>
      </c>
      <c r="BA234" s="5"/>
      <c r="BB234">
        <v>74</v>
      </c>
      <c r="BC234" s="5">
        <f>BB234/BB236</f>
        <v>0.3645320197044335</v>
      </c>
      <c r="BD234" s="5">
        <f>74/$BD$1</f>
        <v>0.3645320197044335</v>
      </c>
      <c r="BF234">
        <v>68</v>
      </c>
      <c r="BG234" s="5">
        <f>BF234/BF236</f>
        <v>0.31627906976744186</v>
      </c>
      <c r="BH234" s="5">
        <f>68/$BH$1</f>
        <v>0.31627906976744186</v>
      </c>
      <c r="BJ234">
        <v>105</v>
      </c>
      <c r="BK234" s="5">
        <f>BJ234/BJ236</f>
        <v>0.33980582524271846</v>
      </c>
      <c r="BL234" s="5">
        <f>105/$BL$1</f>
        <v>0.33980582524271846</v>
      </c>
      <c r="BN234">
        <v>15</v>
      </c>
      <c r="BO234" s="5">
        <f>BN234/BN236</f>
        <v>0.31914893617021278</v>
      </c>
      <c r="BP234" s="5">
        <f>15/$BP$1</f>
        <v>0.31914893617021278</v>
      </c>
      <c r="BR234">
        <v>98</v>
      </c>
      <c r="BS234" s="5">
        <f>BR234/BR236</f>
        <v>0.31210191082802546</v>
      </c>
      <c r="BT234" s="5">
        <f>98/$BT$1</f>
        <v>0.31210191082802546</v>
      </c>
      <c r="BV234">
        <v>120</v>
      </c>
      <c r="BW234" s="5">
        <f>BV234/BV236</f>
        <v>0.30534351145038169</v>
      </c>
      <c r="BX234" s="5">
        <f>120/$BX$1</f>
        <v>0.30534351145038169</v>
      </c>
      <c r="BZ234">
        <v>90</v>
      </c>
      <c r="CA234" s="5">
        <f>BZ234/BZ236</f>
        <v>0.36585365853658536</v>
      </c>
      <c r="CB234" s="5">
        <f>90/$CB$1</f>
        <v>0.36585365853658536</v>
      </c>
      <c r="CD234">
        <v>29</v>
      </c>
      <c r="CE234" s="5">
        <f>CD234/CD236</f>
        <v>0.23577235772357724</v>
      </c>
      <c r="CF234" s="5">
        <f>29/$CF$1</f>
        <v>0.23577235772357724</v>
      </c>
      <c r="CH234">
        <v>238</v>
      </c>
      <c r="CI234" s="5">
        <f>CH234/CH236</f>
        <v>0.34593023255813954</v>
      </c>
      <c r="CJ234" s="5">
        <f>238/$CJ$1</f>
        <v>0.34593023255813954</v>
      </c>
      <c r="CL234">
        <v>251</v>
      </c>
      <c r="CM234" s="5">
        <f>CL234/CL236</f>
        <v>0.33113456464379948</v>
      </c>
      <c r="CN234" s="5">
        <f>251/$CN$1</f>
        <v>0.33113456464379948</v>
      </c>
      <c r="CP234">
        <v>72</v>
      </c>
      <c r="CQ234" s="5">
        <f>CP234/CP236</f>
        <v>0.2975206611570248</v>
      </c>
      <c r="CR234" s="5">
        <f>72/$CR$1</f>
        <v>0.2975206611570248</v>
      </c>
      <c r="CT234">
        <v>102</v>
      </c>
      <c r="CU234" s="5">
        <f>CT234/CT236</f>
        <v>0.30630630630630629</v>
      </c>
      <c r="CV234" s="5">
        <f>102/$CV$1</f>
        <v>0.30630630630630629</v>
      </c>
      <c r="CX234">
        <v>221</v>
      </c>
      <c r="CY234" s="5">
        <f>CX234/CX236</f>
        <v>0.33133433283358321</v>
      </c>
      <c r="CZ234" s="5">
        <f>221/$CZ$1</f>
        <v>0.33133433283358321</v>
      </c>
    </row>
    <row r="235" spans="1:104" x14ac:dyDescent="0.25">
      <c r="A235" s="1" t="s">
        <v>32</v>
      </c>
      <c r="B235">
        <v>0</v>
      </c>
      <c r="C235" s="5">
        <f>B235/B236</f>
        <v>0</v>
      </c>
      <c r="D235" s="5">
        <f>0/$D$1</f>
        <v>0</v>
      </c>
      <c r="F235">
        <v>0</v>
      </c>
      <c r="G235" s="5">
        <f>F235/F236</f>
        <v>0</v>
      </c>
      <c r="H235" s="5">
        <f>0/$H$1</f>
        <v>0</v>
      </c>
      <c r="J235">
        <v>0</v>
      </c>
      <c r="K235" s="5">
        <f>J235/J236</f>
        <v>0</v>
      </c>
      <c r="L235" s="5">
        <f>0/$L$1</f>
        <v>0</v>
      </c>
      <c r="N235">
        <v>0</v>
      </c>
      <c r="O235" s="5">
        <f>N235/N236</f>
        <v>0</v>
      </c>
      <c r="P235" s="5">
        <f>0/$P$1</f>
        <v>0</v>
      </c>
      <c r="R235">
        <v>0</v>
      </c>
      <c r="S235" s="5">
        <f>R235/R236</f>
        <v>0</v>
      </c>
      <c r="T235" s="5">
        <f>0/$T$1</f>
        <v>0</v>
      </c>
      <c r="V235">
        <v>0</v>
      </c>
      <c r="W235" s="5">
        <f>V235/V236</f>
        <v>0</v>
      </c>
      <c r="X235" s="5">
        <f>0/$X$1</f>
        <v>0</v>
      </c>
      <c r="Z235">
        <v>0</v>
      </c>
      <c r="AA235" s="5">
        <f>Z235/Z236</f>
        <v>0</v>
      </c>
      <c r="AB235" s="5">
        <f>0/$AB$1</f>
        <v>0</v>
      </c>
      <c r="AD235">
        <v>0</v>
      </c>
      <c r="AE235" s="5">
        <f>AD235/AD236</f>
        <v>0</v>
      </c>
      <c r="AF235" s="5">
        <f>0/$AF$1</f>
        <v>0</v>
      </c>
      <c r="AH235">
        <v>0</v>
      </c>
      <c r="AI235" s="5">
        <f>AH235/AH236</f>
        <v>0</v>
      </c>
      <c r="AJ235" s="5">
        <f>0/$AJ$1</f>
        <v>0</v>
      </c>
      <c r="AL235">
        <v>0</v>
      </c>
      <c r="AM235" s="5">
        <f>AL235/AL236</f>
        <v>0</v>
      </c>
      <c r="AN235" s="5">
        <f>0/$AN$1</f>
        <v>0</v>
      </c>
      <c r="AP235">
        <v>0</v>
      </c>
      <c r="AQ235" s="5">
        <f>AP235/AP236</f>
        <v>0</v>
      </c>
      <c r="AR235" s="5">
        <f>0/$AR$1</f>
        <v>0</v>
      </c>
      <c r="AT235">
        <v>0</v>
      </c>
      <c r="AU235" s="5">
        <f>AT235/AT236</f>
        <v>0</v>
      </c>
      <c r="AV235" s="5">
        <f>0/$AV$1</f>
        <v>0</v>
      </c>
      <c r="AX235">
        <v>0</v>
      </c>
      <c r="AY235" s="5">
        <f>AX235/AX236</f>
        <v>0</v>
      </c>
      <c r="AZ235" s="5">
        <f>0/$AZ$1</f>
        <v>0</v>
      </c>
      <c r="BA235" s="5"/>
      <c r="BB235">
        <v>0</v>
      </c>
      <c r="BC235" s="5">
        <f>BB235/BB236</f>
        <v>0</v>
      </c>
      <c r="BD235" s="5">
        <f>0/$BD$1</f>
        <v>0</v>
      </c>
      <c r="BF235">
        <v>0</v>
      </c>
      <c r="BG235" s="5">
        <f>BF235/BF236</f>
        <v>0</v>
      </c>
      <c r="BH235" s="5">
        <f>0/$BH$1</f>
        <v>0</v>
      </c>
      <c r="BJ235">
        <v>0</v>
      </c>
      <c r="BK235" s="5">
        <f>BJ235/BJ236</f>
        <v>0</v>
      </c>
      <c r="BL235" s="5">
        <f>0/$BL$1</f>
        <v>0</v>
      </c>
      <c r="BN235">
        <v>0</v>
      </c>
      <c r="BO235" s="5">
        <f>BN235/BN236</f>
        <v>0</v>
      </c>
      <c r="BP235" s="5">
        <f>0/$BP$1</f>
        <v>0</v>
      </c>
      <c r="BR235">
        <v>0</v>
      </c>
      <c r="BS235" s="5">
        <f>BR235/BR236</f>
        <v>0</v>
      </c>
      <c r="BT235" s="5">
        <f>0/$BT$1</f>
        <v>0</v>
      </c>
      <c r="BV235">
        <v>0</v>
      </c>
      <c r="BW235" s="5">
        <f>BV235/BV236</f>
        <v>0</v>
      </c>
      <c r="BX235" s="5">
        <f>0/$BX$1</f>
        <v>0</v>
      </c>
      <c r="BZ235">
        <v>0</v>
      </c>
      <c r="CA235" s="5">
        <f>BZ235/BZ236</f>
        <v>0</v>
      </c>
      <c r="CB235" s="5">
        <f>0/$CB$1</f>
        <v>0</v>
      </c>
      <c r="CD235">
        <v>0</v>
      </c>
      <c r="CE235" s="5">
        <f>CD235/CD236</f>
        <v>0</v>
      </c>
      <c r="CF235" s="5">
        <f>0/$CF$1</f>
        <v>0</v>
      </c>
      <c r="CH235">
        <v>0</v>
      </c>
      <c r="CI235" s="5">
        <f>CH235/CH236</f>
        <v>0</v>
      </c>
      <c r="CJ235" s="5">
        <f>0/$CJ$1</f>
        <v>0</v>
      </c>
      <c r="CL235">
        <v>0</v>
      </c>
      <c r="CM235" s="5">
        <f>CL235/CL236</f>
        <v>0</v>
      </c>
      <c r="CN235" s="5">
        <f>0/$CN$1</f>
        <v>0</v>
      </c>
      <c r="CP235">
        <v>0</v>
      </c>
      <c r="CQ235" s="5">
        <f>CP235/CP236</f>
        <v>0</v>
      </c>
      <c r="CR235" s="5">
        <f>0/$CR$1</f>
        <v>0</v>
      </c>
      <c r="CT235">
        <v>0</v>
      </c>
      <c r="CU235" s="5">
        <f>CT235/CT236</f>
        <v>0</v>
      </c>
      <c r="CV235" s="5">
        <f>0/$CV$1</f>
        <v>0</v>
      </c>
      <c r="CX235">
        <v>0</v>
      </c>
      <c r="CY235" s="5">
        <f>CX235/CX236</f>
        <v>0</v>
      </c>
      <c r="CZ235" s="5">
        <f>0/$CZ$1</f>
        <v>0</v>
      </c>
    </row>
    <row r="236" spans="1:104" s="6" customFormat="1" x14ac:dyDescent="0.25">
      <c r="A236" s="7" t="s">
        <v>33</v>
      </c>
      <c r="B236" s="6">
        <v>1000</v>
      </c>
      <c r="D236" s="8">
        <f>1000/$D$1</f>
        <v>1</v>
      </c>
      <c r="F236" s="6">
        <v>501</v>
      </c>
      <c r="H236" s="8">
        <f>501/$H$1</f>
        <v>1</v>
      </c>
      <c r="J236" s="6">
        <v>499</v>
      </c>
      <c r="L236" s="8">
        <f>499/$L$1</f>
        <v>1</v>
      </c>
      <c r="N236" s="6">
        <v>97</v>
      </c>
      <c r="P236" s="8">
        <f>97/$P$1</f>
        <v>1</v>
      </c>
      <c r="R236" s="6">
        <v>198</v>
      </c>
      <c r="T236" s="8">
        <f>198/$T$1</f>
        <v>1</v>
      </c>
      <c r="V236" s="6">
        <v>241</v>
      </c>
      <c r="X236" s="8">
        <f>241/$X$1</f>
        <v>1</v>
      </c>
      <c r="Z236" s="6">
        <v>198</v>
      </c>
      <c r="AB236" s="8">
        <f>198/$AB$1</f>
        <v>1</v>
      </c>
      <c r="AD236" s="6">
        <v>154</v>
      </c>
      <c r="AF236" s="8">
        <f>154/$AF$1</f>
        <v>1</v>
      </c>
      <c r="AH236" s="6">
        <v>120</v>
      </c>
      <c r="AJ236" s="8">
        <f>120/$AJ$1</f>
        <v>1</v>
      </c>
      <c r="AL236" s="6">
        <v>370</v>
      </c>
      <c r="AN236" s="8">
        <f>370/$AN$1</f>
        <v>1</v>
      </c>
      <c r="AP236" s="6">
        <v>378</v>
      </c>
      <c r="AR236" s="8">
        <f>378/$AR$1</f>
        <v>1</v>
      </c>
      <c r="AT236" s="6">
        <v>252</v>
      </c>
      <c r="AV236" s="8">
        <f>252/$AV$1</f>
        <v>1</v>
      </c>
      <c r="AX236" s="6">
        <v>273</v>
      </c>
      <c r="AZ236" s="8">
        <f>273/$AZ$1</f>
        <v>1</v>
      </c>
      <c r="BA236" s="8"/>
      <c r="BB236" s="6">
        <v>203</v>
      </c>
      <c r="BD236" s="8">
        <f>203/$BD$1</f>
        <v>1</v>
      </c>
      <c r="BF236" s="6">
        <v>215</v>
      </c>
      <c r="BH236" s="8">
        <f>215/$BH$1</f>
        <v>1</v>
      </c>
      <c r="BJ236" s="6">
        <v>309</v>
      </c>
      <c r="BL236" s="8">
        <f>309/$BL$1</f>
        <v>1</v>
      </c>
      <c r="BN236" s="6">
        <v>47</v>
      </c>
      <c r="BP236" s="8">
        <f>47/$BP$1</f>
        <v>1</v>
      </c>
      <c r="BR236" s="6">
        <v>314</v>
      </c>
      <c r="BT236" s="8">
        <f>314/$BT$1</f>
        <v>1</v>
      </c>
      <c r="BV236" s="6">
        <v>393</v>
      </c>
      <c r="BX236" s="8">
        <f>393/$BX$1</f>
        <v>1</v>
      </c>
      <c r="BZ236" s="6">
        <v>246</v>
      </c>
      <c r="CB236" s="8">
        <f>246/$CB$1</f>
        <v>1</v>
      </c>
      <c r="CD236" s="6">
        <v>123</v>
      </c>
      <c r="CF236" s="8">
        <f>123/$CF$1</f>
        <v>1</v>
      </c>
      <c r="CH236" s="6">
        <v>688</v>
      </c>
      <c r="CJ236" s="8">
        <f>688/$CJ$1</f>
        <v>1</v>
      </c>
      <c r="CL236" s="6">
        <v>758</v>
      </c>
      <c r="CN236" s="8">
        <f>758/$CN$1</f>
        <v>1</v>
      </c>
      <c r="CP236" s="6">
        <v>242</v>
      </c>
      <c r="CR236" s="8">
        <f>242/$CR$1</f>
        <v>1</v>
      </c>
      <c r="CT236" s="6">
        <v>333</v>
      </c>
      <c r="CV236" s="8">
        <f>333/$CV$1</f>
        <v>1</v>
      </c>
      <c r="CX236" s="6">
        <v>667</v>
      </c>
      <c r="CZ236" s="8">
        <f>667/$CZ$1</f>
        <v>1</v>
      </c>
    </row>
    <row r="237" spans="1:104" ht="15" hidden="1" customHeight="1" x14ac:dyDescent="0.25">
      <c r="A237" s="9" t="s">
        <v>34</v>
      </c>
      <c r="B237">
        <v>0</v>
      </c>
      <c r="D237" s="10">
        <f>0/$D$1</f>
        <v>0</v>
      </c>
      <c r="F237">
        <v>0</v>
      </c>
      <c r="H237" s="10">
        <f>0/$H$1</f>
        <v>0</v>
      </c>
      <c r="J237">
        <v>0</v>
      </c>
      <c r="L237" s="10">
        <f>0/$L$1</f>
        <v>0</v>
      </c>
      <c r="N237">
        <v>0</v>
      </c>
      <c r="P237" s="10">
        <f>0/$P$1</f>
        <v>0</v>
      </c>
      <c r="R237">
        <v>0</v>
      </c>
      <c r="T237" s="10">
        <f>0/$T$1</f>
        <v>0</v>
      </c>
      <c r="V237">
        <v>0</v>
      </c>
      <c r="X237" s="10">
        <f>0/$X$1</f>
        <v>0</v>
      </c>
      <c r="Z237">
        <v>0</v>
      </c>
      <c r="AB237" s="10">
        <f>0/$AB$1</f>
        <v>0</v>
      </c>
      <c r="AD237">
        <v>0</v>
      </c>
      <c r="AF237" s="10">
        <f>0/$AF$1</f>
        <v>0</v>
      </c>
      <c r="AH237">
        <v>0</v>
      </c>
      <c r="AJ237" s="10">
        <f>0/$AJ$1</f>
        <v>0</v>
      </c>
      <c r="AL237">
        <v>0</v>
      </c>
      <c r="AN237" s="10">
        <f>0/$AN$1</f>
        <v>0</v>
      </c>
      <c r="AP237">
        <v>0</v>
      </c>
      <c r="AR237" s="10">
        <f>0/$AR$1</f>
        <v>0</v>
      </c>
      <c r="AT237">
        <v>0</v>
      </c>
      <c r="AV237" s="10">
        <f>0/$AV$1</f>
        <v>0</v>
      </c>
      <c r="AX237">
        <v>0</v>
      </c>
      <c r="AZ237" s="10">
        <f>0/$AZ$1</f>
        <v>0</v>
      </c>
      <c r="BA237" s="10"/>
      <c r="BB237">
        <v>0</v>
      </c>
      <c r="BD237" s="10">
        <f>0/$BD$1</f>
        <v>0</v>
      </c>
      <c r="BF237">
        <v>0</v>
      </c>
      <c r="BH237" s="10">
        <f>0/$BH$1</f>
        <v>0</v>
      </c>
      <c r="BJ237">
        <v>0</v>
      </c>
      <c r="BL237" s="10">
        <f>0/$BL$1</f>
        <v>0</v>
      </c>
      <c r="BN237">
        <v>0</v>
      </c>
      <c r="BP237" s="10">
        <f>0/$BP$1</f>
        <v>0</v>
      </c>
      <c r="BR237">
        <v>0</v>
      </c>
      <c r="BT237" s="10">
        <f>0/$BT$1</f>
        <v>0</v>
      </c>
      <c r="BV237">
        <v>0</v>
      </c>
      <c r="BX237" s="10">
        <f>0/$BX$1</f>
        <v>0</v>
      </c>
      <c r="BZ237">
        <v>0</v>
      </c>
      <c r="CB237" s="10">
        <f>0/$CB$1</f>
        <v>0</v>
      </c>
      <c r="CD237">
        <v>0</v>
      </c>
      <c r="CF237" s="10">
        <f>0/$CF$1</f>
        <v>0</v>
      </c>
      <c r="CH237">
        <v>0</v>
      </c>
      <c r="CJ237" s="10">
        <f>0/$CJ$1</f>
        <v>0</v>
      </c>
      <c r="CL237">
        <v>0</v>
      </c>
      <c r="CN237" s="10">
        <f>0/$CN$1</f>
        <v>0</v>
      </c>
      <c r="CP237">
        <v>0</v>
      </c>
      <c r="CR237" s="10">
        <f>0/$CR$1</f>
        <v>0</v>
      </c>
      <c r="CT237">
        <v>0</v>
      </c>
      <c r="CV237" s="10">
        <f>0/$CV$1</f>
        <v>0</v>
      </c>
      <c r="CX237">
        <v>0</v>
      </c>
      <c r="CZ237" s="10">
        <f>0/$CZ$1</f>
        <v>0</v>
      </c>
    </row>
    <row r="238" spans="1:104" ht="15" hidden="1" customHeight="1" x14ac:dyDescent="0.25">
      <c r="A238" s="9" t="s">
        <v>35</v>
      </c>
      <c r="B238">
        <v>0</v>
      </c>
      <c r="D238" s="10">
        <f>0/$D$1</f>
        <v>0</v>
      </c>
      <c r="F238">
        <v>0</v>
      </c>
      <c r="H238" s="10">
        <f>0/$H$1</f>
        <v>0</v>
      </c>
      <c r="J238">
        <v>0</v>
      </c>
      <c r="L238" s="10">
        <f>0/$L$1</f>
        <v>0</v>
      </c>
      <c r="N238">
        <v>0</v>
      </c>
      <c r="P238" s="10">
        <f>0/$P$1</f>
        <v>0</v>
      </c>
      <c r="R238">
        <v>0</v>
      </c>
      <c r="T238" s="10">
        <f>0/$T$1</f>
        <v>0</v>
      </c>
      <c r="V238">
        <v>0</v>
      </c>
      <c r="X238" s="10">
        <f>0/$X$1</f>
        <v>0</v>
      </c>
      <c r="Z238">
        <v>0</v>
      </c>
      <c r="AB238" s="10">
        <f>0/$AB$1</f>
        <v>0</v>
      </c>
      <c r="AD238">
        <v>0</v>
      </c>
      <c r="AF238" s="10">
        <f>0/$AF$1</f>
        <v>0</v>
      </c>
      <c r="AH238">
        <v>0</v>
      </c>
      <c r="AJ238" s="10">
        <f>0/$AJ$1</f>
        <v>0</v>
      </c>
      <c r="AL238">
        <v>0</v>
      </c>
      <c r="AN238" s="10">
        <f>0/$AN$1</f>
        <v>0</v>
      </c>
      <c r="AP238">
        <v>0</v>
      </c>
      <c r="AR238" s="10">
        <f>0/$AR$1</f>
        <v>0</v>
      </c>
      <c r="AT238">
        <v>0</v>
      </c>
      <c r="AV238" s="10">
        <f>0/$AV$1</f>
        <v>0</v>
      </c>
      <c r="AX238">
        <v>0</v>
      </c>
      <c r="AZ238" s="10">
        <f>0/$AZ$1</f>
        <v>0</v>
      </c>
      <c r="BA238" s="10"/>
      <c r="BB238">
        <v>0</v>
      </c>
      <c r="BD238" s="10">
        <f>0/$BD$1</f>
        <v>0</v>
      </c>
      <c r="BF238">
        <v>0</v>
      </c>
      <c r="BH238" s="10">
        <f>0/$BH$1</f>
        <v>0</v>
      </c>
      <c r="BJ238">
        <v>0</v>
      </c>
      <c r="BL238" s="10">
        <f>0/$BL$1</f>
        <v>0</v>
      </c>
      <c r="BN238">
        <v>0</v>
      </c>
      <c r="BP238" s="10">
        <f>0/$BP$1</f>
        <v>0</v>
      </c>
      <c r="BR238">
        <v>0</v>
      </c>
      <c r="BT238" s="10">
        <f>0/$BT$1</f>
        <v>0</v>
      </c>
      <c r="BV238">
        <v>0</v>
      </c>
      <c r="BX238" s="10">
        <f>0/$BX$1</f>
        <v>0</v>
      </c>
      <c r="BZ238">
        <v>0</v>
      </c>
      <c r="CB238" s="10">
        <f>0/$CB$1</f>
        <v>0</v>
      </c>
      <c r="CD238">
        <v>0</v>
      </c>
      <c r="CF238" s="10">
        <f>0/$CF$1</f>
        <v>0</v>
      </c>
      <c r="CH238">
        <v>0</v>
      </c>
      <c r="CJ238" s="10">
        <f>0/$CJ$1</f>
        <v>0</v>
      </c>
      <c r="CL238">
        <v>0</v>
      </c>
      <c r="CN238" s="10">
        <f>0/$CN$1</f>
        <v>0</v>
      </c>
      <c r="CP238">
        <v>0</v>
      </c>
      <c r="CR238" s="10">
        <f>0/$CR$1</f>
        <v>0</v>
      </c>
      <c r="CT238">
        <v>0</v>
      </c>
      <c r="CV238" s="10">
        <f>0/$CV$1</f>
        <v>0</v>
      </c>
      <c r="CX238">
        <v>0</v>
      </c>
      <c r="CZ238" s="10">
        <f>0/$CZ$1</f>
        <v>0</v>
      </c>
    </row>
    <row r="240" spans="1:104" s="3" customFormat="1" x14ac:dyDescent="0.25">
      <c r="A240" s="3" t="s">
        <v>2896</v>
      </c>
      <c r="D240" s="4" t="s">
        <v>27</v>
      </c>
      <c r="H240" s="4" t="s">
        <v>27</v>
      </c>
      <c r="L240" s="4" t="s">
        <v>27</v>
      </c>
      <c r="P240" s="4" t="s">
        <v>27</v>
      </c>
      <c r="T240" s="4" t="s">
        <v>27</v>
      </c>
      <c r="X240" s="4" t="s">
        <v>27</v>
      </c>
      <c r="AB240" s="4" t="s">
        <v>27</v>
      </c>
      <c r="AF240" s="4" t="s">
        <v>27</v>
      </c>
      <c r="AJ240" s="4" t="s">
        <v>27</v>
      </c>
      <c r="AN240" s="4" t="s">
        <v>27</v>
      </c>
      <c r="AR240" s="4" t="s">
        <v>27</v>
      </c>
      <c r="AV240" s="4" t="s">
        <v>27</v>
      </c>
      <c r="AZ240" s="4" t="s">
        <v>27</v>
      </c>
      <c r="BA240" s="4"/>
      <c r="BD240" s="4" t="s">
        <v>27</v>
      </c>
      <c r="BH240" s="4" t="s">
        <v>27</v>
      </c>
      <c r="BL240" s="4" t="s">
        <v>27</v>
      </c>
      <c r="BP240" s="4" t="s">
        <v>27</v>
      </c>
      <c r="BT240" s="4" t="s">
        <v>27</v>
      </c>
      <c r="BX240" s="4" t="s">
        <v>27</v>
      </c>
      <c r="CB240" s="4" t="s">
        <v>27</v>
      </c>
      <c r="CF240" s="4" t="s">
        <v>27</v>
      </c>
      <c r="CJ240" s="4" t="s">
        <v>27</v>
      </c>
      <c r="CN240" s="4" t="s">
        <v>27</v>
      </c>
      <c r="CR240" s="4" t="s">
        <v>27</v>
      </c>
      <c r="CV240" s="4" t="s">
        <v>27</v>
      </c>
      <c r="CZ240" s="4" t="s">
        <v>27</v>
      </c>
    </row>
    <row r="241" spans="1:104" x14ac:dyDescent="0.25">
      <c r="A241" s="1" t="s">
        <v>2893</v>
      </c>
      <c r="B241">
        <v>66</v>
      </c>
      <c r="C241" s="5">
        <f>B241/B245</f>
        <v>6.6000000000000003E-2</v>
      </c>
      <c r="D241" s="5">
        <f>66/$D$1</f>
        <v>6.6000000000000003E-2</v>
      </c>
      <c r="F241">
        <v>37</v>
      </c>
      <c r="G241" s="5">
        <f>F241/F245</f>
        <v>7.3852295409181631E-2</v>
      </c>
      <c r="H241" s="5">
        <f>37/$H$1</f>
        <v>7.3852295409181631E-2</v>
      </c>
      <c r="J241">
        <v>29</v>
      </c>
      <c r="K241" s="5">
        <f>J241/J245</f>
        <v>5.8116232464929862E-2</v>
      </c>
      <c r="L241" s="5">
        <f>29/$L$1</f>
        <v>5.8116232464929862E-2</v>
      </c>
      <c r="N241">
        <v>12</v>
      </c>
      <c r="O241" s="5">
        <f>N241/N245</f>
        <v>0.12371134020618557</v>
      </c>
      <c r="P241" s="5">
        <f>12/$P$1</f>
        <v>0.12371134020618557</v>
      </c>
      <c r="R241">
        <v>13</v>
      </c>
      <c r="S241" s="5">
        <f>R241/R245</f>
        <v>6.5656565656565663E-2</v>
      </c>
      <c r="T241" s="5">
        <f>13/$T$1</f>
        <v>6.5656565656565663E-2</v>
      </c>
      <c r="V241">
        <v>21</v>
      </c>
      <c r="W241" s="5">
        <f>V241/V245</f>
        <v>8.7136929460580909E-2</v>
      </c>
      <c r="X241" s="5">
        <f>21/$X$1</f>
        <v>8.7136929460580909E-2</v>
      </c>
      <c r="Z241">
        <v>5</v>
      </c>
      <c r="AA241" s="5">
        <f>Z241/Z245</f>
        <v>2.5252525252525252E-2</v>
      </c>
      <c r="AB241" s="5">
        <f>5/$AB$1</f>
        <v>2.5252525252525252E-2</v>
      </c>
      <c r="AD241">
        <v>6</v>
      </c>
      <c r="AE241" s="5">
        <f>AD241/AD245</f>
        <v>3.896103896103896E-2</v>
      </c>
      <c r="AF241" s="5">
        <f>6/$AF$1</f>
        <v>3.896103896103896E-2</v>
      </c>
      <c r="AH241">
        <v>9</v>
      </c>
      <c r="AI241" s="5">
        <f>AH241/AH245</f>
        <v>7.4999999999999997E-2</v>
      </c>
      <c r="AJ241" s="5">
        <f>9/$AJ$1</f>
        <v>7.4999999999999997E-2</v>
      </c>
      <c r="AL241">
        <v>22</v>
      </c>
      <c r="AM241" s="5">
        <f>AL241/AL245</f>
        <v>5.9459459459459463E-2</v>
      </c>
      <c r="AN241" s="5">
        <f>22/$AN$1</f>
        <v>5.9459459459459463E-2</v>
      </c>
      <c r="AP241">
        <v>25</v>
      </c>
      <c r="AQ241" s="5">
        <f>AP241/AP245</f>
        <v>6.6137566137566134E-2</v>
      </c>
      <c r="AR241" s="5">
        <f>25/$AR$1</f>
        <v>6.6137566137566134E-2</v>
      </c>
      <c r="AT241">
        <v>19</v>
      </c>
      <c r="AU241" s="5">
        <f>AT241/AT245</f>
        <v>7.5396825396825393E-2</v>
      </c>
      <c r="AV241" s="5">
        <f>19/$AV$1</f>
        <v>7.5396825396825393E-2</v>
      </c>
      <c r="AX241">
        <v>13</v>
      </c>
      <c r="AY241" s="5">
        <f>AX241/AX245</f>
        <v>4.7619047619047616E-2</v>
      </c>
      <c r="AZ241" s="5">
        <f>13/$AZ$1</f>
        <v>4.7619047619047616E-2</v>
      </c>
      <c r="BA241" s="5"/>
      <c r="BB241">
        <v>8</v>
      </c>
      <c r="BC241" s="5">
        <f>BB241/BB245</f>
        <v>3.9408866995073892E-2</v>
      </c>
      <c r="BD241" s="5">
        <f>8/$BD$1</f>
        <v>3.9408866995073892E-2</v>
      </c>
      <c r="BF241">
        <v>19</v>
      </c>
      <c r="BG241" s="5">
        <f>BF241/BF245</f>
        <v>8.8372093023255813E-2</v>
      </c>
      <c r="BH241" s="5">
        <f>19/$BH$1</f>
        <v>8.8372093023255813E-2</v>
      </c>
      <c r="BJ241">
        <v>26</v>
      </c>
      <c r="BK241" s="5">
        <f>BJ241/BJ245</f>
        <v>8.4142394822006472E-2</v>
      </c>
      <c r="BL241" s="5">
        <f>26/$BL$1</f>
        <v>8.4142394822006472E-2</v>
      </c>
      <c r="BN241">
        <v>5</v>
      </c>
      <c r="BO241" s="5">
        <f>BN241/BN245</f>
        <v>0.10638297872340426</v>
      </c>
      <c r="BP241" s="5">
        <f>5/$BP$1</f>
        <v>0.10638297872340426</v>
      </c>
      <c r="BR241">
        <v>14</v>
      </c>
      <c r="BS241" s="5">
        <f>BR241/BR245</f>
        <v>4.4585987261146494E-2</v>
      </c>
      <c r="BT241" s="5">
        <f>14/$BT$1</f>
        <v>4.4585987261146494E-2</v>
      </c>
      <c r="BV241">
        <v>26</v>
      </c>
      <c r="BW241" s="5">
        <f>BV241/BV245</f>
        <v>6.6157760814249358E-2</v>
      </c>
      <c r="BX241" s="5">
        <f>26/$BX$1</f>
        <v>6.6157760814249358E-2</v>
      </c>
      <c r="BZ241">
        <v>21</v>
      </c>
      <c r="CA241" s="5">
        <f>BZ241/BZ245</f>
        <v>8.5365853658536592E-2</v>
      </c>
      <c r="CB241" s="5">
        <f>21/$CB$1</f>
        <v>8.5365853658536592E-2</v>
      </c>
      <c r="CD241">
        <v>19</v>
      </c>
      <c r="CE241" s="5">
        <f>CD241/CD245</f>
        <v>0.15447154471544716</v>
      </c>
      <c r="CF241" s="5">
        <f>19/$CF$1</f>
        <v>0.15447154471544716</v>
      </c>
      <c r="CH241">
        <v>32</v>
      </c>
      <c r="CI241" s="5">
        <f>CH241/CH245</f>
        <v>4.6511627906976744E-2</v>
      </c>
      <c r="CJ241" s="5">
        <f>32/$CJ$1</f>
        <v>4.6511627906976744E-2</v>
      </c>
      <c r="CL241">
        <v>54</v>
      </c>
      <c r="CM241" s="5">
        <f>CL241/CL245</f>
        <v>7.1240105540897103E-2</v>
      </c>
      <c r="CN241" s="5">
        <f>54/$CN$1</f>
        <v>7.1240105540897103E-2</v>
      </c>
      <c r="CP241">
        <v>12</v>
      </c>
      <c r="CQ241" s="5">
        <f>CP241/CP245</f>
        <v>4.9586776859504134E-2</v>
      </c>
      <c r="CR241" s="5">
        <f>12/$CR$1</f>
        <v>4.9586776859504134E-2</v>
      </c>
      <c r="CT241">
        <v>40</v>
      </c>
      <c r="CU241" s="5">
        <f>CT241/CT245</f>
        <v>0.12012012012012012</v>
      </c>
      <c r="CV241" s="5">
        <f>40/$CV$1</f>
        <v>0.12012012012012012</v>
      </c>
      <c r="CX241">
        <v>26</v>
      </c>
      <c r="CY241" s="5">
        <f>CX241/CX245</f>
        <v>3.8980509745127435E-2</v>
      </c>
      <c r="CZ241" s="5">
        <f>26/$CZ$1</f>
        <v>3.8980509745127435E-2</v>
      </c>
    </row>
    <row r="242" spans="1:104" x14ac:dyDescent="0.25">
      <c r="A242" s="1" t="s">
        <v>2894</v>
      </c>
      <c r="B242">
        <v>546</v>
      </c>
      <c r="C242" s="5">
        <f>B242/B245</f>
        <v>0.54600000000000004</v>
      </c>
      <c r="D242" s="5">
        <f>546/$D$1</f>
        <v>0.54600000000000004</v>
      </c>
      <c r="F242">
        <v>281</v>
      </c>
      <c r="G242" s="5">
        <f>F242/F245</f>
        <v>0.56087824351297411</v>
      </c>
      <c r="H242" s="5">
        <f>281/$H$1</f>
        <v>0.56087824351297411</v>
      </c>
      <c r="J242">
        <v>265</v>
      </c>
      <c r="K242" s="5">
        <f>J242/J245</f>
        <v>0.53106212424849697</v>
      </c>
      <c r="L242" s="5">
        <f>265/$L$1</f>
        <v>0.53106212424849697</v>
      </c>
      <c r="N242">
        <v>65</v>
      </c>
      <c r="O242" s="5">
        <f>N242/N245</f>
        <v>0.67010309278350511</v>
      </c>
      <c r="P242" s="5">
        <f>65/$P$1</f>
        <v>0.67010309278350511</v>
      </c>
      <c r="R242">
        <v>128</v>
      </c>
      <c r="S242" s="5">
        <f>R242/R245</f>
        <v>0.64646464646464652</v>
      </c>
      <c r="T242" s="5">
        <f>128/$T$1</f>
        <v>0.64646464646464652</v>
      </c>
      <c r="V242">
        <v>140</v>
      </c>
      <c r="W242" s="5">
        <f>V242/V245</f>
        <v>0.58091286307053946</v>
      </c>
      <c r="X242" s="5">
        <f>140/$X$1</f>
        <v>0.58091286307053946</v>
      </c>
      <c r="Z242">
        <v>100</v>
      </c>
      <c r="AA242" s="5">
        <f>Z242/Z245</f>
        <v>0.50505050505050508</v>
      </c>
      <c r="AB242" s="5">
        <f>100/$AB$1</f>
        <v>0.50505050505050508</v>
      </c>
      <c r="AD242">
        <v>71</v>
      </c>
      <c r="AE242" s="5">
        <f>AD242/AD245</f>
        <v>0.46103896103896103</v>
      </c>
      <c r="AF242" s="5">
        <f>71/$AF$1</f>
        <v>0.46103896103896103</v>
      </c>
      <c r="AH242">
        <v>47</v>
      </c>
      <c r="AI242" s="5">
        <f>AH242/AH245</f>
        <v>0.39166666666666666</v>
      </c>
      <c r="AJ242" s="5">
        <f>47/$AJ$1</f>
        <v>0.39166666666666666</v>
      </c>
      <c r="AL242">
        <v>204</v>
      </c>
      <c r="AM242" s="5">
        <f>AL242/AL245</f>
        <v>0.55135135135135138</v>
      </c>
      <c r="AN242" s="5">
        <f>204/$AN$1</f>
        <v>0.55135135135135138</v>
      </c>
      <c r="AP242">
        <v>196</v>
      </c>
      <c r="AQ242" s="5">
        <f>AP242/AP245</f>
        <v>0.51851851851851849</v>
      </c>
      <c r="AR242" s="5">
        <f>196/$AR$1</f>
        <v>0.51851851851851849</v>
      </c>
      <c r="AT242">
        <v>146</v>
      </c>
      <c r="AU242" s="5">
        <f>AT242/AT245</f>
        <v>0.57936507936507942</v>
      </c>
      <c r="AV242" s="5">
        <f>146/$AV$1</f>
        <v>0.57936507936507942</v>
      </c>
      <c r="AX242">
        <v>148</v>
      </c>
      <c r="AY242" s="5">
        <f>AX242/AX245</f>
        <v>0.54212454212454209</v>
      </c>
      <c r="AZ242" s="5">
        <f>148/$AZ$1</f>
        <v>0.54212454212454209</v>
      </c>
      <c r="BA242" s="5"/>
      <c r="BB242">
        <v>110</v>
      </c>
      <c r="BC242" s="5">
        <f>BB242/BB245</f>
        <v>0.54187192118226601</v>
      </c>
      <c r="BD242" s="5">
        <f>110/$BD$1</f>
        <v>0.54187192118226601</v>
      </c>
      <c r="BF242">
        <v>109</v>
      </c>
      <c r="BG242" s="5">
        <f>BF242/BF245</f>
        <v>0.50697674418604655</v>
      </c>
      <c r="BH242" s="5">
        <f>109/$BH$1</f>
        <v>0.50697674418604655</v>
      </c>
      <c r="BJ242">
        <v>179</v>
      </c>
      <c r="BK242" s="5">
        <f>BJ242/BJ245</f>
        <v>0.57928802588996764</v>
      </c>
      <c r="BL242" s="5">
        <f>179/$BL$1</f>
        <v>0.57928802588996764</v>
      </c>
      <c r="BN242">
        <v>17</v>
      </c>
      <c r="BO242" s="5">
        <f>BN242/BN245</f>
        <v>0.36170212765957449</v>
      </c>
      <c r="BP242" s="5">
        <f>17/$BP$1</f>
        <v>0.36170212765957449</v>
      </c>
      <c r="BR242">
        <v>151</v>
      </c>
      <c r="BS242" s="5">
        <f>BR242/BR245</f>
        <v>0.48089171974522293</v>
      </c>
      <c r="BT242" s="5">
        <f>151/$BT$1</f>
        <v>0.48089171974522293</v>
      </c>
      <c r="BV242">
        <v>215</v>
      </c>
      <c r="BW242" s="5">
        <f>BV242/BV245</f>
        <v>0.54707379134860046</v>
      </c>
      <c r="BX242" s="5">
        <f>215/$BX$1</f>
        <v>0.54707379134860046</v>
      </c>
      <c r="BZ242">
        <v>163</v>
      </c>
      <c r="CA242" s="5">
        <f>BZ242/BZ245</f>
        <v>0.66260162601626016</v>
      </c>
      <c r="CB242" s="5">
        <f>163/$CB$1</f>
        <v>0.66260162601626016</v>
      </c>
      <c r="CD242">
        <v>71</v>
      </c>
      <c r="CE242" s="5">
        <f>CD242/CD245</f>
        <v>0.57723577235772361</v>
      </c>
      <c r="CF242" s="5">
        <f>71/$CF$1</f>
        <v>0.57723577235772361</v>
      </c>
      <c r="CH242">
        <v>381</v>
      </c>
      <c r="CI242" s="5">
        <f>CH242/CH245</f>
        <v>0.55377906976744184</v>
      </c>
      <c r="CJ242" s="5">
        <f>381/$CJ$1</f>
        <v>0.55377906976744184</v>
      </c>
      <c r="CL242">
        <v>426</v>
      </c>
      <c r="CM242" s="5">
        <f>CL242/CL245</f>
        <v>0.56200527704485492</v>
      </c>
      <c r="CN242" s="5">
        <f>426/$CN$1</f>
        <v>0.56200527704485492</v>
      </c>
      <c r="CP242">
        <v>120</v>
      </c>
      <c r="CQ242" s="5">
        <f>CP242/CP245</f>
        <v>0.49586776859504134</v>
      </c>
      <c r="CR242" s="5">
        <f>120/$CR$1</f>
        <v>0.49586776859504134</v>
      </c>
      <c r="CT242">
        <v>197</v>
      </c>
      <c r="CU242" s="5">
        <f>CT242/CT245</f>
        <v>0.59159159159159158</v>
      </c>
      <c r="CV242" s="5">
        <f>197/$CV$1</f>
        <v>0.59159159159159158</v>
      </c>
      <c r="CX242">
        <v>349</v>
      </c>
      <c r="CY242" s="5">
        <f>CX242/CX245</f>
        <v>0.52323838080959517</v>
      </c>
      <c r="CZ242" s="5">
        <f>349/$CZ$1</f>
        <v>0.52323838080959517</v>
      </c>
    </row>
    <row r="243" spans="1:104" x14ac:dyDescent="0.25">
      <c r="A243" s="1" t="s">
        <v>2895</v>
      </c>
      <c r="B243">
        <v>388</v>
      </c>
      <c r="C243" s="5">
        <f>B243/B245</f>
        <v>0.38800000000000001</v>
      </c>
      <c r="D243" s="5">
        <f>388/$D$1</f>
        <v>0.38800000000000001</v>
      </c>
      <c r="F243">
        <v>183</v>
      </c>
      <c r="G243" s="5">
        <f>F243/F245</f>
        <v>0.3652694610778443</v>
      </c>
      <c r="H243" s="5">
        <f>183/$H$1</f>
        <v>0.3652694610778443</v>
      </c>
      <c r="J243">
        <v>205</v>
      </c>
      <c r="K243" s="5">
        <f>J243/J245</f>
        <v>0.41082164328657317</v>
      </c>
      <c r="L243" s="5">
        <f>205/$L$1</f>
        <v>0.41082164328657317</v>
      </c>
      <c r="N243">
        <v>20</v>
      </c>
      <c r="O243" s="5">
        <f>N243/N245</f>
        <v>0.20618556701030927</v>
      </c>
      <c r="P243" s="5">
        <f>20/$P$1</f>
        <v>0.20618556701030927</v>
      </c>
      <c r="R243">
        <v>57</v>
      </c>
      <c r="S243" s="5">
        <f>R243/R245</f>
        <v>0.2878787878787879</v>
      </c>
      <c r="T243" s="5">
        <f>57/$T$1</f>
        <v>0.2878787878787879</v>
      </c>
      <c r="V243">
        <v>80</v>
      </c>
      <c r="W243" s="5">
        <f>V243/V245</f>
        <v>0.33195020746887965</v>
      </c>
      <c r="X243" s="5">
        <f>80/$X$1</f>
        <v>0.33195020746887965</v>
      </c>
      <c r="Z243">
        <v>93</v>
      </c>
      <c r="AA243" s="5">
        <f>Z243/Z245</f>
        <v>0.46969696969696972</v>
      </c>
      <c r="AB243" s="5">
        <f>93/$AB$1</f>
        <v>0.46969696969696972</v>
      </c>
      <c r="AD243">
        <v>77</v>
      </c>
      <c r="AE243" s="5">
        <f>AD243/AD245</f>
        <v>0.5</v>
      </c>
      <c r="AF243" s="5">
        <f>77/$AF$1</f>
        <v>0.5</v>
      </c>
      <c r="AH243">
        <v>64</v>
      </c>
      <c r="AI243" s="5">
        <f>AH243/AH245</f>
        <v>0.53333333333333333</v>
      </c>
      <c r="AJ243" s="5">
        <f>64/$AJ$1</f>
        <v>0.53333333333333333</v>
      </c>
      <c r="AL243">
        <v>144</v>
      </c>
      <c r="AM243" s="5">
        <f>AL243/AL245</f>
        <v>0.38918918918918921</v>
      </c>
      <c r="AN243" s="5">
        <f>144/$AN$1</f>
        <v>0.38918918918918921</v>
      </c>
      <c r="AP243">
        <v>157</v>
      </c>
      <c r="AQ243" s="5">
        <f>AP243/AP245</f>
        <v>0.41534391534391535</v>
      </c>
      <c r="AR243" s="5">
        <f>157/$AR$1</f>
        <v>0.41534391534391535</v>
      </c>
      <c r="AT243">
        <v>87</v>
      </c>
      <c r="AU243" s="5">
        <f>AT243/AT245</f>
        <v>0.34523809523809523</v>
      </c>
      <c r="AV243" s="5">
        <f>87/$AV$1</f>
        <v>0.34523809523809523</v>
      </c>
      <c r="AX243">
        <v>112</v>
      </c>
      <c r="AY243" s="5">
        <f>AX243/AX245</f>
        <v>0.41025641025641024</v>
      </c>
      <c r="AZ243" s="5">
        <f>112/$AZ$1</f>
        <v>0.41025641025641024</v>
      </c>
      <c r="BA243" s="5"/>
      <c r="BB243">
        <v>85</v>
      </c>
      <c r="BC243" s="5">
        <f>BB243/BB245</f>
        <v>0.41871921182266009</v>
      </c>
      <c r="BD243" s="5">
        <f>85/$BD$1</f>
        <v>0.41871921182266009</v>
      </c>
      <c r="BF243">
        <v>87</v>
      </c>
      <c r="BG243" s="5">
        <f>BF243/BF245</f>
        <v>0.40465116279069768</v>
      </c>
      <c r="BH243" s="5">
        <f>87/$BH$1</f>
        <v>0.40465116279069768</v>
      </c>
      <c r="BJ243">
        <v>104</v>
      </c>
      <c r="BK243" s="5">
        <f>BJ243/BJ245</f>
        <v>0.33656957928802589</v>
      </c>
      <c r="BL243" s="5">
        <f>104/$BL$1</f>
        <v>0.33656957928802589</v>
      </c>
      <c r="BN243">
        <v>25</v>
      </c>
      <c r="BO243" s="5">
        <f>BN243/BN245</f>
        <v>0.53191489361702127</v>
      </c>
      <c r="BP243" s="5">
        <f>25/$BP$1</f>
        <v>0.53191489361702127</v>
      </c>
      <c r="BR243">
        <v>149</v>
      </c>
      <c r="BS243" s="5">
        <f>BR243/BR245</f>
        <v>0.47452229299363058</v>
      </c>
      <c r="BT243" s="5">
        <f>149/$BT$1</f>
        <v>0.47452229299363058</v>
      </c>
      <c r="BV243">
        <v>152</v>
      </c>
      <c r="BW243" s="5">
        <f>BV243/BV245</f>
        <v>0.38676844783715014</v>
      </c>
      <c r="BX243" s="5">
        <f>152/$BX$1</f>
        <v>0.38676844783715014</v>
      </c>
      <c r="BZ243">
        <v>62</v>
      </c>
      <c r="CA243" s="5">
        <f>BZ243/BZ245</f>
        <v>0.25203252032520324</v>
      </c>
      <c r="CB243" s="5">
        <f>62/$CB$1</f>
        <v>0.25203252032520324</v>
      </c>
      <c r="CD243">
        <v>33</v>
      </c>
      <c r="CE243" s="5">
        <f>CD243/CD245</f>
        <v>0.26829268292682928</v>
      </c>
      <c r="CF243" s="5">
        <f>33/$CF$1</f>
        <v>0.26829268292682928</v>
      </c>
      <c r="CH243">
        <v>275</v>
      </c>
      <c r="CI243" s="5">
        <f>CH243/CH245</f>
        <v>0.39970930232558138</v>
      </c>
      <c r="CJ243" s="5">
        <f>275/$CJ$1</f>
        <v>0.39970930232558138</v>
      </c>
      <c r="CL243">
        <v>278</v>
      </c>
      <c r="CM243" s="5">
        <f>CL243/CL245</f>
        <v>0.36675461741424803</v>
      </c>
      <c r="CN243" s="5">
        <f>278/$CN$1</f>
        <v>0.36675461741424803</v>
      </c>
      <c r="CP243">
        <v>110</v>
      </c>
      <c r="CQ243" s="5">
        <f>CP243/CP245</f>
        <v>0.45454545454545453</v>
      </c>
      <c r="CR243" s="5">
        <f>110/$CR$1</f>
        <v>0.45454545454545453</v>
      </c>
      <c r="CT243">
        <v>96</v>
      </c>
      <c r="CU243" s="5">
        <f>CT243/CT245</f>
        <v>0.28828828828828829</v>
      </c>
      <c r="CV243" s="5">
        <f>96/$CV$1</f>
        <v>0.28828828828828829</v>
      </c>
      <c r="CX243">
        <v>292</v>
      </c>
      <c r="CY243" s="5">
        <f>CX243/CX245</f>
        <v>0.43778110944527737</v>
      </c>
      <c r="CZ243" s="5">
        <f>292/$CZ$1</f>
        <v>0.43778110944527737</v>
      </c>
    </row>
    <row r="244" spans="1:104" x14ac:dyDescent="0.25">
      <c r="A244" s="1" t="s">
        <v>32</v>
      </c>
      <c r="B244">
        <v>0</v>
      </c>
      <c r="C244" s="5">
        <f>B244/B245</f>
        <v>0</v>
      </c>
      <c r="D244" s="5">
        <f>0/$D$1</f>
        <v>0</v>
      </c>
      <c r="F244">
        <v>0</v>
      </c>
      <c r="G244" s="5">
        <f>F244/F245</f>
        <v>0</v>
      </c>
      <c r="H244" s="5">
        <f>0/$H$1</f>
        <v>0</v>
      </c>
      <c r="J244">
        <v>0</v>
      </c>
      <c r="K244" s="5">
        <f>J244/J245</f>
        <v>0</v>
      </c>
      <c r="L244" s="5">
        <f>0/$L$1</f>
        <v>0</v>
      </c>
      <c r="N244">
        <v>0</v>
      </c>
      <c r="O244" s="5">
        <f>N244/N245</f>
        <v>0</v>
      </c>
      <c r="P244" s="5">
        <f>0/$P$1</f>
        <v>0</v>
      </c>
      <c r="R244">
        <v>0</v>
      </c>
      <c r="S244" s="5">
        <f>R244/R245</f>
        <v>0</v>
      </c>
      <c r="T244" s="5">
        <f>0/$T$1</f>
        <v>0</v>
      </c>
      <c r="V244">
        <v>0</v>
      </c>
      <c r="W244" s="5">
        <f>V244/V245</f>
        <v>0</v>
      </c>
      <c r="X244" s="5">
        <f>0/$X$1</f>
        <v>0</v>
      </c>
      <c r="Z244">
        <v>0</v>
      </c>
      <c r="AA244" s="5">
        <f>Z244/Z245</f>
        <v>0</v>
      </c>
      <c r="AB244" s="5">
        <f>0/$AB$1</f>
        <v>0</v>
      </c>
      <c r="AD244">
        <v>0</v>
      </c>
      <c r="AE244" s="5">
        <f>AD244/AD245</f>
        <v>0</v>
      </c>
      <c r="AF244" s="5">
        <f>0/$AF$1</f>
        <v>0</v>
      </c>
      <c r="AH244">
        <v>0</v>
      </c>
      <c r="AI244" s="5">
        <f>AH244/AH245</f>
        <v>0</v>
      </c>
      <c r="AJ244" s="5">
        <f>0/$AJ$1</f>
        <v>0</v>
      </c>
      <c r="AL244">
        <v>0</v>
      </c>
      <c r="AM244" s="5">
        <f>AL244/AL245</f>
        <v>0</v>
      </c>
      <c r="AN244" s="5">
        <f>0/$AN$1</f>
        <v>0</v>
      </c>
      <c r="AP244">
        <v>0</v>
      </c>
      <c r="AQ244" s="5">
        <f>AP244/AP245</f>
        <v>0</v>
      </c>
      <c r="AR244" s="5">
        <f>0/$AR$1</f>
        <v>0</v>
      </c>
      <c r="AT244">
        <v>0</v>
      </c>
      <c r="AU244" s="5">
        <f>AT244/AT245</f>
        <v>0</v>
      </c>
      <c r="AV244" s="5">
        <f>0/$AV$1</f>
        <v>0</v>
      </c>
      <c r="AX244">
        <v>0</v>
      </c>
      <c r="AY244" s="5">
        <f>AX244/AX245</f>
        <v>0</v>
      </c>
      <c r="AZ244" s="5">
        <f>0/$AZ$1</f>
        <v>0</v>
      </c>
      <c r="BA244" s="5"/>
      <c r="BB244">
        <v>0</v>
      </c>
      <c r="BC244" s="5">
        <f>BB244/BB245</f>
        <v>0</v>
      </c>
      <c r="BD244" s="5">
        <f>0/$BD$1</f>
        <v>0</v>
      </c>
      <c r="BF244">
        <v>0</v>
      </c>
      <c r="BG244" s="5">
        <f>BF244/BF245</f>
        <v>0</v>
      </c>
      <c r="BH244" s="5">
        <f>0/$BH$1</f>
        <v>0</v>
      </c>
      <c r="BJ244">
        <v>0</v>
      </c>
      <c r="BK244" s="5">
        <f>BJ244/BJ245</f>
        <v>0</v>
      </c>
      <c r="BL244" s="5">
        <f>0/$BL$1</f>
        <v>0</v>
      </c>
      <c r="BN244">
        <v>0</v>
      </c>
      <c r="BO244" s="5">
        <f>BN244/BN245</f>
        <v>0</v>
      </c>
      <c r="BP244" s="5">
        <f>0/$BP$1</f>
        <v>0</v>
      </c>
      <c r="BR244">
        <v>0</v>
      </c>
      <c r="BS244" s="5">
        <f>BR244/BR245</f>
        <v>0</v>
      </c>
      <c r="BT244" s="5">
        <f>0/$BT$1</f>
        <v>0</v>
      </c>
      <c r="BV244">
        <v>0</v>
      </c>
      <c r="BW244" s="5">
        <f>BV244/BV245</f>
        <v>0</v>
      </c>
      <c r="BX244" s="5">
        <f>0/$BX$1</f>
        <v>0</v>
      </c>
      <c r="BZ244">
        <v>0</v>
      </c>
      <c r="CA244" s="5">
        <f>BZ244/BZ245</f>
        <v>0</v>
      </c>
      <c r="CB244" s="5">
        <f>0/$CB$1</f>
        <v>0</v>
      </c>
      <c r="CD244">
        <v>0</v>
      </c>
      <c r="CE244" s="5">
        <f>CD244/CD245</f>
        <v>0</v>
      </c>
      <c r="CF244" s="5">
        <f>0/$CF$1</f>
        <v>0</v>
      </c>
      <c r="CH244">
        <v>0</v>
      </c>
      <c r="CI244" s="5">
        <f>CH244/CH245</f>
        <v>0</v>
      </c>
      <c r="CJ244" s="5">
        <f>0/$CJ$1</f>
        <v>0</v>
      </c>
      <c r="CL244">
        <v>0</v>
      </c>
      <c r="CM244" s="5">
        <f>CL244/CL245</f>
        <v>0</v>
      </c>
      <c r="CN244" s="5">
        <f>0/$CN$1</f>
        <v>0</v>
      </c>
      <c r="CP244">
        <v>0</v>
      </c>
      <c r="CQ244" s="5">
        <f>CP244/CP245</f>
        <v>0</v>
      </c>
      <c r="CR244" s="5">
        <f>0/$CR$1</f>
        <v>0</v>
      </c>
      <c r="CT244">
        <v>0</v>
      </c>
      <c r="CU244" s="5">
        <f>CT244/CT245</f>
        <v>0</v>
      </c>
      <c r="CV244" s="5">
        <f>0/$CV$1</f>
        <v>0</v>
      </c>
      <c r="CX244">
        <v>0</v>
      </c>
      <c r="CY244" s="5">
        <f>CX244/CX245</f>
        <v>0</v>
      </c>
      <c r="CZ244" s="5">
        <f>0/$CZ$1</f>
        <v>0</v>
      </c>
    </row>
    <row r="245" spans="1:104" s="6" customFormat="1" x14ac:dyDescent="0.25">
      <c r="A245" s="7" t="s">
        <v>33</v>
      </c>
      <c r="B245" s="6">
        <v>1000</v>
      </c>
      <c r="D245" s="8">
        <f>1000/$D$1</f>
        <v>1</v>
      </c>
      <c r="F245" s="6">
        <v>501</v>
      </c>
      <c r="H245" s="8">
        <f>501/$H$1</f>
        <v>1</v>
      </c>
      <c r="J245" s="6">
        <v>499</v>
      </c>
      <c r="L245" s="8">
        <f>499/$L$1</f>
        <v>1</v>
      </c>
      <c r="N245" s="6">
        <v>97</v>
      </c>
      <c r="P245" s="8">
        <f>97/$P$1</f>
        <v>1</v>
      </c>
      <c r="R245" s="6">
        <v>198</v>
      </c>
      <c r="T245" s="8">
        <f>198/$T$1</f>
        <v>1</v>
      </c>
      <c r="V245" s="6">
        <v>241</v>
      </c>
      <c r="X245" s="8">
        <f>241/$X$1</f>
        <v>1</v>
      </c>
      <c r="Z245" s="6">
        <v>198</v>
      </c>
      <c r="AB245" s="8">
        <f>198/$AB$1</f>
        <v>1</v>
      </c>
      <c r="AD245" s="6">
        <v>154</v>
      </c>
      <c r="AF245" s="8">
        <f>154/$AF$1</f>
        <v>1</v>
      </c>
      <c r="AH245" s="6">
        <v>120</v>
      </c>
      <c r="AJ245" s="8">
        <f>120/$AJ$1</f>
        <v>1</v>
      </c>
      <c r="AL245" s="6">
        <v>370</v>
      </c>
      <c r="AN245" s="8">
        <f>370/$AN$1</f>
        <v>1</v>
      </c>
      <c r="AP245" s="6">
        <v>378</v>
      </c>
      <c r="AR245" s="8">
        <f>378/$AR$1</f>
        <v>1</v>
      </c>
      <c r="AT245" s="6">
        <v>252</v>
      </c>
      <c r="AV245" s="8">
        <f>252/$AV$1</f>
        <v>1</v>
      </c>
      <c r="AX245" s="6">
        <v>273</v>
      </c>
      <c r="AZ245" s="8">
        <f>273/$AZ$1</f>
        <v>1</v>
      </c>
      <c r="BA245" s="8"/>
      <c r="BB245" s="6">
        <v>203</v>
      </c>
      <c r="BD245" s="8">
        <f>203/$BD$1</f>
        <v>1</v>
      </c>
      <c r="BF245" s="6">
        <v>215</v>
      </c>
      <c r="BH245" s="8">
        <f>215/$BH$1</f>
        <v>1</v>
      </c>
      <c r="BJ245" s="6">
        <v>309</v>
      </c>
      <c r="BL245" s="8">
        <f>309/$BL$1</f>
        <v>1</v>
      </c>
      <c r="BN245" s="6">
        <v>47</v>
      </c>
      <c r="BP245" s="8">
        <f>47/$BP$1</f>
        <v>1</v>
      </c>
      <c r="BR245" s="6">
        <v>314</v>
      </c>
      <c r="BT245" s="8">
        <f>314/$BT$1</f>
        <v>1</v>
      </c>
      <c r="BV245" s="6">
        <v>393</v>
      </c>
      <c r="BX245" s="8">
        <f>393/$BX$1</f>
        <v>1</v>
      </c>
      <c r="BZ245" s="6">
        <v>246</v>
      </c>
      <c r="CB245" s="8">
        <f>246/$CB$1</f>
        <v>1</v>
      </c>
      <c r="CD245" s="6">
        <v>123</v>
      </c>
      <c r="CF245" s="8">
        <f>123/$CF$1</f>
        <v>1</v>
      </c>
      <c r="CH245" s="6">
        <v>688</v>
      </c>
      <c r="CJ245" s="8">
        <f>688/$CJ$1</f>
        <v>1</v>
      </c>
      <c r="CL245" s="6">
        <v>758</v>
      </c>
      <c r="CN245" s="8">
        <f>758/$CN$1</f>
        <v>1</v>
      </c>
      <c r="CP245" s="6">
        <v>242</v>
      </c>
      <c r="CR245" s="8">
        <f>242/$CR$1</f>
        <v>1</v>
      </c>
      <c r="CT245" s="6">
        <v>333</v>
      </c>
      <c r="CV245" s="8">
        <f>333/$CV$1</f>
        <v>1</v>
      </c>
      <c r="CX245" s="6">
        <v>667</v>
      </c>
      <c r="CZ245" s="8">
        <f>667/$CZ$1</f>
        <v>1</v>
      </c>
    </row>
    <row r="246" spans="1:104" ht="15" hidden="1" customHeight="1" x14ac:dyDescent="0.25">
      <c r="A246" s="9" t="s">
        <v>34</v>
      </c>
      <c r="B246">
        <v>0</v>
      </c>
      <c r="D246" s="10">
        <f>0/$D$1</f>
        <v>0</v>
      </c>
      <c r="F246">
        <v>0</v>
      </c>
      <c r="H246" s="10">
        <f>0/$H$1</f>
        <v>0</v>
      </c>
      <c r="J246">
        <v>0</v>
      </c>
      <c r="L246" s="10">
        <f>0/$L$1</f>
        <v>0</v>
      </c>
      <c r="N246">
        <v>0</v>
      </c>
      <c r="P246" s="10">
        <f>0/$P$1</f>
        <v>0</v>
      </c>
      <c r="R246">
        <v>0</v>
      </c>
      <c r="T246" s="10">
        <f>0/$T$1</f>
        <v>0</v>
      </c>
      <c r="V246">
        <v>0</v>
      </c>
      <c r="X246" s="10">
        <f>0/$X$1</f>
        <v>0</v>
      </c>
      <c r="Z246">
        <v>0</v>
      </c>
      <c r="AB246" s="10">
        <f>0/$AB$1</f>
        <v>0</v>
      </c>
      <c r="AD246">
        <v>0</v>
      </c>
      <c r="AF246" s="10">
        <f>0/$AF$1</f>
        <v>0</v>
      </c>
      <c r="AH246">
        <v>0</v>
      </c>
      <c r="AJ246" s="10">
        <f>0/$AJ$1</f>
        <v>0</v>
      </c>
      <c r="AL246">
        <v>0</v>
      </c>
      <c r="AN246" s="10">
        <f>0/$AN$1</f>
        <v>0</v>
      </c>
      <c r="AP246">
        <v>0</v>
      </c>
      <c r="AR246" s="10">
        <f>0/$AR$1</f>
        <v>0</v>
      </c>
      <c r="AT246">
        <v>0</v>
      </c>
      <c r="AV246" s="10">
        <f>0/$AV$1</f>
        <v>0</v>
      </c>
      <c r="AX246">
        <v>0</v>
      </c>
      <c r="AZ246" s="10">
        <f>0/$AZ$1</f>
        <v>0</v>
      </c>
      <c r="BA246" s="10"/>
      <c r="BB246">
        <v>0</v>
      </c>
      <c r="BD246" s="10">
        <f>0/$BD$1</f>
        <v>0</v>
      </c>
      <c r="BF246">
        <v>0</v>
      </c>
      <c r="BH246" s="10">
        <f>0/$BH$1</f>
        <v>0</v>
      </c>
      <c r="BJ246">
        <v>0</v>
      </c>
      <c r="BL246" s="10">
        <f>0/$BL$1</f>
        <v>0</v>
      </c>
      <c r="BN246">
        <v>0</v>
      </c>
      <c r="BP246" s="10">
        <f>0/$BP$1</f>
        <v>0</v>
      </c>
      <c r="BR246">
        <v>0</v>
      </c>
      <c r="BT246" s="10">
        <f>0/$BT$1</f>
        <v>0</v>
      </c>
      <c r="BV246">
        <v>0</v>
      </c>
      <c r="BX246" s="10">
        <f>0/$BX$1</f>
        <v>0</v>
      </c>
      <c r="BZ246">
        <v>0</v>
      </c>
      <c r="CB246" s="10">
        <f>0/$CB$1</f>
        <v>0</v>
      </c>
      <c r="CD246">
        <v>0</v>
      </c>
      <c r="CF246" s="10">
        <f>0/$CF$1</f>
        <v>0</v>
      </c>
      <c r="CH246">
        <v>0</v>
      </c>
      <c r="CJ246" s="10">
        <f>0/$CJ$1</f>
        <v>0</v>
      </c>
      <c r="CL246">
        <v>0</v>
      </c>
      <c r="CN246" s="10">
        <f>0/$CN$1</f>
        <v>0</v>
      </c>
      <c r="CP246">
        <v>0</v>
      </c>
      <c r="CR246" s="10">
        <f>0/$CR$1</f>
        <v>0</v>
      </c>
      <c r="CT246">
        <v>0</v>
      </c>
      <c r="CV246" s="10">
        <f>0/$CV$1</f>
        <v>0</v>
      </c>
      <c r="CX246">
        <v>0</v>
      </c>
      <c r="CZ246" s="10">
        <f>0/$CZ$1</f>
        <v>0</v>
      </c>
    </row>
    <row r="247" spans="1:104" ht="15" hidden="1" customHeight="1" x14ac:dyDescent="0.25">
      <c r="A247" s="9" t="s">
        <v>35</v>
      </c>
      <c r="B247">
        <v>0</v>
      </c>
      <c r="D247" s="10">
        <f>0/$D$1</f>
        <v>0</v>
      </c>
      <c r="F247">
        <v>0</v>
      </c>
      <c r="H247" s="10">
        <f>0/$H$1</f>
        <v>0</v>
      </c>
      <c r="J247">
        <v>0</v>
      </c>
      <c r="L247" s="10">
        <f>0/$L$1</f>
        <v>0</v>
      </c>
      <c r="N247">
        <v>0</v>
      </c>
      <c r="P247" s="10">
        <f>0/$P$1</f>
        <v>0</v>
      </c>
      <c r="R247">
        <v>0</v>
      </c>
      <c r="T247" s="10">
        <f>0/$T$1</f>
        <v>0</v>
      </c>
      <c r="V247">
        <v>0</v>
      </c>
      <c r="X247" s="10">
        <f>0/$X$1</f>
        <v>0</v>
      </c>
      <c r="Z247">
        <v>0</v>
      </c>
      <c r="AB247" s="10">
        <f>0/$AB$1</f>
        <v>0</v>
      </c>
      <c r="AD247">
        <v>0</v>
      </c>
      <c r="AF247" s="10">
        <f>0/$AF$1</f>
        <v>0</v>
      </c>
      <c r="AH247">
        <v>0</v>
      </c>
      <c r="AJ247" s="10">
        <f>0/$AJ$1</f>
        <v>0</v>
      </c>
      <c r="AL247">
        <v>0</v>
      </c>
      <c r="AN247" s="10">
        <f>0/$AN$1</f>
        <v>0</v>
      </c>
      <c r="AP247">
        <v>0</v>
      </c>
      <c r="AR247" s="10">
        <f>0/$AR$1</f>
        <v>0</v>
      </c>
      <c r="AT247">
        <v>0</v>
      </c>
      <c r="AV247" s="10">
        <f>0/$AV$1</f>
        <v>0</v>
      </c>
      <c r="AX247">
        <v>0</v>
      </c>
      <c r="AZ247" s="10">
        <f>0/$AZ$1</f>
        <v>0</v>
      </c>
      <c r="BA247" s="10"/>
      <c r="BB247">
        <v>0</v>
      </c>
      <c r="BD247" s="10">
        <f>0/$BD$1</f>
        <v>0</v>
      </c>
      <c r="BF247">
        <v>0</v>
      </c>
      <c r="BH247" s="10">
        <f>0/$BH$1</f>
        <v>0</v>
      </c>
      <c r="BJ247">
        <v>0</v>
      </c>
      <c r="BL247" s="10">
        <f>0/$BL$1</f>
        <v>0</v>
      </c>
      <c r="BN247">
        <v>0</v>
      </c>
      <c r="BP247" s="10">
        <f>0/$BP$1</f>
        <v>0</v>
      </c>
      <c r="BR247">
        <v>0</v>
      </c>
      <c r="BT247" s="10">
        <f>0/$BT$1</f>
        <v>0</v>
      </c>
      <c r="BV247">
        <v>0</v>
      </c>
      <c r="BX247" s="10">
        <f>0/$BX$1</f>
        <v>0</v>
      </c>
      <c r="BZ247">
        <v>0</v>
      </c>
      <c r="CB247" s="10">
        <f>0/$CB$1</f>
        <v>0</v>
      </c>
      <c r="CD247">
        <v>0</v>
      </c>
      <c r="CF247" s="10">
        <f>0/$CF$1</f>
        <v>0</v>
      </c>
      <c r="CH247">
        <v>0</v>
      </c>
      <c r="CJ247" s="10">
        <f>0/$CJ$1</f>
        <v>0</v>
      </c>
      <c r="CL247">
        <v>0</v>
      </c>
      <c r="CN247" s="10">
        <f>0/$CN$1</f>
        <v>0</v>
      </c>
      <c r="CP247">
        <v>0</v>
      </c>
      <c r="CR247" s="10">
        <f>0/$CR$1</f>
        <v>0</v>
      </c>
      <c r="CT247">
        <v>0</v>
      </c>
      <c r="CV247" s="10">
        <f>0/$CV$1</f>
        <v>0</v>
      </c>
      <c r="CX247">
        <v>0</v>
      </c>
      <c r="CZ247" s="10">
        <f>0/$CZ$1</f>
        <v>0</v>
      </c>
    </row>
    <row r="249" spans="1:104" s="3" customFormat="1" x14ac:dyDescent="0.25">
      <c r="A249" s="3" t="s">
        <v>2897</v>
      </c>
      <c r="D249" s="4" t="s">
        <v>27</v>
      </c>
      <c r="H249" s="4" t="s">
        <v>27</v>
      </c>
      <c r="L249" s="4" t="s">
        <v>27</v>
      </c>
      <c r="P249" s="4" t="s">
        <v>27</v>
      </c>
      <c r="T249" s="4" t="s">
        <v>27</v>
      </c>
      <c r="X249" s="4" t="s">
        <v>27</v>
      </c>
      <c r="AB249" s="4" t="s">
        <v>27</v>
      </c>
      <c r="AF249" s="4" t="s">
        <v>27</v>
      </c>
      <c r="AJ249" s="4" t="s">
        <v>27</v>
      </c>
      <c r="AN249" s="4" t="s">
        <v>27</v>
      </c>
      <c r="AR249" s="4" t="s">
        <v>27</v>
      </c>
      <c r="AV249" s="4" t="s">
        <v>27</v>
      </c>
      <c r="AZ249" s="4" t="s">
        <v>27</v>
      </c>
      <c r="BA249" s="4"/>
      <c r="BD249" s="4" t="s">
        <v>27</v>
      </c>
      <c r="BH249" s="4" t="s">
        <v>27</v>
      </c>
      <c r="BL249" s="4" t="s">
        <v>27</v>
      </c>
      <c r="BP249" s="4" t="s">
        <v>27</v>
      </c>
      <c r="BT249" s="4" t="s">
        <v>27</v>
      </c>
      <c r="BX249" s="4" t="s">
        <v>27</v>
      </c>
      <c r="CB249" s="4" t="s">
        <v>27</v>
      </c>
      <c r="CF249" s="4" t="s">
        <v>27</v>
      </c>
      <c r="CJ249" s="4" t="s">
        <v>27</v>
      </c>
      <c r="CN249" s="4" t="s">
        <v>27</v>
      </c>
      <c r="CR249" s="4" t="s">
        <v>27</v>
      </c>
      <c r="CV249" s="4" t="s">
        <v>27</v>
      </c>
      <c r="CZ249" s="4" t="s">
        <v>27</v>
      </c>
    </row>
    <row r="250" spans="1:104" x14ac:dyDescent="0.25">
      <c r="A250" s="1" t="s">
        <v>2898</v>
      </c>
      <c r="B250">
        <v>333</v>
      </c>
      <c r="C250" s="5">
        <f>B250/B254</f>
        <v>0.33300000000000002</v>
      </c>
      <c r="D250" s="5">
        <f>333/$D$1</f>
        <v>0.33300000000000002</v>
      </c>
      <c r="F250">
        <v>167</v>
      </c>
      <c r="G250" s="5">
        <f>F250/F254</f>
        <v>0.33333333333333331</v>
      </c>
      <c r="H250" s="5">
        <f>167/$H$1</f>
        <v>0.33333333333333331</v>
      </c>
      <c r="J250">
        <v>166</v>
      </c>
      <c r="K250" s="5">
        <f>J250/J254</f>
        <v>0.33266533066132264</v>
      </c>
      <c r="L250" s="5">
        <f>166/$L$1</f>
        <v>0.33266533066132264</v>
      </c>
      <c r="N250">
        <v>43</v>
      </c>
      <c r="O250" s="5">
        <f>N250/N254</f>
        <v>0.44329896907216493</v>
      </c>
      <c r="P250" s="5">
        <f>43/$P$1</f>
        <v>0.44329896907216493</v>
      </c>
      <c r="R250">
        <v>84</v>
      </c>
      <c r="S250" s="5">
        <f>R250/R254</f>
        <v>0.42424242424242425</v>
      </c>
      <c r="T250" s="5">
        <f>84/$T$1</f>
        <v>0.42424242424242425</v>
      </c>
      <c r="V250">
        <v>86</v>
      </c>
      <c r="W250" s="5">
        <f>V250/V254</f>
        <v>0.35684647302904565</v>
      </c>
      <c r="X250" s="5">
        <f>86/$X$1</f>
        <v>0.35684647302904565</v>
      </c>
      <c r="Z250">
        <v>71</v>
      </c>
      <c r="AA250" s="5">
        <f>Z250/Z254</f>
        <v>0.35858585858585856</v>
      </c>
      <c r="AB250" s="5">
        <f>71/$AB$1</f>
        <v>0.35858585858585856</v>
      </c>
      <c r="AD250">
        <v>34</v>
      </c>
      <c r="AE250" s="5">
        <f>AD250/AD254</f>
        <v>0.22077922077922077</v>
      </c>
      <c r="AF250" s="5">
        <f>34/$AF$1</f>
        <v>0.22077922077922077</v>
      </c>
      <c r="AH250">
        <v>15</v>
      </c>
      <c r="AI250" s="5">
        <f>AH250/AH254</f>
        <v>0.125</v>
      </c>
      <c r="AJ250" s="5">
        <f>15/$AJ$1</f>
        <v>0.125</v>
      </c>
      <c r="AL250">
        <v>126</v>
      </c>
      <c r="AM250" s="5">
        <f>AL250/AL254</f>
        <v>0.34054054054054056</v>
      </c>
      <c r="AN250" s="5">
        <f>126/$AN$1</f>
        <v>0.34054054054054056</v>
      </c>
      <c r="AP250">
        <v>116</v>
      </c>
      <c r="AQ250" s="5">
        <f>AP250/AP254</f>
        <v>0.30687830687830686</v>
      </c>
      <c r="AR250" s="5">
        <f>116/$AR$1</f>
        <v>0.30687830687830686</v>
      </c>
      <c r="AT250">
        <v>91</v>
      </c>
      <c r="AU250" s="5">
        <f>AT250/AT254</f>
        <v>0.3611111111111111</v>
      </c>
      <c r="AV250" s="5">
        <f>91/$AV$1</f>
        <v>0.3611111111111111</v>
      </c>
      <c r="AX250">
        <v>105</v>
      </c>
      <c r="AY250" s="5">
        <f>AX250/AX254</f>
        <v>0.38461538461538464</v>
      </c>
      <c r="AZ250" s="5">
        <f>105/$AZ$1</f>
        <v>0.38461538461538464</v>
      </c>
      <c r="BA250" s="5"/>
      <c r="BB250">
        <v>63</v>
      </c>
      <c r="BC250" s="5">
        <f>BB250/BB254</f>
        <v>0.31034482758620691</v>
      </c>
      <c r="BD250" s="5">
        <f>63/$BD$1</f>
        <v>0.31034482758620691</v>
      </c>
      <c r="BF250">
        <v>67</v>
      </c>
      <c r="BG250" s="5">
        <f>BF250/BF254</f>
        <v>0.3116279069767442</v>
      </c>
      <c r="BH250" s="5">
        <f>67/$BH$1</f>
        <v>0.3116279069767442</v>
      </c>
      <c r="BJ250">
        <v>98</v>
      </c>
      <c r="BK250" s="5">
        <f>BJ250/BJ254</f>
        <v>0.31715210355987056</v>
      </c>
      <c r="BL250" s="5">
        <f>98/$BL$1</f>
        <v>0.31715210355987056</v>
      </c>
      <c r="BN250">
        <v>13</v>
      </c>
      <c r="BO250" s="5">
        <f>BN250/BN254</f>
        <v>0.27659574468085107</v>
      </c>
      <c r="BP250" s="5">
        <f>13/$BP$1</f>
        <v>0.27659574468085107</v>
      </c>
      <c r="BR250">
        <v>81</v>
      </c>
      <c r="BS250" s="5">
        <f>BR250/BR254</f>
        <v>0.25796178343949044</v>
      </c>
      <c r="BT250" s="5">
        <f>81/$BT$1</f>
        <v>0.25796178343949044</v>
      </c>
      <c r="BV250">
        <v>129</v>
      </c>
      <c r="BW250" s="5">
        <f>BV250/BV254</f>
        <v>0.3282442748091603</v>
      </c>
      <c r="BX250" s="5">
        <f>129/$BX$1</f>
        <v>0.3282442748091603</v>
      </c>
      <c r="BZ250">
        <v>110</v>
      </c>
      <c r="CA250" s="5">
        <f>BZ250/BZ254</f>
        <v>0.44715447154471544</v>
      </c>
      <c r="CB250" s="5">
        <f>110/$CB$1</f>
        <v>0.44715447154471544</v>
      </c>
      <c r="CD250">
        <v>63</v>
      </c>
      <c r="CE250" s="5">
        <f>CD250/CD254</f>
        <v>0.51219512195121952</v>
      </c>
      <c r="CF250" s="5">
        <f>63/$CF$1</f>
        <v>0.51219512195121952</v>
      </c>
      <c r="CH250">
        <v>216</v>
      </c>
      <c r="CI250" s="5">
        <f>CH250/CH254</f>
        <v>0.31395348837209303</v>
      </c>
      <c r="CJ250" s="5">
        <f>216/$CJ$1</f>
        <v>0.31395348837209303</v>
      </c>
      <c r="CL250">
        <v>261</v>
      </c>
      <c r="CM250" s="5">
        <f>CL250/CL254</f>
        <v>0.34432717678100266</v>
      </c>
      <c r="CN250" s="5">
        <f>261/$CN$1</f>
        <v>0.34432717678100266</v>
      </c>
      <c r="CP250">
        <v>72</v>
      </c>
      <c r="CQ250" s="5">
        <f>CP250/CP254</f>
        <v>0.2975206611570248</v>
      </c>
      <c r="CR250" s="5">
        <f>72/$CR$1</f>
        <v>0.2975206611570248</v>
      </c>
      <c r="CT250">
        <v>333</v>
      </c>
      <c r="CU250" s="5">
        <f>CT250/CT254</f>
        <v>1</v>
      </c>
      <c r="CV250" s="5">
        <f>333/$CV$1</f>
        <v>1</v>
      </c>
      <c r="CX250">
        <v>0</v>
      </c>
      <c r="CY250" s="5">
        <f>CX250/CX254</f>
        <v>0</v>
      </c>
      <c r="CZ250" s="5">
        <f>0/$CZ$1</f>
        <v>0</v>
      </c>
    </row>
    <row r="251" spans="1:104" x14ac:dyDescent="0.25">
      <c r="A251" s="1" t="s">
        <v>2899</v>
      </c>
      <c r="B251">
        <v>594</v>
      </c>
      <c r="C251" s="5">
        <f>B251/B254</f>
        <v>0.59399999999999997</v>
      </c>
      <c r="D251" s="5">
        <f>594/$D$1</f>
        <v>0.59399999999999997</v>
      </c>
      <c r="F251">
        <v>295</v>
      </c>
      <c r="G251" s="5">
        <f>F251/F254</f>
        <v>0.58882235528942117</v>
      </c>
      <c r="H251" s="5">
        <f>295/$H$1</f>
        <v>0.58882235528942117</v>
      </c>
      <c r="J251">
        <v>299</v>
      </c>
      <c r="K251" s="5">
        <f>J251/J254</f>
        <v>0.59919839679358722</v>
      </c>
      <c r="L251" s="5">
        <f>299/$L$1</f>
        <v>0.59919839679358722</v>
      </c>
      <c r="N251">
        <v>45</v>
      </c>
      <c r="O251" s="5">
        <f>N251/N254</f>
        <v>0.46391752577319589</v>
      </c>
      <c r="P251" s="5">
        <f>45/$P$1</f>
        <v>0.46391752577319589</v>
      </c>
      <c r="R251">
        <v>100</v>
      </c>
      <c r="S251" s="5">
        <f>R251/R254</f>
        <v>0.50505050505050508</v>
      </c>
      <c r="T251" s="5">
        <f>100/$T$1</f>
        <v>0.50505050505050508</v>
      </c>
      <c r="V251">
        <v>134</v>
      </c>
      <c r="W251" s="5">
        <f>V251/V254</f>
        <v>0.55601659751037347</v>
      </c>
      <c r="X251" s="5">
        <f>134/$X$1</f>
        <v>0.55601659751037347</v>
      </c>
      <c r="Z251">
        <v>117</v>
      </c>
      <c r="AA251" s="5">
        <f>Z251/Z254</f>
        <v>0.59090909090909094</v>
      </c>
      <c r="AB251" s="5">
        <f>117/$AB$1</f>
        <v>0.59090909090909094</v>
      </c>
      <c r="AD251">
        <v>109</v>
      </c>
      <c r="AE251" s="5">
        <f>AD251/AD254</f>
        <v>0.70779220779220775</v>
      </c>
      <c r="AF251" s="5">
        <f>109/$AF$1</f>
        <v>0.70779220779220775</v>
      </c>
      <c r="AH251">
        <v>97</v>
      </c>
      <c r="AI251" s="5">
        <f>AH251/AH254</f>
        <v>0.80833333333333335</v>
      </c>
      <c r="AJ251" s="5">
        <f>97/$AJ$1</f>
        <v>0.80833333333333335</v>
      </c>
      <c r="AL251">
        <v>210</v>
      </c>
      <c r="AM251" s="5">
        <f>AL251/AL254</f>
        <v>0.56756756756756754</v>
      </c>
      <c r="AN251" s="5">
        <f>210/$AN$1</f>
        <v>0.56756756756756754</v>
      </c>
      <c r="AP251">
        <v>240</v>
      </c>
      <c r="AQ251" s="5">
        <f>AP251/AP254</f>
        <v>0.63492063492063489</v>
      </c>
      <c r="AR251" s="5">
        <f>240/$AR$1</f>
        <v>0.63492063492063489</v>
      </c>
      <c r="AT251">
        <v>144</v>
      </c>
      <c r="AU251" s="5">
        <f>AT251/AT254</f>
        <v>0.5714285714285714</v>
      </c>
      <c r="AV251" s="5">
        <f>144/$AV$1</f>
        <v>0.5714285714285714</v>
      </c>
      <c r="AX251">
        <v>148</v>
      </c>
      <c r="AY251" s="5">
        <f>AX251/AX254</f>
        <v>0.54212454212454209</v>
      </c>
      <c r="AZ251" s="5">
        <f>148/$AZ$1</f>
        <v>0.54212454212454209</v>
      </c>
      <c r="BA251" s="5"/>
      <c r="BB251">
        <v>125</v>
      </c>
      <c r="BC251" s="5">
        <f>BB251/BB254</f>
        <v>0.61576354679802958</v>
      </c>
      <c r="BD251" s="5">
        <f>125/$BD$1</f>
        <v>0.61576354679802958</v>
      </c>
      <c r="BF251">
        <v>133</v>
      </c>
      <c r="BG251" s="5">
        <f>BF251/BF254</f>
        <v>0.61860465116279073</v>
      </c>
      <c r="BH251" s="5">
        <f>133/$BH$1</f>
        <v>0.61860465116279073</v>
      </c>
      <c r="BJ251">
        <v>188</v>
      </c>
      <c r="BK251" s="5">
        <f>BJ251/BJ254</f>
        <v>0.60841423948220064</v>
      </c>
      <c r="BL251" s="5">
        <f>188/$BL$1</f>
        <v>0.60841423948220064</v>
      </c>
      <c r="BN251">
        <v>29</v>
      </c>
      <c r="BO251" s="5">
        <f>BN251/BN254</f>
        <v>0.61702127659574468</v>
      </c>
      <c r="BP251" s="5">
        <f>29/$BP$1</f>
        <v>0.61702127659574468</v>
      </c>
      <c r="BR251">
        <v>197</v>
      </c>
      <c r="BS251" s="5">
        <f>BR251/BR254</f>
        <v>0.62738853503184711</v>
      </c>
      <c r="BT251" s="5">
        <f>197/$BT$1</f>
        <v>0.62738853503184711</v>
      </c>
      <c r="BV251">
        <v>240</v>
      </c>
      <c r="BW251" s="5">
        <f>BV251/BV254</f>
        <v>0.61068702290076338</v>
      </c>
      <c r="BX251" s="5">
        <f>240/$BX$1</f>
        <v>0.61068702290076338</v>
      </c>
      <c r="BZ251">
        <v>128</v>
      </c>
      <c r="CA251" s="5">
        <f>BZ251/BZ254</f>
        <v>0.52032520325203258</v>
      </c>
      <c r="CB251" s="5">
        <f>128/$CB$1</f>
        <v>0.52032520325203258</v>
      </c>
      <c r="CD251">
        <v>54</v>
      </c>
      <c r="CE251" s="5">
        <f>CD251/CD254</f>
        <v>0.43902439024390244</v>
      </c>
      <c r="CF251" s="5">
        <f>54/$CF$1</f>
        <v>0.43902439024390244</v>
      </c>
      <c r="CH251">
        <v>428</v>
      </c>
      <c r="CI251" s="5">
        <f>CH251/CH254</f>
        <v>0.62209302325581395</v>
      </c>
      <c r="CJ251" s="5">
        <f>428/$CJ$1</f>
        <v>0.62209302325581395</v>
      </c>
      <c r="CL251">
        <v>448</v>
      </c>
      <c r="CM251" s="5">
        <f>CL251/CL254</f>
        <v>0.59102902374670185</v>
      </c>
      <c r="CN251" s="5">
        <f>448/$CN$1</f>
        <v>0.59102902374670185</v>
      </c>
      <c r="CP251">
        <v>146</v>
      </c>
      <c r="CQ251" s="5">
        <f>CP251/CP254</f>
        <v>0.60330578512396693</v>
      </c>
      <c r="CR251" s="5">
        <f>146/$CR$1</f>
        <v>0.60330578512396693</v>
      </c>
      <c r="CT251">
        <v>0</v>
      </c>
      <c r="CU251" s="5">
        <f>CT251/CT254</f>
        <v>0</v>
      </c>
      <c r="CV251" s="5">
        <f>0/$CV$1</f>
        <v>0</v>
      </c>
      <c r="CX251">
        <v>594</v>
      </c>
      <c r="CY251" s="5">
        <f>CX251/CX254</f>
        <v>0.89055472263868063</v>
      </c>
      <c r="CZ251" s="5">
        <f>594/$CZ$1</f>
        <v>0.89055472263868063</v>
      </c>
    </row>
    <row r="252" spans="1:104" x14ac:dyDescent="0.25">
      <c r="A252" s="1" t="s">
        <v>2900</v>
      </c>
      <c r="B252">
        <v>73</v>
      </c>
      <c r="C252" s="5">
        <f>B252/B254</f>
        <v>7.2999999999999995E-2</v>
      </c>
      <c r="D252" s="5">
        <f>73/$D$1</f>
        <v>7.2999999999999995E-2</v>
      </c>
      <c r="F252">
        <v>39</v>
      </c>
      <c r="G252" s="5">
        <f>F252/F254</f>
        <v>7.7844311377245512E-2</v>
      </c>
      <c r="H252" s="5">
        <f>39/$H$1</f>
        <v>7.7844311377245512E-2</v>
      </c>
      <c r="J252">
        <v>34</v>
      </c>
      <c r="K252" s="5">
        <f>J252/J254</f>
        <v>6.8136272545090179E-2</v>
      </c>
      <c r="L252" s="5">
        <f>34/$L$1</f>
        <v>6.8136272545090179E-2</v>
      </c>
      <c r="N252">
        <v>9</v>
      </c>
      <c r="O252" s="5">
        <f>N252/N254</f>
        <v>9.2783505154639179E-2</v>
      </c>
      <c r="P252" s="5">
        <f>9/$P$1</f>
        <v>9.2783505154639179E-2</v>
      </c>
      <c r="R252">
        <v>14</v>
      </c>
      <c r="S252" s="5">
        <f>R252/R254</f>
        <v>7.0707070707070704E-2</v>
      </c>
      <c r="T252" s="5">
        <f>14/$T$1</f>
        <v>7.0707070707070704E-2</v>
      </c>
      <c r="V252">
        <v>21</v>
      </c>
      <c r="W252" s="5">
        <f>V252/V254</f>
        <v>8.7136929460580909E-2</v>
      </c>
      <c r="X252" s="5">
        <f>21/$X$1</f>
        <v>8.7136929460580909E-2</v>
      </c>
      <c r="Z252">
        <v>10</v>
      </c>
      <c r="AA252" s="5">
        <f>Z252/Z254</f>
        <v>5.0505050505050504E-2</v>
      </c>
      <c r="AB252" s="5">
        <f>10/$AB$1</f>
        <v>5.0505050505050504E-2</v>
      </c>
      <c r="AD252">
        <v>11</v>
      </c>
      <c r="AE252" s="5">
        <f>AD252/AD254</f>
        <v>7.1428571428571425E-2</v>
      </c>
      <c r="AF252" s="5">
        <f>11/$AF$1</f>
        <v>7.1428571428571425E-2</v>
      </c>
      <c r="AH252">
        <v>8</v>
      </c>
      <c r="AI252" s="5">
        <f>AH252/AH254</f>
        <v>6.6666666666666666E-2</v>
      </c>
      <c r="AJ252" s="5">
        <f>8/$AJ$1</f>
        <v>6.6666666666666666E-2</v>
      </c>
      <c r="AL252">
        <v>34</v>
      </c>
      <c r="AM252" s="5">
        <f>AL252/AL254</f>
        <v>9.1891891891891897E-2</v>
      </c>
      <c r="AN252" s="5">
        <f>34/$AN$1</f>
        <v>9.1891891891891897E-2</v>
      </c>
      <c r="AP252">
        <v>22</v>
      </c>
      <c r="AQ252" s="5">
        <f>AP252/AP254</f>
        <v>5.8201058201058198E-2</v>
      </c>
      <c r="AR252" s="5">
        <f>22/$AR$1</f>
        <v>5.8201058201058198E-2</v>
      </c>
      <c r="AT252">
        <v>17</v>
      </c>
      <c r="AU252" s="5">
        <f>AT252/AT254</f>
        <v>6.7460317460317457E-2</v>
      </c>
      <c r="AV252" s="5">
        <f>17/$AV$1</f>
        <v>6.7460317460317457E-2</v>
      </c>
      <c r="AX252">
        <v>20</v>
      </c>
      <c r="AY252" s="5">
        <f>AX252/AX254</f>
        <v>7.3260073260073263E-2</v>
      </c>
      <c r="AZ252" s="5">
        <f>20/$AZ$1</f>
        <v>7.3260073260073263E-2</v>
      </c>
      <c r="BA252" s="5"/>
      <c r="BB252">
        <v>15</v>
      </c>
      <c r="BC252" s="5">
        <f>BB252/BB254</f>
        <v>7.3891625615763554E-2</v>
      </c>
      <c r="BD252" s="5">
        <f>15/$BD$1</f>
        <v>7.3891625615763554E-2</v>
      </c>
      <c r="BF252">
        <v>15</v>
      </c>
      <c r="BG252" s="5">
        <f>BF252/BF254</f>
        <v>6.9767441860465115E-2</v>
      </c>
      <c r="BH252" s="5">
        <f>15/$BH$1</f>
        <v>6.9767441860465115E-2</v>
      </c>
      <c r="BJ252">
        <v>23</v>
      </c>
      <c r="BK252" s="5">
        <f>BJ252/BJ254</f>
        <v>7.4433656957928807E-2</v>
      </c>
      <c r="BL252" s="5">
        <f>23/$BL$1</f>
        <v>7.4433656957928807E-2</v>
      </c>
      <c r="BN252">
        <v>5</v>
      </c>
      <c r="BO252" s="5">
        <f>BN252/BN254</f>
        <v>0.10638297872340426</v>
      </c>
      <c r="BP252" s="5">
        <f>5/$BP$1</f>
        <v>0.10638297872340426</v>
      </c>
      <c r="BR252">
        <v>36</v>
      </c>
      <c r="BS252" s="5">
        <f>BR252/BR254</f>
        <v>0.11464968152866242</v>
      </c>
      <c r="BT252" s="5">
        <f>36/$BT$1</f>
        <v>0.11464968152866242</v>
      </c>
      <c r="BV252">
        <v>24</v>
      </c>
      <c r="BW252" s="5">
        <f>BV252/BV254</f>
        <v>6.1068702290076333E-2</v>
      </c>
      <c r="BX252" s="5">
        <f>24/$BX$1</f>
        <v>6.1068702290076333E-2</v>
      </c>
      <c r="BZ252">
        <v>8</v>
      </c>
      <c r="CA252" s="5">
        <f>BZ252/BZ254</f>
        <v>3.2520325203252036E-2</v>
      </c>
      <c r="CB252" s="5">
        <f>8/$CB$1</f>
        <v>3.2520325203252036E-2</v>
      </c>
      <c r="CD252">
        <v>6</v>
      </c>
      <c r="CE252" s="5">
        <f>CD252/CD254</f>
        <v>4.878048780487805E-2</v>
      </c>
      <c r="CF252" s="5">
        <f>6/$CF$1</f>
        <v>4.878048780487805E-2</v>
      </c>
      <c r="CH252">
        <v>44</v>
      </c>
      <c r="CI252" s="5">
        <f>CH252/CH254</f>
        <v>6.3953488372093026E-2</v>
      </c>
      <c r="CJ252" s="5">
        <f>44/$CJ$1</f>
        <v>6.3953488372093026E-2</v>
      </c>
      <c r="CL252">
        <v>49</v>
      </c>
      <c r="CM252" s="5">
        <f>CL252/CL254</f>
        <v>6.464379947229551E-2</v>
      </c>
      <c r="CN252" s="5">
        <f>49/$CN$1</f>
        <v>6.464379947229551E-2</v>
      </c>
      <c r="CP252">
        <v>24</v>
      </c>
      <c r="CQ252" s="5">
        <f>CP252/CP254</f>
        <v>9.9173553719008267E-2</v>
      </c>
      <c r="CR252" s="5">
        <f>24/$CR$1</f>
        <v>9.9173553719008267E-2</v>
      </c>
      <c r="CT252">
        <v>0</v>
      </c>
      <c r="CU252" s="5">
        <f>CT252/CT254</f>
        <v>0</v>
      </c>
      <c r="CV252" s="5">
        <f>0/$CV$1</f>
        <v>0</v>
      </c>
      <c r="CX252">
        <v>73</v>
      </c>
      <c r="CY252" s="5">
        <f>CX252/CX254</f>
        <v>0.10944527736131934</v>
      </c>
      <c r="CZ252" s="5">
        <f>73/$CZ$1</f>
        <v>0.10944527736131934</v>
      </c>
    </row>
    <row r="253" spans="1:104" x14ac:dyDescent="0.25">
      <c r="A253" s="1" t="s">
        <v>32</v>
      </c>
      <c r="B253">
        <v>0</v>
      </c>
      <c r="C253" s="5">
        <f>B253/B254</f>
        <v>0</v>
      </c>
      <c r="D253" s="5">
        <f>0/$D$1</f>
        <v>0</v>
      </c>
      <c r="F253">
        <v>0</v>
      </c>
      <c r="G253" s="5">
        <f>F253/F254</f>
        <v>0</v>
      </c>
      <c r="H253" s="5">
        <f>0/$H$1</f>
        <v>0</v>
      </c>
      <c r="J253">
        <v>0</v>
      </c>
      <c r="K253" s="5">
        <f>J253/J254</f>
        <v>0</v>
      </c>
      <c r="L253" s="5">
        <f>0/$L$1</f>
        <v>0</v>
      </c>
      <c r="N253">
        <v>0</v>
      </c>
      <c r="O253" s="5">
        <f>N253/N254</f>
        <v>0</v>
      </c>
      <c r="P253" s="5">
        <f>0/$P$1</f>
        <v>0</v>
      </c>
      <c r="R253">
        <v>0</v>
      </c>
      <c r="S253" s="5">
        <f>R253/R254</f>
        <v>0</v>
      </c>
      <c r="T253" s="5">
        <f>0/$T$1</f>
        <v>0</v>
      </c>
      <c r="V253">
        <v>0</v>
      </c>
      <c r="W253" s="5">
        <f>V253/V254</f>
        <v>0</v>
      </c>
      <c r="X253" s="5">
        <f>0/$X$1</f>
        <v>0</v>
      </c>
      <c r="Z253">
        <v>0</v>
      </c>
      <c r="AA253" s="5">
        <f>Z253/Z254</f>
        <v>0</v>
      </c>
      <c r="AB253" s="5">
        <f>0/$AB$1</f>
        <v>0</v>
      </c>
      <c r="AD253">
        <v>0</v>
      </c>
      <c r="AE253" s="5">
        <f>AD253/AD254</f>
        <v>0</v>
      </c>
      <c r="AF253" s="5">
        <f>0/$AF$1</f>
        <v>0</v>
      </c>
      <c r="AH253">
        <v>0</v>
      </c>
      <c r="AI253" s="5">
        <f>AH253/AH254</f>
        <v>0</v>
      </c>
      <c r="AJ253" s="5">
        <f>0/$AJ$1</f>
        <v>0</v>
      </c>
      <c r="AL253">
        <v>0</v>
      </c>
      <c r="AM253" s="5">
        <f>AL253/AL254</f>
        <v>0</v>
      </c>
      <c r="AN253" s="5">
        <f>0/$AN$1</f>
        <v>0</v>
      </c>
      <c r="AP253">
        <v>0</v>
      </c>
      <c r="AQ253" s="5">
        <f>AP253/AP254</f>
        <v>0</v>
      </c>
      <c r="AR253" s="5">
        <f>0/$AR$1</f>
        <v>0</v>
      </c>
      <c r="AT253">
        <v>0</v>
      </c>
      <c r="AU253" s="5">
        <f>AT253/AT254</f>
        <v>0</v>
      </c>
      <c r="AV253" s="5">
        <f>0/$AV$1</f>
        <v>0</v>
      </c>
      <c r="AX253">
        <v>0</v>
      </c>
      <c r="AY253" s="5">
        <f>AX253/AX254</f>
        <v>0</v>
      </c>
      <c r="AZ253" s="5">
        <f>0/$AZ$1</f>
        <v>0</v>
      </c>
      <c r="BA253" s="5"/>
      <c r="BB253">
        <v>0</v>
      </c>
      <c r="BC253" s="5">
        <f>BB253/BB254</f>
        <v>0</v>
      </c>
      <c r="BD253" s="5">
        <f>0/$BD$1</f>
        <v>0</v>
      </c>
      <c r="BF253">
        <v>0</v>
      </c>
      <c r="BG253" s="5">
        <f>BF253/BF254</f>
        <v>0</v>
      </c>
      <c r="BH253" s="5">
        <f>0/$BH$1</f>
        <v>0</v>
      </c>
      <c r="BJ253">
        <v>0</v>
      </c>
      <c r="BK253" s="5">
        <f>BJ253/BJ254</f>
        <v>0</v>
      </c>
      <c r="BL253" s="5">
        <f>0/$BL$1</f>
        <v>0</v>
      </c>
      <c r="BN253">
        <v>0</v>
      </c>
      <c r="BO253" s="5">
        <f>BN253/BN254</f>
        <v>0</v>
      </c>
      <c r="BP253" s="5">
        <f>0/$BP$1</f>
        <v>0</v>
      </c>
      <c r="BR253">
        <v>0</v>
      </c>
      <c r="BS253" s="5">
        <f>BR253/BR254</f>
        <v>0</v>
      </c>
      <c r="BT253" s="5">
        <f>0/$BT$1</f>
        <v>0</v>
      </c>
      <c r="BV253">
        <v>0</v>
      </c>
      <c r="BW253" s="5">
        <f>BV253/BV254</f>
        <v>0</v>
      </c>
      <c r="BX253" s="5">
        <f>0/$BX$1</f>
        <v>0</v>
      </c>
      <c r="BZ253">
        <v>0</v>
      </c>
      <c r="CA253" s="5">
        <f>BZ253/BZ254</f>
        <v>0</v>
      </c>
      <c r="CB253" s="5">
        <f>0/$CB$1</f>
        <v>0</v>
      </c>
      <c r="CD253">
        <v>0</v>
      </c>
      <c r="CE253" s="5">
        <f>CD253/CD254</f>
        <v>0</v>
      </c>
      <c r="CF253" s="5">
        <f>0/$CF$1</f>
        <v>0</v>
      </c>
      <c r="CH253">
        <v>0</v>
      </c>
      <c r="CI253" s="5">
        <f>CH253/CH254</f>
        <v>0</v>
      </c>
      <c r="CJ253" s="5">
        <f>0/$CJ$1</f>
        <v>0</v>
      </c>
      <c r="CL253">
        <v>0</v>
      </c>
      <c r="CM253" s="5">
        <f>CL253/CL254</f>
        <v>0</v>
      </c>
      <c r="CN253" s="5">
        <f>0/$CN$1</f>
        <v>0</v>
      </c>
      <c r="CP253">
        <v>0</v>
      </c>
      <c r="CQ253" s="5">
        <f>CP253/CP254</f>
        <v>0</v>
      </c>
      <c r="CR253" s="5">
        <f>0/$CR$1</f>
        <v>0</v>
      </c>
      <c r="CT253">
        <v>0</v>
      </c>
      <c r="CU253" s="5">
        <f>CT253/CT254</f>
        <v>0</v>
      </c>
      <c r="CV253" s="5">
        <f>0/$CV$1</f>
        <v>0</v>
      </c>
      <c r="CX253">
        <v>0</v>
      </c>
      <c r="CY253" s="5">
        <f>CX253/CX254</f>
        <v>0</v>
      </c>
      <c r="CZ253" s="5">
        <f>0/$CZ$1</f>
        <v>0</v>
      </c>
    </row>
    <row r="254" spans="1:104" s="6" customFormat="1" x14ac:dyDescent="0.25">
      <c r="A254" s="7" t="s">
        <v>33</v>
      </c>
      <c r="B254" s="6">
        <v>1000</v>
      </c>
      <c r="D254" s="8">
        <f>1000/$D$1</f>
        <v>1</v>
      </c>
      <c r="F254" s="6">
        <v>501</v>
      </c>
      <c r="H254" s="8">
        <f>501/$H$1</f>
        <v>1</v>
      </c>
      <c r="J254" s="6">
        <v>499</v>
      </c>
      <c r="L254" s="8">
        <f>499/$L$1</f>
        <v>1</v>
      </c>
      <c r="N254" s="6">
        <v>97</v>
      </c>
      <c r="P254" s="8">
        <f>97/$P$1</f>
        <v>1</v>
      </c>
      <c r="R254" s="6">
        <v>198</v>
      </c>
      <c r="T254" s="8">
        <f>198/$T$1</f>
        <v>1</v>
      </c>
      <c r="V254" s="6">
        <v>241</v>
      </c>
      <c r="X254" s="8">
        <f>241/$X$1</f>
        <v>1</v>
      </c>
      <c r="Z254" s="6">
        <v>198</v>
      </c>
      <c r="AB254" s="8">
        <f>198/$AB$1</f>
        <v>1</v>
      </c>
      <c r="AD254" s="6">
        <v>154</v>
      </c>
      <c r="AF254" s="8">
        <f>154/$AF$1</f>
        <v>1</v>
      </c>
      <c r="AH254" s="6">
        <v>120</v>
      </c>
      <c r="AJ254" s="8">
        <f>120/$AJ$1</f>
        <v>1</v>
      </c>
      <c r="AL254" s="6">
        <v>370</v>
      </c>
      <c r="AN254" s="8">
        <f>370/$AN$1</f>
        <v>1</v>
      </c>
      <c r="AP254" s="6">
        <v>378</v>
      </c>
      <c r="AR254" s="8">
        <f>378/$AR$1</f>
        <v>1</v>
      </c>
      <c r="AT254" s="6">
        <v>252</v>
      </c>
      <c r="AV254" s="8">
        <f>252/$AV$1</f>
        <v>1</v>
      </c>
      <c r="AX254" s="6">
        <v>273</v>
      </c>
      <c r="AZ254" s="8">
        <f>273/$AZ$1</f>
        <v>1</v>
      </c>
      <c r="BA254" s="8"/>
      <c r="BB254" s="6">
        <v>203</v>
      </c>
      <c r="BD254" s="8">
        <f>203/$BD$1</f>
        <v>1</v>
      </c>
      <c r="BF254" s="6">
        <v>215</v>
      </c>
      <c r="BH254" s="8">
        <f>215/$BH$1</f>
        <v>1</v>
      </c>
      <c r="BJ254" s="6">
        <v>309</v>
      </c>
      <c r="BL254" s="8">
        <f>309/$BL$1</f>
        <v>1</v>
      </c>
      <c r="BN254" s="6">
        <v>47</v>
      </c>
      <c r="BP254" s="8">
        <f>47/$BP$1</f>
        <v>1</v>
      </c>
      <c r="BR254" s="6">
        <v>314</v>
      </c>
      <c r="BT254" s="8">
        <f>314/$BT$1</f>
        <v>1</v>
      </c>
      <c r="BV254" s="6">
        <v>393</v>
      </c>
      <c r="BX254" s="8">
        <f>393/$BX$1</f>
        <v>1</v>
      </c>
      <c r="BZ254" s="6">
        <v>246</v>
      </c>
      <c r="CB254" s="8">
        <f>246/$CB$1</f>
        <v>1</v>
      </c>
      <c r="CD254" s="6">
        <v>123</v>
      </c>
      <c r="CF254" s="8">
        <f>123/$CF$1</f>
        <v>1</v>
      </c>
      <c r="CH254" s="6">
        <v>688</v>
      </c>
      <c r="CJ254" s="8">
        <f>688/$CJ$1</f>
        <v>1</v>
      </c>
      <c r="CL254" s="6">
        <v>758</v>
      </c>
      <c r="CN254" s="8">
        <f>758/$CN$1</f>
        <v>1</v>
      </c>
      <c r="CP254" s="6">
        <v>242</v>
      </c>
      <c r="CR254" s="8">
        <f>242/$CR$1</f>
        <v>1</v>
      </c>
      <c r="CT254" s="6">
        <v>333</v>
      </c>
      <c r="CV254" s="8">
        <f>333/$CV$1</f>
        <v>1</v>
      </c>
      <c r="CX254" s="6">
        <v>667</v>
      </c>
      <c r="CZ254" s="8">
        <f>667/$CZ$1</f>
        <v>1</v>
      </c>
    </row>
    <row r="255" spans="1:104" ht="15" hidden="1" customHeight="1" x14ac:dyDescent="0.25">
      <c r="A255" s="9" t="s">
        <v>34</v>
      </c>
      <c r="B255">
        <v>0</v>
      </c>
      <c r="D255" s="10">
        <f>0/$D$1</f>
        <v>0</v>
      </c>
      <c r="F255">
        <v>0</v>
      </c>
      <c r="H255" s="10">
        <f>0/$H$1</f>
        <v>0</v>
      </c>
      <c r="J255">
        <v>0</v>
      </c>
      <c r="L255" s="10">
        <f>0/$L$1</f>
        <v>0</v>
      </c>
      <c r="N255">
        <v>0</v>
      </c>
      <c r="P255" s="10">
        <f>0/$P$1</f>
        <v>0</v>
      </c>
      <c r="R255">
        <v>0</v>
      </c>
      <c r="T255" s="10">
        <f>0/$T$1</f>
        <v>0</v>
      </c>
      <c r="V255">
        <v>0</v>
      </c>
      <c r="X255" s="10">
        <f>0/$X$1</f>
        <v>0</v>
      </c>
      <c r="Z255">
        <v>0</v>
      </c>
      <c r="AB255" s="10">
        <f>0/$AB$1</f>
        <v>0</v>
      </c>
      <c r="AD255">
        <v>0</v>
      </c>
      <c r="AF255" s="10">
        <f>0/$AF$1</f>
        <v>0</v>
      </c>
      <c r="AH255">
        <v>0</v>
      </c>
      <c r="AJ255" s="10">
        <f>0/$AJ$1</f>
        <v>0</v>
      </c>
      <c r="AL255">
        <v>0</v>
      </c>
      <c r="AN255" s="10">
        <f>0/$AN$1</f>
        <v>0</v>
      </c>
      <c r="AP255">
        <v>0</v>
      </c>
      <c r="AR255" s="10">
        <f>0/$AR$1</f>
        <v>0</v>
      </c>
      <c r="AT255">
        <v>0</v>
      </c>
      <c r="AV255" s="10">
        <f>0/$AV$1</f>
        <v>0</v>
      </c>
      <c r="AX255">
        <v>0</v>
      </c>
      <c r="AZ255" s="10">
        <f>0/$AZ$1</f>
        <v>0</v>
      </c>
      <c r="BA255" s="10"/>
      <c r="BB255">
        <v>0</v>
      </c>
      <c r="BD255" s="10">
        <f>0/$BD$1</f>
        <v>0</v>
      </c>
      <c r="BF255">
        <v>0</v>
      </c>
      <c r="BH255" s="10">
        <f>0/$BH$1</f>
        <v>0</v>
      </c>
      <c r="BJ255">
        <v>0</v>
      </c>
      <c r="BL255" s="10">
        <f>0/$BL$1</f>
        <v>0</v>
      </c>
      <c r="BN255">
        <v>0</v>
      </c>
      <c r="BP255" s="10">
        <f>0/$BP$1</f>
        <v>0</v>
      </c>
      <c r="BR255">
        <v>0</v>
      </c>
      <c r="BT255" s="10">
        <f>0/$BT$1</f>
        <v>0</v>
      </c>
      <c r="BV255">
        <v>0</v>
      </c>
      <c r="BX255" s="10">
        <f>0/$BX$1</f>
        <v>0</v>
      </c>
      <c r="BZ255">
        <v>0</v>
      </c>
      <c r="CB255" s="10">
        <f>0/$CB$1</f>
        <v>0</v>
      </c>
      <c r="CD255">
        <v>0</v>
      </c>
      <c r="CF255" s="10">
        <f>0/$CF$1</f>
        <v>0</v>
      </c>
      <c r="CH255">
        <v>0</v>
      </c>
      <c r="CJ255" s="10">
        <f>0/$CJ$1</f>
        <v>0</v>
      </c>
      <c r="CL255">
        <v>0</v>
      </c>
      <c r="CN255" s="10">
        <f>0/$CN$1</f>
        <v>0</v>
      </c>
      <c r="CP255">
        <v>0</v>
      </c>
      <c r="CR255" s="10">
        <f>0/$CR$1</f>
        <v>0</v>
      </c>
      <c r="CT255">
        <v>0</v>
      </c>
      <c r="CV255" s="10">
        <f>0/$CV$1</f>
        <v>0</v>
      </c>
      <c r="CX255">
        <v>0</v>
      </c>
      <c r="CZ255" s="10">
        <f>0/$CZ$1</f>
        <v>0</v>
      </c>
    </row>
    <row r="256" spans="1:104" ht="15" hidden="1" customHeight="1" x14ac:dyDescent="0.25">
      <c r="A256" s="9" t="s">
        <v>35</v>
      </c>
      <c r="B256">
        <v>0</v>
      </c>
      <c r="D256" s="10">
        <f>0/$D$1</f>
        <v>0</v>
      </c>
      <c r="F256">
        <v>0</v>
      </c>
      <c r="H256" s="10">
        <f>0/$H$1</f>
        <v>0</v>
      </c>
      <c r="J256">
        <v>0</v>
      </c>
      <c r="L256" s="10">
        <f>0/$L$1</f>
        <v>0</v>
      </c>
      <c r="N256">
        <v>0</v>
      </c>
      <c r="P256" s="10">
        <f>0/$P$1</f>
        <v>0</v>
      </c>
      <c r="R256">
        <v>0</v>
      </c>
      <c r="T256" s="10">
        <f>0/$T$1</f>
        <v>0</v>
      </c>
      <c r="V256">
        <v>0</v>
      </c>
      <c r="X256" s="10">
        <f>0/$X$1</f>
        <v>0</v>
      </c>
      <c r="Z256">
        <v>0</v>
      </c>
      <c r="AB256" s="10">
        <f>0/$AB$1</f>
        <v>0</v>
      </c>
      <c r="AD256">
        <v>0</v>
      </c>
      <c r="AF256" s="10">
        <f>0/$AF$1</f>
        <v>0</v>
      </c>
      <c r="AH256">
        <v>0</v>
      </c>
      <c r="AJ256" s="10">
        <f>0/$AJ$1</f>
        <v>0</v>
      </c>
      <c r="AL256">
        <v>0</v>
      </c>
      <c r="AN256" s="10">
        <f>0/$AN$1</f>
        <v>0</v>
      </c>
      <c r="AP256">
        <v>0</v>
      </c>
      <c r="AR256" s="10">
        <f>0/$AR$1</f>
        <v>0</v>
      </c>
      <c r="AT256">
        <v>0</v>
      </c>
      <c r="AV256" s="10">
        <f>0/$AV$1</f>
        <v>0</v>
      </c>
      <c r="AX256">
        <v>0</v>
      </c>
      <c r="AZ256" s="10">
        <f>0/$AZ$1</f>
        <v>0</v>
      </c>
      <c r="BA256" s="10"/>
      <c r="BB256">
        <v>0</v>
      </c>
      <c r="BD256" s="10">
        <f>0/$BD$1</f>
        <v>0</v>
      </c>
      <c r="BF256">
        <v>0</v>
      </c>
      <c r="BH256" s="10">
        <f>0/$BH$1</f>
        <v>0</v>
      </c>
      <c r="BJ256">
        <v>0</v>
      </c>
      <c r="BL256" s="10">
        <f>0/$BL$1</f>
        <v>0</v>
      </c>
      <c r="BN256">
        <v>0</v>
      </c>
      <c r="BP256" s="10">
        <f>0/$BP$1</f>
        <v>0</v>
      </c>
      <c r="BR256">
        <v>0</v>
      </c>
      <c r="BT256" s="10">
        <f>0/$BT$1</f>
        <v>0</v>
      </c>
      <c r="BV256">
        <v>0</v>
      </c>
      <c r="BX256" s="10">
        <f>0/$BX$1</f>
        <v>0</v>
      </c>
      <c r="BZ256">
        <v>0</v>
      </c>
      <c r="CB256" s="10">
        <f>0/$CB$1</f>
        <v>0</v>
      </c>
      <c r="CD256">
        <v>0</v>
      </c>
      <c r="CF256" s="10">
        <f>0/$CF$1</f>
        <v>0</v>
      </c>
      <c r="CH256">
        <v>0</v>
      </c>
      <c r="CJ256" s="10">
        <f>0/$CJ$1</f>
        <v>0</v>
      </c>
      <c r="CL256">
        <v>0</v>
      </c>
      <c r="CN256" s="10">
        <f>0/$CN$1</f>
        <v>0</v>
      </c>
      <c r="CP256">
        <v>0</v>
      </c>
      <c r="CR256" s="10">
        <f>0/$CR$1</f>
        <v>0</v>
      </c>
      <c r="CT256">
        <v>0</v>
      </c>
      <c r="CV256" s="10">
        <f>0/$CV$1</f>
        <v>0</v>
      </c>
      <c r="CX256">
        <v>0</v>
      </c>
      <c r="CZ256" s="10">
        <f>0/$CZ$1</f>
        <v>0</v>
      </c>
    </row>
    <row r="258" spans="1:104" s="3" customFormat="1" x14ac:dyDescent="0.25">
      <c r="A258" s="3" t="s">
        <v>2901</v>
      </c>
      <c r="D258" s="4" t="s">
        <v>27</v>
      </c>
      <c r="H258" s="4" t="s">
        <v>27</v>
      </c>
      <c r="L258" s="4" t="s">
        <v>27</v>
      </c>
      <c r="P258" s="4" t="s">
        <v>27</v>
      </c>
      <c r="T258" s="4" t="s">
        <v>27</v>
      </c>
      <c r="X258" s="4" t="s">
        <v>27</v>
      </c>
      <c r="AB258" s="4" t="s">
        <v>27</v>
      </c>
      <c r="AF258" s="4" t="s">
        <v>27</v>
      </c>
      <c r="AJ258" s="4" t="s">
        <v>27</v>
      </c>
      <c r="AN258" s="4" t="s">
        <v>27</v>
      </c>
      <c r="AR258" s="4" t="s">
        <v>27</v>
      </c>
      <c r="AV258" s="4" t="s">
        <v>27</v>
      </c>
      <c r="AZ258" s="4" t="s">
        <v>27</v>
      </c>
      <c r="BA258" s="4"/>
      <c r="BD258" s="4" t="s">
        <v>27</v>
      </c>
      <c r="BH258" s="4" t="s">
        <v>27</v>
      </c>
      <c r="BL258" s="4" t="s">
        <v>27</v>
      </c>
      <c r="BP258" s="4" t="s">
        <v>27</v>
      </c>
      <c r="BT258" s="4" t="s">
        <v>27</v>
      </c>
      <c r="BX258" s="4" t="s">
        <v>27</v>
      </c>
      <c r="CB258" s="4" t="s">
        <v>27</v>
      </c>
      <c r="CF258" s="4" t="s">
        <v>27</v>
      </c>
      <c r="CJ258" s="4" t="s">
        <v>27</v>
      </c>
      <c r="CN258" s="4" t="s">
        <v>27</v>
      </c>
      <c r="CR258" s="4" t="s">
        <v>27</v>
      </c>
      <c r="CV258" s="4" t="s">
        <v>27</v>
      </c>
      <c r="CZ258" s="4" t="s">
        <v>27</v>
      </c>
    </row>
    <row r="259" spans="1:104" x14ac:dyDescent="0.25">
      <c r="A259" s="1" t="s">
        <v>2902</v>
      </c>
      <c r="B259">
        <v>928</v>
      </c>
      <c r="C259" s="5">
        <f>B259/B319</f>
        <v>0.92800000000000005</v>
      </c>
      <c r="D259" s="5">
        <f>928/$D$1</f>
        <v>0.92800000000000005</v>
      </c>
      <c r="F259">
        <v>458</v>
      </c>
      <c r="G259" s="5">
        <f>F259/F319</f>
        <v>0.9141716566866267</v>
      </c>
      <c r="H259" s="5">
        <f>458/$H$1</f>
        <v>0.9141716566866267</v>
      </c>
      <c r="J259">
        <v>470</v>
      </c>
      <c r="K259" s="5">
        <f>J259/J319</f>
        <v>0.94188376753507019</v>
      </c>
      <c r="L259" s="5">
        <f>470/$L$1</f>
        <v>0.94188376753507019</v>
      </c>
      <c r="N259">
        <v>84</v>
      </c>
      <c r="O259" s="5">
        <f>N259/N319</f>
        <v>0.865979381443299</v>
      </c>
      <c r="P259" s="5">
        <f>84/$P$1</f>
        <v>0.865979381443299</v>
      </c>
      <c r="R259">
        <v>181</v>
      </c>
      <c r="S259" s="5">
        <f>R259/R319</f>
        <v>0.91414141414141414</v>
      </c>
      <c r="T259" s="5">
        <f>181/$T$1</f>
        <v>0.91414141414141414</v>
      </c>
      <c r="V259">
        <v>220</v>
      </c>
      <c r="W259" s="5">
        <f>V259/V319</f>
        <v>0.91286307053941906</v>
      </c>
      <c r="X259" s="5">
        <f>220/$X$1</f>
        <v>0.91286307053941906</v>
      </c>
      <c r="Z259">
        <v>193</v>
      </c>
      <c r="AA259" s="5">
        <f>Z259/Z319</f>
        <v>0.9747474747474747</v>
      </c>
      <c r="AB259" s="5">
        <f>193/$AB$1</f>
        <v>0.9747474747474747</v>
      </c>
      <c r="AD259">
        <v>145</v>
      </c>
      <c r="AE259" s="5">
        <f>AD259/AD319</f>
        <v>0.94155844155844159</v>
      </c>
      <c r="AF259" s="5">
        <f>145/$AF$1</f>
        <v>0.94155844155844159</v>
      </c>
      <c r="AH259">
        <v>112</v>
      </c>
      <c r="AI259" s="5">
        <f>AH259/AH319</f>
        <v>0.93333333333333335</v>
      </c>
      <c r="AJ259" s="5">
        <f>112/$AJ$1</f>
        <v>0.93333333333333335</v>
      </c>
      <c r="AL259">
        <v>340</v>
      </c>
      <c r="AM259" s="5">
        <f>AL259/AL319</f>
        <v>0.91891891891891897</v>
      </c>
      <c r="AN259" s="5">
        <f>340/$AN$1</f>
        <v>0.91891891891891897</v>
      </c>
      <c r="AP259">
        <v>357</v>
      </c>
      <c r="AQ259" s="5">
        <f>AP259/AP319</f>
        <v>0.94444444444444442</v>
      </c>
      <c r="AR259" s="5">
        <f>357/$AR$1</f>
        <v>0.94444444444444442</v>
      </c>
      <c r="AT259">
        <v>231</v>
      </c>
      <c r="AU259" s="5">
        <f>AT259/AT319</f>
        <v>0.91666666666666663</v>
      </c>
      <c r="AV259" s="5">
        <f>231/$AV$1</f>
        <v>0.91666666666666663</v>
      </c>
      <c r="AX259">
        <v>258</v>
      </c>
      <c r="AY259" s="5">
        <f>AX259/AX319</f>
        <v>0.94505494505494503</v>
      </c>
      <c r="AZ259" s="5">
        <f>258/$AZ$1</f>
        <v>0.94505494505494503</v>
      </c>
      <c r="BA259" s="5"/>
      <c r="BB259">
        <v>188</v>
      </c>
      <c r="BC259" s="5">
        <f>BB259/BB319</f>
        <v>0.92610837438423643</v>
      </c>
      <c r="BD259" s="5">
        <f>188/$BD$1</f>
        <v>0.92610837438423643</v>
      </c>
      <c r="BF259">
        <v>200</v>
      </c>
      <c r="BG259" s="5">
        <f>BF259/BF319</f>
        <v>0.93023255813953487</v>
      </c>
      <c r="BH259" s="5">
        <f>200/$BH$1</f>
        <v>0.93023255813953487</v>
      </c>
      <c r="BJ259">
        <v>282</v>
      </c>
      <c r="BK259" s="5">
        <f>BJ259/BJ319</f>
        <v>0.91262135922330101</v>
      </c>
      <c r="BL259" s="5">
        <f>282/$BL$1</f>
        <v>0.91262135922330101</v>
      </c>
      <c r="BN259">
        <v>39</v>
      </c>
      <c r="BO259" s="5">
        <f>BN259/BN319</f>
        <v>0.82978723404255317</v>
      </c>
      <c r="BP259" s="5">
        <f>39/$BP$1</f>
        <v>0.82978723404255317</v>
      </c>
      <c r="BR259">
        <v>288</v>
      </c>
      <c r="BS259" s="5">
        <f>BR259/BR319</f>
        <v>0.91719745222929938</v>
      </c>
      <c r="BT259" s="5">
        <f>288/$BT$1</f>
        <v>0.91719745222929938</v>
      </c>
      <c r="BV259">
        <v>365</v>
      </c>
      <c r="BW259" s="5">
        <f>BV259/BV319</f>
        <v>0.92875318066157764</v>
      </c>
      <c r="BX259" s="5">
        <f>365/$BX$1</f>
        <v>0.92875318066157764</v>
      </c>
      <c r="BZ259">
        <v>236</v>
      </c>
      <c r="CA259" s="5">
        <f>BZ259/BZ319</f>
        <v>0.95934959349593496</v>
      </c>
      <c r="CB259" s="5">
        <f>236/$CB$1</f>
        <v>0.95934959349593496</v>
      </c>
      <c r="CD259">
        <v>110</v>
      </c>
      <c r="CE259" s="5">
        <f>CD259/CD319</f>
        <v>0.89430894308943087</v>
      </c>
      <c r="CF259" s="5">
        <f>110/$CF$1</f>
        <v>0.89430894308943087</v>
      </c>
      <c r="CH259">
        <v>648</v>
      </c>
      <c r="CI259" s="5">
        <f>CH259/CH319</f>
        <v>0.94186046511627908</v>
      </c>
      <c r="CJ259" s="5">
        <f>648/$CJ$1</f>
        <v>0.94186046511627908</v>
      </c>
      <c r="CL259">
        <v>715</v>
      </c>
      <c r="CM259" s="5">
        <f>CL259/CL319</f>
        <v>0.94327176781002642</v>
      </c>
      <c r="CN259" s="5">
        <f>715/$CN$1</f>
        <v>0.94327176781002642</v>
      </c>
      <c r="CP259">
        <v>213</v>
      </c>
      <c r="CQ259" s="5">
        <f>CP259/CP319</f>
        <v>0.8801652892561983</v>
      </c>
      <c r="CR259" s="5">
        <f>213/$CR$1</f>
        <v>0.8801652892561983</v>
      </c>
      <c r="CT259">
        <v>316</v>
      </c>
      <c r="CU259" s="5">
        <f>CT259/CT319</f>
        <v>0.94894894894894899</v>
      </c>
      <c r="CV259" s="5">
        <f>316/$CV$1</f>
        <v>0.94894894894894899</v>
      </c>
      <c r="CX259">
        <v>612</v>
      </c>
      <c r="CY259" s="5">
        <f>CX259/CX319</f>
        <v>0.91754122938530736</v>
      </c>
      <c r="CZ259" s="5">
        <f>612/$CZ$1</f>
        <v>0.91754122938530736</v>
      </c>
    </row>
    <row r="260" spans="1:104" x14ac:dyDescent="0.25">
      <c r="A260" s="1" t="s">
        <v>2903</v>
      </c>
      <c r="B260">
        <v>50</v>
      </c>
      <c r="C260" s="5">
        <f>B260/B319</f>
        <v>0.05</v>
      </c>
      <c r="D260" s="5">
        <f>50/$D$1</f>
        <v>0.05</v>
      </c>
      <c r="F260">
        <v>29</v>
      </c>
      <c r="G260" s="5">
        <f>F260/F319</f>
        <v>5.7884231536926151E-2</v>
      </c>
      <c r="H260" s="5">
        <f>29/$H$1</f>
        <v>5.7884231536926151E-2</v>
      </c>
      <c r="J260">
        <v>21</v>
      </c>
      <c r="K260" s="5">
        <f>J260/J319</f>
        <v>4.2084168336673347E-2</v>
      </c>
      <c r="L260" s="5">
        <f>21/$L$1</f>
        <v>4.2084168336673347E-2</v>
      </c>
      <c r="N260">
        <v>10</v>
      </c>
      <c r="O260" s="5">
        <f>N260/N319</f>
        <v>0.10309278350515463</v>
      </c>
      <c r="P260" s="5">
        <f>10/$P$1</f>
        <v>0.10309278350515463</v>
      </c>
      <c r="R260">
        <v>14</v>
      </c>
      <c r="S260" s="5">
        <f>R260/R319</f>
        <v>7.0707070707070704E-2</v>
      </c>
      <c r="T260" s="5">
        <f>14/$T$1</f>
        <v>7.0707070707070704E-2</v>
      </c>
      <c r="V260">
        <v>13</v>
      </c>
      <c r="W260" s="5">
        <f>V260/V319</f>
        <v>5.3941908713692949E-2</v>
      </c>
      <c r="X260" s="5">
        <f>13/$X$1</f>
        <v>5.3941908713692949E-2</v>
      </c>
      <c r="Z260">
        <v>4</v>
      </c>
      <c r="AA260" s="5">
        <f>Z260/Z319</f>
        <v>2.0202020202020204E-2</v>
      </c>
      <c r="AB260" s="5">
        <f>4/$AB$1</f>
        <v>2.0202020202020204E-2</v>
      </c>
      <c r="AD260">
        <v>6</v>
      </c>
      <c r="AE260" s="5">
        <f>AD260/AD319</f>
        <v>3.896103896103896E-2</v>
      </c>
      <c r="AF260" s="5">
        <f>6/$AF$1</f>
        <v>3.896103896103896E-2</v>
      </c>
      <c r="AH260">
        <v>3</v>
      </c>
      <c r="AI260" s="5">
        <f>AH260/AH319</f>
        <v>2.5000000000000001E-2</v>
      </c>
      <c r="AJ260" s="5">
        <f>3/$AJ$1</f>
        <v>2.5000000000000001E-2</v>
      </c>
      <c r="AL260">
        <v>20</v>
      </c>
      <c r="AM260" s="5">
        <f>AL260/AL319</f>
        <v>5.4054054054054057E-2</v>
      </c>
      <c r="AN260" s="5">
        <f>20/$AN$1</f>
        <v>5.4054054054054057E-2</v>
      </c>
      <c r="AP260">
        <v>18</v>
      </c>
      <c r="AQ260" s="5">
        <f>AP260/AP319</f>
        <v>4.7619047619047616E-2</v>
      </c>
      <c r="AR260" s="5">
        <f>18/$AR$1</f>
        <v>4.7619047619047616E-2</v>
      </c>
      <c r="AT260">
        <v>12</v>
      </c>
      <c r="AU260" s="5">
        <f>AT260/AT319</f>
        <v>4.7619047619047616E-2</v>
      </c>
      <c r="AV260" s="5">
        <f>12/$AV$1</f>
        <v>4.7619047619047616E-2</v>
      </c>
      <c r="AX260">
        <v>12</v>
      </c>
      <c r="AY260" s="5">
        <f>AX260/AX319</f>
        <v>4.3956043956043959E-2</v>
      </c>
      <c r="AZ260" s="5">
        <f>12/$AZ$1</f>
        <v>4.3956043956043959E-2</v>
      </c>
      <c r="BA260" s="5"/>
      <c r="BB260">
        <v>11</v>
      </c>
      <c r="BC260" s="5">
        <f>BB260/BB319</f>
        <v>5.4187192118226604E-2</v>
      </c>
      <c r="BD260" s="5">
        <f>11/$BD$1</f>
        <v>5.4187192118226604E-2</v>
      </c>
      <c r="BF260">
        <v>7</v>
      </c>
      <c r="BG260" s="5">
        <f>BF260/BF319</f>
        <v>3.255813953488372E-2</v>
      </c>
      <c r="BH260" s="5">
        <f>7/$BH$1</f>
        <v>3.255813953488372E-2</v>
      </c>
      <c r="BJ260">
        <v>20</v>
      </c>
      <c r="BK260" s="5">
        <f>BJ260/BJ319</f>
        <v>6.4724919093851127E-2</v>
      </c>
      <c r="BL260" s="5">
        <f>20/$BL$1</f>
        <v>6.4724919093851127E-2</v>
      </c>
      <c r="BN260">
        <v>6</v>
      </c>
      <c r="BO260" s="5">
        <f>BN260/BN319</f>
        <v>0.1276595744680851</v>
      </c>
      <c r="BP260" s="5">
        <f>6/$BP$1</f>
        <v>0.1276595744680851</v>
      </c>
      <c r="BR260">
        <v>18</v>
      </c>
      <c r="BS260" s="5">
        <f>BR260/BR319</f>
        <v>5.7324840764331211E-2</v>
      </c>
      <c r="BT260" s="5">
        <f>18/$BT$1</f>
        <v>5.7324840764331211E-2</v>
      </c>
      <c r="BV260">
        <v>18</v>
      </c>
      <c r="BW260" s="5">
        <f>BV260/BV319</f>
        <v>4.5801526717557252E-2</v>
      </c>
      <c r="BX260" s="5">
        <f>18/$BX$1</f>
        <v>4.5801526717557252E-2</v>
      </c>
      <c r="BZ260">
        <v>8</v>
      </c>
      <c r="CA260" s="5">
        <f>BZ260/BZ319</f>
        <v>3.2520325203252036E-2</v>
      </c>
      <c r="CB260" s="5">
        <f>8/$CB$1</f>
        <v>3.2520325203252036E-2</v>
      </c>
      <c r="CD260">
        <v>9</v>
      </c>
      <c r="CE260" s="5">
        <f>CD260/CD319</f>
        <v>7.3170731707317069E-2</v>
      </c>
      <c r="CF260" s="5">
        <f>9/$CF$1</f>
        <v>7.3170731707317069E-2</v>
      </c>
      <c r="CH260">
        <v>31</v>
      </c>
      <c r="CI260" s="5">
        <f>CH260/CH319</f>
        <v>4.5058139534883718E-2</v>
      </c>
      <c r="CJ260" s="5">
        <f>31/$CJ$1</f>
        <v>4.5058139534883718E-2</v>
      </c>
      <c r="CL260">
        <v>32</v>
      </c>
      <c r="CM260" s="5">
        <f>CL260/CL319</f>
        <v>4.221635883905013E-2</v>
      </c>
      <c r="CN260" s="5">
        <f>32/$CN$1</f>
        <v>4.221635883905013E-2</v>
      </c>
      <c r="CP260">
        <v>18</v>
      </c>
      <c r="CQ260" s="5">
        <f>CP260/CP319</f>
        <v>7.43801652892562E-2</v>
      </c>
      <c r="CR260" s="5">
        <f>18/$CR$1</f>
        <v>7.43801652892562E-2</v>
      </c>
      <c r="CT260">
        <v>14</v>
      </c>
      <c r="CU260" s="5">
        <f>CT260/CT319</f>
        <v>4.2042042042042045E-2</v>
      </c>
      <c r="CV260" s="5">
        <f>14/$CV$1</f>
        <v>4.2042042042042045E-2</v>
      </c>
      <c r="CX260">
        <v>36</v>
      </c>
      <c r="CY260" s="5">
        <f>CX260/CX319</f>
        <v>5.3973013493253376E-2</v>
      </c>
      <c r="CZ260" s="5">
        <f>36/$CZ$1</f>
        <v>5.3973013493253376E-2</v>
      </c>
    </row>
    <row r="261" spans="1:104" x14ac:dyDescent="0.25">
      <c r="A261" s="1" t="s">
        <v>2904</v>
      </c>
      <c r="B261">
        <v>21</v>
      </c>
      <c r="C261" s="5">
        <f>B261/B319</f>
        <v>2.1000000000000001E-2</v>
      </c>
      <c r="D261" s="5">
        <f>21/$D$1</f>
        <v>2.1000000000000001E-2</v>
      </c>
      <c r="F261">
        <v>13</v>
      </c>
      <c r="G261" s="5">
        <f>F261/F319</f>
        <v>2.5948103792415168E-2</v>
      </c>
      <c r="H261" s="5">
        <f>13/$H$1</f>
        <v>2.5948103792415168E-2</v>
      </c>
      <c r="J261">
        <v>8</v>
      </c>
      <c r="K261" s="5">
        <f>J261/J319</f>
        <v>1.6032064128256512E-2</v>
      </c>
      <c r="L261" s="5">
        <f>8/$L$1</f>
        <v>1.6032064128256512E-2</v>
      </c>
      <c r="N261">
        <v>2</v>
      </c>
      <c r="O261" s="5">
        <f>N261/N319</f>
        <v>2.0618556701030927E-2</v>
      </c>
      <c r="P261" s="5">
        <f>2/$P$1</f>
        <v>2.0618556701030927E-2</v>
      </c>
      <c r="R261">
        <v>3</v>
      </c>
      <c r="S261" s="5">
        <f>R261/R319</f>
        <v>1.5151515151515152E-2</v>
      </c>
      <c r="T261" s="5">
        <f>3/$T$1</f>
        <v>1.5151515151515152E-2</v>
      </c>
      <c r="V261">
        <v>8</v>
      </c>
      <c r="W261" s="5">
        <f>V261/V319</f>
        <v>3.3195020746887967E-2</v>
      </c>
      <c r="X261" s="5">
        <f>8/$X$1</f>
        <v>3.3195020746887967E-2</v>
      </c>
      <c r="Z261">
        <v>1</v>
      </c>
      <c r="AA261" s="5">
        <f>Z261/Z319</f>
        <v>5.0505050505050509E-3</v>
      </c>
      <c r="AB261" s="5">
        <f>1/$AB$1</f>
        <v>5.0505050505050509E-3</v>
      </c>
      <c r="AD261">
        <v>3</v>
      </c>
      <c r="AE261" s="5">
        <f>AD261/AD319</f>
        <v>1.948051948051948E-2</v>
      </c>
      <c r="AF261" s="5">
        <f>3/$AF$1</f>
        <v>1.948051948051948E-2</v>
      </c>
      <c r="AH261">
        <v>5</v>
      </c>
      <c r="AI261" s="5">
        <f>AH261/AH319</f>
        <v>4.1666666666666664E-2</v>
      </c>
      <c r="AJ261" s="5">
        <f>5/$AJ$1</f>
        <v>4.1666666666666664E-2</v>
      </c>
      <c r="AL261">
        <v>10</v>
      </c>
      <c r="AM261" s="5">
        <f>AL261/AL319</f>
        <v>2.7027027027027029E-2</v>
      </c>
      <c r="AN261" s="5">
        <f>10/$AN$1</f>
        <v>2.7027027027027029E-2</v>
      </c>
      <c r="AP261">
        <v>3</v>
      </c>
      <c r="AQ261" s="5">
        <f>AP261/AP319</f>
        <v>7.9365079365079361E-3</v>
      </c>
      <c r="AR261" s="5">
        <f>3/$AR$1</f>
        <v>7.9365079365079361E-3</v>
      </c>
      <c r="AT261">
        <v>8</v>
      </c>
      <c r="AU261" s="5">
        <f>AT261/AT319</f>
        <v>3.1746031746031744E-2</v>
      </c>
      <c r="AV261" s="5">
        <f>8/$AV$1</f>
        <v>3.1746031746031744E-2</v>
      </c>
      <c r="AX261">
        <v>3</v>
      </c>
      <c r="AY261" s="5">
        <f>AX261/AX319</f>
        <v>1.098901098901099E-2</v>
      </c>
      <c r="AZ261" s="5">
        <f>3/$AZ$1</f>
        <v>1.098901098901099E-2</v>
      </c>
      <c r="BA261" s="5"/>
      <c r="BB261">
        <v>3</v>
      </c>
      <c r="BC261" s="5">
        <f>BB261/BB319</f>
        <v>1.4778325123152709E-2</v>
      </c>
      <c r="BD261" s="5">
        <f>3/$BD$1</f>
        <v>1.4778325123152709E-2</v>
      </c>
      <c r="BF261">
        <v>8</v>
      </c>
      <c r="BG261" s="5">
        <f>BF261/BF319</f>
        <v>3.7209302325581395E-2</v>
      </c>
      <c r="BH261" s="5">
        <f>8/$BH$1</f>
        <v>3.7209302325581395E-2</v>
      </c>
      <c r="BJ261">
        <v>7</v>
      </c>
      <c r="BK261" s="5">
        <f>BJ261/BJ319</f>
        <v>2.2653721682847898E-2</v>
      </c>
      <c r="BL261" s="5">
        <f>7/$BL$1</f>
        <v>2.2653721682847898E-2</v>
      </c>
      <c r="BN261">
        <v>2</v>
      </c>
      <c r="BO261" s="5">
        <f>BN261/BN319</f>
        <v>4.2553191489361701E-2</v>
      </c>
      <c r="BP261" s="5">
        <f>2/$BP$1</f>
        <v>4.2553191489361701E-2</v>
      </c>
      <c r="BR261">
        <v>7</v>
      </c>
      <c r="BS261" s="5">
        <f>BR261/BR319</f>
        <v>2.2292993630573247E-2</v>
      </c>
      <c r="BT261" s="5">
        <f>7/$BT$1</f>
        <v>2.2292993630573247E-2</v>
      </c>
      <c r="BV261">
        <v>10</v>
      </c>
      <c r="BW261" s="5">
        <f>BV261/BV319</f>
        <v>2.5445292620865138E-2</v>
      </c>
      <c r="BX261" s="5">
        <f>10/$BX$1</f>
        <v>2.5445292620865138E-2</v>
      </c>
      <c r="BZ261">
        <v>2</v>
      </c>
      <c r="CA261" s="5">
        <f>BZ261/BZ319</f>
        <v>8.130081300813009E-3</v>
      </c>
      <c r="CB261" s="5">
        <f>2/$CB$1</f>
        <v>8.130081300813009E-3</v>
      </c>
      <c r="CD261">
        <v>4</v>
      </c>
      <c r="CE261" s="5">
        <f>CD261/CD319</f>
        <v>3.2520325203252036E-2</v>
      </c>
      <c r="CF261" s="5">
        <f>4/$CF$1</f>
        <v>3.2520325203252036E-2</v>
      </c>
      <c r="CH261">
        <v>9</v>
      </c>
      <c r="CI261" s="5">
        <f>CH261/CH319</f>
        <v>1.308139534883721E-2</v>
      </c>
      <c r="CJ261" s="5">
        <f>9/$CJ$1</f>
        <v>1.308139534883721E-2</v>
      </c>
      <c r="CL261">
        <v>10</v>
      </c>
      <c r="CM261" s="5">
        <f>CL261/CL319</f>
        <v>1.3192612137203167E-2</v>
      </c>
      <c r="CN261" s="5">
        <f>10/$CN$1</f>
        <v>1.3192612137203167E-2</v>
      </c>
      <c r="CP261">
        <v>11</v>
      </c>
      <c r="CQ261" s="5">
        <f>CP261/CP319</f>
        <v>4.5454545454545456E-2</v>
      </c>
      <c r="CR261" s="5">
        <f>11/$CR$1</f>
        <v>4.5454545454545456E-2</v>
      </c>
      <c r="CT261">
        <v>3</v>
      </c>
      <c r="CU261" s="5">
        <f>CT261/CT319</f>
        <v>9.0090090090090089E-3</v>
      </c>
      <c r="CV261" s="5">
        <f>3/$CV$1</f>
        <v>9.0090090090090089E-3</v>
      </c>
      <c r="CX261">
        <v>18</v>
      </c>
      <c r="CY261" s="5">
        <f>CX261/CX319</f>
        <v>2.6986506746626688E-2</v>
      </c>
      <c r="CZ261" s="5">
        <f>18/$CZ$1</f>
        <v>2.6986506746626688E-2</v>
      </c>
    </row>
    <row r="263" spans="1:104" x14ac:dyDescent="0.25">
      <c r="A263" s="1" t="s">
        <v>2905</v>
      </c>
      <c r="B263">
        <v>668</v>
      </c>
      <c r="C263" s="5">
        <f>B263/B319</f>
        <v>0.66800000000000004</v>
      </c>
      <c r="D263" s="5">
        <f>668/$D$1</f>
        <v>0.66800000000000004</v>
      </c>
      <c r="F263">
        <v>309</v>
      </c>
      <c r="G263" s="5">
        <f>F263/F319</f>
        <v>0.61676646706586824</v>
      </c>
      <c r="H263" s="5">
        <f>309/$H$1</f>
        <v>0.61676646706586824</v>
      </c>
      <c r="J263">
        <v>359</v>
      </c>
      <c r="K263" s="5">
        <f>J263/J319</f>
        <v>0.71943887775551107</v>
      </c>
      <c r="L263" s="5">
        <f>359/$L$1</f>
        <v>0.71943887775551107</v>
      </c>
      <c r="N263">
        <v>64</v>
      </c>
      <c r="O263" s="5">
        <f>N263/N319</f>
        <v>0.65979381443298968</v>
      </c>
      <c r="P263" s="5">
        <f>64/$P$1</f>
        <v>0.65979381443298968</v>
      </c>
      <c r="R263">
        <v>135</v>
      </c>
      <c r="S263" s="5">
        <f>R263/R319</f>
        <v>0.68181818181818177</v>
      </c>
      <c r="T263" s="5">
        <f>135/$T$1</f>
        <v>0.68181818181818177</v>
      </c>
      <c r="V263">
        <v>146</v>
      </c>
      <c r="W263" s="5">
        <f>V263/V319</f>
        <v>0.60580912863070535</v>
      </c>
      <c r="X263" s="5">
        <f>146/$X$1</f>
        <v>0.60580912863070535</v>
      </c>
      <c r="Z263">
        <v>138</v>
      </c>
      <c r="AA263" s="5">
        <f>Z263/Z319</f>
        <v>0.69696969696969702</v>
      </c>
      <c r="AB263" s="5">
        <f>138/$AB$1</f>
        <v>0.69696969696969702</v>
      </c>
      <c r="AD263">
        <v>107</v>
      </c>
      <c r="AE263" s="5">
        <f>AD263/AD319</f>
        <v>0.69480519480519476</v>
      </c>
      <c r="AF263" s="5">
        <f>107/$AF$1</f>
        <v>0.69480519480519476</v>
      </c>
      <c r="AH263">
        <v>81</v>
      </c>
      <c r="AI263" s="5">
        <f>AH263/AH319</f>
        <v>0.67500000000000004</v>
      </c>
      <c r="AJ263" s="5">
        <f>81/$AJ$1</f>
        <v>0.67500000000000004</v>
      </c>
      <c r="AL263">
        <v>243</v>
      </c>
      <c r="AM263" s="5">
        <f>AL263/AL319</f>
        <v>0.65675675675675671</v>
      </c>
      <c r="AN263" s="5">
        <f>243/$AN$1</f>
        <v>0.65675675675675671</v>
      </c>
      <c r="AP263">
        <v>252</v>
      </c>
      <c r="AQ263" s="5">
        <f>AP263/AP319</f>
        <v>0.66666666666666663</v>
      </c>
      <c r="AR263" s="5">
        <f>252/$AR$1</f>
        <v>0.66666666666666663</v>
      </c>
      <c r="AT263">
        <v>173</v>
      </c>
      <c r="AU263" s="5">
        <f>AT263/AT319</f>
        <v>0.68650793650793651</v>
      </c>
      <c r="AV263" s="5">
        <f>173/$AV$1</f>
        <v>0.68650793650793651</v>
      </c>
      <c r="AX263">
        <v>195</v>
      </c>
      <c r="AY263" s="5">
        <f>AX263/AX319</f>
        <v>0.7142857142857143</v>
      </c>
      <c r="AZ263" s="5">
        <f>195/$AZ$1</f>
        <v>0.7142857142857143</v>
      </c>
      <c r="BA263" s="5"/>
      <c r="BB263">
        <v>142</v>
      </c>
      <c r="BC263" s="5">
        <f>BB263/BB319</f>
        <v>0.69950738916256161</v>
      </c>
      <c r="BD263" s="5">
        <f>142/$BD$1</f>
        <v>0.69950738916256161</v>
      </c>
      <c r="BF263">
        <v>137</v>
      </c>
      <c r="BG263" s="5">
        <f>BF263/BF319</f>
        <v>0.63720930232558137</v>
      </c>
      <c r="BH263" s="5">
        <f>137/$BH$1</f>
        <v>0.63720930232558137</v>
      </c>
      <c r="BJ263">
        <v>194</v>
      </c>
      <c r="BK263" s="5">
        <f>BJ263/BJ319</f>
        <v>0.62783171521035597</v>
      </c>
      <c r="BL263" s="5">
        <f>194/$BL$1</f>
        <v>0.62783171521035597</v>
      </c>
      <c r="BN263">
        <v>33</v>
      </c>
      <c r="BO263" s="5">
        <f>BN263/BN319</f>
        <v>0.7021276595744681</v>
      </c>
      <c r="BP263" s="5">
        <f>33/$BP$1</f>
        <v>0.7021276595744681</v>
      </c>
      <c r="BR263">
        <v>187</v>
      </c>
      <c r="BS263" s="5">
        <f>BR263/BR319</f>
        <v>0.59554140127388533</v>
      </c>
      <c r="BT263" s="5">
        <f>187/$BT$1</f>
        <v>0.59554140127388533</v>
      </c>
      <c r="BV263">
        <v>273</v>
      </c>
      <c r="BW263" s="5">
        <f>BV263/BV319</f>
        <v>0.69465648854961837</v>
      </c>
      <c r="BX263" s="5">
        <f>273/$BX$1</f>
        <v>0.69465648854961837</v>
      </c>
      <c r="BZ263">
        <v>175</v>
      </c>
      <c r="CA263" s="5">
        <f>BZ263/BZ319</f>
        <v>0.71138211382113825</v>
      </c>
      <c r="CB263" s="5">
        <f>175/$CB$1</f>
        <v>0.71138211382113825</v>
      </c>
      <c r="CD263">
        <v>79</v>
      </c>
      <c r="CE263" s="5">
        <f>CD263/CD319</f>
        <v>0.64227642276422769</v>
      </c>
      <c r="CF263" s="5">
        <f>79/$CF$1</f>
        <v>0.64227642276422769</v>
      </c>
      <c r="CH263">
        <v>468</v>
      </c>
      <c r="CI263" s="5">
        <f>CH263/CH319</f>
        <v>0.68023255813953487</v>
      </c>
      <c r="CJ263" s="5">
        <f>468/$CJ$1</f>
        <v>0.68023255813953487</v>
      </c>
      <c r="CL263">
        <v>529</v>
      </c>
      <c r="CM263" s="5">
        <f>CL263/CL319</f>
        <v>0.69788918205804751</v>
      </c>
      <c r="CN263" s="5">
        <f>529/$CN$1</f>
        <v>0.69788918205804751</v>
      </c>
      <c r="CP263">
        <v>139</v>
      </c>
      <c r="CQ263" s="5">
        <f>CP263/CP319</f>
        <v>0.57438016528925617</v>
      </c>
      <c r="CR263" s="5">
        <f>139/$CR$1</f>
        <v>0.57438016528925617</v>
      </c>
      <c r="CT263">
        <v>259</v>
      </c>
      <c r="CU263" s="5">
        <f>CT263/CT319</f>
        <v>0.77777777777777779</v>
      </c>
      <c r="CV263" s="5">
        <f>259/$CV$1</f>
        <v>0.77777777777777779</v>
      </c>
      <c r="CX263">
        <v>409</v>
      </c>
      <c r="CY263" s="5">
        <f>CX263/CX319</f>
        <v>0.61319340329835081</v>
      </c>
      <c r="CZ263" s="5">
        <f>409/$CZ$1</f>
        <v>0.61319340329835081</v>
      </c>
    </row>
    <row r="264" spans="1:104" x14ac:dyDescent="0.25">
      <c r="A264" s="1" t="s">
        <v>2906</v>
      </c>
      <c r="B264">
        <v>252</v>
      </c>
      <c r="C264" s="5">
        <f>B264/B319</f>
        <v>0.252</v>
      </c>
      <c r="D264" s="5">
        <f>252/$D$1</f>
        <v>0.252</v>
      </c>
      <c r="F264">
        <v>138</v>
      </c>
      <c r="G264" s="5">
        <f>F264/F319</f>
        <v>0.27544910179640719</v>
      </c>
      <c r="H264" s="5">
        <f>138/$H$1</f>
        <v>0.27544910179640719</v>
      </c>
      <c r="J264">
        <v>114</v>
      </c>
      <c r="K264" s="5">
        <f>J264/J319</f>
        <v>0.22845691382765532</v>
      </c>
      <c r="L264" s="5">
        <f>114/$L$1</f>
        <v>0.22845691382765532</v>
      </c>
      <c r="N264">
        <v>27</v>
      </c>
      <c r="O264" s="5">
        <f>N264/N319</f>
        <v>0.27835051546391754</v>
      </c>
      <c r="P264" s="5">
        <f>27/$P$1</f>
        <v>0.27835051546391754</v>
      </c>
      <c r="R264">
        <v>41</v>
      </c>
      <c r="S264" s="5">
        <f>R264/R319</f>
        <v>0.20707070707070707</v>
      </c>
      <c r="T264" s="5">
        <f>41/$T$1</f>
        <v>0.20707070707070707</v>
      </c>
      <c r="V264">
        <v>74</v>
      </c>
      <c r="W264" s="5">
        <f>V264/V319</f>
        <v>0.30705394190871371</v>
      </c>
      <c r="X264" s="5">
        <f>74/$X$1</f>
        <v>0.30705394190871371</v>
      </c>
      <c r="Z264">
        <v>50</v>
      </c>
      <c r="AA264" s="5">
        <f>Z264/Z319</f>
        <v>0.25252525252525254</v>
      </c>
      <c r="AB264" s="5">
        <f>50/$AB$1</f>
        <v>0.25252525252525254</v>
      </c>
      <c r="AD264">
        <v>33</v>
      </c>
      <c r="AE264" s="5">
        <f>AD264/AD319</f>
        <v>0.21428571428571427</v>
      </c>
      <c r="AF264" s="5">
        <f>33/$AF$1</f>
        <v>0.21428571428571427</v>
      </c>
      <c r="AH264">
        <v>30</v>
      </c>
      <c r="AI264" s="5">
        <f>AH264/AH319</f>
        <v>0.25</v>
      </c>
      <c r="AJ264" s="5">
        <f>30/$AJ$1</f>
        <v>0.25</v>
      </c>
      <c r="AL264">
        <v>94</v>
      </c>
      <c r="AM264" s="5">
        <f>AL264/AL319</f>
        <v>0.25405405405405407</v>
      </c>
      <c r="AN264" s="5">
        <f>94/$AN$1</f>
        <v>0.25405405405405407</v>
      </c>
      <c r="AP264">
        <v>101</v>
      </c>
      <c r="AQ264" s="5">
        <f>AP264/AP319</f>
        <v>0.26719576719576721</v>
      </c>
      <c r="AR264" s="5">
        <f>101/$AR$1</f>
        <v>0.26719576719576721</v>
      </c>
      <c r="AT264">
        <v>57</v>
      </c>
      <c r="AU264" s="5">
        <f>AT264/AT319</f>
        <v>0.22619047619047619</v>
      </c>
      <c r="AV264" s="5">
        <f>57/$AV$1</f>
        <v>0.22619047619047619</v>
      </c>
      <c r="AX264">
        <v>60</v>
      </c>
      <c r="AY264" s="5">
        <f>AX264/AX319</f>
        <v>0.21978021978021978</v>
      </c>
      <c r="AZ264" s="5">
        <f>60/$AZ$1</f>
        <v>0.21978021978021978</v>
      </c>
      <c r="BA264" s="5"/>
      <c r="BB264">
        <v>46</v>
      </c>
      <c r="BC264" s="5">
        <f>BB264/BB319</f>
        <v>0.22660098522167488</v>
      </c>
      <c r="BD264" s="5">
        <f>46/$BD$1</f>
        <v>0.22660098522167488</v>
      </c>
      <c r="BF264">
        <v>56</v>
      </c>
      <c r="BG264" s="5">
        <f>BF264/BF319</f>
        <v>0.26046511627906976</v>
      </c>
      <c r="BH264" s="5">
        <f>56/$BH$1</f>
        <v>0.26046511627906976</v>
      </c>
      <c r="BJ264">
        <v>90</v>
      </c>
      <c r="BK264" s="5">
        <f>BJ264/BJ319</f>
        <v>0.29126213592233008</v>
      </c>
      <c r="BL264" s="5">
        <f>90/$BL$1</f>
        <v>0.29126213592233008</v>
      </c>
      <c r="BN264">
        <v>9</v>
      </c>
      <c r="BO264" s="5">
        <f>BN264/BN319</f>
        <v>0.19148936170212766</v>
      </c>
      <c r="BP264" s="5">
        <f>9/$BP$1</f>
        <v>0.19148936170212766</v>
      </c>
      <c r="BR264">
        <v>95</v>
      </c>
      <c r="BS264" s="5">
        <f>BR264/BR319</f>
        <v>0.30254777070063693</v>
      </c>
      <c r="BT264" s="5">
        <f>95/$BT$1</f>
        <v>0.30254777070063693</v>
      </c>
      <c r="BV264">
        <v>89</v>
      </c>
      <c r="BW264" s="5">
        <f>BV264/BV319</f>
        <v>0.22646310432569974</v>
      </c>
      <c r="BX264" s="5">
        <f>89/$BX$1</f>
        <v>0.22646310432569974</v>
      </c>
      <c r="BZ264">
        <v>59</v>
      </c>
      <c r="CA264" s="5">
        <f>BZ264/BZ319</f>
        <v>0.23983739837398374</v>
      </c>
      <c r="CB264" s="5">
        <f>59/$CB$1</f>
        <v>0.23983739837398374</v>
      </c>
      <c r="CD264">
        <v>33</v>
      </c>
      <c r="CE264" s="5">
        <f>CD264/CD319</f>
        <v>0.26829268292682928</v>
      </c>
      <c r="CF264" s="5">
        <f>33/$CF$1</f>
        <v>0.26829268292682928</v>
      </c>
      <c r="CH264">
        <v>172</v>
      </c>
      <c r="CI264" s="5">
        <f>CH264/CH319</f>
        <v>0.25</v>
      </c>
      <c r="CJ264" s="5">
        <f>172/$CJ$1</f>
        <v>0.25</v>
      </c>
      <c r="CL264">
        <v>187</v>
      </c>
      <c r="CM264" s="5">
        <f>CL264/CL319</f>
        <v>0.24670184696569922</v>
      </c>
      <c r="CN264" s="5">
        <f>187/$CN$1</f>
        <v>0.24670184696569922</v>
      </c>
      <c r="CP264">
        <v>65</v>
      </c>
      <c r="CQ264" s="5">
        <f>CP264/CP319</f>
        <v>0.26859504132231404</v>
      </c>
      <c r="CR264" s="5">
        <f>65/$CR$1</f>
        <v>0.26859504132231404</v>
      </c>
      <c r="CT264">
        <v>63</v>
      </c>
      <c r="CU264" s="5">
        <f>CT264/CT319</f>
        <v>0.1891891891891892</v>
      </c>
      <c r="CV264" s="5">
        <f>63/$CV$1</f>
        <v>0.1891891891891892</v>
      </c>
      <c r="CX264">
        <v>189</v>
      </c>
      <c r="CY264" s="5">
        <f>CX264/CX319</f>
        <v>0.28335832083958024</v>
      </c>
      <c r="CZ264" s="5">
        <f>189/$CZ$1</f>
        <v>0.28335832083958024</v>
      </c>
    </row>
    <row r="265" spans="1:104" x14ac:dyDescent="0.25">
      <c r="A265" s="1" t="s">
        <v>2907</v>
      </c>
      <c r="B265">
        <v>80</v>
      </c>
      <c r="C265" s="5">
        <f>B265/B319</f>
        <v>0.08</v>
      </c>
      <c r="D265" s="5">
        <f>80/$D$1</f>
        <v>0.08</v>
      </c>
      <c r="F265">
        <v>54</v>
      </c>
      <c r="G265" s="5">
        <f>F265/F319</f>
        <v>0.10778443113772455</v>
      </c>
      <c r="H265" s="5">
        <f>54/$H$1</f>
        <v>0.10778443113772455</v>
      </c>
      <c r="J265">
        <v>26</v>
      </c>
      <c r="K265" s="5">
        <f>J265/J319</f>
        <v>5.2104208416833664E-2</v>
      </c>
      <c r="L265" s="5">
        <f>26/$L$1</f>
        <v>5.2104208416833664E-2</v>
      </c>
      <c r="N265">
        <v>6</v>
      </c>
      <c r="O265" s="5">
        <f>N265/N319</f>
        <v>6.1855670103092786E-2</v>
      </c>
      <c r="P265" s="5">
        <f>6/$P$1</f>
        <v>6.1855670103092786E-2</v>
      </c>
      <c r="R265">
        <v>22</v>
      </c>
      <c r="S265" s="5">
        <f>R265/R319</f>
        <v>0.1111111111111111</v>
      </c>
      <c r="T265" s="5">
        <f>22/$T$1</f>
        <v>0.1111111111111111</v>
      </c>
      <c r="V265">
        <v>21</v>
      </c>
      <c r="W265" s="5">
        <f>V265/V319</f>
        <v>8.7136929460580909E-2</v>
      </c>
      <c r="X265" s="5">
        <f>21/$X$1</f>
        <v>8.7136929460580909E-2</v>
      </c>
      <c r="Z265">
        <v>10</v>
      </c>
      <c r="AA265" s="5">
        <f>Z265/Z319</f>
        <v>5.0505050505050504E-2</v>
      </c>
      <c r="AB265" s="5">
        <f>10/$AB$1</f>
        <v>5.0505050505050504E-2</v>
      </c>
      <c r="AD265">
        <v>14</v>
      </c>
      <c r="AE265" s="5">
        <f>AD265/AD319</f>
        <v>9.0909090909090912E-2</v>
      </c>
      <c r="AF265" s="5">
        <f>14/$AF$1</f>
        <v>9.0909090909090912E-2</v>
      </c>
      <c r="AH265">
        <v>9</v>
      </c>
      <c r="AI265" s="5">
        <f>AH265/AH319</f>
        <v>7.4999999999999997E-2</v>
      </c>
      <c r="AJ265" s="5">
        <f>9/$AJ$1</f>
        <v>7.4999999999999997E-2</v>
      </c>
      <c r="AL265">
        <v>33</v>
      </c>
      <c r="AM265" s="5">
        <f>AL265/AL319</f>
        <v>8.9189189189189194E-2</v>
      </c>
      <c r="AN265" s="5">
        <f>33/$AN$1</f>
        <v>8.9189189189189194E-2</v>
      </c>
      <c r="AP265">
        <v>25</v>
      </c>
      <c r="AQ265" s="5">
        <f>AP265/AP319</f>
        <v>6.6137566137566134E-2</v>
      </c>
      <c r="AR265" s="5">
        <f>25/$AR$1</f>
        <v>6.6137566137566134E-2</v>
      </c>
      <c r="AT265">
        <v>22</v>
      </c>
      <c r="AU265" s="5">
        <f>AT265/AT319</f>
        <v>8.7301587301587297E-2</v>
      </c>
      <c r="AV265" s="5">
        <f>22/$AV$1</f>
        <v>8.7301587301587297E-2</v>
      </c>
      <c r="AX265">
        <v>18</v>
      </c>
      <c r="AY265" s="5">
        <f>AX265/AX319</f>
        <v>6.5934065934065936E-2</v>
      </c>
      <c r="AZ265" s="5">
        <f>18/$AZ$1</f>
        <v>6.5934065934065936E-2</v>
      </c>
      <c r="BA265" s="5"/>
      <c r="BB265">
        <v>15</v>
      </c>
      <c r="BC265" s="5">
        <f>BB265/BB319</f>
        <v>7.3891625615763554E-2</v>
      </c>
      <c r="BD265" s="5">
        <f>15/$BD$1</f>
        <v>7.3891625615763554E-2</v>
      </c>
      <c r="BF265">
        <v>22</v>
      </c>
      <c r="BG265" s="5">
        <f>BF265/BF319</f>
        <v>0.10232558139534884</v>
      </c>
      <c r="BH265" s="5">
        <f>22/$BH$1</f>
        <v>0.10232558139534884</v>
      </c>
      <c r="BJ265">
        <v>25</v>
      </c>
      <c r="BK265" s="5">
        <f>BJ265/BJ319</f>
        <v>8.0906148867313912E-2</v>
      </c>
      <c r="BL265" s="5">
        <f>25/$BL$1</f>
        <v>8.0906148867313912E-2</v>
      </c>
      <c r="BN265">
        <v>5</v>
      </c>
      <c r="BO265" s="5">
        <f>BN265/BN319</f>
        <v>0.10638297872340426</v>
      </c>
      <c r="BP265" s="5">
        <f>5/$BP$1</f>
        <v>0.10638297872340426</v>
      </c>
      <c r="BR265">
        <v>32</v>
      </c>
      <c r="BS265" s="5">
        <f>BR265/BR319</f>
        <v>0.10191082802547771</v>
      </c>
      <c r="BT265" s="5">
        <f>32/$BT$1</f>
        <v>0.10191082802547771</v>
      </c>
      <c r="BV265">
        <v>31</v>
      </c>
      <c r="BW265" s="5">
        <f>BV265/BV319</f>
        <v>7.8880407124681931E-2</v>
      </c>
      <c r="BX265" s="5">
        <f>31/$BX$1</f>
        <v>7.8880407124681931E-2</v>
      </c>
      <c r="BZ265">
        <v>12</v>
      </c>
      <c r="CA265" s="5">
        <f>BZ265/BZ319</f>
        <v>4.878048780487805E-2</v>
      </c>
      <c r="CB265" s="5">
        <f>12/$CB$1</f>
        <v>4.878048780487805E-2</v>
      </c>
      <c r="CD265">
        <v>11</v>
      </c>
      <c r="CE265" s="5">
        <f>CD265/CD319</f>
        <v>8.943089430894309E-2</v>
      </c>
      <c r="CF265" s="5">
        <f>11/$CF$1</f>
        <v>8.943089430894309E-2</v>
      </c>
      <c r="CH265">
        <v>48</v>
      </c>
      <c r="CI265" s="5">
        <f>CH265/CH319</f>
        <v>6.9767441860465115E-2</v>
      </c>
      <c r="CJ265" s="5">
        <f>48/$CJ$1</f>
        <v>6.9767441860465115E-2</v>
      </c>
      <c r="CL265">
        <v>42</v>
      </c>
      <c r="CM265" s="5">
        <f>CL265/CL319</f>
        <v>5.5408970976253295E-2</v>
      </c>
      <c r="CN265" s="5">
        <f>42/$CN$1</f>
        <v>5.5408970976253295E-2</v>
      </c>
      <c r="CP265">
        <v>38</v>
      </c>
      <c r="CQ265" s="5">
        <f>CP265/CP319</f>
        <v>0.15702479338842976</v>
      </c>
      <c r="CR265" s="5">
        <f>38/$CR$1</f>
        <v>0.15702479338842976</v>
      </c>
      <c r="CT265">
        <v>11</v>
      </c>
      <c r="CU265" s="5">
        <f>CT265/CT319</f>
        <v>3.3033033033033031E-2</v>
      </c>
      <c r="CV265" s="5">
        <f>11/$CV$1</f>
        <v>3.3033033033033031E-2</v>
      </c>
      <c r="CX265">
        <v>69</v>
      </c>
      <c r="CY265" s="5">
        <f>CX265/CX319</f>
        <v>0.10344827586206896</v>
      </c>
      <c r="CZ265" s="5">
        <f>69/$CZ$1</f>
        <v>0.10344827586206896</v>
      </c>
    </row>
    <row r="267" spans="1:104" x14ac:dyDescent="0.25">
      <c r="A267" s="1" t="s">
        <v>2908</v>
      </c>
      <c r="B267">
        <v>260</v>
      </c>
      <c r="C267" s="5">
        <f>B267/B319</f>
        <v>0.26</v>
      </c>
      <c r="D267" s="5">
        <f>260/$D$1</f>
        <v>0.26</v>
      </c>
      <c r="F267">
        <v>94</v>
      </c>
      <c r="G267" s="5">
        <f>F267/F319</f>
        <v>0.18762475049900199</v>
      </c>
      <c r="H267" s="5">
        <f>94/$H$1</f>
        <v>0.18762475049900199</v>
      </c>
      <c r="J267">
        <v>166</v>
      </c>
      <c r="K267" s="5">
        <f>J267/J319</f>
        <v>0.33266533066132264</v>
      </c>
      <c r="L267" s="5">
        <f>166/$L$1</f>
        <v>0.33266533066132264</v>
      </c>
      <c r="N267">
        <v>19</v>
      </c>
      <c r="O267" s="5">
        <f>N267/N319</f>
        <v>0.19587628865979381</v>
      </c>
      <c r="P267" s="5">
        <f>19/$P$1</f>
        <v>0.19587628865979381</v>
      </c>
      <c r="R267">
        <v>56</v>
      </c>
      <c r="S267" s="5">
        <f>R267/R319</f>
        <v>0.28282828282828282</v>
      </c>
      <c r="T267" s="5">
        <f>56/$T$1</f>
        <v>0.28282828282828282</v>
      </c>
      <c r="V267">
        <v>69</v>
      </c>
      <c r="W267" s="5">
        <f>V267/V319</f>
        <v>0.2863070539419087</v>
      </c>
      <c r="X267" s="5">
        <f>69/$X$1</f>
        <v>0.2863070539419087</v>
      </c>
      <c r="Z267">
        <v>37</v>
      </c>
      <c r="AA267" s="5">
        <f>Z267/Z319</f>
        <v>0.18686868686868688</v>
      </c>
      <c r="AB267" s="5">
        <f>37/$AB$1</f>
        <v>0.18686868686868688</v>
      </c>
      <c r="AD267">
        <v>46</v>
      </c>
      <c r="AE267" s="5">
        <f>AD267/AD319</f>
        <v>0.29870129870129869</v>
      </c>
      <c r="AF267" s="5">
        <f>46/$AF$1</f>
        <v>0.29870129870129869</v>
      </c>
      <c r="AH267">
        <v>36</v>
      </c>
      <c r="AI267" s="5">
        <f>AH267/AH319</f>
        <v>0.3</v>
      </c>
      <c r="AJ267" s="5">
        <f>36/$AJ$1</f>
        <v>0.3</v>
      </c>
      <c r="AL267">
        <v>95</v>
      </c>
      <c r="AM267" s="5">
        <f>AL267/AL319</f>
        <v>0.25675675675675674</v>
      </c>
      <c r="AN267" s="5">
        <f>95/$AN$1</f>
        <v>0.25675675675675674</v>
      </c>
      <c r="AP267">
        <v>97</v>
      </c>
      <c r="AQ267" s="5">
        <f>AP267/AP319</f>
        <v>0.25661375661375663</v>
      </c>
      <c r="AR267" s="5">
        <f>97/$AR$1</f>
        <v>0.25661375661375663</v>
      </c>
      <c r="AT267">
        <v>68</v>
      </c>
      <c r="AU267" s="5">
        <f>AT267/AT319</f>
        <v>0.26984126984126983</v>
      </c>
      <c r="AV267" s="5">
        <f>68/$AV$1</f>
        <v>0.26984126984126983</v>
      </c>
      <c r="AX267">
        <v>70</v>
      </c>
      <c r="AY267" s="5">
        <f>AX267/AX319</f>
        <v>0.25641025641025639</v>
      </c>
      <c r="AZ267" s="5">
        <f>70/$AZ$1</f>
        <v>0.25641025641025639</v>
      </c>
      <c r="BA267" s="5"/>
      <c r="BB267">
        <v>49</v>
      </c>
      <c r="BC267" s="5">
        <f>BB267/BB319</f>
        <v>0.2413793103448276</v>
      </c>
      <c r="BD267" s="5">
        <f>49/$BD$1</f>
        <v>0.2413793103448276</v>
      </c>
      <c r="BF267">
        <v>57</v>
      </c>
      <c r="BG267" s="5">
        <f>BF267/BF319</f>
        <v>0.26511627906976742</v>
      </c>
      <c r="BH267" s="5">
        <f>57/$BH$1</f>
        <v>0.26511627906976742</v>
      </c>
      <c r="BJ267">
        <v>84</v>
      </c>
      <c r="BK267" s="5">
        <f>BJ267/BJ319</f>
        <v>0.27184466019417475</v>
      </c>
      <c r="BL267" s="5">
        <f>84/$BL$1</f>
        <v>0.27184466019417475</v>
      </c>
      <c r="BN267">
        <v>12</v>
      </c>
      <c r="BO267" s="5">
        <f>BN267/BN319</f>
        <v>0.25531914893617019</v>
      </c>
      <c r="BP267" s="5">
        <f>12/$BP$1</f>
        <v>0.25531914893617019</v>
      </c>
      <c r="BR267">
        <v>76</v>
      </c>
      <c r="BS267" s="5">
        <f>BR267/BR319</f>
        <v>0.24203821656050956</v>
      </c>
      <c r="BT267" s="5">
        <f>76/$BT$1</f>
        <v>0.24203821656050956</v>
      </c>
      <c r="BV267">
        <v>103</v>
      </c>
      <c r="BW267" s="5">
        <f>BV267/BV319</f>
        <v>0.26208651399491095</v>
      </c>
      <c r="BX267" s="5">
        <f>103/$BX$1</f>
        <v>0.26208651399491095</v>
      </c>
      <c r="BZ267">
        <v>69</v>
      </c>
      <c r="CA267" s="5">
        <f>BZ267/BZ319</f>
        <v>0.28048780487804881</v>
      </c>
      <c r="CB267" s="5">
        <f>69/$CB$1</f>
        <v>0.28048780487804881</v>
      </c>
      <c r="CD267">
        <v>38</v>
      </c>
      <c r="CE267" s="5">
        <f>CD267/CD319</f>
        <v>0.30894308943089432</v>
      </c>
      <c r="CF267" s="5">
        <f>38/$CF$1</f>
        <v>0.30894308943089432</v>
      </c>
      <c r="CH267">
        <v>180</v>
      </c>
      <c r="CI267" s="5">
        <f>CH267/CH319</f>
        <v>0.26162790697674421</v>
      </c>
      <c r="CJ267" s="5">
        <f>180/$CJ$1</f>
        <v>0.26162790697674421</v>
      </c>
      <c r="CL267">
        <v>216</v>
      </c>
      <c r="CM267" s="5">
        <f>CL267/CL319</f>
        <v>0.28496042216358841</v>
      </c>
      <c r="CN267" s="5">
        <f>216/$CN$1</f>
        <v>0.28496042216358841</v>
      </c>
      <c r="CP267">
        <v>44</v>
      </c>
      <c r="CQ267" s="5">
        <f>CP267/CP319</f>
        <v>0.18181818181818182</v>
      </c>
      <c r="CR267" s="5">
        <f>44/$CR$1</f>
        <v>0.18181818181818182</v>
      </c>
      <c r="CT267">
        <v>113</v>
      </c>
      <c r="CU267" s="5">
        <f>CT267/CT319</f>
        <v>0.33933933933933935</v>
      </c>
      <c r="CV267" s="5">
        <f>113/$CV$1</f>
        <v>0.33933933933933935</v>
      </c>
      <c r="CX267">
        <v>147</v>
      </c>
      <c r="CY267" s="5">
        <f>CX267/CX319</f>
        <v>0.22038980509745126</v>
      </c>
      <c r="CZ267" s="5">
        <f>147/$CZ$1</f>
        <v>0.22038980509745126</v>
      </c>
    </row>
    <row r="268" spans="1:104" x14ac:dyDescent="0.25">
      <c r="A268" s="1" t="s">
        <v>2909</v>
      </c>
      <c r="B268">
        <v>196</v>
      </c>
      <c r="C268" s="5">
        <f>B268/B319</f>
        <v>0.19600000000000001</v>
      </c>
      <c r="D268" s="5">
        <f>196/$D$1</f>
        <v>0.19600000000000001</v>
      </c>
      <c r="F268">
        <v>94</v>
      </c>
      <c r="G268" s="5">
        <f>F268/F319</f>
        <v>0.18762475049900199</v>
      </c>
      <c r="H268" s="5">
        <f>94/$H$1</f>
        <v>0.18762475049900199</v>
      </c>
      <c r="J268">
        <v>102</v>
      </c>
      <c r="K268" s="5">
        <f>J268/J319</f>
        <v>0.20440881763527055</v>
      </c>
      <c r="L268" s="5">
        <f>102/$L$1</f>
        <v>0.20440881763527055</v>
      </c>
      <c r="N268">
        <v>25</v>
      </c>
      <c r="O268" s="5">
        <f>N268/N319</f>
        <v>0.25773195876288657</v>
      </c>
      <c r="P268" s="5">
        <f>25/$P$1</f>
        <v>0.25773195876288657</v>
      </c>
      <c r="R268">
        <v>32</v>
      </c>
      <c r="S268" s="5">
        <f>R268/R319</f>
        <v>0.16161616161616163</v>
      </c>
      <c r="T268" s="5">
        <f>32/$T$1</f>
        <v>0.16161616161616163</v>
      </c>
      <c r="V268">
        <v>39</v>
      </c>
      <c r="W268" s="5">
        <f>V268/V319</f>
        <v>0.16182572614107885</v>
      </c>
      <c r="X268" s="5">
        <f>39/$X$1</f>
        <v>0.16182572614107885</v>
      </c>
      <c r="Z268">
        <v>40</v>
      </c>
      <c r="AA268" s="5">
        <f>Z268/Z319</f>
        <v>0.20202020202020202</v>
      </c>
      <c r="AB268" s="5">
        <f>40/$AB$1</f>
        <v>0.20202020202020202</v>
      </c>
      <c r="AD268">
        <v>36</v>
      </c>
      <c r="AE268" s="5">
        <f>AD268/AD319</f>
        <v>0.23376623376623376</v>
      </c>
      <c r="AF268" s="5">
        <f>36/$AF$1</f>
        <v>0.23376623376623376</v>
      </c>
      <c r="AH268">
        <v>25</v>
      </c>
      <c r="AI268" s="5">
        <f>AH268/AH319</f>
        <v>0.20833333333333334</v>
      </c>
      <c r="AJ268" s="5">
        <f>25/$AJ$1</f>
        <v>0.20833333333333334</v>
      </c>
      <c r="AL268">
        <v>82</v>
      </c>
      <c r="AM268" s="5">
        <f>AL268/AL319</f>
        <v>0.22162162162162163</v>
      </c>
      <c r="AN268" s="5">
        <f>82/$AN$1</f>
        <v>0.22162162162162163</v>
      </c>
      <c r="AP268">
        <v>75</v>
      </c>
      <c r="AQ268" s="5">
        <f>AP268/AP319</f>
        <v>0.1984126984126984</v>
      </c>
      <c r="AR268" s="5">
        <f>75/$AR$1</f>
        <v>0.1984126984126984</v>
      </c>
      <c r="AT268">
        <v>39</v>
      </c>
      <c r="AU268" s="5">
        <f>AT268/AT319</f>
        <v>0.15476190476190477</v>
      </c>
      <c r="AV268" s="5">
        <f>39/$AV$1</f>
        <v>0.15476190476190477</v>
      </c>
      <c r="AX268">
        <v>54</v>
      </c>
      <c r="AY268" s="5">
        <f>AX268/AX319</f>
        <v>0.19780219780219779</v>
      </c>
      <c r="AZ268" s="5">
        <f>54/$AZ$1</f>
        <v>0.19780219780219779</v>
      </c>
      <c r="BA268" s="5"/>
      <c r="BB268">
        <v>45</v>
      </c>
      <c r="BC268" s="5">
        <f>BB268/BB319</f>
        <v>0.22167487684729065</v>
      </c>
      <c r="BD268" s="5">
        <f>45/$BD$1</f>
        <v>0.22167487684729065</v>
      </c>
      <c r="BF268">
        <v>31</v>
      </c>
      <c r="BG268" s="5">
        <f>BF268/BF319</f>
        <v>0.14418604651162792</v>
      </c>
      <c r="BH268" s="5">
        <f>31/$BH$1</f>
        <v>0.14418604651162792</v>
      </c>
      <c r="BJ268">
        <v>66</v>
      </c>
      <c r="BK268" s="5">
        <f>BJ268/BJ319</f>
        <v>0.21359223300970873</v>
      </c>
      <c r="BL268" s="5">
        <f>66/$BL$1</f>
        <v>0.21359223300970873</v>
      </c>
      <c r="BN268">
        <v>12</v>
      </c>
      <c r="BO268" s="5">
        <f>BN268/BN319</f>
        <v>0.25531914893617019</v>
      </c>
      <c r="BP268" s="5">
        <f>12/$BP$1</f>
        <v>0.25531914893617019</v>
      </c>
      <c r="BR268">
        <v>64</v>
      </c>
      <c r="BS268" s="5">
        <f>BR268/BR319</f>
        <v>0.20382165605095542</v>
      </c>
      <c r="BT268" s="5">
        <f>64/$BT$1</f>
        <v>0.20382165605095542</v>
      </c>
      <c r="BV268">
        <v>76</v>
      </c>
      <c r="BW268" s="5">
        <f>BV268/BV319</f>
        <v>0.19338422391857507</v>
      </c>
      <c r="BX268" s="5">
        <f>76/$BX$1</f>
        <v>0.19338422391857507</v>
      </c>
      <c r="BZ268">
        <v>44</v>
      </c>
      <c r="CA268" s="5">
        <f>BZ268/BZ319</f>
        <v>0.17886178861788618</v>
      </c>
      <c r="CB268" s="5">
        <f>44/$CB$1</f>
        <v>0.17886178861788618</v>
      </c>
      <c r="CD268">
        <v>20</v>
      </c>
      <c r="CE268" s="5">
        <f>CD268/CD319</f>
        <v>0.16260162601626016</v>
      </c>
      <c r="CF268" s="5">
        <f>20/$CF$1</f>
        <v>0.16260162601626016</v>
      </c>
      <c r="CH268">
        <v>149</v>
      </c>
      <c r="CI268" s="5">
        <f>CH268/CH319</f>
        <v>0.21656976744186046</v>
      </c>
      <c r="CJ268" s="5">
        <f>149/$CJ$1</f>
        <v>0.21656976744186046</v>
      </c>
      <c r="CL268">
        <v>167</v>
      </c>
      <c r="CM268" s="5">
        <f>CL268/CL319</f>
        <v>0.22031662269129287</v>
      </c>
      <c r="CN268" s="5">
        <f>167/$CN$1</f>
        <v>0.22031662269129287</v>
      </c>
      <c r="CP268">
        <v>29</v>
      </c>
      <c r="CQ268" s="5">
        <f>CP268/CP319</f>
        <v>0.11983471074380166</v>
      </c>
      <c r="CR268" s="5">
        <f>29/$CR$1</f>
        <v>0.11983471074380166</v>
      </c>
      <c r="CT268">
        <v>70</v>
      </c>
      <c r="CU268" s="5">
        <f>CT268/CT319</f>
        <v>0.21021021021021022</v>
      </c>
      <c r="CV268" s="5">
        <f>70/$CV$1</f>
        <v>0.21021021021021022</v>
      </c>
      <c r="CX268">
        <v>126</v>
      </c>
      <c r="CY268" s="5">
        <f>CX268/CX319</f>
        <v>0.18890554722638681</v>
      </c>
      <c r="CZ268" s="5">
        <f>126/$CZ$1</f>
        <v>0.18890554722638681</v>
      </c>
    </row>
    <row r="269" spans="1:104" x14ac:dyDescent="0.25">
      <c r="A269" s="1" t="s">
        <v>2910</v>
      </c>
      <c r="B269">
        <v>544</v>
      </c>
      <c r="C269" s="5">
        <f>B269/B319</f>
        <v>0.54400000000000004</v>
      </c>
      <c r="D269" s="5">
        <f>544/$D$1</f>
        <v>0.54400000000000004</v>
      </c>
      <c r="F269">
        <v>313</v>
      </c>
      <c r="G269" s="5">
        <f>F269/F319</f>
        <v>0.62475049900199597</v>
      </c>
      <c r="H269" s="5">
        <f>313/$H$1</f>
        <v>0.62475049900199597</v>
      </c>
      <c r="J269">
        <v>231</v>
      </c>
      <c r="K269" s="5">
        <f>J269/J319</f>
        <v>0.46292585170340683</v>
      </c>
      <c r="L269" s="5">
        <f>231/$L$1</f>
        <v>0.46292585170340683</v>
      </c>
      <c r="N269">
        <v>53</v>
      </c>
      <c r="O269" s="5">
        <f>N269/N319</f>
        <v>0.54639175257731953</v>
      </c>
      <c r="P269" s="5">
        <f>53/$P$1</f>
        <v>0.54639175257731953</v>
      </c>
      <c r="R269">
        <v>110</v>
      </c>
      <c r="S269" s="5">
        <f>R269/R319</f>
        <v>0.55555555555555558</v>
      </c>
      <c r="T269" s="5">
        <f>110/$T$1</f>
        <v>0.55555555555555558</v>
      </c>
      <c r="V269">
        <v>133</v>
      </c>
      <c r="W269" s="5">
        <f>V269/V319</f>
        <v>0.55186721991701249</v>
      </c>
      <c r="X269" s="5">
        <f>133/$X$1</f>
        <v>0.55186721991701249</v>
      </c>
      <c r="Z269">
        <v>121</v>
      </c>
      <c r="AA269" s="5">
        <f>Z269/Z319</f>
        <v>0.61111111111111116</v>
      </c>
      <c r="AB269" s="5">
        <f>121/$AB$1</f>
        <v>0.61111111111111116</v>
      </c>
      <c r="AD269">
        <v>72</v>
      </c>
      <c r="AE269" s="5">
        <f>AD269/AD319</f>
        <v>0.46753246753246752</v>
      </c>
      <c r="AF269" s="5">
        <f>72/$AF$1</f>
        <v>0.46753246753246752</v>
      </c>
      <c r="AH269">
        <v>59</v>
      </c>
      <c r="AI269" s="5">
        <f>AH269/AH319</f>
        <v>0.49166666666666664</v>
      </c>
      <c r="AJ269" s="5">
        <f>59/$AJ$1</f>
        <v>0.49166666666666664</v>
      </c>
      <c r="AL269">
        <v>193</v>
      </c>
      <c r="AM269" s="5">
        <f>AL269/AL319</f>
        <v>0.52162162162162162</v>
      </c>
      <c r="AN269" s="5">
        <f>193/$AN$1</f>
        <v>0.52162162162162162</v>
      </c>
      <c r="AP269">
        <v>206</v>
      </c>
      <c r="AQ269" s="5">
        <f>AP269/AP319</f>
        <v>0.544973544973545</v>
      </c>
      <c r="AR269" s="5">
        <f>206/$AR$1</f>
        <v>0.544973544973545</v>
      </c>
      <c r="AT269">
        <v>145</v>
      </c>
      <c r="AU269" s="5">
        <f>AT269/AT319</f>
        <v>0.57539682539682535</v>
      </c>
      <c r="AV269" s="5">
        <f>145/$AV$1</f>
        <v>0.57539682539682535</v>
      </c>
      <c r="AX269">
        <v>149</v>
      </c>
      <c r="AY269" s="5">
        <f>AX269/AX319</f>
        <v>0.54578754578754574</v>
      </c>
      <c r="AZ269" s="5">
        <f>149/$AZ$1</f>
        <v>0.54578754578754574</v>
      </c>
      <c r="BA269" s="5"/>
      <c r="BB269">
        <v>109</v>
      </c>
      <c r="BC269" s="5">
        <f>BB269/BB319</f>
        <v>0.53694581280788178</v>
      </c>
      <c r="BD269" s="5">
        <f>109/$BD$1</f>
        <v>0.53694581280788178</v>
      </c>
      <c r="BF269">
        <v>127</v>
      </c>
      <c r="BG269" s="5">
        <f>BF269/BF319</f>
        <v>0.59069767441860466</v>
      </c>
      <c r="BH269" s="5">
        <f>127/$BH$1</f>
        <v>0.59069767441860466</v>
      </c>
      <c r="BJ269">
        <v>159</v>
      </c>
      <c r="BK269" s="5">
        <f>BJ269/BJ319</f>
        <v>0.5145631067961165</v>
      </c>
      <c r="BL269" s="5">
        <f>159/$BL$1</f>
        <v>0.5145631067961165</v>
      </c>
      <c r="BN269">
        <v>23</v>
      </c>
      <c r="BO269" s="5">
        <f>BN269/BN319</f>
        <v>0.48936170212765956</v>
      </c>
      <c r="BP269" s="5">
        <f>23/$BP$1</f>
        <v>0.48936170212765956</v>
      </c>
      <c r="BR269">
        <v>174</v>
      </c>
      <c r="BS269" s="5">
        <f>BR269/BR319</f>
        <v>0.55414012738853502</v>
      </c>
      <c r="BT269" s="5">
        <f>174/$BT$1</f>
        <v>0.55414012738853502</v>
      </c>
      <c r="BV269">
        <v>214</v>
      </c>
      <c r="BW269" s="5">
        <f>BV269/BV319</f>
        <v>0.54452926208651398</v>
      </c>
      <c r="BX269" s="5">
        <f>214/$BX$1</f>
        <v>0.54452926208651398</v>
      </c>
      <c r="BZ269">
        <v>133</v>
      </c>
      <c r="CA269" s="5">
        <f>BZ269/BZ319</f>
        <v>0.54065040650406504</v>
      </c>
      <c r="CB269" s="5">
        <f>133/$CB$1</f>
        <v>0.54065040650406504</v>
      </c>
      <c r="CD269">
        <v>65</v>
      </c>
      <c r="CE269" s="5">
        <f>CD269/CD319</f>
        <v>0.52845528455284552</v>
      </c>
      <c r="CF269" s="5">
        <f>65/$CF$1</f>
        <v>0.52845528455284552</v>
      </c>
      <c r="CH269">
        <v>359</v>
      </c>
      <c r="CI269" s="5">
        <f>CH269/CH319</f>
        <v>0.52180232558139539</v>
      </c>
      <c r="CJ269" s="5">
        <f>359/$CJ$1</f>
        <v>0.52180232558139539</v>
      </c>
      <c r="CL269">
        <v>375</v>
      </c>
      <c r="CM269" s="5">
        <f>CL269/CL319</f>
        <v>0.49472295514511871</v>
      </c>
      <c r="CN269" s="5">
        <f>375/$CN$1</f>
        <v>0.49472295514511871</v>
      </c>
      <c r="CP269">
        <v>169</v>
      </c>
      <c r="CQ269" s="5">
        <f>CP269/CP319</f>
        <v>0.69834710743801653</v>
      </c>
      <c r="CR269" s="5">
        <f>169/$CR$1</f>
        <v>0.69834710743801653</v>
      </c>
      <c r="CT269">
        <v>150</v>
      </c>
      <c r="CU269" s="5">
        <f>CT269/CT319</f>
        <v>0.45045045045045046</v>
      </c>
      <c r="CV269" s="5">
        <f>150/$CV$1</f>
        <v>0.45045045045045046</v>
      </c>
      <c r="CX269">
        <v>394</v>
      </c>
      <c r="CY269" s="5">
        <f>CX269/CX319</f>
        <v>0.59070464767616193</v>
      </c>
      <c r="CZ269" s="5">
        <f>394/$CZ$1</f>
        <v>0.59070464767616193</v>
      </c>
    </row>
    <row r="271" spans="1:104" x14ac:dyDescent="0.25">
      <c r="A271" s="1" t="s">
        <v>2911</v>
      </c>
      <c r="B271">
        <v>443</v>
      </c>
      <c r="C271" s="5">
        <f>B271/B319</f>
        <v>0.443</v>
      </c>
      <c r="D271" s="5">
        <f>443/$D$1</f>
        <v>0.443</v>
      </c>
      <c r="F271">
        <v>218</v>
      </c>
      <c r="G271" s="5">
        <f>F271/F319</f>
        <v>0.43512974051896208</v>
      </c>
      <c r="H271" s="5">
        <f>218/$H$1</f>
        <v>0.43512974051896208</v>
      </c>
      <c r="J271">
        <v>225</v>
      </c>
      <c r="K271" s="5">
        <f>J271/J319</f>
        <v>0.45090180360721444</v>
      </c>
      <c r="L271" s="5">
        <f>225/$L$1</f>
        <v>0.45090180360721444</v>
      </c>
      <c r="N271">
        <v>46</v>
      </c>
      <c r="O271" s="5">
        <f>N271/N319</f>
        <v>0.47422680412371132</v>
      </c>
      <c r="P271" s="5">
        <f>46/$P$1</f>
        <v>0.47422680412371132</v>
      </c>
      <c r="R271">
        <v>95</v>
      </c>
      <c r="S271" s="5">
        <f>R271/R319</f>
        <v>0.47979797979797978</v>
      </c>
      <c r="T271" s="5">
        <f>95/$T$1</f>
        <v>0.47979797979797978</v>
      </c>
      <c r="V271">
        <v>111</v>
      </c>
      <c r="W271" s="5">
        <f>V271/V319</f>
        <v>0.46058091286307051</v>
      </c>
      <c r="X271" s="5">
        <f>111/$X$1</f>
        <v>0.46058091286307051</v>
      </c>
      <c r="Z271">
        <v>88</v>
      </c>
      <c r="AA271" s="5">
        <f>Z271/Z319</f>
        <v>0.44444444444444442</v>
      </c>
      <c r="AB271" s="5">
        <f>88/$AB$1</f>
        <v>0.44444444444444442</v>
      </c>
      <c r="AD271">
        <v>69</v>
      </c>
      <c r="AE271" s="5">
        <f>AD271/AD319</f>
        <v>0.44805194805194803</v>
      </c>
      <c r="AF271" s="5">
        <f>69/$AF$1</f>
        <v>0.44805194805194803</v>
      </c>
      <c r="AH271">
        <v>38</v>
      </c>
      <c r="AI271" s="5">
        <f>AH271/AH319</f>
        <v>0.31666666666666665</v>
      </c>
      <c r="AJ271" s="5">
        <f>38/$AJ$1</f>
        <v>0.31666666666666665</v>
      </c>
      <c r="AL271">
        <v>153</v>
      </c>
      <c r="AM271" s="5">
        <f>AL271/AL319</f>
        <v>0.41351351351351351</v>
      </c>
      <c r="AN271" s="5">
        <f>153/$AN$1</f>
        <v>0.41351351351351351</v>
      </c>
      <c r="AP271">
        <v>177</v>
      </c>
      <c r="AQ271" s="5">
        <f>AP271/AP319</f>
        <v>0.46825396825396826</v>
      </c>
      <c r="AR271" s="5">
        <f>177/$AR$1</f>
        <v>0.46825396825396826</v>
      </c>
      <c r="AT271">
        <v>113</v>
      </c>
      <c r="AU271" s="5">
        <f>AT271/AT319</f>
        <v>0.44841269841269843</v>
      </c>
      <c r="AV271" s="5">
        <f>113/$AV$1</f>
        <v>0.44841269841269843</v>
      </c>
      <c r="AX271">
        <v>121</v>
      </c>
      <c r="AY271" s="5">
        <f>AX271/AX319</f>
        <v>0.4432234432234432</v>
      </c>
      <c r="AZ271" s="5">
        <f>121/$AZ$1</f>
        <v>0.4432234432234432</v>
      </c>
      <c r="BA271" s="5"/>
      <c r="BB271">
        <v>88</v>
      </c>
      <c r="BC271" s="5">
        <f>BB271/BB319</f>
        <v>0.43349753694581283</v>
      </c>
      <c r="BD271" s="5">
        <f>88/$BD$1</f>
        <v>0.43349753694581283</v>
      </c>
      <c r="BF271">
        <v>89</v>
      </c>
      <c r="BG271" s="5">
        <f>BF271/BF319</f>
        <v>0.413953488372093</v>
      </c>
      <c r="BH271" s="5">
        <f>89/$BH$1</f>
        <v>0.413953488372093</v>
      </c>
      <c r="BJ271">
        <v>145</v>
      </c>
      <c r="BK271" s="5">
        <f>BJ271/BJ319</f>
        <v>0.46925566343042069</v>
      </c>
      <c r="BL271" s="5">
        <f>145/$BL$1</f>
        <v>0.46925566343042069</v>
      </c>
      <c r="BN271">
        <v>14</v>
      </c>
      <c r="BO271" s="5">
        <f>BN271/BN319</f>
        <v>0.2978723404255319</v>
      </c>
      <c r="BP271" s="5">
        <f>14/$BP$1</f>
        <v>0.2978723404255319</v>
      </c>
      <c r="BR271">
        <v>101</v>
      </c>
      <c r="BS271" s="5">
        <f>BR271/BR319</f>
        <v>0.321656050955414</v>
      </c>
      <c r="BT271" s="5">
        <f>101/$BT$1</f>
        <v>0.321656050955414</v>
      </c>
      <c r="BV271">
        <v>177</v>
      </c>
      <c r="BW271" s="5">
        <f>BV271/BV319</f>
        <v>0.45038167938931295</v>
      </c>
      <c r="BX271" s="5">
        <f>177/$BX$1</f>
        <v>0.45038167938931295</v>
      </c>
      <c r="BZ271">
        <v>151</v>
      </c>
      <c r="CA271" s="5">
        <f>BZ271/BZ319</f>
        <v>0.61382113821138207</v>
      </c>
      <c r="CB271" s="5">
        <f>151/$CB$1</f>
        <v>0.61382113821138207</v>
      </c>
      <c r="CD271">
        <v>63</v>
      </c>
      <c r="CE271" s="5">
        <f>CD271/CD319</f>
        <v>0.51219512195121952</v>
      </c>
      <c r="CF271" s="5">
        <f>63/$CF$1</f>
        <v>0.51219512195121952</v>
      </c>
      <c r="CH271">
        <v>299</v>
      </c>
      <c r="CI271" s="5">
        <f>CH271/CH319</f>
        <v>0.43459302325581395</v>
      </c>
      <c r="CJ271" s="5">
        <f>299/$CJ$1</f>
        <v>0.43459302325581395</v>
      </c>
      <c r="CL271">
        <v>341</v>
      </c>
      <c r="CM271" s="5">
        <f>CL271/CL319</f>
        <v>0.44986807387862798</v>
      </c>
      <c r="CN271" s="5">
        <f>341/$CN$1</f>
        <v>0.44986807387862798</v>
      </c>
      <c r="CP271">
        <v>102</v>
      </c>
      <c r="CQ271" s="5">
        <f>CP271/CP319</f>
        <v>0.42148760330578511</v>
      </c>
      <c r="CR271" s="5">
        <f>102/$CR$1</f>
        <v>0.42148760330578511</v>
      </c>
      <c r="CT271">
        <v>202</v>
      </c>
      <c r="CU271" s="5">
        <f>CT271/CT319</f>
        <v>0.60660660660660659</v>
      </c>
      <c r="CV271" s="5">
        <f>202/$CV$1</f>
        <v>0.60660660660660659</v>
      </c>
      <c r="CX271">
        <v>241</v>
      </c>
      <c r="CY271" s="5">
        <f>CX271/CX319</f>
        <v>0.36131934032983509</v>
      </c>
      <c r="CZ271" s="5">
        <f>241/$CZ$1</f>
        <v>0.36131934032983509</v>
      </c>
    </row>
    <row r="272" spans="1:104" x14ac:dyDescent="0.25">
      <c r="A272" s="1" t="s">
        <v>2912</v>
      </c>
      <c r="B272">
        <v>263</v>
      </c>
      <c r="C272" s="5">
        <f>B272/B319</f>
        <v>0.26300000000000001</v>
      </c>
      <c r="D272" s="5">
        <f>263/$D$1</f>
        <v>0.26300000000000001</v>
      </c>
      <c r="F272">
        <v>117</v>
      </c>
      <c r="G272" s="5">
        <f>F272/F319</f>
        <v>0.23353293413173654</v>
      </c>
      <c r="H272" s="5">
        <f>117/$H$1</f>
        <v>0.23353293413173654</v>
      </c>
      <c r="J272">
        <v>146</v>
      </c>
      <c r="K272" s="5">
        <f>J272/J319</f>
        <v>0.29258517034068138</v>
      </c>
      <c r="L272" s="5">
        <f>146/$L$1</f>
        <v>0.29258517034068138</v>
      </c>
      <c r="N272">
        <v>25</v>
      </c>
      <c r="O272" s="5">
        <f>N272/N319</f>
        <v>0.25773195876288657</v>
      </c>
      <c r="P272" s="5">
        <f>25/$P$1</f>
        <v>0.25773195876288657</v>
      </c>
      <c r="R272">
        <v>52</v>
      </c>
      <c r="S272" s="5">
        <f>R272/R319</f>
        <v>0.26262626262626265</v>
      </c>
      <c r="T272" s="5">
        <f>52/$T$1</f>
        <v>0.26262626262626265</v>
      </c>
      <c r="V272">
        <v>53</v>
      </c>
      <c r="W272" s="5">
        <f>V272/V319</f>
        <v>0.21991701244813278</v>
      </c>
      <c r="X272" s="5">
        <f>53/$X$1</f>
        <v>0.21991701244813278</v>
      </c>
      <c r="Z272">
        <v>49</v>
      </c>
      <c r="AA272" s="5">
        <f>Z272/Z319</f>
        <v>0.24747474747474749</v>
      </c>
      <c r="AB272" s="5">
        <f>49/$AB$1</f>
        <v>0.24747474747474749</v>
      </c>
      <c r="AD272">
        <v>43</v>
      </c>
      <c r="AE272" s="5">
        <f>AD272/AD319</f>
        <v>0.2792207792207792</v>
      </c>
      <c r="AF272" s="5">
        <f>43/$AF$1</f>
        <v>0.2792207792207792</v>
      </c>
      <c r="AH272">
        <v>43</v>
      </c>
      <c r="AI272" s="5">
        <f>AH272/AH319</f>
        <v>0.35833333333333334</v>
      </c>
      <c r="AJ272" s="5">
        <f>43/$AJ$1</f>
        <v>0.35833333333333334</v>
      </c>
      <c r="AL272">
        <v>104</v>
      </c>
      <c r="AM272" s="5">
        <f>AL272/AL319</f>
        <v>0.2810810810810811</v>
      </c>
      <c r="AN272" s="5">
        <f>104/$AN$1</f>
        <v>0.2810810810810811</v>
      </c>
      <c r="AP272">
        <v>95</v>
      </c>
      <c r="AQ272" s="5">
        <f>AP272/AP319</f>
        <v>0.25132275132275134</v>
      </c>
      <c r="AR272" s="5">
        <f>95/$AR$1</f>
        <v>0.25132275132275134</v>
      </c>
      <c r="AT272">
        <v>64</v>
      </c>
      <c r="AU272" s="5">
        <f>AT272/AT319</f>
        <v>0.25396825396825395</v>
      </c>
      <c r="AV272" s="5">
        <f>64/$AV$1</f>
        <v>0.25396825396825395</v>
      </c>
      <c r="AX272">
        <v>79</v>
      </c>
      <c r="AY272" s="5">
        <f>AX272/AX319</f>
        <v>0.2893772893772894</v>
      </c>
      <c r="AZ272" s="5">
        <f>79/$AZ$1</f>
        <v>0.2893772893772894</v>
      </c>
      <c r="BA272" s="5"/>
      <c r="BB272">
        <v>49</v>
      </c>
      <c r="BC272" s="5">
        <f>BB272/BB319</f>
        <v>0.2413793103448276</v>
      </c>
      <c r="BD272" s="5">
        <f>49/$BD$1</f>
        <v>0.2413793103448276</v>
      </c>
      <c r="BF272">
        <v>64</v>
      </c>
      <c r="BG272" s="5">
        <f>BF272/BF319</f>
        <v>0.29767441860465116</v>
      </c>
      <c r="BH272" s="5">
        <f>64/$BH$1</f>
        <v>0.29767441860465116</v>
      </c>
      <c r="BJ272">
        <v>71</v>
      </c>
      <c r="BK272" s="5">
        <f>BJ272/BJ319</f>
        <v>0.22977346278317151</v>
      </c>
      <c r="BL272" s="5">
        <f>71/$BL$1</f>
        <v>0.22977346278317151</v>
      </c>
      <c r="BN272">
        <v>13</v>
      </c>
      <c r="BO272" s="5">
        <f>BN272/BN319</f>
        <v>0.27659574468085107</v>
      </c>
      <c r="BP272" s="5">
        <f>13/$BP$1</f>
        <v>0.27659574468085107</v>
      </c>
      <c r="BR272">
        <v>101</v>
      </c>
      <c r="BS272" s="5">
        <f>BR272/BR319</f>
        <v>0.321656050955414</v>
      </c>
      <c r="BT272" s="5">
        <f>101/$BT$1</f>
        <v>0.321656050955414</v>
      </c>
      <c r="BV272">
        <v>104</v>
      </c>
      <c r="BW272" s="5">
        <f>BV272/BV319</f>
        <v>0.26463104325699743</v>
      </c>
      <c r="BX272" s="5">
        <f>104/$BX$1</f>
        <v>0.26463104325699743</v>
      </c>
      <c r="BZ272">
        <v>45</v>
      </c>
      <c r="CA272" s="5">
        <f>BZ272/BZ319</f>
        <v>0.18292682926829268</v>
      </c>
      <c r="CB272" s="5">
        <f>45/$CB$1</f>
        <v>0.18292682926829268</v>
      </c>
      <c r="CD272">
        <v>28</v>
      </c>
      <c r="CE272" s="5">
        <f>CD272/CD319</f>
        <v>0.22764227642276422</v>
      </c>
      <c r="CF272" s="5">
        <f>28/$CF$1</f>
        <v>0.22764227642276422</v>
      </c>
      <c r="CH272">
        <v>185</v>
      </c>
      <c r="CI272" s="5">
        <f>CH272/CH319</f>
        <v>0.26889534883720928</v>
      </c>
      <c r="CJ272" s="5">
        <f>185/$CJ$1</f>
        <v>0.26889534883720928</v>
      </c>
      <c r="CL272">
        <v>218</v>
      </c>
      <c r="CM272" s="5">
        <f>CL272/CL319</f>
        <v>0.28759894459102903</v>
      </c>
      <c r="CN272" s="5">
        <f>218/$CN$1</f>
        <v>0.28759894459102903</v>
      </c>
      <c r="CP272">
        <v>45</v>
      </c>
      <c r="CQ272" s="5">
        <f>CP272/CP319</f>
        <v>0.18595041322314049</v>
      </c>
      <c r="CR272" s="5">
        <f>45/$CR$1</f>
        <v>0.18595041322314049</v>
      </c>
      <c r="CT272">
        <v>74</v>
      </c>
      <c r="CU272" s="5">
        <f>CT272/CT319</f>
        <v>0.22222222222222221</v>
      </c>
      <c r="CV272" s="5">
        <f>74/$CV$1</f>
        <v>0.22222222222222221</v>
      </c>
      <c r="CX272">
        <v>189</v>
      </c>
      <c r="CY272" s="5">
        <f>CX272/CX319</f>
        <v>0.28335832083958024</v>
      </c>
      <c r="CZ272" s="5">
        <f>189/$CZ$1</f>
        <v>0.28335832083958024</v>
      </c>
    </row>
    <row r="273" spans="1:104" x14ac:dyDescent="0.25">
      <c r="A273" s="1" t="s">
        <v>2913</v>
      </c>
      <c r="B273">
        <v>295</v>
      </c>
      <c r="C273" s="5">
        <f>B273/B319</f>
        <v>0.29499999999999998</v>
      </c>
      <c r="D273" s="5">
        <f>295/$D$1</f>
        <v>0.29499999999999998</v>
      </c>
      <c r="F273">
        <v>166</v>
      </c>
      <c r="G273" s="5">
        <f>F273/F319</f>
        <v>0.33133732534930138</v>
      </c>
      <c r="H273" s="5">
        <f>166/$H$1</f>
        <v>0.33133732534930138</v>
      </c>
      <c r="J273">
        <v>129</v>
      </c>
      <c r="K273" s="5">
        <f>J273/J319</f>
        <v>0.25851703406813625</v>
      </c>
      <c r="L273" s="5">
        <f>129/$L$1</f>
        <v>0.25851703406813625</v>
      </c>
      <c r="N273">
        <v>26</v>
      </c>
      <c r="O273" s="5">
        <f>N273/N319</f>
        <v>0.26804123711340205</v>
      </c>
      <c r="P273" s="5">
        <f>26/$P$1</f>
        <v>0.26804123711340205</v>
      </c>
      <c r="R273">
        <v>51</v>
      </c>
      <c r="S273" s="5">
        <f>R273/R319</f>
        <v>0.25757575757575757</v>
      </c>
      <c r="T273" s="5">
        <f>51/$T$1</f>
        <v>0.25757575757575757</v>
      </c>
      <c r="V273">
        <v>77</v>
      </c>
      <c r="W273" s="5">
        <f>V273/V319</f>
        <v>0.31950207468879666</v>
      </c>
      <c r="X273" s="5">
        <f>77/$X$1</f>
        <v>0.31950207468879666</v>
      </c>
      <c r="Z273">
        <v>61</v>
      </c>
      <c r="AA273" s="5">
        <f>Z273/Z319</f>
        <v>0.30808080808080807</v>
      </c>
      <c r="AB273" s="5">
        <f>61/$AB$1</f>
        <v>0.30808080808080807</v>
      </c>
      <c r="AD273">
        <v>42</v>
      </c>
      <c r="AE273" s="5">
        <f>AD273/AD319</f>
        <v>0.27272727272727271</v>
      </c>
      <c r="AF273" s="5">
        <f>42/$AF$1</f>
        <v>0.27272727272727271</v>
      </c>
      <c r="AH273">
        <v>40</v>
      </c>
      <c r="AI273" s="5">
        <f>AH273/AH319</f>
        <v>0.33333333333333331</v>
      </c>
      <c r="AJ273" s="5">
        <f>40/$AJ$1</f>
        <v>0.33333333333333331</v>
      </c>
      <c r="AL273">
        <v>114</v>
      </c>
      <c r="AM273" s="5">
        <f>AL273/AL319</f>
        <v>0.30810810810810813</v>
      </c>
      <c r="AN273" s="5">
        <f>114/$AN$1</f>
        <v>0.30810810810810813</v>
      </c>
      <c r="AP273">
        <v>106</v>
      </c>
      <c r="AQ273" s="5">
        <f>AP273/AP319</f>
        <v>0.28042328042328041</v>
      </c>
      <c r="AR273" s="5">
        <f>106/$AR$1</f>
        <v>0.28042328042328041</v>
      </c>
      <c r="AT273">
        <v>75</v>
      </c>
      <c r="AU273" s="5">
        <f>AT273/AT319</f>
        <v>0.29761904761904762</v>
      </c>
      <c r="AV273" s="5">
        <f>75/$AV$1</f>
        <v>0.29761904761904762</v>
      </c>
      <c r="AX273">
        <v>74</v>
      </c>
      <c r="AY273" s="5">
        <f>AX273/AX319</f>
        <v>0.27106227106227104</v>
      </c>
      <c r="AZ273" s="5">
        <f>74/$AZ$1</f>
        <v>0.27106227106227104</v>
      </c>
      <c r="BA273" s="5"/>
      <c r="BB273">
        <v>66</v>
      </c>
      <c r="BC273" s="5">
        <f>BB273/BB319</f>
        <v>0.3251231527093596</v>
      </c>
      <c r="BD273" s="5">
        <f>66/$BD$1</f>
        <v>0.3251231527093596</v>
      </c>
      <c r="BF273">
        <v>62</v>
      </c>
      <c r="BG273" s="5">
        <f>BF273/BF319</f>
        <v>0.28837209302325584</v>
      </c>
      <c r="BH273" s="5">
        <f>62/$BH$1</f>
        <v>0.28837209302325584</v>
      </c>
      <c r="BJ273">
        <v>93</v>
      </c>
      <c r="BK273" s="5">
        <f>BJ273/BJ319</f>
        <v>0.30097087378640774</v>
      </c>
      <c r="BL273" s="5">
        <f>93/$BL$1</f>
        <v>0.30097087378640774</v>
      </c>
      <c r="BN273">
        <v>20</v>
      </c>
      <c r="BO273" s="5">
        <f>BN273/BN319</f>
        <v>0.42553191489361702</v>
      </c>
      <c r="BP273" s="5">
        <f>20/$BP$1</f>
        <v>0.42553191489361702</v>
      </c>
      <c r="BR273">
        <v>113</v>
      </c>
      <c r="BS273" s="5">
        <f>BR273/BR319</f>
        <v>0.35987261146496813</v>
      </c>
      <c r="BT273" s="5">
        <f>113/$BT$1</f>
        <v>0.35987261146496813</v>
      </c>
      <c r="BV273">
        <v>112</v>
      </c>
      <c r="BW273" s="5">
        <f>BV273/BV319</f>
        <v>0.28498727735368956</v>
      </c>
      <c r="BX273" s="5">
        <f>112/$BX$1</f>
        <v>0.28498727735368956</v>
      </c>
      <c r="BZ273">
        <v>50</v>
      </c>
      <c r="CA273" s="5">
        <f>BZ273/BZ319</f>
        <v>0.2032520325203252</v>
      </c>
      <c r="CB273" s="5">
        <f>50/$CB$1</f>
        <v>0.2032520325203252</v>
      </c>
      <c r="CD273">
        <v>32</v>
      </c>
      <c r="CE273" s="5">
        <f>CD273/CD319</f>
        <v>0.26016260162601629</v>
      </c>
      <c r="CF273" s="5">
        <f>32/$CF$1</f>
        <v>0.26016260162601629</v>
      </c>
      <c r="CH273">
        <v>205</v>
      </c>
      <c r="CI273" s="5">
        <f>CH273/CH319</f>
        <v>0.29796511627906974</v>
      </c>
      <c r="CJ273" s="5">
        <f>205/$CJ$1</f>
        <v>0.29796511627906974</v>
      </c>
      <c r="CL273">
        <v>200</v>
      </c>
      <c r="CM273" s="5">
        <f>CL273/CL319</f>
        <v>0.26385224274406333</v>
      </c>
      <c r="CN273" s="5">
        <f>200/$CN$1</f>
        <v>0.26385224274406333</v>
      </c>
      <c r="CP273">
        <v>95</v>
      </c>
      <c r="CQ273" s="5">
        <f>CP273/CP319</f>
        <v>0.3925619834710744</v>
      </c>
      <c r="CR273" s="5">
        <f>95/$CR$1</f>
        <v>0.3925619834710744</v>
      </c>
      <c r="CT273">
        <v>57</v>
      </c>
      <c r="CU273" s="5">
        <f>CT273/CT319</f>
        <v>0.17117117117117117</v>
      </c>
      <c r="CV273" s="5">
        <f>57/$CV$1</f>
        <v>0.17117117117117117</v>
      </c>
      <c r="CX273">
        <v>238</v>
      </c>
      <c r="CY273" s="5">
        <f>CX273/CX319</f>
        <v>0.3568215892053973</v>
      </c>
      <c r="CZ273" s="5">
        <f>238/$CZ$1</f>
        <v>0.3568215892053973</v>
      </c>
    </row>
    <row r="275" spans="1:104" x14ac:dyDescent="0.25">
      <c r="A275" s="1" t="s">
        <v>2914</v>
      </c>
      <c r="B275">
        <v>304</v>
      </c>
      <c r="C275" s="5">
        <f>B275/B319</f>
        <v>0.30399999999999999</v>
      </c>
      <c r="D275" s="5">
        <f>304/$D$1</f>
        <v>0.30399999999999999</v>
      </c>
      <c r="F275">
        <v>136</v>
      </c>
      <c r="G275" s="5">
        <f>F275/F319</f>
        <v>0.27145708582834333</v>
      </c>
      <c r="H275" s="5">
        <f>136/$H$1</f>
        <v>0.27145708582834333</v>
      </c>
      <c r="J275">
        <v>168</v>
      </c>
      <c r="K275" s="5">
        <f>J275/J319</f>
        <v>0.33667334669338678</v>
      </c>
      <c r="L275" s="5">
        <f>168/$L$1</f>
        <v>0.33667334669338678</v>
      </c>
      <c r="N275">
        <v>48</v>
      </c>
      <c r="O275" s="5">
        <f>N275/N319</f>
        <v>0.49484536082474229</v>
      </c>
      <c r="P275" s="5">
        <f>48/$P$1</f>
        <v>0.49484536082474229</v>
      </c>
      <c r="R275">
        <v>64</v>
      </c>
      <c r="S275" s="5">
        <f>R275/R319</f>
        <v>0.32323232323232326</v>
      </c>
      <c r="T275" s="5">
        <f>64/$T$1</f>
        <v>0.32323232323232326</v>
      </c>
      <c r="V275">
        <v>68</v>
      </c>
      <c r="W275" s="5">
        <f>V275/V319</f>
        <v>0.28215767634854771</v>
      </c>
      <c r="X275" s="5">
        <f>68/$X$1</f>
        <v>0.28215767634854771</v>
      </c>
      <c r="Z275">
        <v>49</v>
      </c>
      <c r="AA275" s="5">
        <f>Z275/Z319</f>
        <v>0.24747474747474749</v>
      </c>
      <c r="AB275" s="5">
        <f>49/$AB$1</f>
        <v>0.24747474747474749</v>
      </c>
      <c r="AD275">
        <v>49</v>
      </c>
      <c r="AE275" s="5">
        <f>AD275/AD319</f>
        <v>0.31818181818181818</v>
      </c>
      <c r="AF275" s="5">
        <f>49/$AF$1</f>
        <v>0.31818181818181818</v>
      </c>
      <c r="AH275">
        <v>27</v>
      </c>
      <c r="AI275" s="5">
        <f>AH275/AH319</f>
        <v>0.22500000000000001</v>
      </c>
      <c r="AJ275" s="5">
        <f>27/$AJ$1</f>
        <v>0.22500000000000001</v>
      </c>
      <c r="AL275">
        <v>124</v>
      </c>
      <c r="AM275" s="5">
        <f>AL275/AL319</f>
        <v>0.33513513513513515</v>
      </c>
      <c r="AN275" s="5">
        <f>124/$AN$1</f>
        <v>0.33513513513513515</v>
      </c>
      <c r="AP275">
        <v>103</v>
      </c>
      <c r="AQ275" s="5">
        <f>AP275/AP319</f>
        <v>0.2724867724867725</v>
      </c>
      <c r="AR275" s="5">
        <f>103/$AR$1</f>
        <v>0.2724867724867725</v>
      </c>
      <c r="AT275">
        <v>77</v>
      </c>
      <c r="AU275" s="5">
        <f>AT275/AT319</f>
        <v>0.30555555555555558</v>
      </c>
      <c r="AV275" s="5">
        <f>77/$AV$1</f>
        <v>0.30555555555555558</v>
      </c>
      <c r="AX275">
        <v>83</v>
      </c>
      <c r="AY275" s="5">
        <f>AX275/AX319</f>
        <v>0.304029304029304</v>
      </c>
      <c r="AZ275" s="5">
        <f>83/$AZ$1</f>
        <v>0.304029304029304</v>
      </c>
      <c r="BA275" s="5"/>
      <c r="BB275">
        <v>64</v>
      </c>
      <c r="BC275" s="5">
        <f>BB275/BB319</f>
        <v>0.31527093596059114</v>
      </c>
      <c r="BD275" s="5">
        <f>64/$BD$1</f>
        <v>0.31527093596059114</v>
      </c>
      <c r="BF275">
        <v>71</v>
      </c>
      <c r="BG275" s="5">
        <f>BF275/BF319</f>
        <v>0.33023255813953489</v>
      </c>
      <c r="BH275" s="5">
        <f>71/$BH$1</f>
        <v>0.33023255813953489</v>
      </c>
      <c r="BJ275">
        <v>86</v>
      </c>
      <c r="BK275" s="5">
        <f>BJ275/BJ319</f>
        <v>0.27831715210355989</v>
      </c>
      <c r="BL275" s="5">
        <f>86/$BL$1</f>
        <v>0.27831715210355989</v>
      </c>
      <c r="BN275">
        <v>15</v>
      </c>
      <c r="BO275" s="5">
        <f>BN275/BN319</f>
        <v>0.31914893617021278</v>
      </c>
      <c r="BP275" s="5">
        <f>15/$BP$1</f>
        <v>0.31914893617021278</v>
      </c>
      <c r="BR275">
        <v>85</v>
      </c>
      <c r="BS275" s="5">
        <f>BR275/BR319</f>
        <v>0.27070063694267515</v>
      </c>
      <c r="BT275" s="5">
        <f>85/$BT$1</f>
        <v>0.27070063694267515</v>
      </c>
      <c r="BV275">
        <v>133</v>
      </c>
      <c r="BW275" s="5">
        <f>BV275/BV319</f>
        <v>0.33842239185750639</v>
      </c>
      <c r="BX275" s="5">
        <f>133/$BX$1</f>
        <v>0.33842239185750639</v>
      </c>
      <c r="BZ275">
        <v>71</v>
      </c>
      <c r="CA275" s="5">
        <f>BZ275/BZ319</f>
        <v>0.2886178861788618</v>
      </c>
      <c r="CB275" s="5">
        <f>71/$CB$1</f>
        <v>0.2886178861788618</v>
      </c>
      <c r="CD275">
        <v>34</v>
      </c>
      <c r="CE275" s="5">
        <f>CD275/CD319</f>
        <v>0.27642276422764228</v>
      </c>
      <c r="CF275" s="5">
        <f>34/$CF$1</f>
        <v>0.27642276422764228</v>
      </c>
      <c r="CH275">
        <v>216</v>
      </c>
      <c r="CI275" s="5">
        <f>CH275/CH319</f>
        <v>0.31395348837209303</v>
      </c>
      <c r="CJ275" s="5">
        <f>216/$CJ$1</f>
        <v>0.31395348837209303</v>
      </c>
      <c r="CL275">
        <v>249</v>
      </c>
      <c r="CM275" s="5">
        <f>CL275/CL319</f>
        <v>0.32849604221635886</v>
      </c>
      <c r="CN275" s="5">
        <f>249/$CN$1</f>
        <v>0.32849604221635886</v>
      </c>
      <c r="CP275">
        <v>55</v>
      </c>
      <c r="CQ275" s="5">
        <f>CP275/CP319</f>
        <v>0.22727272727272727</v>
      </c>
      <c r="CR275" s="5">
        <f>55/$CR$1</f>
        <v>0.22727272727272727</v>
      </c>
      <c r="CT275">
        <v>137</v>
      </c>
      <c r="CU275" s="5">
        <f>CT275/CT319</f>
        <v>0.41141141141141141</v>
      </c>
      <c r="CV275" s="5">
        <f>137/$CV$1</f>
        <v>0.41141141141141141</v>
      </c>
      <c r="CX275">
        <v>167</v>
      </c>
      <c r="CY275" s="5">
        <f>CX275/CX319</f>
        <v>0.25037481259370314</v>
      </c>
      <c r="CZ275" s="5">
        <f>167/$CZ$1</f>
        <v>0.25037481259370314</v>
      </c>
    </row>
    <row r="276" spans="1:104" x14ac:dyDescent="0.25">
      <c r="A276" s="1" t="s">
        <v>2915</v>
      </c>
      <c r="B276">
        <v>189</v>
      </c>
      <c r="C276" s="5">
        <f>B276/B319</f>
        <v>0.189</v>
      </c>
      <c r="D276" s="5">
        <f>189/$D$1</f>
        <v>0.189</v>
      </c>
      <c r="F276">
        <v>87</v>
      </c>
      <c r="G276" s="5">
        <f>F276/F319</f>
        <v>0.17365269461077845</v>
      </c>
      <c r="H276" s="5">
        <f>87/$H$1</f>
        <v>0.17365269461077845</v>
      </c>
      <c r="J276">
        <v>102</v>
      </c>
      <c r="K276" s="5">
        <f>J276/J319</f>
        <v>0.20440881763527055</v>
      </c>
      <c r="L276" s="5">
        <f>102/$L$1</f>
        <v>0.20440881763527055</v>
      </c>
      <c r="N276">
        <v>14</v>
      </c>
      <c r="O276" s="5">
        <f>N276/N319</f>
        <v>0.14432989690721648</v>
      </c>
      <c r="P276" s="5">
        <f>14/$P$1</f>
        <v>0.14432989690721648</v>
      </c>
      <c r="R276">
        <v>43</v>
      </c>
      <c r="S276" s="5">
        <f>R276/R319</f>
        <v>0.21717171717171718</v>
      </c>
      <c r="T276" s="5">
        <f>43/$T$1</f>
        <v>0.21717171717171718</v>
      </c>
      <c r="V276">
        <v>45</v>
      </c>
      <c r="W276" s="5">
        <f>V276/V319</f>
        <v>0.18672199170124482</v>
      </c>
      <c r="X276" s="5">
        <f>45/$X$1</f>
        <v>0.18672199170124482</v>
      </c>
      <c r="Z276">
        <v>41</v>
      </c>
      <c r="AA276" s="5">
        <f>Z276/Z319</f>
        <v>0.20707070707070707</v>
      </c>
      <c r="AB276" s="5">
        <f>41/$AB$1</f>
        <v>0.20707070707070707</v>
      </c>
      <c r="AD276">
        <v>27</v>
      </c>
      <c r="AE276" s="5">
        <f>AD276/AD319</f>
        <v>0.17532467532467533</v>
      </c>
      <c r="AF276" s="5">
        <f>27/$AF$1</f>
        <v>0.17532467532467533</v>
      </c>
      <c r="AH276">
        <v>20</v>
      </c>
      <c r="AI276" s="5">
        <f>AH276/AH319</f>
        <v>0.16666666666666666</v>
      </c>
      <c r="AJ276" s="5">
        <f>20/$AJ$1</f>
        <v>0.16666666666666666</v>
      </c>
      <c r="AL276">
        <v>69</v>
      </c>
      <c r="AM276" s="5">
        <f>AL276/AL319</f>
        <v>0.1864864864864865</v>
      </c>
      <c r="AN276" s="5">
        <f>69/$AN$1</f>
        <v>0.1864864864864865</v>
      </c>
      <c r="AP276">
        <v>77</v>
      </c>
      <c r="AQ276" s="5">
        <f>AP276/AP319</f>
        <v>0.20370370370370369</v>
      </c>
      <c r="AR276" s="5">
        <f>77/$AR$1</f>
        <v>0.20370370370370369</v>
      </c>
      <c r="AT276">
        <v>43</v>
      </c>
      <c r="AU276" s="5">
        <f>AT276/AT319</f>
        <v>0.17063492063492064</v>
      </c>
      <c r="AV276" s="5">
        <f>43/$AV$1</f>
        <v>0.17063492063492064</v>
      </c>
      <c r="AX276">
        <v>57</v>
      </c>
      <c r="AY276" s="5">
        <f>AX276/AX319</f>
        <v>0.2087912087912088</v>
      </c>
      <c r="AZ276" s="5">
        <f>57/$AZ$1</f>
        <v>0.2087912087912088</v>
      </c>
      <c r="BA276" s="5"/>
      <c r="BB276">
        <v>35</v>
      </c>
      <c r="BC276" s="5">
        <f>BB276/BB319</f>
        <v>0.17241379310344829</v>
      </c>
      <c r="BD276" s="5">
        <f>35/$BD$1</f>
        <v>0.17241379310344829</v>
      </c>
      <c r="BF276">
        <v>42</v>
      </c>
      <c r="BG276" s="5">
        <f>BF276/BF319</f>
        <v>0.19534883720930232</v>
      </c>
      <c r="BH276" s="5">
        <f>42/$BH$1</f>
        <v>0.19534883720930232</v>
      </c>
      <c r="BJ276">
        <v>55</v>
      </c>
      <c r="BK276" s="5">
        <f>BJ276/BJ319</f>
        <v>0.17799352750809061</v>
      </c>
      <c r="BL276" s="5">
        <f>55/$BL$1</f>
        <v>0.17799352750809061</v>
      </c>
      <c r="BN276">
        <v>8</v>
      </c>
      <c r="BO276" s="5">
        <f>BN276/BN319</f>
        <v>0.1702127659574468</v>
      </c>
      <c r="BP276" s="5">
        <f>8/$BP$1</f>
        <v>0.1702127659574468</v>
      </c>
      <c r="BR276">
        <v>79</v>
      </c>
      <c r="BS276" s="5">
        <f>BR276/BR319</f>
        <v>0.25159235668789809</v>
      </c>
      <c r="BT276" s="5">
        <f>79/$BT$1</f>
        <v>0.25159235668789809</v>
      </c>
      <c r="BV276">
        <v>63</v>
      </c>
      <c r="BW276" s="5">
        <f>BV276/BV319</f>
        <v>0.16030534351145037</v>
      </c>
      <c r="BX276" s="5">
        <f>63/$BX$1</f>
        <v>0.16030534351145037</v>
      </c>
      <c r="BZ276">
        <v>39</v>
      </c>
      <c r="CA276" s="5">
        <f>BZ276/BZ319</f>
        <v>0.15853658536585366</v>
      </c>
      <c r="CB276" s="5">
        <f>39/$CB$1</f>
        <v>0.15853658536585366</v>
      </c>
      <c r="CD276">
        <v>26</v>
      </c>
      <c r="CE276" s="5">
        <f>CD276/CD319</f>
        <v>0.21138211382113822</v>
      </c>
      <c r="CF276" s="5">
        <f>26/$CF$1</f>
        <v>0.21138211382113822</v>
      </c>
      <c r="CH276">
        <v>135</v>
      </c>
      <c r="CI276" s="5">
        <f>CH276/CH319</f>
        <v>0.19622093023255813</v>
      </c>
      <c r="CJ276" s="5">
        <f>135/$CJ$1</f>
        <v>0.19622093023255813</v>
      </c>
      <c r="CL276">
        <v>161</v>
      </c>
      <c r="CM276" s="5">
        <f>CL276/CL319</f>
        <v>0.21240105540897097</v>
      </c>
      <c r="CN276" s="5">
        <f>161/$CN$1</f>
        <v>0.21240105540897097</v>
      </c>
      <c r="CP276">
        <v>28</v>
      </c>
      <c r="CQ276" s="5">
        <f>CP276/CP319</f>
        <v>0.11570247933884298</v>
      </c>
      <c r="CR276" s="5">
        <f>28/$CR$1</f>
        <v>0.11570247933884298</v>
      </c>
      <c r="CT276">
        <v>64</v>
      </c>
      <c r="CU276" s="5">
        <f>CT276/CT319</f>
        <v>0.19219219219219219</v>
      </c>
      <c r="CV276" s="5">
        <f>64/$CV$1</f>
        <v>0.19219219219219219</v>
      </c>
      <c r="CX276">
        <v>125</v>
      </c>
      <c r="CY276" s="5">
        <f>CX276/CX319</f>
        <v>0.1874062968515742</v>
      </c>
      <c r="CZ276" s="5">
        <f>125/$CZ$1</f>
        <v>0.1874062968515742</v>
      </c>
    </row>
    <row r="277" spans="1:104" x14ac:dyDescent="0.25">
      <c r="A277" s="1" t="s">
        <v>2916</v>
      </c>
      <c r="B277">
        <v>507</v>
      </c>
      <c r="C277" s="5">
        <f>B277/B319</f>
        <v>0.50700000000000001</v>
      </c>
      <c r="D277" s="5">
        <f>507/$D$1</f>
        <v>0.50700000000000001</v>
      </c>
      <c r="F277">
        <v>278</v>
      </c>
      <c r="G277" s="5">
        <f>F277/F319</f>
        <v>0.55489021956087825</v>
      </c>
      <c r="H277" s="5">
        <f>278/$H$1</f>
        <v>0.55489021956087825</v>
      </c>
      <c r="J277">
        <v>229</v>
      </c>
      <c r="K277" s="5">
        <f>J277/J319</f>
        <v>0.4589178356713427</v>
      </c>
      <c r="L277" s="5">
        <f>229/$L$1</f>
        <v>0.4589178356713427</v>
      </c>
      <c r="N277">
        <v>35</v>
      </c>
      <c r="O277" s="5">
        <f>N277/N319</f>
        <v>0.36082474226804123</v>
      </c>
      <c r="P277" s="5">
        <f>35/$P$1</f>
        <v>0.36082474226804123</v>
      </c>
      <c r="R277">
        <v>91</v>
      </c>
      <c r="S277" s="5">
        <f>R277/R319</f>
        <v>0.45959595959595961</v>
      </c>
      <c r="T277" s="5">
        <f>91/$T$1</f>
        <v>0.45959595959595961</v>
      </c>
      <c r="V277">
        <v>128</v>
      </c>
      <c r="W277" s="5">
        <f>V277/V319</f>
        <v>0.53112033195020747</v>
      </c>
      <c r="X277" s="5">
        <f>128/$X$1</f>
        <v>0.53112033195020747</v>
      </c>
      <c r="Z277">
        <v>108</v>
      </c>
      <c r="AA277" s="5">
        <f>Z277/Z319</f>
        <v>0.54545454545454541</v>
      </c>
      <c r="AB277" s="5">
        <f>108/$AB$1</f>
        <v>0.54545454545454541</v>
      </c>
      <c r="AD277">
        <v>78</v>
      </c>
      <c r="AE277" s="5">
        <f>AD277/AD319</f>
        <v>0.50649350649350644</v>
      </c>
      <c r="AF277" s="5">
        <f>78/$AF$1</f>
        <v>0.50649350649350644</v>
      </c>
      <c r="AH277">
        <v>73</v>
      </c>
      <c r="AI277" s="5">
        <f>AH277/AH319</f>
        <v>0.60833333333333328</v>
      </c>
      <c r="AJ277" s="5">
        <f>73/$AJ$1</f>
        <v>0.60833333333333328</v>
      </c>
      <c r="AL277">
        <v>177</v>
      </c>
      <c r="AM277" s="5">
        <f>AL277/AL319</f>
        <v>0.47837837837837838</v>
      </c>
      <c r="AN277" s="5">
        <f>177/$AN$1</f>
        <v>0.47837837837837838</v>
      </c>
      <c r="AP277">
        <v>198</v>
      </c>
      <c r="AQ277" s="5">
        <f>AP277/AP319</f>
        <v>0.52380952380952384</v>
      </c>
      <c r="AR277" s="5">
        <f>198/$AR$1</f>
        <v>0.52380952380952384</v>
      </c>
      <c r="AT277">
        <v>132</v>
      </c>
      <c r="AU277" s="5">
        <f>AT277/AT319</f>
        <v>0.52380952380952384</v>
      </c>
      <c r="AV277" s="5">
        <f>132/$AV$1</f>
        <v>0.52380952380952384</v>
      </c>
      <c r="AX277">
        <v>133</v>
      </c>
      <c r="AY277" s="5">
        <f>AX277/AX319</f>
        <v>0.48717948717948717</v>
      </c>
      <c r="AZ277" s="5">
        <f>133/$AZ$1</f>
        <v>0.48717948717948717</v>
      </c>
      <c r="BA277" s="5"/>
      <c r="BB277">
        <v>104</v>
      </c>
      <c r="BC277" s="5">
        <f>BB277/BB319</f>
        <v>0.51231527093596063</v>
      </c>
      <c r="BD277" s="5">
        <f>104/$BD$1</f>
        <v>0.51231527093596063</v>
      </c>
      <c r="BF277">
        <v>102</v>
      </c>
      <c r="BG277" s="5">
        <f>BF277/BF319</f>
        <v>0.47441860465116281</v>
      </c>
      <c r="BH277" s="5">
        <f>102/$BH$1</f>
        <v>0.47441860465116281</v>
      </c>
      <c r="BJ277">
        <v>168</v>
      </c>
      <c r="BK277" s="5">
        <f>BJ277/BJ319</f>
        <v>0.5436893203883495</v>
      </c>
      <c r="BL277" s="5">
        <f>168/$BL$1</f>
        <v>0.5436893203883495</v>
      </c>
      <c r="BN277">
        <v>24</v>
      </c>
      <c r="BO277" s="5">
        <f>BN277/BN319</f>
        <v>0.51063829787234039</v>
      </c>
      <c r="BP277" s="5">
        <f>24/$BP$1</f>
        <v>0.51063829787234039</v>
      </c>
      <c r="BR277">
        <v>150</v>
      </c>
      <c r="BS277" s="5">
        <f>BR277/BR319</f>
        <v>0.47770700636942676</v>
      </c>
      <c r="BT277" s="5">
        <f>150/$BT$1</f>
        <v>0.47770700636942676</v>
      </c>
      <c r="BV277">
        <v>197</v>
      </c>
      <c r="BW277" s="5">
        <f>BV277/BV319</f>
        <v>0.50127226463104324</v>
      </c>
      <c r="BX277" s="5">
        <f>197/$BX$1</f>
        <v>0.50127226463104324</v>
      </c>
      <c r="BZ277">
        <v>136</v>
      </c>
      <c r="CA277" s="5">
        <f>BZ277/BZ319</f>
        <v>0.55284552845528456</v>
      </c>
      <c r="CB277" s="5">
        <f>136/$CB$1</f>
        <v>0.55284552845528456</v>
      </c>
      <c r="CD277">
        <v>63</v>
      </c>
      <c r="CE277" s="5">
        <f>CD277/CD319</f>
        <v>0.51219512195121952</v>
      </c>
      <c r="CF277" s="5">
        <f>63/$CF$1</f>
        <v>0.51219512195121952</v>
      </c>
      <c r="CH277">
        <v>337</v>
      </c>
      <c r="CI277" s="5">
        <f>CH277/CH319</f>
        <v>0.48982558139534882</v>
      </c>
      <c r="CJ277" s="5">
        <f>337/$CJ$1</f>
        <v>0.48982558139534882</v>
      </c>
      <c r="CL277">
        <v>348</v>
      </c>
      <c r="CM277" s="5">
        <f>CL277/CL319</f>
        <v>0.45910290237467016</v>
      </c>
      <c r="CN277" s="5">
        <f>348/$CN$1</f>
        <v>0.45910290237467016</v>
      </c>
      <c r="CP277">
        <v>159</v>
      </c>
      <c r="CQ277" s="5">
        <f>CP277/CP319</f>
        <v>0.65702479338842978</v>
      </c>
      <c r="CR277" s="5">
        <f>159/$CR$1</f>
        <v>0.65702479338842978</v>
      </c>
      <c r="CT277">
        <v>132</v>
      </c>
      <c r="CU277" s="5">
        <f>CT277/CT319</f>
        <v>0.3963963963963964</v>
      </c>
      <c r="CV277" s="5">
        <f>132/$CV$1</f>
        <v>0.3963963963963964</v>
      </c>
      <c r="CX277">
        <v>375</v>
      </c>
      <c r="CY277" s="5">
        <f>CX277/CX319</f>
        <v>0.56221889055472263</v>
      </c>
      <c r="CZ277" s="5">
        <f>375/$CZ$1</f>
        <v>0.56221889055472263</v>
      </c>
    </row>
    <row r="279" spans="1:104" x14ac:dyDescent="0.25">
      <c r="A279" s="1" t="s">
        <v>2917</v>
      </c>
      <c r="B279">
        <v>607</v>
      </c>
      <c r="C279" s="5">
        <f>B279/B319</f>
        <v>0.60699999999999998</v>
      </c>
      <c r="D279" s="5">
        <f>607/$D$1</f>
        <v>0.60699999999999998</v>
      </c>
      <c r="F279">
        <v>270</v>
      </c>
      <c r="G279" s="5">
        <f>F279/F319</f>
        <v>0.53892215568862278</v>
      </c>
      <c r="H279" s="5">
        <f>270/$H$1</f>
        <v>0.53892215568862278</v>
      </c>
      <c r="J279">
        <v>337</v>
      </c>
      <c r="K279" s="5">
        <f>J279/J319</f>
        <v>0.67535070140280562</v>
      </c>
      <c r="L279" s="5">
        <f>337/$L$1</f>
        <v>0.67535070140280562</v>
      </c>
      <c r="N279">
        <v>62</v>
      </c>
      <c r="O279" s="5">
        <f>N279/N319</f>
        <v>0.63917525773195871</v>
      </c>
      <c r="P279" s="5">
        <f>62/$P$1</f>
        <v>0.63917525773195871</v>
      </c>
      <c r="R279">
        <v>123</v>
      </c>
      <c r="S279" s="5">
        <f>R279/R319</f>
        <v>0.62121212121212122</v>
      </c>
      <c r="T279" s="5">
        <f>123/$T$1</f>
        <v>0.62121212121212122</v>
      </c>
      <c r="V279">
        <v>141</v>
      </c>
      <c r="W279" s="5">
        <f>V279/V319</f>
        <v>0.58506224066390045</v>
      </c>
      <c r="X279" s="5">
        <f>141/$X$1</f>
        <v>0.58506224066390045</v>
      </c>
      <c r="Z279">
        <v>120</v>
      </c>
      <c r="AA279" s="5">
        <f>Z279/Z319</f>
        <v>0.60606060606060608</v>
      </c>
      <c r="AB279" s="5">
        <f>120/$AB$1</f>
        <v>0.60606060606060608</v>
      </c>
      <c r="AD279">
        <v>93</v>
      </c>
      <c r="AE279" s="5">
        <f>AD279/AD319</f>
        <v>0.60389610389610393</v>
      </c>
      <c r="AF279" s="5">
        <f>93/$AF$1</f>
        <v>0.60389610389610393</v>
      </c>
      <c r="AH279">
        <v>72</v>
      </c>
      <c r="AI279" s="5">
        <f>AH279/AH319</f>
        <v>0.6</v>
      </c>
      <c r="AJ279" s="5">
        <f>72/$AJ$1</f>
        <v>0.6</v>
      </c>
      <c r="AL279">
        <v>233</v>
      </c>
      <c r="AM279" s="5">
        <f>AL279/AL319</f>
        <v>0.62972972972972974</v>
      </c>
      <c r="AN279" s="5">
        <f>233/$AN$1</f>
        <v>0.62972972972972974</v>
      </c>
      <c r="AP279">
        <v>215</v>
      </c>
      <c r="AQ279" s="5">
        <f>AP279/AP319</f>
        <v>0.56878306878306883</v>
      </c>
      <c r="AR279" s="5">
        <f>215/$AR$1</f>
        <v>0.56878306878306883</v>
      </c>
      <c r="AT279">
        <v>159</v>
      </c>
      <c r="AU279" s="5">
        <f>AT279/AT319</f>
        <v>0.63095238095238093</v>
      </c>
      <c r="AV279" s="5">
        <f>159/$AV$1</f>
        <v>0.63095238095238093</v>
      </c>
      <c r="AX279">
        <v>164</v>
      </c>
      <c r="AY279" s="5">
        <f>AX279/AX319</f>
        <v>0.60073260073260071</v>
      </c>
      <c r="AZ279" s="5">
        <f>164/$AZ$1</f>
        <v>0.60073260073260071</v>
      </c>
      <c r="BA279" s="5"/>
      <c r="BB279">
        <v>133</v>
      </c>
      <c r="BC279" s="5">
        <f>BB279/BB319</f>
        <v>0.65517241379310343</v>
      </c>
      <c r="BD279" s="5">
        <f>133/$BD$1</f>
        <v>0.65517241379310343</v>
      </c>
      <c r="BF279">
        <v>133</v>
      </c>
      <c r="BG279" s="5">
        <f>BF279/BF319</f>
        <v>0.61860465116279073</v>
      </c>
      <c r="BH279" s="5">
        <f>133/$BH$1</f>
        <v>0.61860465116279073</v>
      </c>
      <c r="BJ279">
        <v>177</v>
      </c>
      <c r="BK279" s="5">
        <f>BJ279/BJ319</f>
        <v>0.57281553398058249</v>
      </c>
      <c r="BL279" s="5">
        <f>177/$BL$1</f>
        <v>0.57281553398058249</v>
      </c>
      <c r="BN279">
        <v>26</v>
      </c>
      <c r="BO279" s="5">
        <f>BN279/BN319</f>
        <v>0.55319148936170215</v>
      </c>
      <c r="BP279" s="5">
        <f>26/$BP$1</f>
        <v>0.55319148936170215</v>
      </c>
      <c r="BR279">
        <v>173</v>
      </c>
      <c r="BS279" s="5">
        <f>BR279/BR319</f>
        <v>0.55095541401273884</v>
      </c>
      <c r="BT279" s="5">
        <f>173/$BT$1</f>
        <v>0.55095541401273884</v>
      </c>
      <c r="BV279">
        <v>241</v>
      </c>
      <c r="BW279" s="5">
        <f>BV279/BV319</f>
        <v>0.61323155216284986</v>
      </c>
      <c r="BX279" s="5">
        <f>241/$BX$1</f>
        <v>0.61323155216284986</v>
      </c>
      <c r="BZ279">
        <v>167</v>
      </c>
      <c r="CA279" s="5">
        <f>BZ279/BZ319</f>
        <v>0.67886178861788615</v>
      </c>
      <c r="CB279" s="5">
        <f>167/$CB$1</f>
        <v>0.67886178861788615</v>
      </c>
      <c r="CD279">
        <v>74</v>
      </c>
      <c r="CE279" s="5">
        <f>CD279/CD319</f>
        <v>0.60162601626016265</v>
      </c>
      <c r="CF279" s="5">
        <f>74/$CF$1</f>
        <v>0.60162601626016265</v>
      </c>
      <c r="CH279">
        <v>426</v>
      </c>
      <c r="CI279" s="5">
        <f>CH279/CH319</f>
        <v>0.6191860465116279</v>
      </c>
      <c r="CJ279" s="5">
        <f>426/$CJ$1</f>
        <v>0.6191860465116279</v>
      </c>
      <c r="CL279">
        <v>474</v>
      </c>
      <c r="CM279" s="5">
        <f>CL279/CL319</f>
        <v>0.62532981530343013</v>
      </c>
      <c r="CN279" s="5">
        <f>474/$CN$1</f>
        <v>0.62532981530343013</v>
      </c>
      <c r="CP279">
        <v>133</v>
      </c>
      <c r="CQ279" s="5">
        <f>CP279/CP319</f>
        <v>0.54958677685950408</v>
      </c>
      <c r="CR279" s="5">
        <f>133/$CR$1</f>
        <v>0.54958677685950408</v>
      </c>
      <c r="CT279">
        <v>241</v>
      </c>
      <c r="CU279" s="5">
        <f>CT279/CT319</f>
        <v>0.72372372372372373</v>
      </c>
      <c r="CV279" s="5">
        <f>241/$CV$1</f>
        <v>0.72372372372372373</v>
      </c>
      <c r="CX279">
        <v>366</v>
      </c>
      <c r="CY279" s="5">
        <f>CX279/CX319</f>
        <v>0.54872563718140932</v>
      </c>
      <c r="CZ279" s="5">
        <f>366/$CZ$1</f>
        <v>0.54872563718140932</v>
      </c>
    </row>
    <row r="280" spans="1:104" x14ac:dyDescent="0.25">
      <c r="A280" s="1" t="s">
        <v>2918</v>
      </c>
      <c r="B280">
        <v>250</v>
      </c>
      <c r="C280" s="5">
        <f>B280/B319</f>
        <v>0.25</v>
      </c>
      <c r="D280" s="5">
        <f>250/$D$1</f>
        <v>0.25</v>
      </c>
      <c r="F280">
        <v>141</v>
      </c>
      <c r="G280" s="5">
        <f>F280/F319</f>
        <v>0.28143712574850299</v>
      </c>
      <c r="H280" s="5">
        <f>141/$H$1</f>
        <v>0.28143712574850299</v>
      </c>
      <c r="J280">
        <v>109</v>
      </c>
      <c r="K280" s="5">
        <f>J280/J319</f>
        <v>0.21843687374749499</v>
      </c>
      <c r="L280" s="5">
        <f>109/$L$1</f>
        <v>0.21843687374749499</v>
      </c>
      <c r="N280">
        <v>24</v>
      </c>
      <c r="O280" s="5">
        <f>N280/N319</f>
        <v>0.24742268041237114</v>
      </c>
      <c r="P280" s="5">
        <f>24/$P$1</f>
        <v>0.24742268041237114</v>
      </c>
      <c r="R280">
        <v>38</v>
      </c>
      <c r="S280" s="5">
        <f>R280/R319</f>
        <v>0.19191919191919191</v>
      </c>
      <c r="T280" s="5">
        <f>38/$T$1</f>
        <v>0.19191919191919191</v>
      </c>
      <c r="V280">
        <v>63</v>
      </c>
      <c r="W280" s="5">
        <f>V280/V319</f>
        <v>0.26141078838174275</v>
      </c>
      <c r="X280" s="5">
        <f>63/$X$1</f>
        <v>0.26141078838174275</v>
      </c>
      <c r="Z280">
        <v>53</v>
      </c>
      <c r="AA280" s="5">
        <f>Z280/Z319</f>
        <v>0.26767676767676768</v>
      </c>
      <c r="AB280" s="5">
        <f>53/$AB$1</f>
        <v>0.26767676767676768</v>
      </c>
      <c r="AD280">
        <v>43</v>
      </c>
      <c r="AE280" s="5">
        <f>AD280/AD319</f>
        <v>0.2792207792207792</v>
      </c>
      <c r="AF280" s="5">
        <f>43/$AF$1</f>
        <v>0.2792207792207792</v>
      </c>
      <c r="AH280">
        <v>31</v>
      </c>
      <c r="AI280" s="5">
        <f>AH280/AH319</f>
        <v>0.25833333333333336</v>
      </c>
      <c r="AJ280" s="5">
        <f>31/$AJ$1</f>
        <v>0.25833333333333336</v>
      </c>
      <c r="AL280">
        <v>94</v>
      </c>
      <c r="AM280" s="5">
        <f>AL280/AL319</f>
        <v>0.25405405405405407</v>
      </c>
      <c r="AN280" s="5">
        <f>94/$AN$1</f>
        <v>0.25405405405405407</v>
      </c>
      <c r="AP280">
        <v>103</v>
      </c>
      <c r="AQ280" s="5">
        <f>AP280/AP319</f>
        <v>0.2724867724867725</v>
      </c>
      <c r="AR280" s="5">
        <f>103/$AR$1</f>
        <v>0.2724867724867725</v>
      </c>
      <c r="AT280">
        <v>53</v>
      </c>
      <c r="AU280" s="5">
        <f>AT280/AT319</f>
        <v>0.21031746031746032</v>
      </c>
      <c r="AV280" s="5">
        <f>53/$AV$1</f>
        <v>0.21031746031746032</v>
      </c>
      <c r="AX280">
        <v>70</v>
      </c>
      <c r="AY280" s="5">
        <f>AX280/AX319</f>
        <v>0.25641025641025639</v>
      </c>
      <c r="AZ280" s="5">
        <f>70/$AZ$1</f>
        <v>0.25641025641025639</v>
      </c>
      <c r="BA280" s="5"/>
      <c r="BB280">
        <v>43</v>
      </c>
      <c r="BC280" s="5">
        <f>BB280/BB319</f>
        <v>0.21182266009852216</v>
      </c>
      <c r="BD280" s="5">
        <f>43/$BD$1</f>
        <v>0.21182266009852216</v>
      </c>
      <c r="BF280">
        <v>48</v>
      </c>
      <c r="BG280" s="5">
        <f>BF280/BF319</f>
        <v>0.22325581395348837</v>
      </c>
      <c r="BH280" s="5">
        <f>48/$BH$1</f>
        <v>0.22325581395348837</v>
      </c>
      <c r="BJ280">
        <v>89</v>
      </c>
      <c r="BK280" s="5">
        <f>BJ280/BJ319</f>
        <v>0.28802588996763756</v>
      </c>
      <c r="BL280" s="5">
        <f>89/$BL$1</f>
        <v>0.28802588996763756</v>
      </c>
      <c r="BN280">
        <v>15</v>
      </c>
      <c r="BO280" s="5">
        <f>BN280/BN319</f>
        <v>0.31914893617021278</v>
      </c>
      <c r="BP280" s="5">
        <f>15/$BP$1</f>
        <v>0.31914893617021278</v>
      </c>
      <c r="BR280">
        <v>91</v>
      </c>
      <c r="BS280" s="5">
        <f>BR280/BR319</f>
        <v>0.28980891719745222</v>
      </c>
      <c r="BT280" s="5">
        <f>91/$BT$1</f>
        <v>0.28980891719745222</v>
      </c>
      <c r="BV280">
        <v>95</v>
      </c>
      <c r="BW280" s="5">
        <f>BV280/BV319</f>
        <v>0.24173027989821882</v>
      </c>
      <c r="BX280" s="5">
        <f>95/$BX$1</f>
        <v>0.24173027989821882</v>
      </c>
      <c r="BZ280">
        <v>49</v>
      </c>
      <c r="CA280" s="5">
        <f>BZ280/BZ319</f>
        <v>0.1991869918699187</v>
      </c>
      <c r="CB280" s="5">
        <f>49/$CB$1</f>
        <v>0.1991869918699187</v>
      </c>
      <c r="CD280">
        <v>28</v>
      </c>
      <c r="CE280" s="5">
        <f>CD280/CD319</f>
        <v>0.22764227642276422</v>
      </c>
      <c r="CF280" s="5">
        <f>28/$CF$1</f>
        <v>0.22764227642276422</v>
      </c>
      <c r="CH280">
        <v>187</v>
      </c>
      <c r="CI280" s="5">
        <f>CH280/CH319</f>
        <v>0.27180232558139533</v>
      </c>
      <c r="CJ280" s="5">
        <f>187/$CJ$1</f>
        <v>0.27180232558139533</v>
      </c>
      <c r="CL280">
        <v>203</v>
      </c>
      <c r="CM280" s="5">
        <f>CL280/CL319</f>
        <v>0.26781002638522428</v>
      </c>
      <c r="CN280" s="5">
        <f>203/$CN$1</f>
        <v>0.26781002638522428</v>
      </c>
      <c r="CP280">
        <v>47</v>
      </c>
      <c r="CQ280" s="5">
        <f>CP280/CP319</f>
        <v>0.19421487603305784</v>
      </c>
      <c r="CR280" s="5">
        <f>47/$CR$1</f>
        <v>0.19421487603305784</v>
      </c>
      <c r="CT280">
        <v>65</v>
      </c>
      <c r="CU280" s="5">
        <f>CT280/CT319</f>
        <v>0.19519519519519518</v>
      </c>
      <c r="CV280" s="5">
        <f>65/$CV$1</f>
        <v>0.19519519519519518</v>
      </c>
      <c r="CX280">
        <v>185</v>
      </c>
      <c r="CY280" s="5">
        <f>CX280/CX319</f>
        <v>0.27736131934032981</v>
      </c>
      <c r="CZ280" s="5">
        <f>185/$CZ$1</f>
        <v>0.27736131934032981</v>
      </c>
    </row>
    <row r="281" spans="1:104" x14ac:dyDescent="0.25">
      <c r="A281" s="1" t="s">
        <v>2919</v>
      </c>
      <c r="B281">
        <v>145</v>
      </c>
      <c r="C281" s="5">
        <f>B281/B319</f>
        <v>0.14499999999999999</v>
      </c>
      <c r="D281" s="5">
        <f>145/$D$1</f>
        <v>0.14499999999999999</v>
      </c>
      <c r="F281">
        <v>91</v>
      </c>
      <c r="G281" s="5">
        <f>F281/F319</f>
        <v>0.18163672654690619</v>
      </c>
      <c r="H281" s="5">
        <f>91/$H$1</f>
        <v>0.18163672654690619</v>
      </c>
      <c r="J281">
        <v>54</v>
      </c>
      <c r="K281" s="5">
        <f>J281/J319</f>
        <v>0.10821643286573146</v>
      </c>
      <c r="L281" s="5">
        <f>54/$L$1</f>
        <v>0.10821643286573146</v>
      </c>
      <c r="N281">
        <v>12</v>
      </c>
      <c r="O281" s="5">
        <f>N281/N319</f>
        <v>0.12371134020618557</v>
      </c>
      <c r="P281" s="5">
        <f>12/$P$1</f>
        <v>0.12371134020618557</v>
      </c>
      <c r="R281">
        <v>37</v>
      </c>
      <c r="S281" s="5">
        <f>R281/R319</f>
        <v>0.18686868686868688</v>
      </c>
      <c r="T281" s="5">
        <f>37/$T$1</f>
        <v>0.18686868686868688</v>
      </c>
      <c r="V281">
        <v>38</v>
      </c>
      <c r="W281" s="5">
        <f>V281/V319</f>
        <v>0.15767634854771784</v>
      </c>
      <c r="X281" s="5">
        <f>38/$X$1</f>
        <v>0.15767634854771784</v>
      </c>
      <c r="Z281">
        <v>25</v>
      </c>
      <c r="AA281" s="5">
        <f>Z281/Z319</f>
        <v>0.12626262626262627</v>
      </c>
      <c r="AB281" s="5">
        <f>25/$AB$1</f>
        <v>0.12626262626262627</v>
      </c>
      <c r="AD281">
        <v>18</v>
      </c>
      <c r="AE281" s="5">
        <f>AD281/AD319</f>
        <v>0.11688311688311688</v>
      </c>
      <c r="AF281" s="5">
        <f>18/$AF$1</f>
        <v>0.11688311688311688</v>
      </c>
      <c r="AH281">
        <v>17</v>
      </c>
      <c r="AI281" s="5">
        <f>AH281/AH319</f>
        <v>0.14166666666666666</v>
      </c>
      <c r="AJ281" s="5">
        <f>17/$AJ$1</f>
        <v>0.14166666666666666</v>
      </c>
      <c r="AL281">
        <v>44</v>
      </c>
      <c r="AM281" s="5">
        <f>AL281/AL319</f>
        <v>0.11891891891891893</v>
      </c>
      <c r="AN281" s="5">
        <f>44/$AN$1</f>
        <v>0.11891891891891893</v>
      </c>
      <c r="AP281">
        <v>60</v>
      </c>
      <c r="AQ281" s="5">
        <f>AP281/AP319</f>
        <v>0.15873015873015872</v>
      </c>
      <c r="AR281" s="5">
        <f>60/$AR$1</f>
        <v>0.15873015873015872</v>
      </c>
      <c r="AT281">
        <v>41</v>
      </c>
      <c r="AU281" s="5">
        <f>AT281/AT319</f>
        <v>0.1626984126984127</v>
      </c>
      <c r="AV281" s="5">
        <f>41/$AV$1</f>
        <v>0.1626984126984127</v>
      </c>
      <c r="AX281">
        <v>40</v>
      </c>
      <c r="AY281" s="5">
        <f>AX281/AX319</f>
        <v>0.14652014652014653</v>
      </c>
      <c r="AZ281" s="5">
        <f>40/$AZ$1</f>
        <v>0.14652014652014653</v>
      </c>
      <c r="BA281" s="5"/>
      <c r="BB281">
        <v>28</v>
      </c>
      <c r="BC281" s="5">
        <f>BB281/BB319</f>
        <v>0.13793103448275862</v>
      </c>
      <c r="BD281" s="5">
        <f>28/$BD$1</f>
        <v>0.13793103448275862</v>
      </c>
      <c r="BF281">
        <v>34</v>
      </c>
      <c r="BG281" s="5">
        <f>BF281/BF319</f>
        <v>0.15813953488372093</v>
      </c>
      <c r="BH281" s="5">
        <f>34/$BH$1</f>
        <v>0.15813953488372093</v>
      </c>
      <c r="BJ281">
        <v>43</v>
      </c>
      <c r="BK281" s="5">
        <f>BJ281/BJ319</f>
        <v>0.13915857605177995</v>
      </c>
      <c r="BL281" s="5">
        <f>43/$BL$1</f>
        <v>0.13915857605177995</v>
      </c>
      <c r="BN281">
        <v>6</v>
      </c>
      <c r="BO281" s="5">
        <f>BN281/BN319</f>
        <v>0.1276595744680851</v>
      </c>
      <c r="BP281" s="5">
        <f>6/$BP$1</f>
        <v>0.1276595744680851</v>
      </c>
      <c r="BR281">
        <v>52</v>
      </c>
      <c r="BS281" s="5">
        <f>BR281/BR319</f>
        <v>0.16560509554140126</v>
      </c>
      <c r="BT281" s="5">
        <f>52/$BT$1</f>
        <v>0.16560509554140126</v>
      </c>
      <c r="BV281">
        <v>57</v>
      </c>
      <c r="BW281" s="5">
        <f>BV281/BV319</f>
        <v>0.14503816793893129</v>
      </c>
      <c r="BX281" s="5">
        <f>57/$BX$1</f>
        <v>0.14503816793893129</v>
      </c>
      <c r="BZ281">
        <v>30</v>
      </c>
      <c r="CA281" s="5">
        <f>BZ281/BZ319</f>
        <v>0.12195121951219512</v>
      </c>
      <c r="CB281" s="5">
        <f>30/$CB$1</f>
        <v>0.12195121951219512</v>
      </c>
      <c r="CD281">
        <v>21</v>
      </c>
      <c r="CE281" s="5">
        <f>CD281/CD319</f>
        <v>0.17073170731707318</v>
      </c>
      <c r="CF281" s="5">
        <f>21/$CF$1</f>
        <v>0.17073170731707318</v>
      </c>
      <c r="CH281">
        <v>76</v>
      </c>
      <c r="CI281" s="5">
        <f>CH281/CH319</f>
        <v>0.11046511627906977</v>
      </c>
      <c r="CJ281" s="5">
        <f>76/$CJ$1</f>
        <v>0.11046511627906977</v>
      </c>
      <c r="CL281">
        <v>82</v>
      </c>
      <c r="CM281" s="5">
        <f>CL281/CL319</f>
        <v>0.10817941952506596</v>
      </c>
      <c r="CN281" s="5">
        <f>82/$CN$1</f>
        <v>0.10817941952506596</v>
      </c>
      <c r="CP281">
        <v>63</v>
      </c>
      <c r="CQ281" s="5">
        <f>CP281/CP319</f>
        <v>0.26033057851239672</v>
      </c>
      <c r="CR281" s="5">
        <f>63/$CR$1</f>
        <v>0.26033057851239672</v>
      </c>
      <c r="CT281">
        <v>27</v>
      </c>
      <c r="CU281" s="5">
        <f>CT281/CT319</f>
        <v>8.1081081081081086E-2</v>
      </c>
      <c r="CV281" s="5">
        <f>27/$CV$1</f>
        <v>8.1081081081081086E-2</v>
      </c>
      <c r="CX281">
        <v>118</v>
      </c>
      <c r="CY281" s="5">
        <f>CX281/CX319</f>
        <v>0.17691154422788605</v>
      </c>
      <c r="CZ281" s="5">
        <f>118/$CZ$1</f>
        <v>0.17691154422788605</v>
      </c>
    </row>
    <row r="283" spans="1:104" x14ac:dyDescent="0.25">
      <c r="A283" s="1" t="s">
        <v>2920</v>
      </c>
      <c r="B283">
        <v>478</v>
      </c>
      <c r="C283" s="5">
        <f>B283/B319</f>
        <v>0.47799999999999998</v>
      </c>
      <c r="D283" s="5">
        <f>478/$D$1</f>
        <v>0.47799999999999998</v>
      </c>
      <c r="F283">
        <v>233</v>
      </c>
      <c r="G283" s="5">
        <f>F283/F319</f>
        <v>0.46506986027944114</v>
      </c>
      <c r="H283" s="5">
        <f>233/$H$1</f>
        <v>0.46506986027944114</v>
      </c>
      <c r="J283">
        <v>245</v>
      </c>
      <c r="K283" s="5">
        <f>J283/J319</f>
        <v>0.4909819639278557</v>
      </c>
      <c r="L283" s="5">
        <f>245/$L$1</f>
        <v>0.4909819639278557</v>
      </c>
      <c r="N283">
        <v>39</v>
      </c>
      <c r="O283" s="5">
        <f>N283/N319</f>
        <v>0.40206185567010311</v>
      </c>
      <c r="P283" s="5">
        <f>39/$P$1</f>
        <v>0.40206185567010311</v>
      </c>
      <c r="R283">
        <v>83</v>
      </c>
      <c r="S283" s="5">
        <f>R283/R319</f>
        <v>0.41919191919191917</v>
      </c>
      <c r="T283" s="5">
        <f>83/$T$1</f>
        <v>0.41919191919191917</v>
      </c>
      <c r="V283">
        <v>120</v>
      </c>
      <c r="W283" s="5">
        <f>V283/V319</f>
        <v>0.49792531120331951</v>
      </c>
      <c r="X283" s="5">
        <f>120/$X$1</f>
        <v>0.49792531120331951</v>
      </c>
      <c r="Z283">
        <v>110</v>
      </c>
      <c r="AA283" s="5">
        <f>Z283/Z319</f>
        <v>0.55555555555555558</v>
      </c>
      <c r="AB283" s="5">
        <f>110/$AB$1</f>
        <v>0.55555555555555558</v>
      </c>
      <c r="AD283">
        <v>70</v>
      </c>
      <c r="AE283" s="5">
        <f>AD283/AD319</f>
        <v>0.45454545454545453</v>
      </c>
      <c r="AF283" s="5">
        <f>70/$AF$1</f>
        <v>0.45454545454545453</v>
      </c>
      <c r="AH283">
        <v>61</v>
      </c>
      <c r="AI283" s="5">
        <f>AH283/AH319</f>
        <v>0.5083333333333333</v>
      </c>
      <c r="AJ283" s="5">
        <f>61/$AJ$1</f>
        <v>0.5083333333333333</v>
      </c>
      <c r="AL283">
        <v>198</v>
      </c>
      <c r="AM283" s="5">
        <f>AL283/AL319</f>
        <v>0.53513513513513511</v>
      </c>
      <c r="AN283" s="5">
        <f>198/$AN$1</f>
        <v>0.53513513513513511</v>
      </c>
      <c r="AP283">
        <v>189</v>
      </c>
      <c r="AQ283" s="5">
        <f>AP283/AP319</f>
        <v>0.5</v>
      </c>
      <c r="AR283" s="5">
        <f>189/$AR$1</f>
        <v>0.5</v>
      </c>
      <c r="AT283">
        <v>91</v>
      </c>
      <c r="AU283" s="5">
        <f>AT283/AT319</f>
        <v>0.3611111111111111</v>
      </c>
      <c r="AV283" s="5">
        <f>91/$AV$1</f>
        <v>0.3611111111111111</v>
      </c>
      <c r="AX283">
        <v>156</v>
      </c>
      <c r="AY283" s="5">
        <f>AX283/AX319</f>
        <v>0.5714285714285714</v>
      </c>
      <c r="AZ283" s="5">
        <f>156/$AZ$1</f>
        <v>0.5714285714285714</v>
      </c>
      <c r="BA283" s="5"/>
      <c r="BB283">
        <v>87</v>
      </c>
      <c r="BC283" s="5">
        <f>BB283/BB319</f>
        <v>0.42857142857142855</v>
      </c>
      <c r="BD283" s="5">
        <f>87/$BD$1</f>
        <v>0.42857142857142855</v>
      </c>
      <c r="BF283">
        <v>100</v>
      </c>
      <c r="BG283" s="5">
        <f>BF283/BF319</f>
        <v>0.46511627906976744</v>
      </c>
      <c r="BH283" s="5">
        <f>100/$BH$1</f>
        <v>0.46511627906976744</v>
      </c>
      <c r="BJ283">
        <v>135</v>
      </c>
      <c r="BK283" s="5">
        <f>BJ283/BJ319</f>
        <v>0.43689320388349512</v>
      </c>
      <c r="BL283" s="5">
        <f>135/$BL$1</f>
        <v>0.43689320388349512</v>
      </c>
      <c r="BN283">
        <v>22</v>
      </c>
      <c r="BO283" s="5">
        <f>BN283/BN319</f>
        <v>0.46808510638297873</v>
      </c>
      <c r="BP283" s="5">
        <f>22/$BP$1</f>
        <v>0.46808510638297873</v>
      </c>
      <c r="BR283">
        <v>165</v>
      </c>
      <c r="BS283" s="5">
        <f>BR283/BR319</f>
        <v>0.52547770700636942</v>
      </c>
      <c r="BT283" s="5">
        <f>165/$BT$1</f>
        <v>0.52547770700636942</v>
      </c>
      <c r="BV283">
        <v>186</v>
      </c>
      <c r="BW283" s="5">
        <f>BV283/BV319</f>
        <v>0.47328244274809161</v>
      </c>
      <c r="BX283" s="5">
        <f>186/$BX$1</f>
        <v>0.47328244274809161</v>
      </c>
      <c r="BZ283">
        <v>105</v>
      </c>
      <c r="CA283" s="5">
        <f>BZ283/BZ319</f>
        <v>0.42682926829268292</v>
      </c>
      <c r="CB283" s="5">
        <f>105/$CB$1</f>
        <v>0.42682926829268292</v>
      </c>
      <c r="CD283">
        <v>56</v>
      </c>
      <c r="CE283" s="5">
        <f>CD283/CD319</f>
        <v>0.45528455284552843</v>
      </c>
      <c r="CF283" s="5">
        <f>56/$CF$1</f>
        <v>0.45528455284552843</v>
      </c>
      <c r="CH283">
        <v>333</v>
      </c>
      <c r="CI283" s="5">
        <f>CH283/CH319</f>
        <v>0.48401162790697677</v>
      </c>
      <c r="CJ283" s="5">
        <f>333/$CJ$1</f>
        <v>0.48401162790697677</v>
      </c>
      <c r="CL283">
        <v>382</v>
      </c>
      <c r="CM283" s="5">
        <f>CL283/CL319</f>
        <v>0.50395778364116095</v>
      </c>
      <c r="CN283" s="5">
        <f>382/$CN$1</f>
        <v>0.50395778364116095</v>
      </c>
      <c r="CP283">
        <v>96</v>
      </c>
      <c r="CQ283" s="5">
        <f>CP283/CP319</f>
        <v>0.39669421487603307</v>
      </c>
      <c r="CR283" s="5">
        <f>96/$CR$1</f>
        <v>0.39669421487603307</v>
      </c>
      <c r="CT283">
        <v>165</v>
      </c>
      <c r="CU283" s="5">
        <f>CT283/CT319</f>
        <v>0.49549549549549549</v>
      </c>
      <c r="CV283" s="5">
        <f>165/$CV$1</f>
        <v>0.49549549549549549</v>
      </c>
      <c r="CX283">
        <v>313</v>
      </c>
      <c r="CY283" s="5">
        <f>CX283/CX319</f>
        <v>0.46926536731634183</v>
      </c>
      <c r="CZ283" s="5">
        <f>313/$CZ$1</f>
        <v>0.46926536731634183</v>
      </c>
    </row>
    <row r="284" spans="1:104" x14ac:dyDescent="0.25">
      <c r="A284" s="1" t="s">
        <v>2921</v>
      </c>
      <c r="B284">
        <v>111</v>
      </c>
      <c r="C284" s="5">
        <f>B284/B319</f>
        <v>0.111</v>
      </c>
      <c r="D284" s="5">
        <f>111/$D$1</f>
        <v>0.111</v>
      </c>
      <c r="F284">
        <v>54</v>
      </c>
      <c r="G284" s="5">
        <f>F284/F319</f>
        <v>0.10778443113772455</v>
      </c>
      <c r="H284" s="5">
        <f>54/$H$1</f>
        <v>0.10778443113772455</v>
      </c>
      <c r="J284">
        <v>57</v>
      </c>
      <c r="K284" s="5">
        <f>J284/J319</f>
        <v>0.11422845691382766</v>
      </c>
      <c r="L284" s="5">
        <f>57/$L$1</f>
        <v>0.11422845691382766</v>
      </c>
      <c r="N284">
        <v>11</v>
      </c>
      <c r="O284" s="5">
        <f>N284/N319</f>
        <v>0.1134020618556701</v>
      </c>
      <c r="P284" s="5">
        <f>11/$P$1</f>
        <v>0.1134020618556701</v>
      </c>
      <c r="R284">
        <v>27</v>
      </c>
      <c r="S284" s="5">
        <f>R284/R319</f>
        <v>0.13636363636363635</v>
      </c>
      <c r="T284" s="5">
        <f>27/$T$1</f>
        <v>0.13636363636363635</v>
      </c>
      <c r="V284">
        <v>29</v>
      </c>
      <c r="W284" s="5">
        <f>V284/V319</f>
        <v>0.12033195020746888</v>
      </c>
      <c r="X284" s="5">
        <f>29/$X$1</f>
        <v>0.12033195020746888</v>
      </c>
      <c r="Z284">
        <v>14</v>
      </c>
      <c r="AA284" s="5">
        <f>Z284/Z319</f>
        <v>7.0707070707070704E-2</v>
      </c>
      <c r="AB284" s="5">
        <f>14/$AB$1</f>
        <v>7.0707070707070704E-2</v>
      </c>
      <c r="AD284">
        <v>19</v>
      </c>
      <c r="AE284" s="5">
        <f>AD284/AD319</f>
        <v>0.12337662337662338</v>
      </c>
      <c r="AF284" s="5">
        <f>19/$AF$1</f>
        <v>0.12337662337662338</v>
      </c>
      <c r="AH284">
        <v>11</v>
      </c>
      <c r="AI284" s="5">
        <f>AH284/AH319</f>
        <v>9.166666666666666E-2</v>
      </c>
      <c r="AJ284" s="5">
        <f>11/$AJ$1</f>
        <v>9.166666666666666E-2</v>
      </c>
      <c r="AL284">
        <v>39</v>
      </c>
      <c r="AM284" s="5">
        <f>AL284/AL319</f>
        <v>0.10540540540540541</v>
      </c>
      <c r="AN284" s="5">
        <f>39/$AN$1</f>
        <v>0.10540540540540541</v>
      </c>
      <c r="AP284">
        <v>38</v>
      </c>
      <c r="AQ284" s="5">
        <f>AP284/AP319</f>
        <v>0.10052910052910052</v>
      </c>
      <c r="AR284" s="5">
        <f>38/$AR$1</f>
        <v>0.10052910052910052</v>
      </c>
      <c r="AT284">
        <v>34</v>
      </c>
      <c r="AU284" s="5">
        <f>AT284/AT319</f>
        <v>0.13492063492063491</v>
      </c>
      <c r="AV284" s="5">
        <f>34/$AV$1</f>
        <v>0.13492063492063491</v>
      </c>
      <c r="AX284">
        <v>23</v>
      </c>
      <c r="AY284" s="5">
        <f>AX284/AX319</f>
        <v>8.4249084249084255E-2</v>
      </c>
      <c r="AZ284" s="5">
        <f>23/$AZ$1</f>
        <v>8.4249084249084255E-2</v>
      </c>
      <c r="BA284" s="5"/>
      <c r="BB284">
        <v>29</v>
      </c>
      <c r="BC284" s="5">
        <f>BB284/BB319</f>
        <v>0.14285714285714285</v>
      </c>
      <c r="BD284" s="5">
        <f>29/$BD$1</f>
        <v>0.14285714285714285</v>
      </c>
      <c r="BF284">
        <v>19</v>
      </c>
      <c r="BG284" s="5">
        <f>BF284/BF319</f>
        <v>8.8372093023255813E-2</v>
      </c>
      <c r="BH284" s="5">
        <f>19/$BH$1</f>
        <v>8.8372093023255813E-2</v>
      </c>
      <c r="BJ284">
        <v>40</v>
      </c>
      <c r="BK284" s="5">
        <f>BJ284/BJ319</f>
        <v>0.12944983818770225</v>
      </c>
      <c r="BL284" s="5">
        <f>40/$BL$1</f>
        <v>0.12944983818770225</v>
      </c>
      <c r="BN284">
        <v>5</v>
      </c>
      <c r="BO284" s="5">
        <f>BN284/BN319</f>
        <v>0.10638297872340426</v>
      </c>
      <c r="BP284" s="5">
        <f>5/$BP$1</f>
        <v>0.10638297872340426</v>
      </c>
      <c r="BR284">
        <v>38</v>
      </c>
      <c r="BS284" s="5">
        <f>BR284/BR319</f>
        <v>0.12101910828025478</v>
      </c>
      <c r="BT284" s="5">
        <f>38/$BT$1</f>
        <v>0.12101910828025478</v>
      </c>
      <c r="BV284">
        <v>42</v>
      </c>
      <c r="BW284" s="5">
        <f>BV284/BV319</f>
        <v>0.10687022900763359</v>
      </c>
      <c r="BX284" s="5">
        <f>42/$BX$1</f>
        <v>0.10687022900763359</v>
      </c>
      <c r="BZ284">
        <v>26</v>
      </c>
      <c r="CA284" s="5">
        <f>BZ284/BZ319</f>
        <v>0.10569105691056911</v>
      </c>
      <c r="CB284" s="5">
        <f>26/$CB$1</f>
        <v>0.10569105691056911</v>
      </c>
      <c r="CD284">
        <v>15</v>
      </c>
      <c r="CE284" s="5">
        <f>CD284/CD319</f>
        <v>0.12195121951219512</v>
      </c>
      <c r="CF284" s="5">
        <f>15/$CF$1</f>
        <v>0.12195121951219512</v>
      </c>
      <c r="CH284">
        <v>81</v>
      </c>
      <c r="CI284" s="5">
        <f>CH284/CH319</f>
        <v>0.11773255813953488</v>
      </c>
      <c r="CJ284" s="5">
        <f>81/$CJ$1</f>
        <v>0.11773255813953488</v>
      </c>
      <c r="CL284">
        <v>93</v>
      </c>
      <c r="CM284" s="5">
        <f>CL284/CL319</f>
        <v>0.12269129287598944</v>
      </c>
      <c r="CN284" s="5">
        <f>93/$CN$1</f>
        <v>0.12269129287598944</v>
      </c>
      <c r="CP284">
        <v>18</v>
      </c>
      <c r="CQ284" s="5">
        <f>CP284/CP319</f>
        <v>7.43801652892562E-2</v>
      </c>
      <c r="CR284" s="5">
        <f>18/$CR$1</f>
        <v>7.43801652892562E-2</v>
      </c>
      <c r="CT284">
        <v>41</v>
      </c>
      <c r="CU284" s="5">
        <f>CT284/CT319</f>
        <v>0.12312312312312312</v>
      </c>
      <c r="CV284" s="5">
        <f>41/$CV$1</f>
        <v>0.12312312312312312</v>
      </c>
      <c r="CX284">
        <v>70</v>
      </c>
      <c r="CY284" s="5">
        <f>CX284/CX319</f>
        <v>0.10494752623688156</v>
      </c>
      <c r="CZ284" s="5">
        <f>70/$CZ$1</f>
        <v>0.10494752623688156</v>
      </c>
    </row>
    <row r="285" spans="1:104" x14ac:dyDescent="0.25">
      <c r="A285" s="1" t="s">
        <v>2922</v>
      </c>
      <c r="B285">
        <v>411</v>
      </c>
      <c r="C285" s="5">
        <f>B285/B319</f>
        <v>0.41099999999999998</v>
      </c>
      <c r="D285" s="5">
        <f>411/$D$1</f>
        <v>0.41099999999999998</v>
      </c>
      <c r="F285">
        <v>214</v>
      </c>
      <c r="G285" s="5">
        <f>F285/F319</f>
        <v>0.42714570858283435</v>
      </c>
      <c r="H285" s="5">
        <f>214/$H$1</f>
        <v>0.42714570858283435</v>
      </c>
      <c r="J285">
        <v>197</v>
      </c>
      <c r="K285" s="5">
        <f>J285/J319</f>
        <v>0.39478957915831664</v>
      </c>
      <c r="L285" s="5">
        <f>197/$L$1</f>
        <v>0.39478957915831664</v>
      </c>
      <c r="N285">
        <v>47</v>
      </c>
      <c r="O285" s="5">
        <f>N285/N319</f>
        <v>0.4845360824742268</v>
      </c>
      <c r="P285" s="5">
        <f>47/$P$1</f>
        <v>0.4845360824742268</v>
      </c>
      <c r="R285">
        <v>88</v>
      </c>
      <c r="S285" s="5">
        <f>R285/R319</f>
        <v>0.44444444444444442</v>
      </c>
      <c r="T285" s="5">
        <f>88/$T$1</f>
        <v>0.44444444444444442</v>
      </c>
      <c r="V285">
        <v>92</v>
      </c>
      <c r="W285" s="5">
        <f>V285/V319</f>
        <v>0.38174273858921159</v>
      </c>
      <c r="X285" s="5">
        <f>92/$X$1</f>
        <v>0.38174273858921159</v>
      </c>
      <c r="Z285">
        <v>74</v>
      </c>
      <c r="AA285" s="5">
        <f>Z285/Z319</f>
        <v>0.37373737373737376</v>
      </c>
      <c r="AB285" s="5">
        <f>74/$AB$1</f>
        <v>0.37373737373737376</v>
      </c>
      <c r="AD285">
        <v>65</v>
      </c>
      <c r="AE285" s="5">
        <f>AD285/AD319</f>
        <v>0.42207792207792205</v>
      </c>
      <c r="AF285" s="5">
        <f>65/$AF$1</f>
        <v>0.42207792207792205</v>
      </c>
      <c r="AH285">
        <v>48</v>
      </c>
      <c r="AI285" s="5">
        <f>AH285/AH319</f>
        <v>0.4</v>
      </c>
      <c r="AJ285" s="5">
        <f>48/$AJ$1</f>
        <v>0.4</v>
      </c>
      <c r="AL285">
        <v>133</v>
      </c>
      <c r="AM285" s="5">
        <f>AL285/AL319</f>
        <v>0.35945945945945945</v>
      </c>
      <c r="AN285" s="5">
        <f>133/$AN$1</f>
        <v>0.35945945945945945</v>
      </c>
      <c r="AP285">
        <v>151</v>
      </c>
      <c r="AQ285" s="5">
        <f>AP285/AP319</f>
        <v>0.39947089947089948</v>
      </c>
      <c r="AR285" s="5">
        <f>151/$AR$1</f>
        <v>0.39947089947089948</v>
      </c>
      <c r="AT285">
        <v>127</v>
      </c>
      <c r="AU285" s="5">
        <f>AT285/AT319</f>
        <v>0.50396825396825395</v>
      </c>
      <c r="AV285" s="5">
        <f>127/$AV$1</f>
        <v>0.50396825396825395</v>
      </c>
      <c r="AX285">
        <v>94</v>
      </c>
      <c r="AY285" s="5">
        <f>AX285/AX319</f>
        <v>0.34432234432234432</v>
      </c>
      <c r="AZ285" s="5">
        <f>94/$AZ$1</f>
        <v>0.34432234432234432</v>
      </c>
      <c r="BA285" s="5"/>
      <c r="BB285">
        <v>87</v>
      </c>
      <c r="BC285" s="5">
        <f>BB285/BB319</f>
        <v>0.42857142857142855</v>
      </c>
      <c r="BD285" s="5">
        <f>87/$BD$1</f>
        <v>0.42857142857142855</v>
      </c>
      <c r="BF285">
        <v>96</v>
      </c>
      <c r="BG285" s="5">
        <f>BF285/BF319</f>
        <v>0.44651162790697674</v>
      </c>
      <c r="BH285" s="5">
        <f>96/$BH$1</f>
        <v>0.44651162790697674</v>
      </c>
      <c r="BJ285">
        <v>134</v>
      </c>
      <c r="BK285" s="5">
        <f>BJ285/BJ319</f>
        <v>0.4336569579288026</v>
      </c>
      <c r="BL285" s="5">
        <f>134/$BL$1</f>
        <v>0.4336569579288026</v>
      </c>
      <c r="BN285">
        <v>20</v>
      </c>
      <c r="BO285" s="5">
        <f>BN285/BN319</f>
        <v>0.42553191489361702</v>
      </c>
      <c r="BP285" s="5">
        <f>20/$BP$1</f>
        <v>0.42553191489361702</v>
      </c>
      <c r="BR285">
        <v>111</v>
      </c>
      <c r="BS285" s="5">
        <f>BR285/BR319</f>
        <v>0.35350318471337577</v>
      </c>
      <c r="BT285" s="5">
        <f>111/$BT$1</f>
        <v>0.35350318471337577</v>
      </c>
      <c r="BV285">
        <v>165</v>
      </c>
      <c r="BW285" s="5">
        <f>BV285/BV319</f>
        <v>0.41984732824427479</v>
      </c>
      <c r="BX285" s="5">
        <f>165/$BX$1</f>
        <v>0.41984732824427479</v>
      </c>
      <c r="BZ285">
        <v>115</v>
      </c>
      <c r="CA285" s="5">
        <f>BZ285/BZ319</f>
        <v>0.46747967479674796</v>
      </c>
      <c r="CB285" s="5">
        <f>115/$CB$1</f>
        <v>0.46747967479674796</v>
      </c>
      <c r="CD285">
        <v>52</v>
      </c>
      <c r="CE285" s="5">
        <f>CD285/CD319</f>
        <v>0.42276422764227645</v>
      </c>
      <c r="CF285" s="5">
        <f>52/$CF$1</f>
        <v>0.42276422764227645</v>
      </c>
      <c r="CH285">
        <v>274</v>
      </c>
      <c r="CI285" s="5">
        <f>CH285/CH319</f>
        <v>0.39825581395348836</v>
      </c>
      <c r="CJ285" s="5">
        <f>274/$CJ$1</f>
        <v>0.39825581395348836</v>
      </c>
      <c r="CL285">
        <v>283</v>
      </c>
      <c r="CM285" s="5">
        <f>CL285/CL319</f>
        <v>0.37335092348284959</v>
      </c>
      <c r="CN285" s="5">
        <f>283/$CN$1</f>
        <v>0.37335092348284959</v>
      </c>
      <c r="CP285">
        <v>128</v>
      </c>
      <c r="CQ285" s="5">
        <f>CP285/CP319</f>
        <v>0.52892561983471076</v>
      </c>
      <c r="CR285" s="5">
        <f>128/$CR$1</f>
        <v>0.52892561983471076</v>
      </c>
      <c r="CT285">
        <v>127</v>
      </c>
      <c r="CU285" s="5">
        <f>CT285/CT319</f>
        <v>0.38138138138138139</v>
      </c>
      <c r="CV285" s="5">
        <f>127/$CV$1</f>
        <v>0.38138138138138139</v>
      </c>
      <c r="CX285">
        <v>284</v>
      </c>
      <c r="CY285" s="5">
        <f>CX285/CX319</f>
        <v>0.42578710644677659</v>
      </c>
      <c r="CZ285" s="5">
        <f>284/$CZ$1</f>
        <v>0.42578710644677659</v>
      </c>
    </row>
    <row r="287" spans="1:104" x14ac:dyDescent="0.25">
      <c r="A287" s="1" t="s">
        <v>2923</v>
      </c>
      <c r="B287">
        <v>645</v>
      </c>
      <c r="C287" s="5">
        <f>B287/B319</f>
        <v>0.64500000000000002</v>
      </c>
      <c r="D287" s="5">
        <f>645/$D$1</f>
        <v>0.64500000000000002</v>
      </c>
      <c r="F287">
        <v>311</v>
      </c>
      <c r="G287" s="5">
        <f>F287/F319</f>
        <v>0.62075848303393211</v>
      </c>
      <c r="H287" s="5">
        <f>311/$H$1</f>
        <v>0.62075848303393211</v>
      </c>
      <c r="J287">
        <v>334</v>
      </c>
      <c r="K287" s="5">
        <f>J287/J319</f>
        <v>0.66933867735470942</v>
      </c>
      <c r="L287" s="5">
        <f>334/$L$1</f>
        <v>0.66933867735470942</v>
      </c>
      <c r="N287">
        <v>47</v>
      </c>
      <c r="O287" s="5">
        <f>N287/N319</f>
        <v>0.4845360824742268</v>
      </c>
      <c r="P287" s="5">
        <f>47/$P$1</f>
        <v>0.4845360824742268</v>
      </c>
      <c r="R287">
        <v>122</v>
      </c>
      <c r="S287" s="5">
        <f>R287/R319</f>
        <v>0.61616161616161613</v>
      </c>
      <c r="T287" s="5">
        <f>122/$T$1</f>
        <v>0.61616161616161613</v>
      </c>
      <c r="V287">
        <v>165</v>
      </c>
      <c r="W287" s="5">
        <f>V287/V319</f>
        <v>0.68464730290456433</v>
      </c>
      <c r="X287" s="5">
        <f>165/$X$1</f>
        <v>0.68464730290456433</v>
      </c>
      <c r="Z287">
        <v>144</v>
      </c>
      <c r="AA287" s="5">
        <f>Z287/Z319</f>
        <v>0.72727272727272729</v>
      </c>
      <c r="AB287" s="5">
        <f>144/$AB$1</f>
        <v>0.72727272727272729</v>
      </c>
      <c r="AD287">
        <v>97</v>
      </c>
      <c r="AE287" s="5">
        <f>AD287/AD319</f>
        <v>0.62987012987012991</v>
      </c>
      <c r="AF287" s="5">
        <f>97/$AF$1</f>
        <v>0.62987012987012991</v>
      </c>
      <c r="AH287">
        <v>75</v>
      </c>
      <c r="AI287" s="5">
        <f>AH287/AH319</f>
        <v>0.625</v>
      </c>
      <c r="AJ287" s="5">
        <f>75/$AJ$1</f>
        <v>0.625</v>
      </c>
      <c r="AL287">
        <v>228</v>
      </c>
      <c r="AM287" s="5">
        <f>AL287/AL319</f>
        <v>0.61621621621621625</v>
      </c>
      <c r="AN287" s="5">
        <f>228/$AN$1</f>
        <v>0.61621621621621625</v>
      </c>
      <c r="AP287">
        <v>245</v>
      </c>
      <c r="AQ287" s="5">
        <f>AP287/AP319</f>
        <v>0.64814814814814814</v>
      </c>
      <c r="AR287" s="5">
        <f>245/$AR$1</f>
        <v>0.64814814814814814</v>
      </c>
      <c r="AT287">
        <v>172</v>
      </c>
      <c r="AU287" s="5">
        <f>AT287/AT319</f>
        <v>0.68253968253968256</v>
      </c>
      <c r="AV287" s="5">
        <f>172/$AV$1</f>
        <v>0.68253968253968256</v>
      </c>
      <c r="AX287">
        <v>187</v>
      </c>
      <c r="AY287" s="5">
        <f>AX287/AX319</f>
        <v>0.68498168498168499</v>
      </c>
      <c r="AZ287" s="5">
        <f>187/$AZ$1</f>
        <v>0.68498168498168499</v>
      </c>
      <c r="BA287" s="5"/>
      <c r="BB287">
        <v>129</v>
      </c>
      <c r="BC287" s="5">
        <f>BB287/BB319</f>
        <v>0.6354679802955665</v>
      </c>
      <c r="BD287" s="5">
        <f>129/$BD$1</f>
        <v>0.6354679802955665</v>
      </c>
      <c r="BF287">
        <v>133</v>
      </c>
      <c r="BG287" s="5">
        <f>BF287/BF319</f>
        <v>0.61860465116279073</v>
      </c>
      <c r="BH287" s="5">
        <f>133/$BH$1</f>
        <v>0.61860465116279073</v>
      </c>
      <c r="BJ287">
        <v>196</v>
      </c>
      <c r="BK287" s="5">
        <f>BJ287/BJ319</f>
        <v>0.63430420711974111</v>
      </c>
      <c r="BL287" s="5">
        <f>196/$BL$1</f>
        <v>0.63430420711974111</v>
      </c>
      <c r="BN287">
        <v>26</v>
      </c>
      <c r="BO287" s="5">
        <f>BN287/BN319</f>
        <v>0.55319148936170215</v>
      </c>
      <c r="BP287" s="5">
        <f>26/$BP$1</f>
        <v>0.55319148936170215</v>
      </c>
      <c r="BR287">
        <v>191</v>
      </c>
      <c r="BS287" s="5">
        <f>BR287/BR319</f>
        <v>0.60828025477707004</v>
      </c>
      <c r="BT287" s="5">
        <f>191/$BT$1</f>
        <v>0.60828025477707004</v>
      </c>
      <c r="BV287">
        <v>257</v>
      </c>
      <c r="BW287" s="5">
        <f>BV287/BV319</f>
        <v>0.65394402035623411</v>
      </c>
      <c r="BX287" s="5">
        <f>257/$BX$1</f>
        <v>0.65394402035623411</v>
      </c>
      <c r="BZ287">
        <v>171</v>
      </c>
      <c r="CA287" s="5">
        <f>BZ287/BZ319</f>
        <v>0.69512195121951215</v>
      </c>
      <c r="CB287" s="5">
        <f>171/$CB$1</f>
        <v>0.69512195121951215</v>
      </c>
      <c r="CD287">
        <v>83</v>
      </c>
      <c r="CE287" s="5">
        <f>CD287/CD319</f>
        <v>0.67479674796747968</v>
      </c>
      <c r="CF287" s="5">
        <f>83/$CF$1</f>
        <v>0.67479674796747968</v>
      </c>
      <c r="CH287">
        <v>455</v>
      </c>
      <c r="CI287" s="5">
        <f>CH287/CH319</f>
        <v>0.66133720930232553</v>
      </c>
      <c r="CJ287" s="5">
        <f>455/$CJ$1</f>
        <v>0.66133720930232553</v>
      </c>
      <c r="CL287">
        <v>495</v>
      </c>
      <c r="CM287" s="5">
        <f>CL287/CL319</f>
        <v>0.65303430079155678</v>
      </c>
      <c r="CN287" s="5">
        <f>495/$CN$1</f>
        <v>0.65303430079155678</v>
      </c>
      <c r="CP287">
        <v>150</v>
      </c>
      <c r="CQ287" s="5">
        <f>CP287/CP319</f>
        <v>0.6198347107438017</v>
      </c>
      <c r="CR287" s="5">
        <f>150/$CR$1</f>
        <v>0.6198347107438017</v>
      </c>
      <c r="CT287">
        <v>240</v>
      </c>
      <c r="CU287" s="5">
        <f>CT287/CT319</f>
        <v>0.72072072072072069</v>
      </c>
      <c r="CV287" s="5">
        <f>240/$CV$1</f>
        <v>0.72072072072072069</v>
      </c>
      <c r="CX287">
        <v>405</v>
      </c>
      <c r="CY287" s="5">
        <f>CX287/CX319</f>
        <v>0.6071964017991005</v>
      </c>
      <c r="CZ287" s="5">
        <f>405/$CZ$1</f>
        <v>0.6071964017991005</v>
      </c>
    </row>
    <row r="288" spans="1:104" x14ac:dyDescent="0.25">
      <c r="A288" s="1" t="s">
        <v>2924</v>
      </c>
      <c r="B288">
        <v>261</v>
      </c>
      <c r="C288" s="5">
        <f>B288/B319</f>
        <v>0.26100000000000001</v>
      </c>
      <c r="D288" s="5">
        <f>261/$D$1</f>
        <v>0.26100000000000001</v>
      </c>
      <c r="F288">
        <v>129</v>
      </c>
      <c r="G288" s="5">
        <f>F288/F319</f>
        <v>0.25748502994011974</v>
      </c>
      <c r="H288" s="5">
        <f>129/$H$1</f>
        <v>0.25748502994011974</v>
      </c>
      <c r="J288">
        <v>132</v>
      </c>
      <c r="K288" s="5">
        <f>J288/J319</f>
        <v>0.26452905811623245</v>
      </c>
      <c r="L288" s="5">
        <f>132/$L$1</f>
        <v>0.26452905811623245</v>
      </c>
      <c r="N288">
        <v>43</v>
      </c>
      <c r="O288" s="5">
        <f>N288/N319</f>
        <v>0.44329896907216493</v>
      </c>
      <c r="P288" s="5">
        <f>43/$P$1</f>
        <v>0.44329896907216493</v>
      </c>
      <c r="R288">
        <v>54</v>
      </c>
      <c r="S288" s="5">
        <f>R288/R319</f>
        <v>0.27272727272727271</v>
      </c>
      <c r="T288" s="5">
        <f>54/$T$1</f>
        <v>0.27272727272727271</v>
      </c>
      <c r="V288">
        <v>47</v>
      </c>
      <c r="W288" s="5">
        <f>V288/V319</f>
        <v>0.19502074688796681</v>
      </c>
      <c r="X288" s="5">
        <f>47/$X$1</f>
        <v>0.19502074688796681</v>
      </c>
      <c r="Z288">
        <v>39</v>
      </c>
      <c r="AA288" s="5">
        <f>Z288/Z319</f>
        <v>0.19696969696969696</v>
      </c>
      <c r="AB288" s="5">
        <f>39/$AB$1</f>
        <v>0.19696969696969696</v>
      </c>
      <c r="AD288">
        <v>41</v>
      </c>
      <c r="AE288" s="5">
        <f>AD288/AD319</f>
        <v>0.26623376623376621</v>
      </c>
      <c r="AF288" s="5">
        <f>41/$AF$1</f>
        <v>0.26623376623376621</v>
      </c>
      <c r="AH288">
        <v>38</v>
      </c>
      <c r="AI288" s="5">
        <f>AH288/AH319</f>
        <v>0.31666666666666665</v>
      </c>
      <c r="AJ288" s="5">
        <f>38/$AJ$1</f>
        <v>0.31666666666666665</v>
      </c>
      <c r="AL288">
        <v>102</v>
      </c>
      <c r="AM288" s="5">
        <f>AL288/AL319</f>
        <v>0.27567567567567569</v>
      </c>
      <c r="AN288" s="5">
        <f>102/$AN$1</f>
        <v>0.27567567567567569</v>
      </c>
      <c r="AP288">
        <v>103</v>
      </c>
      <c r="AQ288" s="5">
        <f>AP288/AP319</f>
        <v>0.2724867724867725</v>
      </c>
      <c r="AR288" s="5">
        <f>103/$AR$1</f>
        <v>0.2724867724867725</v>
      </c>
      <c r="AT288">
        <v>56</v>
      </c>
      <c r="AU288" s="5">
        <f>AT288/AT319</f>
        <v>0.22222222222222221</v>
      </c>
      <c r="AV288" s="5">
        <f>56/$AV$1</f>
        <v>0.22222222222222221</v>
      </c>
      <c r="AX288">
        <v>64</v>
      </c>
      <c r="AY288" s="5">
        <f>AX288/AX319</f>
        <v>0.23443223443223443</v>
      </c>
      <c r="AZ288" s="5">
        <f>64/$AZ$1</f>
        <v>0.23443223443223443</v>
      </c>
      <c r="BA288" s="5"/>
      <c r="BB288">
        <v>53</v>
      </c>
      <c r="BC288" s="5">
        <f>BB288/BB319</f>
        <v>0.26108374384236455</v>
      </c>
      <c r="BD288" s="5">
        <f>53/$BD$1</f>
        <v>0.26108374384236455</v>
      </c>
      <c r="BF288">
        <v>57</v>
      </c>
      <c r="BG288" s="5">
        <f>BF288/BF319</f>
        <v>0.26511627906976742</v>
      </c>
      <c r="BH288" s="5">
        <f>57/$BH$1</f>
        <v>0.26511627906976742</v>
      </c>
      <c r="BJ288">
        <v>87</v>
      </c>
      <c r="BK288" s="5">
        <f>BJ288/BJ319</f>
        <v>0.28155339805825241</v>
      </c>
      <c r="BL288" s="5">
        <f>87/$BL$1</f>
        <v>0.28155339805825241</v>
      </c>
      <c r="BN288">
        <v>15</v>
      </c>
      <c r="BO288" s="5">
        <f>BN288/BN319</f>
        <v>0.31914893617021278</v>
      </c>
      <c r="BP288" s="5">
        <f>15/$BP$1</f>
        <v>0.31914893617021278</v>
      </c>
      <c r="BR288">
        <v>85</v>
      </c>
      <c r="BS288" s="5">
        <f>BR288/BR319</f>
        <v>0.27070063694267515</v>
      </c>
      <c r="BT288" s="5">
        <f>85/$BT$1</f>
        <v>0.27070063694267515</v>
      </c>
      <c r="BV288">
        <v>104</v>
      </c>
      <c r="BW288" s="5">
        <f>BV288/BV319</f>
        <v>0.26463104325699743</v>
      </c>
      <c r="BX288" s="5">
        <f>104/$BX$1</f>
        <v>0.26463104325699743</v>
      </c>
      <c r="BZ288">
        <v>57</v>
      </c>
      <c r="CA288" s="5">
        <f>BZ288/BZ319</f>
        <v>0.23170731707317074</v>
      </c>
      <c r="CB288" s="5">
        <f>57/$CB$1</f>
        <v>0.23170731707317074</v>
      </c>
      <c r="CD288">
        <v>29</v>
      </c>
      <c r="CE288" s="5">
        <f>CD288/CD319</f>
        <v>0.23577235772357724</v>
      </c>
      <c r="CF288" s="5">
        <f>29/$CF$1</f>
        <v>0.23577235772357724</v>
      </c>
      <c r="CH288">
        <v>178</v>
      </c>
      <c r="CI288" s="5">
        <f>CH288/CH319</f>
        <v>0.25872093023255816</v>
      </c>
      <c r="CJ288" s="5">
        <f>178/$CJ$1</f>
        <v>0.25872093023255816</v>
      </c>
      <c r="CL288">
        <v>202</v>
      </c>
      <c r="CM288" s="5">
        <f>CL288/CL319</f>
        <v>0.26649076517150394</v>
      </c>
      <c r="CN288" s="5">
        <f>202/$CN$1</f>
        <v>0.26649076517150394</v>
      </c>
      <c r="CP288">
        <v>59</v>
      </c>
      <c r="CQ288" s="5">
        <f>CP288/CP319</f>
        <v>0.24380165289256198</v>
      </c>
      <c r="CR288" s="5">
        <f>59/$CR$1</f>
        <v>0.24380165289256198</v>
      </c>
      <c r="CT288">
        <v>77</v>
      </c>
      <c r="CU288" s="5">
        <f>CT288/CT319</f>
        <v>0.23123123123123124</v>
      </c>
      <c r="CV288" s="5">
        <f>77/$CV$1</f>
        <v>0.23123123123123124</v>
      </c>
      <c r="CX288">
        <v>184</v>
      </c>
      <c r="CY288" s="5">
        <f>CX288/CX319</f>
        <v>0.27586206896551724</v>
      </c>
      <c r="CZ288" s="5">
        <f>184/$CZ$1</f>
        <v>0.27586206896551724</v>
      </c>
    </row>
    <row r="289" spans="1:104" x14ac:dyDescent="0.25">
      <c r="A289" s="1" t="s">
        <v>2925</v>
      </c>
      <c r="B289">
        <v>94</v>
      </c>
      <c r="C289" s="5">
        <f>B289/B319</f>
        <v>9.4E-2</v>
      </c>
      <c r="D289" s="5">
        <f>94/$D$1</f>
        <v>9.4E-2</v>
      </c>
      <c r="F289">
        <v>61</v>
      </c>
      <c r="G289" s="5">
        <f>F289/F319</f>
        <v>0.1217564870259481</v>
      </c>
      <c r="H289" s="5">
        <f>61/$H$1</f>
        <v>0.1217564870259481</v>
      </c>
      <c r="J289">
        <v>33</v>
      </c>
      <c r="K289" s="5">
        <f>J289/J319</f>
        <v>6.6132264529058113E-2</v>
      </c>
      <c r="L289" s="5">
        <f>33/$L$1</f>
        <v>6.6132264529058113E-2</v>
      </c>
      <c r="N289">
        <v>7</v>
      </c>
      <c r="O289" s="5">
        <f>N289/N319</f>
        <v>7.2164948453608241E-2</v>
      </c>
      <c r="P289" s="5">
        <f>7/$P$1</f>
        <v>7.2164948453608241E-2</v>
      </c>
      <c r="R289">
        <v>22</v>
      </c>
      <c r="S289" s="5">
        <f>R289/R319</f>
        <v>0.1111111111111111</v>
      </c>
      <c r="T289" s="5">
        <f>22/$T$1</f>
        <v>0.1111111111111111</v>
      </c>
      <c r="V289">
        <v>29</v>
      </c>
      <c r="W289" s="5">
        <f>V289/V319</f>
        <v>0.12033195020746888</v>
      </c>
      <c r="X289" s="5">
        <f>29/$X$1</f>
        <v>0.12033195020746888</v>
      </c>
      <c r="Z289">
        <v>15</v>
      </c>
      <c r="AA289" s="5">
        <f>Z289/Z319</f>
        <v>7.575757575757576E-2</v>
      </c>
      <c r="AB289" s="5">
        <f>15/$AB$1</f>
        <v>7.575757575757576E-2</v>
      </c>
      <c r="AD289">
        <v>16</v>
      </c>
      <c r="AE289" s="5">
        <f>AD289/AD319</f>
        <v>0.1038961038961039</v>
      </c>
      <c r="AF289" s="5">
        <f>16/$AF$1</f>
        <v>0.1038961038961039</v>
      </c>
      <c r="AH289">
        <v>7</v>
      </c>
      <c r="AI289" s="5">
        <f>AH289/AH319</f>
        <v>5.8333333333333334E-2</v>
      </c>
      <c r="AJ289" s="5">
        <f>7/$AJ$1</f>
        <v>5.8333333333333334E-2</v>
      </c>
      <c r="AL289">
        <v>40</v>
      </c>
      <c r="AM289" s="5">
        <f>AL289/AL319</f>
        <v>0.10810810810810811</v>
      </c>
      <c r="AN289" s="5">
        <f>40/$AN$1</f>
        <v>0.10810810810810811</v>
      </c>
      <c r="AP289">
        <v>30</v>
      </c>
      <c r="AQ289" s="5">
        <f>AP289/AP319</f>
        <v>7.9365079365079361E-2</v>
      </c>
      <c r="AR289" s="5">
        <f>30/$AR$1</f>
        <v>7.9365079365079361E-2</v>
      </c>
      <c r="AT289">
        <v>24</v>
      </c>
      <c r="AU289" s="5">
        <f>AT289/AT319</f>
        <v>9.5238095238095233E-2</v>
      </c>
      <c r="AV289" s="5">
        <f>24/$AV$1</f>
        <v>9.5238095238095233E-2</v>
      </c>
      <c r="AX289">
        <v>22</v>
      </c>
      <c r="AY289" s="5">
        <f>AX289/AX319</f>
        <v>8.0586080586080591E-2</v>
      </c>
      <c r="AZ289" s="5">
        <f>22/$AZ$1</f>
        <v>8.0586080586080591E-2</v>
      </c>
      <c r="BA289" s="5"/>
      <c r="BB289">
        <v>21</v>
      </c>
      <c r="BC289" s="5">
        <f>BB289/BB319</f>
        <v>0.10344827586206896</v>
      </c>
      <c r="BD289" s="5">
        <f>21/$BD$1</f>
        <v>0.10344827586206896</v>
      </c>
      <c r="BF289">
        <v>25</v>
      </c>
      <c r="BG289" s="5">
        <f>BF289/BF319</f>
        <v>0.11627906976744186</v>
      </c>
      <c r="BH289" s="5">
        <f>25/$BH$1</f>
        <v>0.11627906976744186</v>
      </c>
      <c r="BJ289">
        <v>26</v>
      </c>
      <c r="BK289" s="5">
        <f>BJ289/BJ319</f>
        <v>8.4142394822006472E-2</v>
      </c>
      <c r="BL289" s="5">
        <f>26/$BL$1</f>
        <v>8.4142394822006472E-2</v>
      </c>
      <c r="BN289">
        <v>6</v>
      </c>
      <c r="BO289" s="5">
        <f>BN289/BN319</f>
        <v>0.1276595744680851</v>
      </c>
      <c r="BP289" s="5">
        <f>6/$BP$1</f>
        <v>0.1276595744680851</v>
      </c>
      <c r="BR289">
        <v>38</v>
      </c>
      <c r="BS289" s="5">
        <f>BR289/BR319</f>
        <v>0.12101910828025478</v>
      </c>
      <c r="BT289" s="5">
        <f>38/$BT$1</f>
        <v>0.12101910828025478</v>
      </c>
      <c r="BV289">
        <v>32</v>
      </c>
      <c r="BW289" s="5">
        <f>BV289/BV319</f>
        <v>8.1424936386768454E-2</v>
      </c>
      <c r="BX289" s="5">
        <f>32/$BX$1</f>
        <v>8.1424936386768454E-2</v>
      </c>
      <c r="BZ289">
        <v>18</v>
      </c>
      <c r="CA289" s="5">
        <f>BZ289/BZ319</f>
        <v>7.3170731707317069E-2</v>
      </c>
      <c r="CB289" s="5">
        <f>18/$CB$1</f>
        <v>7.3170731707317069E-2</v>
      </c>
      <c r="CD289">
        <v>11</v>
      </c>
      <c r="CE289" s="5">
        <f>CD289/CD319</f>
        <v>8.943089430894309E-2</v>
      </c>
      <c r="CF289" s="5">
        <f>11/$CF$1</f>
        <v>8.943089430894309E-2</v>
      </c>
      <c r="CH289">
        <v>55</v>
      </c>
      <c r="CI289" s="5">
        <f>CH289/CH319</f>
        <v>7.9941860465116282E-2</v>
      </c>
      <c r="CJ289" s="5">
        <f>55/$CJ$1</f>
        <v>7.9941860465116282E-2</v>
      </c>
      <c r="CL289">
        <v>61</v>
      </c>
      <c r="CM289" s="5">
        <f>CL289/CL319</f>
        <v>8.0474934036939311E-2</v>
      </c>
      <c r="CN289" s="5">
        <f>61/$CN$1</f>
        <v>8.0474934036939311E-2</v>
      </c>
      <c r="CP289">
        <v>33</v>
      </c>
      <c r="CQ289" s="5">
        <f>CP289/CP319</f>
        <v>0.13636363636363635</v>
      </c>
      <c r="CR289" s="5">
        <f>33/$CR$1</f>
        <v>0.13636363636363635</v>
      </c>
      <c r="CT289">
        <v>16</v>
      </c>
      <c r="CU289" s="5">
        <f>CT289/CT319</f>
        <v>4.8048048048048048E-2</v>
      </c>
      <c r="CV289" s="5">
        <f>16/$CV$1</f>
        <v>4.8048048048048048E-2</v>
      </c>
      <c r="CX289">
        <v>78</v>
      </c>
      <c r="CY289" s="5">
        <f>CX289/CX319</f>
        <v>0.11694152923538231</v>
      </c>
      <c r="CZ289" s="5">
        <f>78/$CZ$1</f>
        <v>0.11694152923538231</v>
      </c>
    </row>
    <row r="291" spans="1:104" x14ac:dyDescent="0.25">
      <c r="A291" s="1" t="s">
        <v>2926</v>
      </c>
      <c r="B291">
        <v>928</v>
      </c>
      <c r="C291" s="5">
        <f>B291/B319</f>
        <v>0.92800000000000005</v>
      </c>
      <c r="D291" s="5">
        <f>928/$D$1</f>
        <v>0.92800000000000005</v>
      </c>
      <c r="F291">
        <v>458</v>
      </c>
      <c r="G291" s="5">
        <f>F291/F319</f>
        <v>0.9141716566866267</v>
      </c>
      <c r="H291" s="5">
        <f>458/$H$1</f>
        <v>0.9141716566866267</v>
      </c>
      <c r="J291">
        <v>470</v>
      </c>
      <c r="K291" s="5">
        <f>J291/J319</f>
        <v>0.94188376753507019</v>
      </c>
      <c r="L291" s="5">
        <f>470/$L$1</f>
        <v>0.94188376753507019</v>
      </c>
      <c r="N291">
        <v>84</v>
      </c>
      <c r="O291" s="5">
        <f>N291/N319</f>
        <v>0.865979381443299</v>
      </c>
      <c r="P291" s="5">
        <f>84/$P$1</f>
        <v>0.865979381443299</v>
      </c>
      <c r="R291">
        <v>181</v>
      </c>
      <c r="S291" s="5">
        <f>R291/R319</f>
        <v>0.91414141414141414</v>
      </c>
      <c r="T291" s="5">
        <f>181/$T$1</f>
        <v>0.91414141414141414</v>
      </c>
      <c r="V291">
        <v>220</v>
      </c>
      <c r="W291" s="5">
        <f>V291/V319</f>
        <v>0.91286307053941906</v>
      </c>
      <c r="X291" s="5">
        <f>220/$X$1</f>
        <v>0.91286307053941906</v>
      </c>
      <c r="Z291">
        <v>193</v>
      </c>
      <c r="AA291" s="5">
        <f>Z291/Z319</f>
        <v>0.9747474747474747</v>
      </c>
      <c r="AB291" s="5">
        <f>193/$AB$1</f>
        <v>0.9747474747474747</v>
      </c>
      <c r="AD291">
        <v>145</v>
      </c>
      <c r="AE291" s="5">
        <f>AD291/AD319</f>
        <v>0.94155844155844159</v>
      </c>
      <c r="AF291" s="5">
        <f>145/$AF$1</f>
        <v>0.94155844155844159</v>
      </c>
      <c r="AH291">
        <v>112</v>
      </c>
      <c r="AI291" s="5">
        <f>AH291/AH319</f>
        <v>0.93333333333333335</v>
      </c>
      <c r="AJ291" s="5">
        <f>112/$AJ$1</f>
        <v>0.93333333333333335</v>
      </c>
      <c r="AL291">
        <v>340</v>
      </c>
      <c r="AM291" s="5">
        <f>AL291/AL319</f>
        <v>0.91891891891891897</v>
      </c>
      <c r="AN291" s="5">
        <f>340/$AN$1</f>
        <v>0.91891891891891897</v>
      </c>
      <c r="AP291">
        <v>357</v>
      </c>
      <c r="AQ291" s="5">
        <f>AP291/AP319</f>
        <v>0.94444444444444442</v>
      </c>
      <c r="AR291" s="5">
        <f>357/$AR$1</f>
        <v>0.94444444444444442</v>
      </c>
      <c r="AT291">
        <v>231</v>
      </c>
      <c r="AU291" s="5">
        <f>AT291/AT319</f>
        <v>0.91666666666666663</v>
      </c>
      <c r="AV291" s="5">
        <f>231/$AV$1</f>
        <v>0.91666666666666663</v>
      </c>
      <c r="AX291">
        <v>258</v>
      </c>
      <c r="AY291" s="5">
        <f>AX291/AX319</f>
        <v>0.94505494505494503</v>
      </c>
      <c r="AZ291" s="5">
        <f>258/$AZ$1</f>
        <v>0.94505494505494503</v>
      </c>
      <c r="BA291" s="5"/>
      <c r="BB291">
        <v>188</v>
      </c>
      <c r="BC291" s="5">
        <f>BB291/BB319</f>
        <v>0.92610837438423643</v>
      </c>
      <c r="BD291" s="5">
        <f>188/$BD$1</f>
        <v>0.92610837438423643</v>
      </c>
      <c r="BF291">
        <v>200</v>
      </c>
      <c r="BG291" s="5">
        <f>BF291/BF319</f>
        <v>0.93023255813953487</v>
      </c>
      <c r="BH291" s="5">
        <f>200/$BH$1</f>
        <v>0.93023255813953487</v>
      </c>
      <c r="BJ291">
        <v>282</v>
      </c>
      <c r="BK291" s="5">
        <f>BJ291/BJ319</f>
        <v>0.91262135922330101</v>
      </c>
      <c r="BL291" s="5">
        <f>282/$BL$1</f>
        <v>0.91262135922330101</v>
      </c>
      <c r="BN291">
        <v>39</v>
      </c>
      <c r="BO291" s="5">
        <f>BN291/BN319</f>
        <v>0.82978723404255317</v>
      </c>
      <c r="BP291" s="5">
        <f>39/$BP$1</f>
        <v>0.82978723404255317</v>
      </c>
      <c r="BR291">
        <v>288</v>
      </c>
      <c r="BS291" s="5">
        <f>BR291/BR319</f>
        <v>0.91719745222929938</v>
      </c>
      <c r="BT291" s="5">
        <f>288/$BT$1</f>
        <v>0.91719745222929938</v>
      </c>
      <c r="BV291">
        <v>365</v>
      </c>
      <c r="BW291" s="5">
        <f>BV291/BV319</f>
        <v>0.92875318066157764</v>
      </c>
      <c r="BX291" s="5">
        <f>365/$BX$1</f>
        <v>0.92875318066157764</v>
      </c>
      <c r="BZ291">
        <v>236</v>
      </c>
      <c r="CA291" s="5">
        <f>BZ291/BZ319</f>
        <v>0.95934959349593496</v>
      </c>
      <c r="CB291" s="5">
        <f>236/$CB$1</f>
        <v>0.95934959349593496</v>
      </c>
      <c r="CD291">
        <v>110</v>
      </c>
      <c r="CE291" s="5">
        <f>CD291/CD319</f>
        <v>0.89430894308943087</v>
      </c>
      <c r="CF291" s="5">
        <f>110/$CF$1</f>
        <v>0.89430894308943087</v>
      </c>
      <c r="CH291">
        <v>648</v>
      </c>
      <c r="CI291" s="5">
        <f>CH291/CH319</f>
        <v>0.94186046511627908</v>
      </c>
      <c r="CJ291" s="5">
        <f>648/$CJ$1</f>
        <v>0.94186046511627908</v>
      </c>
      <c r="CL291">
        <v>715</v>
      </c>
      <c r="CM291" s="5">
        <f>CL291/CL319</f>
        <v>0.94327176781002642</v>
      </c>
      <c r="CN291" s="5">
        <f>715/$CN$1</f>
        <v>0.94327176781002642</v>
      </c>
      <c r="CP291">
        <v>213</v>
      </c>
      <c r="CQ291" s="5">
        <f>CP291/CP319</f>
        <v>0.8801652892561983</v>
      </c>
      <c r="CR291" s="5">
        <f>213/$CR$1</f>
        <v>0.8801652892561983</v>
      </c>
      <c r="CT291">
        <v>316</v>
      </c>
      <c r="CU291" s="5">
        <f>CT291/CT319</f>
        <v>0.94894894894894899</v>
      </c>
      <c r="CV291" s="5">
        <f>316/$CV$1</f>
        <v>0.94894894894894899</v>
      </c>
      <c r="CX291">
        <v>612</v>
      </c>
      <c r="CY291" s="5">
        <f>CX291/CX319</f>
        <v>0.91754122938530736</v>
      </c>
      <c r="CZ291" s="5">
        <f>612/$CZ$1</f>
        <v>0.91754122938530736</v>
      </c>
    </row>
    <row r="292" spans="1:104" x14ac:dyDescent="0.25">
      <c r="A292" s="1" t="s">
        <v>2927</v>
      </c>
      <c r="B292">
        <v>668</v>
      </c>
      <c r="C292" s="5">
        <f>B292/B319</f>
        <v>0.66800000000000004</v>
      </c>
      <c r="D292" s="5">
        <f>668/$D$1</f>
        <v>0.66800000000000004</v>
      </c>
      <c r="F292">
        <v>309</v>
      </c>
      <c r="G292" s="5">
        <f>F292/F319</f>
        <v>0.61676646706586824</v>
      </c>
      <c r="H292" s="5">
        <f>309/$H$1</f>
        <v>0.61676646706586824</v>
      </c>
      <c r="J292">
        <v>359</v>
      </c>
      <c r="K292" s="5">
        <f>J292/J319</f>
        <v>0.71943887775551107</v>
      </c>
      <c r="L292" s="5">
        <f>359/$L$1</f>
        <v>0.71943887775551107</v>
      </c>
      <c r="N292">
        <v>64</v>
      </c>
      <c r="O292" s="5">
        <f>N292/N319</f>
        <v>0.65979381443298968</v>
      </c>
      <c r="P292" s="5">
        <f>64/$P$1</f>
        <v>0.65979381443298968</v>
      </c>
      <c r="R292">
        <v>135</v>
      </c>
      <c r="S292" s="5">
        <f>R292/R319</f>
        <v>0.68181818181818177</v>
      </c>
      <c r="T292" s="5">
        <f>135/$T$1</f>
        <v>0.68181818181818177</v>
      </c>
      <c r="V292">
        <v>146</v>
      </c>
      <c r="W292" s="5">
        <f>V292/V319</f>
        <v>0.60580912863070535</v>
      </c>
      <c r="X292" s="5">
        <f>146/$X$1</f>
        <v>0.60580912863070535</v>
      </c>
      <c r="Z292">
        <v>138</v>
      </c>
      <c r="AA292" s="5">
        <f>Z292/Z319</f>
        <v>0.69696969696969702</v>
      </c>
      <c r="AB292" s="5">
        <f>138/$AB$1</f>
        <v>0.69696969696969702</v>
      </c>
      <c r="AD292">
        <v>107</v>
      </c>
      <c r="AE292" s="5">
        <f>AD292/AD319</f>
        <v>0.69480519480519476</v>
      </c>
      <c r="AF292" s="5">
        <f>107/$AF$1</f>
        <v>0.69480519480519476</v>
      </c>
      <c r="AH292">
        <v>81</v>
      </c>
      <c r="AI292" s="5">
        <f>AH292/AH319</f>
        <v>0.67500000000000004</v>
      </c>
      <c r="AJ292" s="5">
        <f>81/$AJ$1</f>
        <v>0.67500000000000004</v>
      </c>
      <c r="AL292">
        <v>243</v>
      </c>
      <c r="AM292" s="5">
        <f>AL292/AL319</f>
        <v>0.65675675675675671</v>
      </c>
      <c r="AN292" s="5">
        <f>243/$AN$1</f>
        <v>0.65675675675675671</v>
      </c>
      <c r="AP292">
        <v>252</v>
      </c>
      <c r="AQ292" s="5">
        <f>AP292/AP319</f>
        <v>0.66666666666666663</v>
      </c>
      <c r="AR292" s="5">
        <f>252/$AR$1</f>
        <v>0.66666666666666663</v>
      </c>
      <c r="AT292">
        <v>173</v>
      </c>
      <c r="AU292" s="5">
        <f>AT292/AT319</f>
        <v>0.68650793650793651</v>
      </c>
      <c r="AV292" s="5">
        <f>173/$AV$1</f>
        <v>0.68650793650793651</v>
      </c>
      <c r="AX292">
        <v>195</v>
      </c>
      <c r="AY292" s="5">
        <f>AX292/AX319</f>
        <v>0.7142857142857143</v>
      </c>
      <c r="AZ292" s="5">
        <f>195/$AZ$1</f>
        <v>0.7142857142857143</v>
      </c>
      <c r="BA292" s="5"/>
      <c r="BB292">
        <v>142</v>
      </c>
      <c r="BC292" s="5">
        <f>BB292/BB319</f>
        <v>0.69950738916256161</v>
      </c>
      <c r="BD292" s="5">
        <f>142/$BD$1</f>
        <v>0.69950738916256161</v>
      </c>
      <c r="BF292">
        <v>137</v>
      </c>
      <c r="BG292" s="5">
        <f>BF292/BF319</f>
        <v>0.63720930232558137</v>
      </c>
      <c r="BH292" s="5">
        <f>137/$BH$1</f>
        <v>0.63720930232558137</v>
      </c>
      <c r="BJ292">
        <v>194</v>
      </c>
      <c r="BK292" s="5">
        <f>BJ292/BJ319</f>
        <v>0.62783171521035597</v>
      </c>
      <c r="BL292" s="5">
        <f>194/$BL$1</f>
        <v>0.62783171521035597</v>
      </c>
      <c r="BN292">
        <v>33</v>
      </c>
      <c r="BO292" s="5">
        <f>BN292/BN319</f>
        <v>0.7021276595744681</v>
      </c>
      <c r="BP292" s="5">
        <f>33/$BP$1</f>
        <v>0.7021276595744681</v>
      </c>
      <c r="BR292">
        <v>187</v>
      </c>
      <c r="BS292" s="5">
        <f>BR292/BR319</f>
        <v>0.59554140127388533</v>
      </c>
      <c r="BT292" s="5">
        <f>187/$BT$1</f>
        <v>0.59554140127388533</v>
      </c>
      <c r="BV292">
        <v>273</v>
      </c>
      <c r="BW292" s="5">
        <f>BV292/BV319</f>
        <v>0.69465648854961837</v>
      </c>
      <c r="BX292" s="5">
        <f>273/$BX$1</f>
        <v>0.69465648854961837</v>
      </c>
      <c r="BZ292">
        <v>175</v>
      </c>
      <c r="CA292" s="5">
        <f>BZ292/BZ319</f>
        <v>0.71138211382113825</v>
      </c>
      <c r="CB292" s="5">
        <f>175/$CB$1</f>
        <v>0.71138211382113825</v>
      </c>
      <c r="CD292">
        <v>79</v>
      </c>
      <c r="CE292" s="5">
        <f>CD292/CD319</f>
        <v>0.64227642276422769</v>
      </c>
      <c r="CF292" s="5">
        <f>79/$CF$1</f>
        <v>0.64227642276422769</v>
      </c>
      <c r="CH292">
        <v>468</v>
      </c>
      <c r="CI292" s="5">
        <f>CH292/CH319</f>
        <v>0.68023255813953487</v>
      </c>
      <c r="CJ292" s="5">
        <f>468/$CJ$1</f>
        <v>0.68023255813953487</v>
      </c>
      <c r="CL292">
        <v>529</v>
      </c>
      <c r="CM292" s="5">
        <f>CL292/CL319</f>
        <v>0.69788918205804751</v>
      </c>
      <c r="CN292" s="5">
        <f>529/$CN$1</f>
        <v>0.69788918205804751</v>
      </c>
      <c r="CP292">
        <v>139</v>
      </c>
      <c r="CQ292" s="5">
        <f>CP292/CP319</f>
        <v>0.57438016528925617</v>
      </c>
      <c r="CR292" s="5">
        <f>139/$CR$1</f>
        <v>0.57438016528925617</v>
      </c>
      <c r="CT292">
        <v>259</v>
      </c>
      <c r="CU292" s="5">
        <f>CT292/CT319</f>
        <v>0.77777777777777779</v>
      </c>
      <c r="CV292" s="5">
        <f>259/$CV$1</f>
        <v>0.77777777777777779</v>
      </c>
      <c r="CX292">
        <v>409</v>
      </c>
      <c r="CY292" s="5">
        <f>CX292/CX319</f>
        <v>0.61319340329835081</v>
      </c>
      <c r="CZ292" s="5">
        <f>409/$CZ$1</f>
        <v>0.61319340329835081</v>
      </c>
    </row>
    <row r="293" spans="1:104" x14ac:dyDescent="0.25">
      <c r="A293" s="1" t="s">
        <v>2928</v>
      </c>
      <c r="B293">
        <v>260</v>
      </c>
      <c r="C293" s="5">
        <f>B293/B319</f>
        <v>0.26</v>
      </c>
      <c r="D293" s="5">
        <f>260/$D$1</f>
        <v>0.26</v>
      </c>
      <c r="F293">
        <v>94</v>
      </c>
      <c r="G293" s="5">
        <f>F293/F319</f>
        <v>0.18762475049900199</v>
      </c>
      <c r="H293" s="5">
        <f>94/$H$1</f>
        <v>0.18762475049900199</v>
      </c>
      <c r="J293">
        <v>166</v>
      </c>
      <c r="K293" s="5">
        <f>J293/J319</f>
        <v>0.33266533066132264</v>
      </c>
      <c r="L293" s="5">
        <f>166/$L$1</f>
        <v>0.33266533066132264</v>
      </c>
      <c r="N293">
        <v>19</v>
      </c>
      <c r="O293" s="5">
        <f>N293/N319</f>
        <v>0.19587628865979381</v>
      </c>
      <c r="P293" s="5">
        <f>19/$P$1</f>
        <v>0.19587628865979381</v>
      </c>
      <c r="R293">
        <v>56</v>
      </c>
      <c r="S293" s="5">
        <f>R293/R319</f>
        <v>0.28282828282828282</v>
      </c>
      <c r="T293" s="5">
        <f>56/$T$1</f>
        <v>0.28282828282828282</v>
      </c>
      <c r="V293">
        <v>69</v>
      </c>
      <c r="W293" s="5">
        <f>V293/V319</f>
        <v>0.2863070539419087</v>
      </c>
      <c r="X293" s="5">
        <f>69/$X$1</f>
        <v>0.2863070539419087</v>
      </c>
      <c r="Z293">
        <v>37</v>
      </c>
      <c r="AA293" s="5">
        <f>Z293/Z319</f>
        <v>0.18686868686868688</v>
      </c>
      <c r="AB293" s="5">
        <f>37/$AB$1</f>
        <v>0.18686868686868688</v>
      </c>
      <c r="AD293">
        <v>46</v>
      </c>
      <c r="AE293" s="5">
        <f>AD293/AD319</f>
        <v>0.29870129870129869</v>
      </c>
      <c r="AF293" s="5">
        <f>46/$AF$1</f>
        <v>0.29870129870129869</v>
      </c>
      <c r="AH293">
        <v>36</v>
      </c>
      <c r="AI293" s="5">
        <f>AH293/AH319</f>
        <v>0.3</v>
      </c>
      <c r="AJ293" s="5">
        <f>36/$AJ$1</f>
        <v>0.3</v>
      </c>
      <c r="AL293">
        <v>95</v>
      </c>
      <c r="AM293" s="5">
        <f>AL293/AL319</f>
        <v>0.25675675675675674</v>
      </c>
      <c r="AN293" s="5">
        <f>95/$AN$1</f>
        <v>0.25675675675675674</v>
      </c>
      <c r="AP293">
        <v>97</v>
      </c>
      <c r="AQ293" s="5">
        <f>AP293/AP319</f>
        <v>0.25661375661375663</v>
      </c>
      <c r="AR293" s="5">
        <f>97/$AR$1</f>
        <v>0.25661375661375663</v>
      </c>
      <c r="AT293">
        <v>68</v>
      </c>
      <c r="AU293" s="5">
        <f>AT293/AT319</f>
        <v>0.26984126984126983</v>
      </c>
      <c r="AV293" s="5">
        <f>68/$AV$1</f>
        <v>0.26984126984126983</v>
      </c>
      <c r="AX293">
        <v>70</v>
      </c>
      <c r="AY293" s="5">
        <f>AX293/AX319</f>
        <v>0.25641025641025639</v>
      </c>
      <c r="AZ293" s="5">
        <f>70/$AZ$1</f>
        <v>0.25641025641025639</v>
      </c>
      <c r="BA293" s="5"/>
      <c r="BB293">
        <v>49</v>
      </c>
      <c r="BC293" s="5">
        <f>BB293/BB319</f>
        <v>0.2413793103448276</v>
      </c>
      <c r="BD293" s="5">
        <f>49/$BD$1</f>
        <v>0.2413793103448276</v>
      </c>
      <c r="BF293">
        <v>57</v>
      </c>
      <c r="BG293" s="5">
        <f>BF293/BF319</f>
        <v>0.26511627906976742</v>
      </c>
      <c r="BH293" s="5">
        <f>57/$BH$1</f>
        <v>0.26511627906976742</v>
      </c>
      <c r="BJ293">
        <v>84</v>
      </c>
      <c r="BK293" s="5">
        <f>BJ293/BJ319</f>
        <v>0.27184466019417475</v>
      </c>
      <c r="BL293" s="5">
        <f>84/$BL$1</f>
        <v>0.27184466019417475</v>
      </c>
      <c r="BN293">
        <v>12</v>
      </c>
      <c r="BO293" s="5">
        <f>BN293/BN319</f>
        <v>0.25531914893617019</v>
      </c>
      <c r="BP293" s="5">
        <f>12/$BP$1</f>
        <v>0.25531914893617019</v>
      </c>
      <c r="BR293">
        <v>76</v>
      </c>
      <c r="BS293" s="5">
        <f>BR293/BR319</f>
        <v>0.24203821656050956</v>
      </c>
      <c r="BT293" s="5">
        <f>76/$BT$1</f>
        <v>0.24203821656050956</v>
      </c>
      <c r="BV293">
        <v>103</v>
      </c>
      <c r="BW293" s="5">
        <f>BV293/BV319</f>
        <v>0.26208651399491095</v>
      </c>
      <c r="BX293" s="5">
        <f>103/$BX$1</f>
        <v>0.26208651399491095</v>
      </c>
      <c r="BZ293">
        <v>69</v>
      </c>
      <c r="CA293" s="5">
        <f>BZ293/BZ319</f>
        <v>0.28048780487804881</v>
      </c>
      <c r="CB293" s="5">
        <f>69/$CB$1</f>
        <v>0.28048780487804881</v>
      </c>
      <c r="CD293">
        <v>38</v>
      </c>
      <c r="CE293" s="5">
        <f>CD293/CD319</f>
        <v>0.30894308943089432</v>
      </c>
      <c r="CF293" s="5">
        <f>38/$CF$1</f>
        <v>0.30894308943089432</v>
      </c>
      <c r="CH293">
        <v>180</v>
      </c>
      <c r="CI293" s="5">
        <f>CH293/CH319</f>
        <v>0.26162790697674421</v>
      </c>
      <c r="CJ293" s="5">
        <f>180/$CJ$1</f>
        <v>0.26162790697674421</v>
      </c>
      <c r="CL293">
        <v>216</v>
      </c>
      <c r="CM293" s="5">
        <f>CL293/CL319</f>
        <v>0.28496042216358841</v>
      </c>
      <c r="CN293" s="5">
        <f>216/$CN$1</f>
        <v>0.28496042216358841</v>
      </c>
      <c r="CP293">
        <v>44</v>
      </c>
      <c r="CQ293" s="5">
        <f>CP293/CP319</f>
        <v>0.18181818181818182</v>
      </c>
      <c r="CR293" s="5">
        <f>44/$CR$1</f>
        <v>0.18181818181818182</v>
      </c>
      <c r="CT293">
        <v>113</v>
      </c>
      <c r="CU293" s="5">
        <f>CT293/CT319</f>
        <v>0.33933933933933935</v>
      </c>
      <c r="CV293" s="5">
        <f>113/$CV$1</f>
        <v>0.33933933933933935</v>
      </c>
      <c r="CX293">
        <v>147</v>
      </c>
      <c r="CY293" s="5">
        <f>CX293/CX319</f>
        <v>0.22038980509745126</v>
      </c>
      <c r="CZ293" s="5">
        <f>147/$CZ$1</f>
        <v>0.22038980509745126</v>
      </c>
    </row>
    <row r="294" spans="1:104" x14ac:dyDescent="0.25">
      <c r="A294" s="1" t="s">
        <v>2929</v>
      </c>
      <c r="B294">
        <v>443</v>
      </c>
      <c r="C294" s="5">
        <f>B294/B319</f>
        <v>0.443</v>
      </c>
      <c r="D294" s="5">
        <f>443/$D$1</f>
        <v>0.443</v>
      </c>
      <c r="F294">
        <v>218</v>
      </c>
      <c r="G294" s="5">
        <f>F294/F319</f>
        <v>0.43512974051896208</v>
      </c>
      <c r="H294" s="5">
        <f>218/$H$1</f>
        <v>0.43512974051896208</v>
      </c>
      <c r="J294">
        <v>225</v>
      </c>
      <c r="K294" s="5">
        <f>J294/J319</f>
        <v>0.45090180360721444</v>
      </c>
      <c r="L294" s="5">
        <f>225/$L$1</f>
        <v>0.45090180360721444</v>
      </c>
      <c r="N294">
        <v>46</v>
      </c>
      <c r="O294" s="5">
        <f>N294/N319</f>
        <v>0.47422680412371132</v>
      </c>
      <c r="P294" s="5">
        <f>46/$P$1</f>
        <v>0.47422680412371132</v>
      </c>
      <c r="R294">
        <v>95</v>
      </c>
      <c r="S294" s="5">
        <f>R294/R319</f>
        <v>0.47979797979797978</v>
      </c>
      <c r="T294" s="5">
        <f>95/$T$1</f>
        <v>0.47979797979797978</v>
      </c>
      <c r="V294">
        <v>111</v>
      </c>
      <c r="W294" s="5">
        <f>V294/V319</f>
        <v>0.46058091286307051</v>
      </c>
      <c r="X294" s="5">
        <f>111/$X$1</f>
        <v>0.46058091286307051</v>
      </c>
      <c r="Z294">
        <v>88</v>
      </c>
      <c r="AA294" s="5">
        <f>Z294/Z319</f>
        <v>0.44444444444444442</v>
      </c>
      <c r="AB294" s="5">
        <f>88/$AB$1</f>
        <v>0.44444444444444442</v>
      </c>
      <c r="AD294">
        <v>69</v>
      </c>
      <c r="AE294" s="5">
        <f>AD294/AD319</f>
        <v>0.44805194805194803</v>
      </c>
      <c r="AF294" s="5">
        <f>69/$AF$1</f>
        <v>0.44805194805194803</v>
      </c>
      <c r="AH294">
        <v>38</v>
      </c>
      <c r="AI294" s="5">
        <f>AH294/AH319</f>
        <v>0.31666666666666665</v>
      </c>
      <c r="AJ294" s="5">
        <f>38/$AJ$1</f>
        <v>0.31666666666666665</v>
      </c>
      <c r="AL294">
        <v>153</v>
      </c>
      <c r="AM294" s="5">
        <f>AL294/AL319</f>
        <v>0.41351351351351351</v>
      </c>
      <c r="AN294" s="5">
        <f>153/$AN$1</f>
        <v>0.41351351351351351</v>
      </c>
      <c r="AP294">
        <v>177</v>
      </c>
      <c r="AQ294" s="5">
        <f>AP294/AP319</f>
        <v>0.46825396825396826</v>
      </c>
      <c r="AR294" s="5">
        <f>177/$AR$1</f>
        <v>0.46825396825396826</v>
      </c>
      <c r="AT294">
        <v>113</v>
      </c>
      <c r="AU294" s="5">
        <f>AT294/AT319</f>
        <v>0.44841269841269843</v>
      </c>
      <c r="AV294" s="5">
        <f>113/$AV$1</f>
        <v>0.44841269841269843</v>
      </c>
      <c r="AX294">
        <v>121</v>
      </c>
      <c r="AY294" s="5">
        <f>AX294/AX319</f>
        <v>0.4432234432234432</v>
      </c>
      <c r="AZ294" s="5">
        <f>121/$AZ$1</f>
        <v>0.4432234432234432</v>
      </c>
      <c r="BA294" s="5"/>
      <c r="BB294">
        <v>88</v>
      </c>
      <c r="BC294" s="5">
        <f>BB294/BB319</f>
        <v>0.43349753694581283</v>
      </c>
      <c r="BD294" s="5">
        <f>88/$BD$1</f>
        <v>0.43349753694581283</v>
      </c>
      <c r="BF294">
        <v>89</v>
      </c>
      <c r="BG294" s="5">
        <f>BF294/BF319</f>
        <v>0.413953488372093</v>
      </c>
      <c r="BH294" s="5">
        <f>89/$BH$1</f>
        <v>0.413953488372093</v>
      </c>
      <c r="BJ294">
        <v>145</v>
      </c>
      <c r="BK294" s="5">
        <f>BJ294/BJ319</f>
        <v>0.46925566343042069</v>
      </c>
      <c r="BL294" s="5">
        <f>145/$BL$1</f>
        <v>0.46925566343042069</v>
      </c>
      <c r="BN294">
        <v>14</v>
      </c>
      <c r="BO294" s="5">
        <f>BN294/BN319</f>
        <v>0.2978723404255319</v>
      </c>
      <c r="BP294" s="5">
        <f>14/$BP$1</f>
        <v>0.2978723404255319</v>
      </c>
      <c r="BR294">
        <v>101</v>
      </c>
      <c r="BS294" s="5">
        <f>BR294/BR319</f>
        <v>0.321656050955414</v>
      </c>
      <c r="BT294" s="5">
        <f>101/$BT$1</f>
        <v>0.321656050955414</v>
      </c>
      <c r="BV294">
        <v>177</v>
      </c>
      <c r="BW294" s="5">
        <f>BV294/BV319</f>
        <v>0.45038167938931295</v>
      </c>
      <c r="BX294" s="5">
        <f>177/$BX$1</f>
        <v>0.45038167938931295</v>
      </c>
      <c r="BZ294">
        <v>151</v>
      </c>
      <c r="CA294" s="5">
        <f>BZ294/BZ319</f>
        <v>0.61382113821138207</v>
      </c>
      <c r="CB294" s="5">
        <f>151/$CB$1</f>
        <v>0.61382113821138207</v>
      </c>
      <c r="CD294">
        <v>63</v>
      </c>
      <c r="CE294" s="5">
        <f>CD294/CD319</f>
        <v>0.51219512195121952</v>
      </c>
      <c r="CF294" s="5">
        <f>63/$CF$1</f>
        <v>0.51219512195121952</v>
      </c>
      <c r="CH294">
        <v>299</v>
      </c>
      <c r="CI294" s="5">
        <f>CH294/CH319</f>
        <v>0.43459302325581395</v>
      </c>
      <c r="CJ294" s="5">
        <f>299/$CJ$1</f>
        <v>0.43459302325581395</v>
      </c>
      <c r="CL294">
        <v>341</v>
      </c>
      <c r="CM294" s="5">
        <f>CL294/CL319</f>
        <v>0.44986807387862798</v>
      </c>
      <c r="CN294" s="5">
        <f>341/$CN$1</f>
        <v>0.44986807387862798</v>
      </c>
      <c r="CP294">
        <v>102</v>
      </c>
      <c r="CQ294" s="5">
        <f>CP294/CP319</f>
        <v>0.42148760330578511</v>
      </c>
      <c r="CR294" s="5">
        <f>102/$CR$1</f>
        <v>0.42148760330578511</v>
      </c>
      <c r="CT294">
        <v>202</v>
      </c>
      <c r="CU294" s="5">
        <f>CT294/CT319</f>
        <v>0.60660660660660659</v>
      </c>
      <c r="CV294" s="5">
        <f>202/$CV$1</f>
        <v>0.60660660660660659</v>
      </c>
      <c r="CX294">
        <v>241</v>
      </c>
      <c r="CY294" s="5">
        <f>CX294/CX319</f>
        <v>0.36131934032983509</v>
      </c>
      <c r="CZ294" s="5">
        <f>241/$CZ$1</f>
        <v>0.36131934032983509</v>
      </c>
    </row>
    <row r="295" spans="1:104" x14ac:dyDescent="0.25">
      <c r="A295" s="1" t="s">
        <v>2930</v>
      </c>
      <c r="B295">
        <v>304</v>
      </c>
      <c r="C295" s="5">
        <f>B295/B319</f>
        <v>0.30399999999999999</v>
      </c>
      <c r="D295" s="5">
        <f>304/$D$1</f>
        <v>0.30399999999999999</v>
      </c>
      <c r="F295">
        <v>136</v>
      </c>
      <c r="G295" s="5">
        <f>F295/F319</f>
        <v>0.27145708582834333</v>
      </c>
      <c r="H295" s="5">
        <f>136/$H$1</f>
        <v>0.27145708582834333</v>
      </c>
      <c r="J295">
        <v>168</v>
      </c>
      <c r="K295" s="5">
        <f>J295/J319</f>
        <v>0.33667334669338678</v>
      </c>
      <c r="L295" s="5">
        <f>168/$L$1</f>
        <v>0.33667334669338678</v>
      </c>
      <c r="N295">
        <v>48</v>
      </c>
      <c r="O295" s="5">
        <f>N295/N319</f>
        <v>0.49484536082474229</v>
      </c>
      <c r="P295" s="5">
        <f>48/$P$1</f>
        <v>0.49484536082474229</v>
      </c>
      <c r="R295">
        <v>64</v>
      </c>
      <c r="S295" s="5">
        <f>R295/R319</f>
        <v>0.32323232323232326</v>
      </c>
      <c r="T295" s="5">
        <f>64/$T$1</f>
        <v>0.32323232323232326</v>
      </c>
      <c r="V295">
        <v>68</v>
      </c>
      <c r="W295" s="5">
        <f>V295/V319</f>
        <v>0.28215767634854771</v>
      </c>
      <c r="X295" s="5">
        <f>68/$X$1</f>
        <v>0.28215767634854771</v>
      </c>
      <c r="Z295">
        <v>49</v>
      </c>
      <c r="AA295" s="5">
        <f>Z295/Z319</f>
        <v>0.24747474747474749</v>
      </c>
      <c r="AB295" s="5">
        <f>49/$AB$1</f>
        <v>0.24747474747474749</v>
      </c>
      <c r="AD295">
        <v>49</v>
      </c>
      <c r="AE295" s="5">
        <f>AD295/AD319</f>
        <v>0.31818181818181818</v>
      </c>
      <c r="AF295" s="5">
        <f>49/$AF$1</f>
        <v>0.31818181818181818</v>
      </c>
      <c r="AH295">
        <v>27</v>
      </c>
      <c r="AI295" s="5">
        <f>AH295/AH319</f>
        <v>0.22500000000000001</v>
      </c>
      <c r="AJ295" s="5">
        <f>27/$AJ$1</f>
        <v>0.22500000000000001</v>
      </c>
      <c r="AL295">
        <v>124</v>
      </c>
      <c r="AM295" s="5">
        <f>AL295/AL319</f>
        <v>0.33513513513513515</v>
      </c>
      <c r="AN295" s="5">
        <f>124/$AN$1</f>
        <v>0.33513513513513515</v>
      </c>
      <c r="AP295">
        <v>103</v>
      </c>
      <c r="AQ295" s="5">
        <f>AP295/AP319</f>
        <v>0.2724867724867725</v>
      </c>
      <c r="AR295" s="5">
        <f>103/$AR$1</f>
        <v>0.2724867724867725</v>
      </c>
      <c r="AT295">
        <v>77</v>
      </c>
      <c r="AU295" s="5">
        <f>AT295/AT319</f>
        <v>0.30555555555555558</v>
      </c>
      <c r="AV295" s="5">
        <f>77/$AV$1</f>
        <v>0.30555555555555558</v>
      </c>
      <c r="AX295">
        <v>83</v>
      </c>
      <c r="AY295" s="5">
        <f>AX295/AX319</f>
        <v>0.304029304029304</v>
      </c>
      <c r="AZ295" s="5">
        <f>83/$AZ$1</f>
        <v>0.304029304029304</v>
      </c>
      <c r="BA295" s="5"/>
      <c r="BB295">
        <v>64</v>
      </c>
      <c r="BC295" s="5">
        <f>BB295/BB319</f>
        <v>0.31527093596059114</v>
      </c>
      <c r="BD295" s="5">
        <f>64/$BD$1</f>
        <v>0.31527093596059114</v>
      </c>
      <c r="BF295">
        <v>71</v>
      </c>
      <c r="BG295" s="5">
        <f>BF295/BF319</f>
        <v>0.33023255813953489</v>
      </c>
      <c r="BH295" s="5">
        <f>71/$BH$1</f>
        <v>0.33023255813953489</v>
      </c>
      <c r="BJ295">
        <v>86</v>
      </c>
      <c r="BK295" s="5">
        <f>BJ295/BJ319</f>
        <v>0.27831715210355989</v>
      </c>
      <c r="BL295" s="5">
        <f>86/$BL$1</f>
        <v>0.27831715210355989</v>
      </c>
      <c r="BN295">
        <v>15</v>
      </c>
      <c r="BO295" s="5">
        <f>BN295/BN319</f>
        <v>0.31914893617021278</v>
      </c>
      <c r="BP295" s="5">
        <f>15/$BP$1</f>
        <v>0.31914893617021278</v>
      </c>
      <c r="BR295">
        <v>85</v>
      </c>
      <c r="BS295" s="5">
        <f>BR295/BR319</f>
        <v>0.27070063694267515</v>
      </c>
      <c r="BT295" s="5">
        <f>85/$BT$1</f>
        <v>0.27070063694267515</v>
      </c>
      <c r="BV295">
        <v>133</v>
      </c>
      <c r="BW295" s="5">
        <f>BV295/BV319</f>
        <v>0.33842239185750639</v>
      </c>
      <c r="BX295" s="5">
        <f>133/$BX$1</f>
        <v>0.33842239185750639</v>
      </c>
      <c r="BZ295">
        <v>71</v>
      </c>
      <c r="CA295" s="5">
        <f>BZ295/BZ319</f>
        <v>0.2886178861788618</v>
      </c>
      <c r="CB295" s="5">
        <f>71/$CB$1</f>
        <v>0.2886178861788618</v>
      </c>
      <c r="CD295">
        <v>34</v>
      </c>
      <c r="CE295" s="5">
        <f>CD295/CD319</f>
        <v>0.27642276422764228</v>
      </c>
      <c r="CF295" s="5">
        <f>34/$CF$1</f>
        <v>0.27642276422764228</v>
      </c>
      <c r="CH295">
        <v>216</v>
      </c>
      <c r="CI295" s="5">
        <f>CH295/CH319</f>
        <v>0.31395348837209303</v>
      </c>
      <c r="CJ295" s="5">
        <f>216/$CJ$1</f>
        <v>0.31395348837209303</v>
      </c>
      <c r="CL295">
        <v>249</v>
      </c>
      <c r="CM295" s="5">
        <f>CL295/CL319</f>
        <v>0.32849604221635886</v>
      </c>
      <c r="CN295" s="5">
        <f>249/$CN$1</f>
        <v>0.32849604221635886</v>
      </c>
      <c r="CP295">
        <v>55</v>
      </c>
      <c r="CQ295" s="5">
        <f>CP295/CP319</f>
        <v>0.22727272727272727</v>
      </c>
      <c r="CR295" s="5">
        <f>55/$CR$1</f>
        <v>0.22727272727272727</v>
      </c>
      <c r="CT295">
        <v>137</v>
      </c>
      <c r="CU295" s="5">
        <f>CT295/CT319</f>
        <v>0.41141141141141141</v>
      </c>
      <c r="CV295" s="5">
        <f>137/$CV$1</f>
        <v>0.41141141141141141</v>
      </c>
      <c r="CX295">
        <v>167</v>
      </c>
      <c r="CY295" s="5">
        <f>CX295/CX319</f>
        <v>0.25037481259370314</v>
      </c>
      <c r="CZ295" s="5">
        <f>167/$CZ$1</f>
        <v>0.25037481259370314</v>
      </c>
    </row>
    <row r="296" spans="1:104" x14ac:dyDescent="0.25">
      <c r="A296" s="1" t="s">
        <v>2931</v>
      </c>
      <c r="B296">
        <v>607</v>
      </c>
      <c r="C296" s="5">
        <f>B296/B319</f>
        <v>0.60699999999999998</v>
      </c>
      <c r="D296" s="5">
        <f>607/$D$1</f>
        <v>0.60699999999999998</v>
      </c>
      <c r="F296">
        <v>270</v>
      </c>
      <c r="G296" s="5">
        <f>F296/F319</f>
        <v>0.53892215568862278</v>
      </c>
      <c r="H296" s="5">
        <f>270/$H$1</f>
        <v>0.53892215568862278</v>
      </c>
      <c r="J296">
        <v>337</v>
      </c>
      <c r="K296" s="5">
        <f>J296/J319</f>
        <v>0.67535070140280562</v>
      </c>
      <c r="L296" s="5">
        <f>337/$L$1</f>
        <v>0.67535070140280562</v>
      </c>
      <c r="N296">
        <v>62</v>
      </c>
      <c r="O296" s="5">
        <f>N296/N319</f>
        <v>0.63917525773195871</v>
      </c>
      <c r="P296" s="5">
        <f>62/$P$1</f>
        <v>0.63917525773195871</v>
      </c>
      <c r="R296">
        <v>123</v>
      </c>
      <c r="S296" s="5">
        <f>R296/R319</f>
        <v>0.62121212121212122</v>
      </c>
      <c r="T296" s="5">
        <f>123/$T$1</f>
        <v>0.62121212121212122</v>
      </c>
      <c r="V296">
        <v>141</v>
      </c>
      <c r="W296" s="5">
        <f>V296/V319</f>
        <v>0.58506224066390045</v>
      </c>
      <c r="X296" s="5">
        <f>141/$X$1</f>
        <v>0.58506224066390045</v>
      </c>
      <c r="Z296">
        <v>120</v>
      </c>
      <c r="AA296" s="5">
        <f>Z296/Z319</f>
        <v>0.60606060606060608</v>
      </c>
      <c r="AB296" s="5">
        <f>120/$AB$1</f>
        <v>0.60606060606060608</v>
      </c>
      <c r="AD296">
        <v>93</v>
      </c>
      <c r="AE296" s="5">
        <f>AD296/AD319</f>
        <v>0.60389610389610393</v>
      </c>
      <c r="AF296" s="5">
        <f>93/$AF$1</f>
        <v>0.60389610389610393</v>
      </c>
      <c r="AH296">
        <v>72</v>
      </c>
      <c r="AI296" s="5">
        <f>AH296/AH319</f>
        <v>0.6</v>
      </c>
      <c r="AJ296" s="5">
        <f>72/$AJ$1</f>
        <v>0.6</v>
      </c>
      <c r="AL296">
        <v>233</v>
      </c>
      <c r="AM296" s="5">
        <f>AL296/AL319</f>
        <v>0.62972972972972974</v>
      </c>
      <c r="AN296" s="5">
        <f>233/$AN$1</f>
        <v>0.62972972972972974</v>
      </c>
      <c r="AP296">
        <v>215</v>
      </c>
      <c r="AQ296" s="5">
        <f>AP296/AP319</f>
        <v>0.56878306878306883</v>
      </c>
      <c r="AR296" s="5">
        <f>215/$AR$1</f>
        <v>0.56878306878306883</v>
      </c>
      <c r="AT296">
        <v>159</v>
      </c>
      <c r="AU296" s="5">
        <f>AT296/AT319</f>
        <v>0.63095238095238093</v>
      </c>
      <c r="AV296" s="5">
        <f>159/$AV$1</f>
        <v>0.63095238095238093</v>
      </c>
      <c r="AX296">
        <v>164</v>
      </c>
      <c r="AY296" s="5">
        <f>AX296/AX319</f>
        <v>0.60073260073260071</v>
      </c>
      <c r="AZ296" s="5">
        <f>164/$AZ$1</f>
        <v>0.60073260073260071</v>
      </c>
      <c r="BA296" s="5"/>
      <c r="BB296">
        <v>133</v>
      </c>
      <c r="BC296" s="5">
        <f>BB296/BB319</f>
        <v>0.65517241379310343</v>
      </c>
      <c r="BD296" s="5">
        <f>133/$BD$1</f>
        <v>0.65517241379310343</v>
      </c>
      <c r="BF296">
        <v>133</v>
      </c>
      <c r="BG296" s="5">
        <f>BF296/BF319</f>
        <v>0.61860465116279073</v>
      </c>
      <c r="BH296" s="5">
        <f>133/$BH$1</f>
        <v>0.61860465116279073</v>
      </c>
      <c r="BJ296">
        <v>177</v>
      </c>
      <c r="BK296" s="5">
        <f>BJ296/BJ319</f>
        <v>0.57281553398058249</v>
      </c>
      <c r="BL296" s="5">
        <f>177/$BL$1</f>
        <v>0.57281553398058249</v>
      </c>
      <c r="BN296">
        <v>26</v>
      </c>
      <c r="BO296" s="5">
        <f>BN296/BN319</f>
        <v>0.55319148936170215</v>
      </c>
      <c r="BP296" s="5">
        <f>26/$BP$1</f>
        <v>0.55319148936170215</v>
      </c>
      <c r="BR296">
        <v>173</v>
      </c>
      <c r="BS296" s="5">
        <f>BR296/BR319</f>
        <v>0.55095541401273884</v>
      </c>
      <c r="BT296" s="5">
        <f>173/$BT$1</f>
        <v>0.55095541401273884</v>
      </c>
      <c r="BV296">
        <v>241</v>
      </c>
      <c r="BW296" s="5">
        <f>BV296/BV319</f>
        <v>0.61323155216284986</v>
      </c>
      <c r="BX296" s="5">
        <f>241/$BX$1</f>
        <v>0.61323155216284986</v>
      </c>
      <c r="BZ296">
        <v>167</v>
      </c>
      <c r="CA296" s="5">
        <f>BZ296/BZ319</f>
        <v>0.67886178861788615</v>
      </c>
      <c r="CB296" s="5">
        <f>167/$CB$1</f>
        <v>0.67886178861788615</v>
      </c>
      <c r="CD296">
        <v>74</v>
      </c>
      <c r="CE296" s="5">
        <f>CD296/CD319</f>
        <v>0.60162601626016265</v>
      </c>
      <c r="CF296" s="5">
        <f>74/$CF$1</f>
        <v>0.60162601626016265</v>
      </c>
      <c r="CH296">
        <v>426</v>
      </c>
      <c r="CI296" s="5">
        <f>CH296/CH319</f>
        <v>0.6191860465116279</v>
      </c>
      <c r="CJ296" s="5">
        <f>426/$CJ$1</f>
        <v>0.6191860465116279</v>
      </c>
      <c r="CL296">
        <v>474</v>
      </c>
      <c r="CM296" s="5">
        <f>CL296/CL319</f>
        <v>0.62532981530343013</v>
      </c>
      <c r="CN296" s="5">
        <f>474/$CN$1</f>
        <v>0.62532981530343013</v>
      </c>
      <c r="CP296">
        <v>133</v>
      </c>
      <c r="CQ296" s="5">
        <f>CP296/CP319</f>
        <v>0.54958677685950408</v>
      </c>
      <c r="CR296" s="5">
        <f>133/$CR$1</f>
        <v>0.54958677685950408</v>
      </c>
      <c r="CT296">
        <v>241</v>
      </c>
      <c r="CU296" s="5">
        <f>CT296/CT319</f>
        <v>0.72372372372372373</v>
      </c>
      <c r="CV296" s="5">
        <f>241/$CV$1</f>
        <v>0.72372372372372373</v>
      </c>
      <c r="CX296">
        <v>366</v>
      </c>
      <c r="CY296" s="5">
        <f>CX296/CX319</f>
        <v>0.54872563718140932</v>
      </c>
      <c r="CZ296" s="5">
        <f>366/$CZ$1</f>
        <v>0.54872563718140932</v>
      </c>
    </row>
    <row r="297" spans="1:104" x14ac:dyDescent="0.25">
      <c r="A297" s="1" t="s">
        <v>2932</v>
      </c>
      <c r="B297">
        <v>478</v>
      </c>
      <c r="C297" s="5">
        <f>B297/B319</f>
        <v>0.47799999999999998</v>
      </c>
      <c r="D297" s="5">
        <f>478/$D$1</f>
        <v>0.47799999999999998</v>
      </c>
      <c r="F297">
        <v>233</v>
      </c>
      <c r="G297" s="5">
        <f>F297/F319</f>
        <v>0.46506986027944114</v>
      </c>
      <c r="H297" s="5">
        <f>233/$H$1</f>
        <v>0.46506986027944114</v>
      </c>
      <c r="J297">
        <v>245</v>
      </c>
      <c r="K297" s="5">
        <f>J297/J319</f>
        <v>0.4909819639278557</v>
      </c>
      <c r="L297" s="5">
        <f>245/$L$1</f>
        <v>0.4909819639278557</v>
      </c>
      <c r="N297">
        <v>39</v>
      </c>
      <c r="O297" s="5">
        <f>N297/N319</f>
        <v>0.40206185567010311</v>
      </c>
      <c r="P297" s="5">
        <f>39/$P$1</f>
        <v>0.40206185567010311</v>
      </c>
      <c r="R297">
        <v>83</v>
      </c>
      <c r="S297" s="5">
        <f>R297/R319</f>
        <v>0.41919191919191917</v>
      </c>
      <c r="T297" s="5">
        <f>83/$T$1</f>
        <v>0.41919191919191917</v>
      </c>
      <c r="V297">
        <v>120</v>
      </c>
      <c r="W297" s="5">
        <f>V297/V319</f>
        <v>0.49792531120331951</v>
      </c>
      <c r="X297" s="5">
        <f>120/$X$1</f>
        <v>0.49792531120331951</v>
      </c>
      <c r="Z297">
        <v>110</v>
      </c>
      <c r="AA297" s="5">
        <f>Z297/Z319</f>
        <v>0.55555555555555558</v>
      </c>
      <c r="AB297" s="5">
        <f>110/$AB$1</f>
        <v>0.55555555555555558</v>
      </c>
      <c r="AD297">
        <v>70</v>
      </c>
      <c r="AE297" s="5">
        <f>AD297/AD319</f>
        <v>0.45454545454545453</v>
      </c>
      <c r="AF297" s="5">
        <f>70/$AF$1</f>
        <v>0.45454545454545453</v>
      </c>
      <c r="AH297">
        <v>61</v>
      </c>
      <c r="AI297" s="5">
        <f>AH297/AH319</f>
        <v>0.5083333333333333</v>
      </c>
      <c r="AJ297" s="5">
        <f>61/$AJ$1</f>
        <v>0.5083333333333333</v>
      </c>
      <c r="AL297">
        <v>198</v>
      </c>
      <c r="AM297" s="5">
        <f>AL297/AL319</f>
        <v>0.53513513513513511</v>
      </c>
      <c r="AN297" s="5">
        <f>198/$AN$1</f>
        <v>0.53513513513513511</v>
      </c>
      <c r="AP297">
        <v>189</v>
      </c>
      <c r="AQ297" s="5">
        <f>AP297/AP319</f>
        <v>0.5</v>
      </c>
      <c r="AR297" s="5">
        <f>189/$AR$1</f>
        <v>0.5</v>
      </c>
      <c r="AT297">
        <v>91</v>
      </c>
      <c r="AU297" s="5">
        <f>AT297/AT319</f>
        <v>0.3611111111111111</v>
      </c>
      <c r="AV297" s="5">
        <f>91/$AV$1</f>
        <v>0.3611111111111111</v>
      </c>
      <c r="AX297">
        <v>156</v>
      </c>
      <c r="AY297" s="5">
        <f>AX297/AX319</f>
        <v>0.5714285714285714</v>
      </c>
      <c r="AZ297" s="5">
        <f>156/$AZ$1</f>
        <v>0.5714285714285714</v>
      </c>
      <c r="BA297" s="5"/>
      <c r="BB297">
        <v>87</v>
      </c>
      <c r="BC297" s="5">
        <f>BB297/BB319</f>
        <v>0.42857142857142855</v>
      </c>
      <c r="BD297" s="5">
        <f>87/$BD$1</f>
        <v>0.42857142857142855</v>
      </c>
      <c r="BF297">
        <v>100</v>
      </c>
      <c r="BG297" s="5">
        <f>BF297/BF319</f>
        <v>0.46511627906976744</v>
      </c>
      <c r="BH297" s="5">
        <f>100/$BH$1</f>
        <v>0.46511627906976744</v>
      </c>
      <c r="BJ297">
        <v>135</v>
      </c>
      <c r="BK297" s="5">
        <f>BJ297/BJ319</f>
        <v>0.43689320388349512</v>
      </c>
      <c r="BL297" s="5">
        <f>135/$BL$1</f>
        <v>0.43689320388349512</v>
      </c>
      <c r="BN297">
        <v>22</v>
      </c>
      <c r="BO297" s="5">
        <f>BN297/BN319</f>
        <v>0.46808510638297873</v>
      </c>
      <c r="BP297" s="5">
        <f>22/$BP$1</f>
        <v>0.46808510638297873</v>
      </c>
      <c r="BR297">
        <v>165</v>
      </c>
      <c r="BS297" s="5">
        <f>BR297/BR319</f>
        <v>0.52547770700636942</v>
      </c>
      <c r="BT297" s="5">
        <f>165/$BT$1</f>
        <v>0.52547770700636942</v>
      </c>
      <c r="BV297">
        <v>186</v>
      </c>
      <c r="BW297" s="5">
        <f>BV297/BV319</f>
        <v>0.47328244274809161</v>
      </c>
      <c r="BX297" s="5">
        <f>186/$BX$1</f>
        <v>0.47328244274809161</v>
      </c>
      <c r="BZ297">
        <v>105</v>
      </c>
      <c r="CA297" s="5">
        <f>BZ297/BZ319</f>
        <v>0.42682926829268292</v>
      </c>
      <c r="CB297" s="5">
        <f>105/$CB$1</f>
        <v>0.42682926829268292</v>
      </c>
      <c r="CD297">
        <v>56</v>
      </c>
      <c r="CE297" s="5">
        <f>CD297/CD319</f>
        <v>0.45528455284552843</v>
      </c>
      <c r="CF297" s="5">
        <f>56/$CF$1</f>
        <v>0.45528455284552843</v>
      </c>
      <c r="CH297">
        <v>333</v>
      </c>
      <c r="CI297" s="5">
        <f>CH297/CH319</f>
        <v>0.48401162790697677</v>
      </c>
      <c r="CJ297" s="5">
        <f>333/$CJ$1</f>
        <v>0.48401162790697677</v>
      </c>
      <c r="CL297">
        <v>382</v>
      </c>
      <c r="CM297" s="5">
        <f>CL297/CL319</f>
        <v>0.50395778364116095</v>
      </c>
      <c r="CN297" s="5">
        <f>382/$CN$1</f>
        <v>0.50395778364116095</v>
      </c>
      <c r="CP297">
        <v>96</v>
      </c>
      <c r="CQ297" s="5">
        <f>CP297/CP319</f>
        <v>0.39669421487603307</v>
      </c>
      <c r="CR297" s="5">
        <f>96/$CR$1</f>
        <v>0.39669421487603307</v>
      </c>
      <c r="CT297">
        <v>165</v>
      </c>
      <c r="CU297" s="5">
        <f>CT297/CT319</f>
        <v>0.49549549549549549</v>
      </c>
      <c r="CV297" s="5">
        <f>165/$CV$1</f>
        <v>0.49549549549549549</v>
      </c>
      <c r="CX297">
        <v>313</v>
      </c>
      <c r="CY297" s="5">
        <f>CX297/CX319</f>
        <v>0.46926536731634183</v>
      </c>
      <c r="CZ297" s="5">
        <f>313/$CZ$1</f>
        <v>0.46926536731634183</v>
      </c>
    </row>
    <row r="298" spans="1:104" x14ac:dyDescent="0.25">
      <c r="A298" s="1" t="s">
        <v>2933</v>
      </c>
      <c r="B298">
        <v>645</v>
      </c>
      <c r="C298" s="5">
        <f>B298/B319</f>
        <v>0.64500000000000002</v>
      </c>
      <c r="D298" s="5">
        <f>645/$D$1</f>
        <v>0.64500000000000002</v>
      </c>
      <c r="F298">
        <v>311</v>
      </c>
      <c r="G298" s="5">
        <f>F298/F319</f>
        <v>0.62075848303393211</v>
      </c>
      <c r="H298" s="5">
        <f>311/$H$1</f>
        <v>0.62075848303393211</v>
      </c>
      <c r="J298">
        <v>334</v>
      </c>
      <c r="K298" s="5">
        <f>J298/J319</f>
        <v>0.66933867735470942</v>
      </c>
      <c r="L298" s="5">
        <f>334/$L$1</f>
        <v>0.66933867735470942</v>
      </c>
      <c r="N298">
        <v>47</v>
      </c>
      <c r="O298" s="5">
        <f>N298/N319</f>
        <v>0.4845360824742268</v>
      </c>
      <c r="P298" s="5">
        <f>47/$P$1</f>
        <v>0.4845360824742268</v>
      </c>
      <c r="R298">
        <v>122</v>
      </c>
      <c r="S298" s="5">
        <f>R298/R319</f>
        <v>0.61616161616161613</v>
      </c>
      <c r="T298" s="5">
        <f>122/$T$1</f>
        <v>0.61616161616161613</v>
      </c>
      <c r="V298">
        <v>165</v>
      </c>
      <c r="W298" s="5">
        <f>V298/V319</f>
        <v>0.68464730290456433</v>
      </c>
      <c r="X298" s="5">
        <f>165/$X$1</f>
        <v>0.68464730290456433</v>
      </c>
      <c r="Z298">
        <v>144</v>
      </c>
      <c r="AA298" s="5">
        <f>Z298/Z319</f>
        <v>0.72727272727272729</v>
      </c>
      <c r="AB298" s="5">
        <f>144/$AB$1</f>
        <v>0.72727272727272729</v>
      </c>
      <c r="AD298">
        <v>97</v>
      </c>
      <c r="AE298" s="5">
        <f>AD298/AD319</f>
        <v>0.62987012987012991</v>
      </c>
      <c r="AF298" s="5">
        <f>97/$AF$1</f>
        <v>0.62987012987012991</v>
      </c>
      <c r="AH298">
        <v>75</v>
      </c>
      <c r="AI298" s="5">
        <f>AH298/AH319</f>
        <v>0.625</v>
      </c>
      <c r="AJ298" s="5">
        <f>75/$AJ$1</f>
        <v>0.625</v>
      </c>
      <c r="AL298">
        <v>228</v>
      </c>
      <c r="AM298" s="5">
        <f>AL298/AL319</f>
        <v>0.61621621621621625</v>
      </c>
      <c r="AN298" s="5">
        <f>228/$AN$1</f>
        <v>0.61621621621621625</v>
      </c>
      <c r="AP298">
        <v>245</v>
      </c>
      <c r="AQ298" s="5">
        <f>AP298/AP319</f>
        <v>0.64814814814814814</v>
      </c>
      <c r="AR298" s="5">
        <f>245/$AR$1</f>
        <v>0.64814814814814814</v>
      </c>
      <c r="AT298">
        <v>172</v>
      </c>
      <c r="AU298" s="5">
        <f>AT298/AT319</f>
        <v>0.68253968253968256</v>
      </c>
      <c r="AV298" s="5">
        <f>172/$AV$1</f>
        <v>0.68253968253968256</v>
      </c>
      <c r="AX298">
        <v>187</v>
      </c>
      <c r="AY298" s="5">
        <f>AX298/AX319</f>
        <v>0.68498168498168499</v>
      </c>
      <c r="AZ298" s="5">
        <f>187/$AZ$1</f>
        <v>0.68498168498168499</v>
      </c>
      <c r="BA298" s="5"/>
      <c r="BB298">
        <v>129</v>
      </c>
      <c r="BC298" s="5">
        <f>BB298/BB319</f>
        <v>0.6354679802955665</v>
      </c>
      <c r="BD298" s="5">
        <f>129/$BD$1</f>
        <v>0.6354679802955665</v>
      </c>
      <c r="BF298">
        <v>133</v>
      </c>
      <c r="BG298" s="5">
        <f>BF298/BF319</f>
        <v>0.61860465116279073</v>
      </c>
      <c r="BH298" s="5">
        <f>133/$BH$1</f>
        <v>0.61860465116279073</v>
      </c>
      <c r="BJ298">
        <v>196</v>
      </c>
      <c r="BK298" s="5">
        <f>BJ298/BJ319</f>
        <v>0.63430420711974111</v>
      </c>
      <c r="BL298" s="5">
        <f>196/$BL$1</f>
        <v>0.63430420711974111</v>
      </c>
      <c r="BN298">
        <v>26</v>
      </c>
      <c r="BO298" s="5">
        <f>BN298/BN319</f>
        <v>0.55319148936170215</v>
      </c>
      <c r="BP298" s="5">
        <f>26/$BP$1</f>
        <v>0.55319148936170215</v>
      </c>
      <c r="BR298">
        <v>191</v>
      </c>
      <c r="BS298" s="5">
        <f>BR298/BR319</f>
        <v>0.60828025477707004</v>
      </c>
      <c r="BT298" s="5">
        <f>191/$BT$1</f>
        <v>0.60828025477707004</v>
      </c>
      <c r="BV298">
        <v>257</v>
      </c>
      <c r="BW298" s="5">
        <f>BV298/BV319</f>
        <v>0.65394402035623411</v>
      </c>
      <c r="BX298" s="5">
        <f>257/$BX$1</f>
        <v>0.65394402035623411</v>
      </c>
      <c r="BZ298">
        <v>171</v>
      </c>
      <c r="CA298" s="5">
        <f>BZ298/BZ319</f>
        <v>0.69512195121951215</v>
      </c>
      <c r="CB298" s="5">
        <f>171/$CB$1</f>
        <v>0.69512195121951215</v>
      </c>
      <c r="CD298">
        <v>83</v>
      </c>
      <c r="CE298" s="5">
        <f>CD298/CD319</f>
        <v>0.67479674796747968</v>
      </c>
      <c r="CF298" s="5">
        <f>83/$CF$1</f>
        <v>0.67479674796747968</v>
      </c>
      <c r="CH298">
        <v>455</v>
      </c>
      <c r="CI298" s="5">
        <f>CH298/CH319</f>
        <v>0.66133720930232553</v>
      </c>
      <c r="CJ298" s="5">
        <f>455/$CJ$1</f>
        <v>0.66133720930232553</v>
      </c>
      <c r="CL298">
        <v>495</v>
      </c>
      <c r="CM298" s="5">
        <f>CL298/CL319</f>
        <v>0.65303430079155678</v>
      </c>
      <c r="CN298" s="5">
        <f>495/$CN$1</f>
        <v>0.65303430079155678</v>
      </c>
      <c r="CP298">
        <v>150</v>
      </c>
      <c r="CQ298" s="5">
        <f>CP298/CP319</f>
        <v>0.6198347107438017</v>
      </c>
      <c r="CR298" s="5">
        <f>150/$CR$1</f>
        <v>0.6198347107438017</v>
      </c>
      <c r="CT298">
        <v>240</v>
      </c>
      <c r="CU298" s="5">
        <f>CT298/CT319</f>
        <v>0.72072072072072069</v>
      </c>
      <c r="CV298" s="5">
        <f>240/$CV$1</f>
        <v>0.72072072072072069</v>
      </c>
      <c r="CX298">
        <v>405</v>
      </c>
      <c r="CY298" s="5">
        <f>CX298/CX319</f>
        <v>0.6071964017991005</v>
      </c>
      <c r="CZ298" s="5">
        <f>405/$CZ$1</f>
        <v>0.6071964017991005</v>
      </c>
    </row>
    <row r="300" spans="1:104" x14ac:dyDescent="0.25">
      <c r="A300" s="1" t="s">
        <v>2934</v>
      </c>
      <c r="B300">
        <v>50</v>
      </c>
      <c r="C300" s="5">
        <f>B300/B319</f>
        <v>0.05</v>
      </c>
      <c r="D300" s="5">
        <f>50/$D$1</f>
        <v>0.05</v>
      </c>
      <c r="F300">
        <v>29</v>
      </c>
      <c r="G300" s="5">
        <f>F300/F319</f>
        <v>5.7884231536926151E-2</v>
      </c>
      <c r="H300" s="5">
        <f>29/$H$1</f>
        <v>5.7884231536926151E-2</v>
      </c>
      <c r="J300">
        <v>21</v>
      </c>
      <c r="K300" s="5">
        <f>J300/J319</f>
        <v>4.2084168336673347E-2</v>
      </c>
      <c r="L300" s="5">
        <f>21/$L$1</f>
        <v>4.2084168336673347E-2</v>
      </c>
      <c r="N300">
        <v>10</v>
      </c>
      <c r="O300" s="5">
        <f>N300/N319</f>
        <v>0.10309278350515463</v>
      </c>
      <c r="P300" s="5">
        <f>10/$P$1</f>
        <v>0.10309278350515463</v>
      </c>
      <c r="R300">
        <v>14</v>
      </c>
      <c r="S300" s="5">
        <f>R300/R319</f>
        <v>7.0707070707070704E-2</v>
      </c>
      <c r="T300" s="5">
        <f>14/$T$1</f>
        <v>7.0707070707070704E-2</v>
      </c>
      <c r="V300">
        <v>13</v>
      </c>
      <c r="W300" s="5">
        <f>V300/V319</f>
        <v>5.3941908713692949E-2</v>
      </c>
      <c r="X300" s="5">
        <f>13/$X$1</f>
        <v>5.3941908713692949E-2</v>
      </c>
      <c r="Z300">
        <v>4</v>
      </c>
      <c r="AA300" s="5">
        <f>Z300/Z319</f>
        <v>2.0202020202020204E-2</v>
      </c>
      <c r="AB300" s="5">
        <f>4/$AB$1</f>
        <v>2.0202020202020204E-2</v>
      </c>
      <c r="AD300">
        <v>6</v>
      </c>
      <c r="AE300" s="5">
        <f>AD300/AD319</f>
        <v>3.896103896103896E-2</v>
      </c>
      <c r="AF300" s="5">
        <f>6/$AF$1</f>
        <v>3.896103896103896E-2</v>
      </c>
      <c r="AH300">
        <v>3</v>
      </c>
      <c r="AI300" s="5">
        <f>AH300/AH319</f>
        <v>2.5000000000000001E-2</v>
      </c>
      <c r="AJ300" s="5">
        <f>3/$AJ$1</f>
        <v>2.5000000000000001E-2</v>
      </c>
      <c r="AL300">
        <v>20</v>
      </c>
      <c r="AM300" s="5">
        <f>AL300/AL319</f>
        <v>5.4054054054054057E-2</v>
      </c>
      <c r="AN300" s="5">
        <f>20/$AN$1</f>
        <v>5.4054054054054057E-2</v>
      </c>
      <c r="AP300">
        <v>18</v>
      </c>
      <c r="AQ300" s="5">
        <f>AP300/AP319</f>
        <v>4.7619047619047616E-2</v>
      </c>
      <c r="AR300" s="5">
        <f>18/$AR$1</f>
        <v>4.7619047619047616E-2</v>
      </c>
      <c r="AT300">
        <v>12</v>
      </c>
      <c r="AU300" s="5">
        <f>AT300/AT319</f>
        <v>4.7619047619047616E-2</v>
      </c>
      <c r="AV300" s="5">
        <f>12/$AV$1</f>
        <v>4.7619047619047616E-2</v>
      </c>
      <c r="AX300">
        <v>12</v>
      </c>
      <c r="AY300" s="5">
        <f>AX300/AX319</f>
        <v>4.3956043956043959E-2</v>
      </c>
      <c r="AZ300" s="5">
        <f>12/$AZ$1</f>
        <v>4.3956043956043959E-2</v>
      </c>
      <c r="BA300" s="5"/>
      <c r="BB300">
        <v>11</v>
      </c>
      <c r="BC300" s="5">
        <f>BB300/BB319</f>
        <v>5.4187192118226604E-2</v>
      </c>
      <c r="BD300" s="5">
        <f>11/$BD$1</f>
        <v>5.4187192118226604E-2</v>
      </c>
      <c r="BF300">
        <v>7</v>
      </c>
      <c r="BG300" s="5">
        <f>BF300/BF319</f>
        <v>3.255813953488372E-2</v>
      </c>
      <c r="BH300" s="5">
        <f>7/$BH$1</f>
        <v>3.255813953488372E-2</v>
      </c>
      <c r="BJ300">
        <v>20</v>
      </c>
      <c r="BK300" s="5">
        <f>BJ300/BJ319</f>
        <v>6.4724919093851127E-2</v>
      </c>
      <c r="BL300" s="5">
        <f>20/$BL$1</f>
        <v>6.4724919093851127E-2</v>
      </c>
      <c r="BN300">
        <v>6</v>
      </c>
      <c r="BO300" s="5">
        <f>BN300/BN319</f>
        <v>0.1276595744680851</v>
      </c>
      <c r="BP300" s="5">
        <f>6/$BP$1</f>
        <v>0.1276595744680851</v>
      </c>
      <c r="BR300">
        <v>18</v>
      </c>
      <c r="BS300" s="5">
        <f>BR300/BR319</f>
        <v>5.7324840764331211E-2</v>
      </c>
      <c r="BT300" s="5">
        <f>18/$BT$1</f>
        <v>5.7324840764331211E-2</v>
      </c>
      <c r="BV300">
        <v>18</v>
      </c>
      <c r="BW300" s="5">
        <f>BV300/BV319</f>
        <v>4.5801526717557252E-2</v>
      </c>
      <c r="BX300" s="5">
        <f>18/$BX$1</f>
        <v>4.5801526717557252E-2</v>
      </c>
      <c r="BZ300">
        <v>8</v>
      </c>
      <c r="CA300" s="5">
        <f>BZ300/BZ319</f>
        <v>3.2520325203252036E-2</v>
      </c>
      <c r="CB300" s="5">
        <f>8/$CB$1</f>
        <v>3.2520325203252036E-2</v>
      </c>
      <c r="CD300">
        <v>9</v>
      </c>
      <c r="CE300" s="5">
        <f>CD300/CD319</f>
        <v>7.3170731707317069E-2</v>
      </c>
      <c r="CF300" s="5">
        <f>9/$CF$1</f>
        <v>7.3170731707317069E-2</v>
      </c>
      <c r="CH300">
        <v>31</v>
      </c>
      <c r="CI300" s="5">
        <f>CH300/CH319</f>
        <v>4.5058139534883718E-2</v>
      </c>
      <c r="CJ300" s="5">
        <f>31/$CJ$1</f>
        <v>4.5058139534883718E-2</v>
      </c>
      <c r="CL300">
        <v>32</v>
      </c>
      <c r="CM300" s="5">
        <f>CL300/CL319</f>
        <v>4.221635883905013E-2</v>
      </c>
      <c r="CN300" s="5">
        <f>32/$CN$1</f>
        <v>4.221635883905013E-2</v>
      </c>
      <c r="CP300">
        <v>18</v>
      </c>
      <c r="CQ300" s="5">
        <f>CP300/CP319</f>
        <v>7.43801652892562E-2</v>
      </c>
      <c r="CR300" s="5">
        <f>18/$CR$1</f>
        <v>7.43801652892562E-2</v>
      </c>
      <c r="CT300">
        <v>14</v>
      </c>
      <c r="CU300" s="5">
        <f>CT300/CT319</f>
        <v>4.2042042042042045E-2</v>
      </c>
      <c r="CV300" s="5">
        <f>14/$CV$1</f>
        <v>4.2042042042042045E-2</v>
      </c>
      <c r="CX300">
        <v>36</v>
      </c>
      <c r="CY300" s="5">
        <f>CX300/CX319</f>
        <v>5.3973013493253376E-2</v>
      </c>
      <c r="CZ300" s="5">
        <f>36/$CZ$1</f>
        <v>5.3973013493253376E-2</v>
      </c>
    </row>
    <row r="301" spans="1:104" x14ac:dyDescent="0.25">
      <c r="A301" s="1" t="s">
        <v>2935</v>
      </c>
      <c r="B301">
        <v>252</v>
      </c>
      <c r="C301" s="5">
        <f>B301/B319</f>
        <v>0.252</v>
      </c>
      <c r="D301" s="5">
        <f>252/$D$1</f>
        <v>0.252</v>
      </c>
      <c r="F301">
        <v>138</v>
      </c>
      <c r="G301" s="5">
        <f>F301/F319</f>
        <v>0.27544910179640719</v>
      </c>
      <c r="H301" s="5">
        <f>138/$H$1</f>
        <v>0.27544910179640719</v>
      </c>
      <c r="J301">
        <v>114</v>
      </c>
      <c r="K301" s="5">
        <f>J301/J319</f>
        <v>0.22845691382765532</v>
      </c>
      <c r="L301" s="5">
        <f>114/$L$1</f>
        <v>0.22845691382765532</v>
      </c>
      <c r="N301">
        <v>27</v>
      </c>
      <c r="O301" s="5">
        <f>N301/N319</f>
        <v>0.27835051546391754</v>
      </c>
      <c r="P301" s="5">
        <f>27/$P$1</f>
        <v>0.27835051546391754</v>
      </c>
      <c r="R301">
        <v>41</v>
      </c>
      <c r="S301" s="5">
        <f>R301/R319</f>
        <v>0.20707070707070707</v>
      </c>
      <c r="T301" s="5">
        <f>41/$T$1</f>
        <v>0.20707070707070707</v>
      </c>
      <c r="V301">
        <v>74</v>
      </c>
      <c r="W301" s="5">
        <f>V301/V319</f>
        <v>0.30705394190871371</v>
      </c>
      <c r="X301" s="5">
        <f>74/$X$1</f>
        <v>0.30705394190871371</v>
      </c>
      <c r="Z301">
        <v>50</v>
      </c>
      <c r="AA301" s="5">
        <f>Z301/Z319</f>
        <v>0.25252525252525254</v>
      </c>
      <c r="AB301" s="5">
        <f>50/$AB$1</f>
        <v>0.25252525252525254</v>
      </c>
      <c r="AD301">
        <v>33</v>
      </c>
      <c r="AE301" s="5">
        <f>AD301/AD319</f>
        <v>0.21428571428571427</v>
      </c>
      <c r="AF301" s="5">
        <f>33/$AF$1</f>
        <v>0.21428571428571427</v>
      </c>
      <c r="AH301">
        <v>30</v>
      </c>
      <c r="AI301" s="5">
        <f>AH301/AH319</f>
        <v>0.25</v>
      </c>
      <c r="AJ301" s="5">
        <f>30/$AJ$1</f>
        <v>0.25</v>
      </c>
      <c r="AL301">
        <v>94</v>
      </c>
      <c r="AM301" s="5">
        <f>AL301/AL319</f>
        <v>0.25405405405405407</v>
      </c>
      <c r="AN301" s="5">
        <f>94/$AN$1</f>
        <v>0.25405405405405407</v>
      </c>
      <c r="AP301">
        <v>101</v>
      </c>
      <c r="AQ301" s="5">
        <f>AP301/AP319</f>
        <v>0.26719576719576721</v>
      </c>
      <c r="AR301" s="5">
        <f>101/$AR$1</f>
        <v>0.26719576719576721</v>
      </c>
      <c r="AT301">
        <v>57</v>
      </c>
      <c r="AU301" s="5">
        <f>AT301/AT319</f>
        <v>0.22619047619047619</v>
      </c>
      <c r="AV301" s="5">
        <f>57/$AV$1</f>
        <v>0.22619047619047619</v>
      </c>
      <c r="AX301">
        <v>60</v>
      </c>
      <c r="AY301" s="5">
        <f>AX301/AX319</f>
        <v>0.21978021978021978</v>
      </c>
      <c r="AZ301" s="5">
        <f>60/$AZ$1</f>
        <v>0.21978021978021978</v>
      </c>
      <c r="BA301" s="5"/>
      <c r="BB301">
        <v>46</v>
      </c>
      <c r="BC301" s="5">
        <f>BB301/BB319</f>
        <v>0.22660098522167488</v>
      </c>
      <c r="BD301" s="5">
        <f>46/$BD$1</f>
        <v>0.22660098522167488</v>
      </c>
      <c r="BF301">
        <v>56</v>
      </c>
      <c r="BG301" s="5">
        <f>BF301/BF319</f>
        <v>0.26046511627906976</v>
      </c>
      <c r="BH301" s="5">
        <f>56/$BH$1</f>
        <v>0.26046511627906976</v>
      </c>
      <c r="BJ301">
        <v>90</v>
      </c>
      <c r="BK301" s="5">
        <f>BJ301/BJ319</f>
        <v>0.29126213592233008</v>
      </c>
      <c r="BL301" s="5">
        <f>90/$BL$1</f>
        <v>0.29126213592233008</v>
      </c>
      <c r="BN301">
        <v>9</v>
      </c>
      <c r="BO301" s="5">
        <f>BN301/BN319</f>
        <v>0.19148936170212766</v>
      </c>
      <c r="BP301" s="5">
        <f>9/$BP$1</f>
        <v>0.19148936170212766</v>
      </c>
      <c r="BR301">
        <v>95</v>
      </c>
      <c r="BS301" s="5">
        <f>BR301/BR319</f>
        <v>0.30254777070063693</v>
      </c>
      <c r="BT301" s="5">
        <f>95/$BT$1</f>
        <v>0.30254777070063693</v>
      </c>
      <c r="BV301">
        <v>89</v>
      </c>
      <c r="BW301" s="5">
        <f>BV301/BV319</f>
        <v>0.22646310432569974</v>
      </c>
      <c r="BX301" s="5">
        <f>89/$BX$1</f>
        <v>0.22646310432569974</v>
      </c>
      <c r="BZ301">
        <v>59</v>
      </c>
      <c r="CA301" s="5">
        <f>BZ301/BZ319</f>
        <v>0.23983739837398374</v>
      </c>
      <c r="CB301" s="5">
        <f>59/$CB$1</f>
        <v>0.23983739837398374</v>
      </c>
      <c r="CD301">
        <v>33</v>
      </c>
      <c r="CE301" s="5">
        <f>CD301/CD319</f>
        <v>0.26829268292682928</v>
      </c>
      <c r="CF301" s="5">
        <f>33/$CF$1</f>
        <v>0.26829268292682928</v>
      </c>
      <c r="CH301">
        <v>172</v>
      </c>
      <c r="CI301" s="5">
        <f>CH301/CH319</f>
        <v>0.25</v>
      </c>
      <c r="CJ301" s="5">
        <f>172/$CJ$1</f>
        <v>0.25</v>
      </c>
      <c r="CL301">
        <v>187</v>
      </c>
      <c r="CM301" s="5">
        <f>CL301/CL319</f>
        <v>0.24670184696569922</v>
      </c>
      <c r="CN301" s="5">
        <f>187/$CN$1</f>
        <v>0.24670184696569922</v>
      </c>
      <c r="CP301">
        <v>65</v>
      </c>
      <c r="CQ301" s="5">
        <f>CP301/CP319</f>
        <v>0.26859504132231404</v>
      </c>
      <c r="CR301" s="5">
        <f>65/$CR$1</f>
        <v>0.26859504132231404</v>
      </c>
      <c r="CT301">
        <v>63</v>
      </c>
      <c r="CU301" s="5">
        <f>CT301/CT319</f>
        <v>0.1891891891891892</v>
      </c>
      <c r="CV301" s="5">
        <f>63/$CV$1</f>
        <v>0.1891891891891892</v>
      </c>
      <c r="CX301">
        <v>189</v>
      </c>
      <c r="CY301" s="5">
        <f>CX301/CX319</f>
        <v>0.28335832083958024</v>
      </c>
      <c r="CZ301" s="5">
        <f>189/$CZ$1</f>
        <v>0.28335832083958024</v>
      </c>
    </row>
    <row r="302" spans="1:104" x14ac:dyDescent="0.25">
      <c r="A302" s="1" t="s">
        <v>2936</v>
      </c>
      <c r="B302">
        <v>196</v>
      </c>
      <c r="C302" s="5">
        <f>B302/B319</f>
        <v>0.19600000000000001</v>
      </c>
      <c r="D302" s="5">
        <f>196/$D$1</f>
        <v>0.19600000000000001</v>
      </c>
      <c r="F302">
        <v>94</v>
      </c>
      <c r="G302" s="5">
        <f>F302/F319</f>
        <v>0.18762475049900199</v>
      </c>
      <c r="H302" s="5">
        <f>94/$H$1</f>
        <v>0.18762475049900199</v>
      </c>
      <c r="J302">
        <v>102</v>
      </c>
      <c r="K302" s="5">
        <f>J302/J319</f>
        <v>0.20440881763527055</v>
      </c>
      <c r="L302" s="5">
        <f>102/$L$1</f>
        <v>0.20440881763527055</v>
      </c>
      <c r="N302">
        <v>25</v>
      </c>
      <c r="O302" s="5">
        <f>N302/N319</f>
        <v>0.25773195876288657</v>
      </c>
      <c r="P302" s="5">
        <f>25/$P$1</f>
        <v>0.25773195876288657</v>
      </c>
      <c r="R302">
        <v>32</v>
      </c>
      <c r="S302" s="5">
        <f>R302/R319</f>
        <v>0.16161616161616163</v>
      </c>
      <c r="T302" s="5">
        <f>32/$T$1</f>
        <v>0.16161616161616163</v>
      </c>
      <c r="V302">
        <v>39</v>
      </c>
      <c r="W302" s="5">
        <f>V302/V319</f>
        <v>0.16182572614107885</v>
      </c>
      <c r="X302" s="5">
        <f>39/$X$1</f>
        <v>0.16182572614107885</v>
      </c>
      <c r="Z302">
        <v>40</v>
      </c>
      <c r="AA302" s="5">
        <f>Z302/Z319</f>
        <v>0.20202020202020202</v>
      </c>
      <c r="AB302" s="5">
        <f>40/$AB$1</f>
        <v>0.20202020202020202</v>
      </c>
      <c r="AD302">
        <v>36</v>
      </c>
      <c r="AE302" s="5">
        <f>AD302/AD319</f>
        <v>0.23376623376623376</v>
      </c>
      <c r="AF302" s="5">
        <f>36/$AF$1</f>
        <v>0.23376623376623376</v>
      </c>
      <c r="AH302">
        <v>25</v>
      </c>
      <c r="AI302" s="5">
        <f>AH302/AH319</f>
        <v>0.20833333333333334</v>
      </c>
      <c r="AJ302" s="5">
        <f>25/$AJ$1</f>
        <v>0.20833333333333334</v>
      </c>
      <c r="AL302">
        <v>82</v>
      </c>
      <c r="AM302" s="5">
        <f>AL302/AL319</f>
        <v>0.22162162162162163</v>
      </c>
      <c r="AN302" s="5">
        <f>82/$AN$1</f>
        <v>0.22162162162162163</v>
      </c>
      <c r="AP302">
        <v>75</v>
      </c>
      <c r="AQ302" s="5">
        <f>AP302/AP319</f>
        <v>0.1984126984126984</v>
      </c>
      <c r="AR302" s="5">
        <f>75/$AR$1</f>
        <v>0.1984126984126984</v>
      </c>
      <c r="AT302">
        <v>39</v>
      </c>
      <c r="AU302" s="5">
        <f>AT302/AT319</f>
        <v>0.15476190476190477</v>
      </c>
      <c r="AV302" s="5">
        <f>39/$AV$1</f>
        <v>0.15476190476190477</v>
      </c>
      <c r="AX302">
        <v>54</v>
      </c>
      <c r="AY302" s="5">
        <f>AX302/AX319</f>
        <v>0.19780219780219779</v>
      </c>
      <c r="AZ302" s="5">
        <f>54/$AZ$1</f>
        <v>0.19780219780219779</v>
      </c>
      <c r="BA302" s="5"/>
      <c r="BB302">
        <v>45</v>
      </c>
      <c r="BC302" s="5">
        <f>BB302/BB319</f>
        <v>0.22167487684729065</v>
      </c>
      <c r="BD302" s="5">
        <f>45/$BD$1</f>
        <v>0.22167487684729065</v>
      </c>
      <c r="BF302">
        <v>31</v>
      </c>
      <c r="BG302" s="5">
        <f>BF302/BF319</f>
        <v>0.14418604651162792</v>
      </c>
      <c r="BH302" s="5">
        <f>31/$BH$1</f>
        <v>0.14418604651162792</v>
      </c>
      <c r="BJ302">
        <v>66</v>
      </c>
      <c r="BK302" s="5">
        <f>BJ302/BJ319</f>
        <v>0.21359223300970873</v>
      </c>
      <c r="BL302" s="5">
        <f>66/$BL$1</f>
        <v>0.21359223300970873</v>
      </c>
      <c r="BN302">
        <v>12</v>
      </c>
      <c r="BO302" s="5">
        <f>BN302/BN319</f>
        <v>0.25531914893617019</v>
      </c>
      <c r="BP302" s="5">
        <f>12/$BP$1</f>
        <v>0.25531914893617019</v>
      </c>
      <c r="BR302">
        <v>64</v>
      </c>
      <c r="BS302" s="5">
        <f>BR302/BR319</f>
        <v>0.20382165605095542</v>
      </c>
      <c r="BT302" s="5">
        <f>64/$BT$1</f>
        <v>0.20382165605095542</v>
      </c>
      <c r="BV302">
        <v>76</v>
      </c>
      <c r="BW302" s="5">
        <f>BV302/BV319</f>
        <v>0.19338422391857507</v>
      </c>
      <c r="BX302" s="5">
        <f>76/$BX$1</f>
        <v>0.19338422391857507</v>
      </c>
      <c r="BZ302">
        <v>44</v>
      </c>
      <c r="CA302" s="5">
        <f>BZ302/BZ319</f>
        <v>0.17886178861788618</v>
      </c>
      <c r="CB302" s="5">
        <f>44/$CB$1</f>
        <v>0.17886178861788618</v>
      </c>
      <c r="CD302">
        <v>20</v>
      </c>
      <c r="CE302" s="5">
        <f>CD302/CD319</f>
        <v>0.16260162601626016</v>
      </c>
      <c r="CF302" s="5">
        <f>20/$CF$1</f>
        <v>0.16260162601626016</v>
      </c>
      <c r="CH302">
        <v>149</v>
      </c>
      <c r="CI302" s="5">
        <f>CH302/CH319</f>
        <v>0.21656976744186046</v>
      </c>
      <c r="CJ302" s="5">
        <f>149/$CJ$1</f>
        <v>0.21656976744186046</v>
      </c>
      <c r="CL302">
        <v>167</v>
      </c>
      <c r="CM302" s="5">
        <f>CL302/CL319</f>
        <v>0.22031662269129287</v>
      </c>
      <c r="CN302" s="5">
        <f>167/$CN$1</f>
        <v>0.22031662269129287</v>
      </c>
      <c r="CP302">
        <v>29</v>
      </c>
      <c r="CQ302" s="5">
        <f>CP302/CP319</f>
        <v>0.11983471074380166</v>
      </c>
      <c r="CR302" s="5">
        <f>29/$CR$1</f>
        <v>0.11983471074380166</v>
      </c>
      <c r="CT302">
        <v>70</v>
      </c>
      <c r="CU302" s="5">
        <f>CT302/CT319</f>
        <v>0.21021021021021022</v>
      </c>
      <c r="CV302" s="5">
        <f>70/$CV$1</f>
        <v>0.21021021021021022</v>
      </c>
      <c r="CX302">
        <v>126</v>
      </c>
      <c r="CY302" s="5">
        <f>CX302/CX319</f>
        <v>0.18890554722638681</v>
      </c>
      <c r="CZ302" s="5">
        <f>126/$CZ$1</f>
        <v>0.18890554722638681</v>
      </c>
    </row>
    <row r="303" spans="1:104" x14ac:dyDescent="0.25">
      <c r="A303" s="1" t="s">
        <v>2937</v>
      </c>
      <c r="B303">
        <v>263</v>
      </c>
      <c r="C303" s="5">
        <f>B303/B319</f>
        <v>0.26300000000000001</v>
      </c>
      <c r="D303" s="5">
        <f>263/$D$1</f>
        <v>0.26300000000000001</v>
      </c>
      <c r="F303">
        <v>117</v>
      </c>
      <c r="G303" s="5">
        <f>F303/F319</f>
        <v>0.23353293413173654</v>
      </c>
      <c r="H303" s="5">
        <f>117/$H$1</f>
        <v>0.23353293413173654</v>
      </c>
      <c r="J303">
        <v>146</v>
      </c>
      <c r="K303" s="5">
        <f>J303/J319</f>
        <v>0.29258517034068138</v>
      </c>
      <c r="L303" s="5">
        <f>146/$L$1</f>
        <v>0.29258517034068138</v>
      </c>
      <c r="N303">
        <v>25</v>
      </c>
      <c r="O303" s="5">
        <f>N303/N319</f>
        <v>0.25773195876288657</v>
      </c>
      <c r="P303" s="5">
        <f>25/$P$1</f>
        <v>0.25773195876288657</v>
      </c>
      <c r="R303">
        <v>52</v>
      </c>
      <c r="S303" s="5">
        <f>R303/R319</f>
        <v>0.26262626262626265</v>
      </c>
      <c r="T303" s="5">
        <f>52/$T$1</f>
        <v>0.26262626262626265</v>
      </c>
      <c r="V303">
        <v>53</v>
      </c>
      <c r="W303" s="5">
        <f>V303/V319</f>
        <v>0.21991701244813278</v>
      </c>
      <c r="X303" s="5">
        <f>53/$X$1</f>
        <v>0.21991701244813278</v>
      </c>
      <c r="Z303">
        <v>49</v>
      </c>
      <c r="AA303" s="5">
        <f>Z303/Z319</f>
        <v>0.24747474747474749</v>
      </c>
      <c r="AB303" s="5">
        <f>49/$AB$1</f>
        <v>0.24747474747474749</v>
      </c>
      <c r="AD303">
        <v>43</v>
      </c>
      <c r="AE303" s="5">
        <f>AD303/AD319</f>
        <v>0.2792207792207792</v>
      </c>
      <c r="AF303" s="5">
        <f>43/$AF$1</f>
        <v>0.2792207792207792</v>
      </c>
      <c r="AH303">
        <v>43</v>
      </c>
      <c r="AI303" s="5">
        <f>AH303/AH319</f>
        <v>0.35833333333333334</v>
      </c>
      <c r="AJ303" s="5">
        <f>43/$AJ$1</f>
        <v>0.35833333333333334</v>
      </c>
      <c r="AL303">
        <v>104</v>
      </c>
      <c r="AM303" s="5">
        <f>AL303/AL319</f>
        <v>0.2810810810810811</v>
      </c>
      <c r="AN303" s="5">
        <f>104/$AN$1</f>
        <v>0.2810810810810811</v>
      </c>
      <c r="AP303">
        <v>95</v>
      </c>
      <c r="AQ303" s="5">
        <f>AP303/AP319</f>
        <v>0.25132275132275134</v>
      </c>
      <c r="AR303" s="5">
        <f>95/$AR$1</f>
        <v>0.25132275132275134</v>
      </c>
      <c r="AT303">
        <v>64</v>
      </c>
      <c r="AU303" s="5">
        <f>AT303/AT319</f>
        <v>0.25396825396825395</v>
      </c>
      <c r="AV303" s="5">
        <f>64/$AV$1</f>
        <v>0.25396825396825395</v>
      </c>
      <c r="AX303">
        <v>79</v>
      </c>
      <c r="AY303" s="5">
        <f>AX303/AX319</f>
        <v>0.2893772893772894</v>
      </c>
      <c r="AZ303" s="5">
        <f>79/$AZ$1</f>
        <v>0.2893772893772894</v>
      </c>
      <c r="BA303" s="5"/>
      <c r="BB303">
        <v>49</v>
      </c>
      <c r="BC303" s="5">
        <f>BB303/BB319</f>
        <v>0.2413793103448276</v>
      </c>
      <c r="BD303" s="5">
        <f>49/$BD$1</f>
        <v>0.2413793103448276</v>
      </c>
      <c r="BF303">
        <v>64</v>
      </c>
      <c r="BG303" s="5">
        <f>BF303/BF319</f>
        <v>0.29767441860465116</v>
      </c>
      <c r="BH303" s="5">
        <f>64/$BH$1</f>
        <v>0.29767441860465116</v>
      </c>
      <c r="BJ303">
        <v>71</v>
      </c>
      <c r="BK303" s="5">
        <f>BJ303/BJ319</f>
        <v>0.22977346278317151</v>
      </c>
      <c r="BL303" s="5">
        <f>71/$BL$1</f>
        <v>0.22977346278317151</v>
      </c>
      <c r="BN303">
        <v>13</v>
      </c>
      <c r="BO303" s="5">
        <f>BN303/BN319</f>
        <v>0.27659574468085107</v>
      </c>
      <c r="BP303" s="5">
        <f>13/$BP$1</f>
        <v>0.27659574468085107</v>
      </c>
      <c r="BR303">
        <v>101</v>
      </c>
      <c r="BS303" s="5">
        <f>BR303/BR319</f>
        <v>0.321656050955414</v>
      </c>
      <c r="BT303" s="5">
        <f>101/$BT$1</f>
        <v>0.321656050955414</v>
      </c>
      <c r="BV303">
        <v>104</v>
      </c>
      <c r="BW303" s="5">
        <f>BV303/BV319</f>
        <v>0.26463104325699743</v>
      </c>
      <c r="BX303" s="5">
        <f>104/$BX$1</f>
        <v>0.26463104325699743</v>
      </c>
      <c r="BZ303">
        <v>45</v>
      </c>
      <c r="CA303" s="5">
        <f>BZ303/BZ319</f>
        <v>0.18292682926829268</v>
      </c>
      <c r="CB303" s="5">
        <f>45/$CB$1</f>
        <v>0.18292682926829268</v>
      </c>
      <c r="CD303">
        <v>28</v>
      </c>
      <c r="CE303" s="5">
        <f>CD303/CD319</f>
        <v>0.22764227642276422</v>
      </c>
      <c r="CF303" s="5">
        <f>28/$CF$1</f>
        <v>0.22764227642276422</v>
      </c>
      <c r="CH303">
        <v>185</v>
      </c>
      <c r="CI303" s="5">
        <f>CH303/CH319</f>
        <v>0.26889534883720928</v>
      </c>
      <c r="CJ303" s="5">
        <f>185/$CJ$1</f>
        <v>0.26889534883720928</v>
      </c>
      <c r="CL303">
        <v>218</v>
      </c>
      <c r="CM303" s="5">
        <f>CL303/CL319</f>
        <v>0.28759894459102903</v>
      </c>
      <c r="CN303" s="5">
        <f>218/$CN$1</f>
        <v>0.28759894459102903</v>
      </c>
      <c r="CP303">
        <v>45</v>
      </c>
      <c r="CQ303" s="5">
        <f>CP303/CP319</f>
        <v>0.18595041322314049</v>
      </c>
      <c r="CR303" s="5">
        <f>45/$CR$1</f>
        <v>0.18595041322314049</v>
      </c>
      <c r="CT303">
        <v>74</v>
      </c>
      <c r="CU303" s="5">
        <f>CT303/CT319</f>
        <v>0.22222222222222221</v>
      </c>
      <c r="CV303" s="5">
        <f>74/$CV$1</f>
        <v>0.22222222222222221</v>
      </c>
      <c r="CX303">
        <v>189</v>
      </c>
      <c r="CY303" s="5">
        <f>CX303/CX319</f>
        <v>0.28335832083958024</v>
      </c>
      <c r="CZ303" s="5">
        <f>189/$CZ$1</f>
        <v>0.28335832083958024</v>
      </c>
    </row>
    <row r="304" spans="1:104" x14ac:dyDescent="0.25">
      <c r="A304" s="1" t="s">
        <v>2938</v>
      </c>
      <c r="B304">
        <v>189</v>
      </c>
      <c r="C304" s="5">
        <f>B304/B319</f>
        <v>0.189</v>
      </c>
      <c r="D304" s="5">
        <f>189/$D$1</f>
        <v>0.189</v>
      </c>
      <c r="F304">
        <v>87</v>
      </c>
      <c r="G304" s="5">
        <f>F304/F319</f>
        <v>0.17365269461077845</v>
      </c>
      <c r="H304" s="5">
        <f>87/$H$1</f>
        <v>0.17365269461077845</v>
      </c>
      <c r="J304">
        <v>102</v>
      </c>
      <c r="K304" s="5">
        <f>J304/J319</f>
        <v>0.20440881763527055</v>
      </c>
      <c r="L304" s="5">
        <f>102/$L$1</f>
        <v>0.20440881763527055</v>
      </c>
      <c r="N304">
        <v>14</v>
      </c>
      <c r="O304" s="5">
        <f>N304/N319</f>
        <v>0.14432989690721648</v>
      </c>
      <c r="P304" s="5">
        <f>14/$P$1</f>
        <v>0.14432989690721648</v>
      </c>
      <c r="R304">
        <v>43</v>
      </c>
      <c r="S304" s="5">
        <f>R304/R319</f>
        <v>0.21717171717171718</v>
      </c>
      <c r="T304" s="5">
        <f>43/$T$1</f>
        <v>0.21717171717171718</v>
      </c>
      <c r="V304">
        <v>45</v>
      </c>
      <c r="W304" s="5">
        <f>V304/V319</f>
        <v>0.18672199170124482</v>
      </c>
      <c r="X304" s="5">
        <f>45/$X$1</f>
        <v>0.18672199170124482</v>
      </c>
      <c r="Z304">
        <v>41</v>
      </c>
      <c r="AA304" s="5">
        <f>Z304/Z319</f>
        <v>0.20707070707070707</v>
      </c>
      <c r="AB304" s="5">
        <f>41/$AB$1</f>
        <v>0.20707070707070707</v>
      </c>
      <c r="AD304">
        <v>27</v>
      </c>
      <c r="AE304" s="5">
        <f>AD304/AD319</f>
        <v>0.17532467532467533</v>
      </c>
      <c r="AF304" s="5">
        <f>27/$AF$1</f>
        <v>0.17532467532467533</v>
      </c>
      <c r="AH304">
        <v>20</v>
      </c>
      <c r="AI304" s="5">
        <f>AH304/AH319</f>
        <v>0.16666666666666666</v>
      </c>
      <c r="AJ304" s="5">
        <f>20/$AJ$1</f>
        <v>0.16666666666666666</v>
      </c>
      <c r="AL304">
        <v>69</v>
      </c>
      <c r="AM304" s="5">
        <f>AL304/AL319</f>
        <v>0.1864864864864865</v>
      </c>
      <c r="AN304" s="5">
        <f>69/$AN$1</f>
        <v>0.1864864864864865</v>
      </c>
      <c r="AP304">
        <v>77</v>
      </c>
      <c r="AQ304" s="5">
        <f>AP304/AP319</f>
        <v>0.20370370370370369</v>
      </c>
      <c r="AR304" s="5">
        <f>77/$AR$1</f>
        <v>0.20370370370370369</v>
      </c>
      <c r="AT304">
        <v>43</v>
      </c>
      <c r="AU304" s="5">
        <f>AT304/AT319</f>
        <v>0.17063492063492064</v>
      </c>
      <c r="AV304" s="5">
        <f>43/$AV$1</f>
        <v>0.17063492063492064</v>
      </c>
      <c r="AX304">
        <v>57</v>
      </c>
      <c r="AY304" s="5">
        <f>AX304/AX319</f>
        <v>0.2087912087912088</v>
      </c>
      <c r="AZ304" s="5">
        <f>57/$AZ$1</f>
        <v>0.2087912087912088</v>
      </c>
      <c r="BA304" s="5"/>
      <c r="BB304">
        <v>35</v>
      </c>
      <c r="BC304" s="5">
        <f>BB304/BB319</f>
        <v>0.17241379310344829</v>
      </c>
      <c r="BD304" s="5">
        <f>35/$BD$1</f>
        <v>0.17241379310344829</v>
      </c>
      <c r="BF304">
        <v>42</v>
      </c>
      <c r="BG304" s="5">
        <f>BF304/BF319</f>
        <v>0.19534883720930232</v>
      </c>
      <c r="BH304" s="5">
        <f>42/$BH$1</f>
        <v>0.19534883720930232</v>
      </c>
      <c r="BJ304">
        <v>55</v>
      </c>
      <c r="BK304" s="5">
        <f>BJ304/BJ319</f>
        <v>0.17799352750809061</v>
      </c>
      <c r="BL304" s="5">
        <f>55/$BL$1</f>
        <v>0.17799352750809061</v>
      </c>
      <c r="BN304">
        <v>8</v>
      </c>
      <c r="BO304" s="5">
        <f>BN304/BN319</f>
        <v>0.1702127659574468</v>
      </c>
      <c r="BP304" s="5">
        <f>8/$BP$1</f>
        <v>0.1702127659574468</v>
      </c>
      <c r="BR304">
        <v>79</v>
      </c>
      <c r="BS304" s="5">
        <f>BR304/BR319</f>
        <v>0.25159235668789809</v>
      </c>
      <c r="BT304" s="5">
        <f>79/$BT$1</f>
        <v>0.25159235668789809</v>
      </c>
      <c r="BV304">
        <v>63</v>
      </c>
      <c r="BW304" s="5">
        <f>BV304/BV319</f>
        <v>0.16030534351145037</v>
      </c>
      <c r="BX304" s="5">
        <f>63/$BX$1</f>
        <v>0.16030534351145037</v>
      </c>
      <c r="BZ304">
        <v>39</v>
      </c>
      <c r="CA304" s="5">
        <f>BZ304/BZ319</f>
        <v>0.15853658536585366</v>
      </c>
      <c r="CB304" s="5">
        <f>39/$CB$1</f>
        <v>0.15853658536585366</v>
      </c>
      <c r="CD304">
        <v>26</v>
      </c>
      <c r="CE304" s="5">
        <f>CD304/CD319</f>
        <v>0.21138211382113822</v>
      </c>
      <c r="CF304" s="5">
        <f>26/$CF$1</f>
        <v>0.21138211382113822</v>
      </c>
      <c r="CH304">
        <v>135</v>
      </c>
      <c r="CI304" s="5">
        <f>CH304/CH319</f>
        <v>0.19622093023255813</v>
      </c>
      <c r="CJ304" s="5">
        <f>135/$CJ$1</f>
        <v>0.19622093023255813</v>
      </c>
      <c r="CL304">
        <v>161</v>
      </c>
      <c r="CM304" s="5">
        <f>CL304/CL319</f>
        <v>0.21240105540897097</v>
      </c>
      <c r="CN304" s="5">
        <f>161/$CN$1</f>
        <v>0.21240105540897097</v>
      </c>
      <c r="CP304">
        <v>28</v>
      </c>
      <c r="CQ304" s="5">
        <f>CP304/CP319</f>
        <v>0.11570247933884298</v>
      </c>
      <c r="CR304" s="5">
        <f>28/$CR$1</f>
        <v>0.11570247933884298</v>
      </c>
      <c r="CT304">
        <v>64</v>
      </c>
      <c r="CU304" s="5">
        <f>CT304/CT319</f>
        <v>0.19219219219219219</v>
      </c>
      <c r="CV304" s="5">
        <f>64/$CV$1</f>
        <v>0.19219219219219219</v>
      </c>
      <c r="CX304">
        <v>125</v>
      </c>
      <c r="CY304" s="5">
        <f>CX304/CX319</f>
        <v>0.1874062968515742</v>
      </c>
      <c r="CZ304" s="5">
        <f>125/$CZ$1</f>
        <v>0.1874062968515742</v>
      </c>
    </row>
    <row r="305" spans="1:104" x14ac:dyDescent="0.25">
      <c r="A305" s="1" t="s">
        <v>2939</v>
      </c>
      <c r="B305">
        <v>250</v>
      </c>
      <c r="C305" s="5">
        <f>B305/B319</f>
        <v>0.25</v>
      </c>
      <c r="D305" s="5">
        <f>250/$D$1</f>
        <v>0.25</v>
      </c>
      <c r="F305">
        <v>141</v>
      </c>
      <c r="G305" s="5">
        <f>F305/F319</f>
        <v>0.28143712574850299</v>
      </c>
      <c r="H305" s="5">
        <f>141/$H$1</f>
        <v>0.28143712574850299</v>
      </c>
      <c r="J305">
        <v>109</v>
      </c>
      <c r="K305" s="5">
        <f>J305/J319</f>
        <v>0.21843687374749499</v>
      </c>
      <c r="L305" s="5">
        <f>109/$L$1</f>
        <v>0.21843687374749499</v>
      </c>
      <c r="N305">
        <v>24</v>
      </c>
      <c r="O305" s="5">
        <f>N305/N319</f>
        <v>0.24742268041237114</v>
      </c>
      <c r="P305" s="5">
        <f>24/$P$1</f>
        <v>0.24742268041237114</v>
      </c>
      <c r="R305">
        <v>38</v>
      </c>
      <c r="S305" s="5">
        <f>R305/R319</f>
        <v>0.19191919191919191</v>
      </c>
      <c r="T305" s="5">
        <f>38/$T$1</f>
        <v>0.19191919191919191</v>
      </c>
      <c r="V305">
        <v>63</v>
      </c>
      <c r="W305" s="5">
        <f>V305/V319</f>
        <v>0.26141078838174275</v>
      </c>
      <c r="X305" s="5">
        <f>63/$X$1</f>
        <v>0.26141078838174275</v>
      </c>
      <c r="Z305">
        <v>53</v>
      </c>
      <c r="AA305" s="5">
        <f>Z305/Z319</f>
        <v>0.26767676767676768</v>
      </c>
      <c r="AB305" s="5">
        <f>53/$AB$1</f>
        <v>0.26767676767676768</v>
      </c>
      <c r="AD305">
        <v>43</v>
      </c>
      <c r="AE305" s="5">
        <f>AD305/AD319</f>
        <v>0.2792207792207792</v>
      </c>
      <c r="AF305" s="5">
        <f>43/$AF$1</f>
        <v>0.2792207792207792</v>
      </c>
      <c r="AH305">
        <v>31</v>
      </c>
      <c r="AI305" s="5">
        <f>AH305/AH319</f>
        <v>0.25833333333333336</v>
      </c>
      <c r="AJ305" s="5">
        <f>31/$AJ$1</f>
        <v>0.25833333333333336</v>
      </c>
      <c r="AL305">
        <v>94</v>
      </c>
      <c r="AM305" s="5">
        <f>AL305/AL319</f>
        <v>0.25405405405405407</v>
      </c>
      <c r="AN305" s="5">
        <f>94/$AN$1</f>
        <v>0.25405405405405407</v>
      </c>
      <c r="AP305">
        <v>103</v>
      </c>
      <c r="AQ305" s="5">
        <f>AP305/AP319</f>
        <v>0.2724867724867725</v>
      </c>
      <c r="AR305" s="5">
        <f>103/$AR$1</f>
        <v>0.2724867724867725</v>
      </c>
      <c r="AT305">
        <v>53</v>
      </c>
      <c r="AU305" s="5">
        <f>AT305/AT319</f>
        <v>0.21031746031746032</v>
      </c>
      <c r="AV305" s="5">
        <f>53/$AV$1</f>
        <v>0.21031746031746032</v>
      </c>
      <c r="AX305">
        <v>70</v>
      </c>
      <c r="AY305" s="5">
        <f>AX305/AX319</f>
        <v>0.25641025641025639</v>
      </c>
      <c r="AZ305" s="5">
        <f>70/$AZ$1</f>
        <v>0.25641025641025639</v>
      </c>
      <c r="BA305" s="5"/>
      <c r="BB305">
        <v>43</v>
      </c>
      <c r="BC305" s="5">
        <f>BB305/BB319</f>
        <v>0.21182266009852216</v>
      </c>
      <c r="BD305" s="5">
        <f>43/$BD$1</f>
        <v>0.21182266009852216</v>
      </c>
      <c r="BF305">
        <v>48</v>
      </c>
      <c r="BG305" s="5">
        <f>BF305/BF319</f>
        <v>0.22325581395348837</v>
      </c>
      <c r="BH305" s="5">
        <f>48/$BH$1</f>
        <v>0.22325581395348837</v>
      </c>
      <c r="BJ305">
        <v>89</v>
      </c>
      <c r="BK305" s="5">
        <f>BJ305/BJ319</f>
        <v>0.28802588996763756</v>
      </c>
      <c r="BL305" s="5">
        <f>89/$BL$1</f>
        <v>0.28802588996763756</v>
      </c>
      <c r="BN305">
        <v>15</v>
      </c>
      <c r="BO305" s="5">
        <f>BN305/BN319</f>
        <v>0.31914893617021278</v>
      </c>
      <c r="BP305" s="5">
        <f>15/$BP$1</f>
        <v>0.31914893617021278</v>
      </c>
      <c r="BR305">
        <v>91</v>
      </c>
      <c r="BS305" s="5">
        <f>BR305/BR319</f>
        <v>0.28980891719745222</v>
      </c>
      <c r="BT305" s="5">
        <f>91/$BT$1</f>
        <v>0.28980891719745222</v>
      </c>
      <c r="BV305">
        <v>95</v>
      </c>
      <c r="BW305" s="5">
        <f>BV305/BV319</f>
        <v>0.24173027989821882</v>
      </c>
      <c r="BX305" s="5">
        <f>95/$BX$1</f>
        <v>0.24173027989821882</v>
      </c>
      <c r="BZ305">
        <v>49</v>
      </c>
      <c r="CA305" s="5">
        <f>BZ305/BZ319</f>
        <v>0.1991869918699187</v>
      </c>
      <c r="CB305" s="5">
        <f>49/$CB$1</f>
        <v>0.1991869918699187</v>
      </c>
      <c r="CD305">
        <v>28</v>
      </c>
      <c r="CE305" s="5">
        <f>CD305/CD319</f>
        <v>0.22764227642276422</v>
      </c>
      <c r="CF305" s="5">
        <f>28/$CF$1</f>
        <v>0.22764227642276422</v>
      </c>
      <c r="CH305">
        <v>187</v>
      </c>
      <c r="CI305" s="5">
        <f>CH305/CH319</f>
        <v>0.27180232558139533</v>
      </c>
      <c r="CJ305" s="5">
        <f>187/$CJ$1</f>
        <v>0.27180232558139533</v>
      </c>
      <c r="CL305">
        <v>203</v>
      </c>
      <c r="CM305" s="5">
        <f>CL305/CL319</f>
        <v>0.26781002638522428</v>
      </c>
      <c r="CN305" s="5">
        <f>203/$CN$1</f>
        <v>0.26781002638522428</v>
      </c>
      <c r="CP305">
        <v>47</v>
      </c>
      <c r="CQ305" s="5">
        <f>CP305/CP319</f>
        <v>0.19421487603305784</v>
      </c>
      <c r="CR305" s="5">
        <f>47/$CR$1</f>
        <v>0.19421487603305784</v>
      </c>
      <c r="CT305">
        <v>65</v>
      </c>
      <c r="CU305" s="5">
        <f>CT305/CT319</f>
        <v>0.19519519519519518</v>
      </c>
      <c r="CV305" s="5">
        <f>65/$CV$1</f>
        <v>0.19519519519519518</v>
      </c>
      <c r="CX305">
        <v>185</v>
      </c>
      <c r="CY305" s="5">
        <f>CX305/CX319</f>
        <v>0.27736131934032981</v>
      </c>
      <c r="CZ305" s="5">
        <f>185/$CZ$1</f>
        <v>0.27736131934032981</v>
      </c>
    </row>
    <row r="306" spans="1:104" x14ac:dyDescent="0.25">
      <c r="A306" s="1" t="s">
        <v>2940</v>
      </c>
      <c r="B306">
        <v>111</v>
      </c>
      <c r="C306" s="5">
        <f>B306/B319</f>
        <v>0.111</v>
      </c>
      <c r="D306" s="5">
        <f>111/$D$1</f>
        <v>0.111</v>
      </c>
      <c r="F306">
        <v>54</v>
      </c>
      <c r="G306" s="5">
        <f>F306/F319</f>
        <v>0.10778443113772455</v>
      </c>
      <c r="H306" s="5">
        <f>54/$H$1</f>
        <v>0.10778443113772455</v>
      </c>
      <c r="J306">
        <v>57</v>
      </c>
      <c r="K306" s="5">
        <f>J306/J319</f>
        <v>0.11422845691382766</v>
      </c>
      <c r="L306" s="5">
        <f>57/$L$1</f>
        <v>0.11422845691382766</v>
      </c>
      <c r="N306">
        <v>11</v>
      </c>
      <c r="O306" s="5">
        <f>N306/N319</f>
        <v>0.1134020618556701</v>
      </c>
      <c r="P306" s="5">
        <f>11/$P$1</f>
        <v>0.1134020618556701</v>
      </c>
      <c r="R306">
        <v>27</v>
      </c>
      <c r="S306" s="5">
        <f>R306/R319</f>
        <v>0.13636363636363635</v>
      </c>
      <c r="T306" s="5">
        <f>27/$T$1</f>
        <v>0.13636363636363635</v>
      </c>
      <c r="V306">
        <v>29</v>
      </c>
      <c r="W306" s="5">
        <f>V306/V319</f>
        <v>0.12033195020746888</v>
      </c>
      <c r="X306" s="5">
        <f>29/$X$1</f>
        <v>0.12033195020746888</v>
      </c>
      <c r="Z306">
        <v>14</v>
      </c>
      <c r="AA306" s="5">
        <f>Z306/Z319</f>
        <v>7.0707070707070704E-2</v>
      </c>
      <c r="AB306" s="5">
        <f>14/$AB$1</f>
        <v>7.0707070707070704E-2</v>
      </c>
      <c r="AD306">
        <v>19</v>
      </c>
      <c r="AE306" s="5">
        <f>AD306/AD319</f>
        <v>0.12337662337662338</v>
      </c>
      <c r="AF306" s="5">
        <f>19/$AF$1</f>
        <v>0.12337662337662338</v>
      </c>
      <c r="AH306">
        <v>11</v>
      </c>
      <c r="AI306" s="5">
        <f>AH306/AH319</f>
        <v>9.166666666666666E-2</v>
      </c>
      <c r="AJ306" s="5">
        <f>11/$AJ$1</f>
        <v>9.166666666666666E-2</v>
      </c>
      <c r="AL306">
        <v>39</v>
      </c>
      <c r="AM306" s="5">
        <f>AL306/AL319</f>
        <v>0.10540540540540541</v>
      </c>
      <c r="AN306" s="5">
        <f>39/$AN$1</f>
        <v>0.10540540540540541</v>
      </c>
      <c r="AP306">
        <v>38</v>
      </c>
      <c r="AQ306" s="5">
        <f>AP306/AP319</f>
        <v>0.10052910052910052</v>
      </c>
      <c r="AR306" s="5">
        <f>38/$AR$1</f>
        <v>0.10052910052910052</v>
      </c>
      <c r="AT306">
        <v>34</v>
      </c>
      <c r="AU306" s="5">
        <f>AT306/AT319</f>
        <v>0.13492063492063491</v>
      </c>
      <c r="AV306" s="5">
        <f>34/$AV$1</f>
        <v>0.13492063492063491</v>
      </c>
      <c r="AX306">
        <v>23</v>
      </c>
      <c r="AY306" s="5">
        <f>AX306/AX319</f>
        <v>8.4249084249084255E-2</v>
      </c>
      <c r="AZ306" s="5">
        <f>23/$AZ$1</f>
        <v>8.4249084249084255E-2</v>
      </c>
      <c r="BA306" s="5"/>
      <c r="BB306">
        <v>29</v>
      </c>
      <c r="BC306" s="5">
        <f>BB306/BB319</f>
        <v>0.14285714285714285</v>
      </c>
      <c r="BD306" s="5">
        <f>29/$BD$1</f>
        <v>0.14285714285714285</v>
      </c>
      <c r="BF306">
        <v>19</v>
      </c>
      <c r="BG306" s="5">
        <f>BF306/BF319</f>
        <v>8.8372093023255813E-2</v>
      </c>
      <c r="BH306" s="5">
        <f>19/$BH$1</f>
        <v>8.8372093023255813E-2</v>
      </c>
      <c r="BJ306">
        <v>40</v>
      </c>
      <c r="BK306" s="5">
        <f>BJ306/BJ319</f>
        <v>0.12944983818770225</v>
      </c>
      <c r="BL306" s="5">
        <f>40/$BL$1</f>
        <v>0.12944983818770225</v>
      </c>
      <c r="BN306">
        <v>5</v>
      </c>
      <c r="BO306" s="5">
        <f>BN306/BN319</f>
        <v>0.10638297872340426</v>
      </c>
      <c r="BP306" s="5">
        <f>5/$BP$1</f>
        <v>0.10638297872340426</v>
      </c>
      <c r="BR306">
        <v>38</v>
      </c>
      <c r="BS306" s="5">
        <f>BR306/BR319</f>
        <v>0.12101910828025478</v>
      </c>
      <c r="BT306" s="5">
        <f>38/$BT$1</f>
        <v>0.12101910828025478</v>
      </c>
      <c r="BV306">
        <v>42</v>
      </c>
      <c r="BW306" s="5">
        <f>BV306/BV319</f>
        <v>0.10687022900763359</v>
      </c>
      <c r="BX306" s="5">
        <f>42/$BX$1</f>
        <v>0.10687022900763359</v>
      </c>
      <c r="BZ306">
        <v>26</v>
      </c>
      <c r="CA306" s="5">
        <f>BZ306/BZ319</f>
        <v>0.10569105691056911</v>
      </c>
      <c r="CB306" s="5">
        <f>26/$CB$1</f>
        <v>0.10569105691056911</v>
      </c>
      <c r="CD306">
        <v>15</v>
      </c>
      <c r="CE306" s="5">
        <f>CD306/CD319</f>
        <v>0.12195121951219512</v>
      </c>
      <c r="CF306" s="5">
        <f>15/$CF$1</f>
        <v>0.12195121951219512</v>
      </c>
      <c r="CH306">
        <v>81</v>
      </c>
      <c r="CI306" s="5">
        <f>CH306/CH319</f>
        <v>0.11773255813953488</v>
      </c>
      <c r="CJ306" s="5">
        <f>81/$CJ$1</f>
        <v>0.11773255813953488</v>
      </c>
      <c r="CL306">
        <v>93</v>
      </c>
      <c r="CM306" s="5">
        <f>CL306/CL319</f>
        <v>0.12269129287598944</v>
      </c>
      <c r="CN306" s="5">
        <f>93/$CN$1</f>
        <v>0.12269129287598944</v>
      </c>
      <c r="CP306">
        <v>18</v>
      </c>
      <c r="CQ306" s="5">
        <f>CP306/CP319</f>
        <v>7.43801652892562E-2</v>
      </c>
      <c r="CR306" s="5">
        <f>18/$CR$1</f>
        <v>7.43801652892562E-2</v>
      </c>
      <c r="CT306">
        <v>41</v>
      </c>
      <c r="CU306" s="5">
        <f>CT306/CT319</f>
        <v>0.12312312312312312</v>
      </c>
      <c r="CV306" s="5">
        <f>41/$CV$1</f>
        <v>0.12312312312312312</v>
      </c>
      <c r="CX306">
        <v>70</v>
      </c>
      <c r="CY306" s="5">
        <f>CX306/CX319</f>
        <v>0.10494752623688156</v>
      </c>
      <c r="CZ306" s="5">
        <f>70/$CZ$1</f>
        <v>0.10494752623688156</v>
      </c>
    </row>
    <row r="307" spans="1:104" x14ac:dyDescent="0.25">
      <c r="A307" s="1" t="s">
        <v>2941</v>
      </c>
      <c r="B307">
        <v>261</v>
      </c>
      <c r="C307" s="5">
        <f>B307/B319</f>
        <v>0.26100000000000001</v>
      </c>
      <c r="D307" s="5">
        <f>261/$D$1</f>
        <v>0.26100000000000001</v>
      </c>
      <c r="F307">
        <v>129</v>
      </c>
      <c r="G307" s="5">
        <f>F307/F319</f>
        <v>0.25748502994011974</v>
      </c>
      <c r="H307" s="5">
        <f>129/$H$1</f>
        <v>0.25748502994011974</v>
      </c>
      <c r="J307">
        <v>132</v>
      </c>
      <c r="K307" s="5">
        <f>J307/J319</f>
        <v>0.26452905811623245</v>
      </c>
      <c r="L307" s="5">
        <f>132/$L$1</f>
        <v>0.26452905811623245</v>
      </c>
      <c r="N307">
        <v>43</v>
      </c>
      <c r="O307" s="5">
        <f>N307/N319</f>
        <v>0.44329896907216493</v>
      </c>
      <c r="P307" s="5">
        <f>43/$P$1</f>
        <v>0.44329896907216493</v>
      </c>
      <c r="R307">
        <v>54</v>
      </c>
      <c r="S307" s="5">
        <f>R307/R319</f>
        <v>0.27272727272727271</v>
      </c>
      <c r="T307" s="5">
        <f>54/$T$1</f>
        <v>0.27272727272727271</v>
      </c>
      <c r="V307">
        <v>47</v>
      </c>
      <c r="W307" s="5">
        <f>V307/V319</f>
        <v>0.19502074688796681</v>
      </c>
      <c r="X307" s="5">
        <f>47/$X$1</f>
        <v>0.19502074688796681</v>
      </c>
      <c r="Z307">
        <v>39</v>
      </c>
      <c r="AA307" s="5">
        <f>Z307/Z319</f>
        <v>0.19696969696969696</v>
      </c>
      <c r="AB307" s="5">
        <f>39/$AB$1</f>
        <v>0.19696969696969696</v>
      </c>
      <c r="AD307">
        <v>41</v>
      </c>
      <c r="AE307" s="5">
        <f>AD307/AD319</f>
        <v>0.26623376623376621</v>
      </c>
      <c r="AF307" s="5">
        <f>41/$AF$1</f>
        <v>0.26623376623376621</v>
      </c>
      <c r="AH307">
        <v>38</v>
      </c>
      <c r="AI307" s="5">
        <f>AH307/AH319</f>
        <v>0.31666666666666665</v>
      </c>
      <c r="AJ307" s="5">
        <f>38/$AJ$1</f>
        <v>0.31666666666666665</v>
      </c>
      <c r="AL307">
        <v>102</v>
      </c>
      <c r="AM307" s="5">
        <f>AL307/AL319</f>
        <v>0.27567567567567569</v>
      </c>
      <c r="AN307" s="5">
        <f>102/$AN$1</f>
        <v>0.27567567567567569</v>
      </c>
      <c r="AP307">
        <v>103</v>
      </c>
      <c r="AQ307" s="5">
        <f>AP307/AP319</f>
        <v>0.2724867724867725</v>
      </c>
      <c r="AR307" s="5">
        <f>103/$AR$1</f>
        <v>0.2724867724867725</v>
      </c>
      <c r="AT307">
        <v>56</v>
      </c>
      <c r="AU307" s="5">
        <f>AT307/AT319</f>
        <v>0.22222222222222221</v>
      </c>
      <c r="AV307" s="5">
        <f>56/$AV$1</f>
        <v>0.22222222222222221</v>
      </c>
      <c r="AX307">
        <v>64</v>
      </c>
      <c r="AY307" s="5">
        <f>AX307/AX319</f>
        <v>0.23443223443223443</v>
      </c>
      <c r="AZ307" s="5">
        <f>64/$AZ$1</f>
        <v>0.23443223443223443</v>
      </c>
      <c r="BA307" s="5"/>
      <c r="BB307">
        <v>53</v>
      </c>
      <c r="BC307" s="5">
        <f>BB307/BB319</f>
        <v>0.26108374384236455</v>
      </c>
      <c r="BD307" s="5">
        <f>53/$BD$1</f>
        <v>0.26108374384236455</v>
      </c>
      <c r="BF307">
        <v>57</v>
      </c>
      <c r="BG307" s="5">
        <f>BF307/BF319</f>
        <v>0.26511627906976742</v>
      </c>
      <c r="BH307" s="5">
        <f>57/$BH$1</f>
        <v>0.26511627906976742</v>
      </c>
      <c r="BJ307">
        <v>87</v>
      </c>
      <c r="BK307" s="5">
        <f>BJ307/BJ319</f>
        <v>0.28155339805825241</v>
      </c>
      <c r="BL307" s="5">
        <f>87/$BL$1</f>
        <v>0.28155339805825241</v>
      </c>
      <c r="BN307">
        <v>15</v>
      </c>
      <c r="BO307" s="5">
        <f>BN307/BN319</f>
        <v>0.31914893617021278</v>
      </c>
      <c r="BP307" s="5">
        <f>15/$BP$1</f>
        <v>0.31914893617021278</v>
      </c>
      <c r="BR307">
        <v>85</v>
      </c>
      <c r="BS307" s="5">
        <f>BR307/BR319</f>
        <v>0.27070063694267515</v>
      </c>
      <c r="BT307" s="5">
        <f>85/$BT$1</f>
        <v>0.27070063694267515</v>
      </c>
      <c r="BV307">
        <v>104</v>
      </c>
      <c r="BW307" s="5">
        <f>BV307/BV319</f>
        <v>0.26463104325699743</v>
      </c>
      <c r="BX307" s="5">
        <f>104/$BX$1</f>
        <v>0.26463104325699743</v>
      </c>
      <c r="BZ307">
        <v>57</v>
      </c>
      <c r="CA307" s="5">
        <f>BZ307/BZ319</f>
        <v>0.23170731707317074</v>
      </c>
      <c r="CB307" s="5">
        <f>57/$CB$1</f>
        <v>0.23170731707317074</v>
      </c>
      <c r="CD307">
        <v>29</v>
      </c>
      <c r="CE307" s="5">
        <f>CD307/CD319</f>
        <v>0.23577235772357724</v>
      </c>
      <c r="CF307" s="5">
        <f>29/$CF$1</f>
        <v>0.23577235772357724</v>
      </c>
      <c r="CH307">
        <v>178</v>
      </c>
      <c r="CI307" s="5">
        <f>CH307/CH319</f>
        <v>0.25872093023255816</v>
      </c>
      <c r="CJ307" s="5">
        <f>178/$CJ$1</f>
        <v>0.25872093023255816</v>
      </c>
      <c r="CL307">
        <v>202</v>
      </c>
      <c r="CM307" s="5">
        <f>CL307/CL319</f>
        <v>0.26649076517150394</v>
      </c>
      <c r="CN307" s="5">
        <f>202/$CN$1</f>
        <v>0.26649076517150394</v>
      </c>
      <c r="CP307">
        <v>59</v>
      </c>
      <c r="CQ307" s="5">
        <f>CP307/CP319</f>
        <v>0.24380165289256198</v>
      </c>
      <c r="CR307" s="5">
        <f>59/$CR$1</f>
        <v>0.24380165289256198</v>
      </c>
      <c r="CT307">
        <v>77</v>
      </c>
      <c r="CU307" s="5">
        <f>CT307/CT319</f>
        <v>0.23123123123123124</v>
      </c>
      <c r="CV307" s="5">
        <f>77/$CV$1</f>
        <v>0.23123123123123124</v>
      </c>
      <c r="CX307">
        <v>184</v>
      </c>
      <c r="CY307" s="5">
        <f>CX307/CX319</f>
        <v>0.27586206896551724</v>
      </c>
      <c r="CZ307" s="5">
        <f>184/$CZ$1</f>
        <v>0.27586206896551724</v>
      </c>
    </row>
    <row r="309" spans="1:104" x14ac:dyDescent="0.25">
      <c r="A309" s="1" t="s">
        <v>2942</v>
      </c>
      <c r="B309">
        <v>21</v>
      </c>
      <c r="C309" s="5">
        <f>B309/B319</f>
        <v>2.1000000000000001E-2</v>
      </c>
      <c r="D309" s="5">
        <f>21/$D$1</f>
        <v>2.1000000000000001E-2</v>
      </c>
      <c r="F309">
        <v>13</v>
      </c>
      <c r="G309" s="5">
        <f>F309/F319</f>
        <v>2.5948103792415168E-2</v>
      </c>
      <c r="H309" s="5">
        <f>13/$H$1</f>
        <v>2.5948103792415168E-2</v>
      </c>
      <c r="J309">
        <v>8</v>
      </c>
      <c r="K309" s="5">
        <f>J309/J319</f>
        <v>1.6032064128256512E-2</v>
      </c>
      <c r="L309" s="5">
        <f>8/$L$1</f>
        <v>1.6032064128256512E-2</v>
      </c>
      <c r="N309">
        <v>2</v>
      </c>
      <c r="O309" s="5">
        <f>N309/N319</f>
        <v>2.0618556701030927E-2</v>
      </c>
      <c r="P309" s="5">
        <f>2/$P$1</f>
        <v>2.0618556701030927E-2</v>
      </c>
      <c r="R309">
        <v>3</v>
      </c>
      <c r="S309" s="5">
        <f>R309/R319</f>
        <v>1.5151515151515152E-2</v>
      </c>
      <c r="T309" s="5">
        <f>3/$T$1</f>
        <v>1.5151515151515152E-2</v>
      </c>
      <c r="V309">
        <v>8</v>
      </c>
      <c r="W309" s="5">
        <f>V309/V319</f>
        <v>3.3195020746887967E-2</v>
      </c>
      <c r="X309" s="5">
        <f>8/$X$1</f>
        <v>3.3195020746887967E-2</v>
      </c>
      <c r="Z309">
        <v>1</v>
      </c>
      <c r="AA309" s="5">
        <f>Z309/Z319</f>
        <v>5.0505050505050509E-3</v>
      </c>
      <c r="AB309" s="5">
        <f>1/$AB$1</f>
        <v>5.0505050505050509E-3</v>
      </c>
      <c r="AD309">
        <v>3</v>
      </c>
      <c r="AE309" s="5">
        <f>AD309/AD319</f>
        <v>1.948051948051948E-2</v>
      </c>
      <c r="AF309" s="5">
        <f>3/$AF$1</f>
        <v>1.948051948051948E-2</v>
      </c>
      <c r="AH309">
        <v>5</v>
      </c>
      <c r="AI309" s="5">
        <f>AH309/AH319</f>
        <v>4.1666666666666664E-2</v>
      </c>
      <c r="AJ309" s="5">
        <f>5/$AJ$1</f>
        <v>4.1666666666666664E-2</v>
      </c>
      <c r="AL309">
        <v>10</v>
      </c>
      <c r="AM309" s="5">
        <f>AL309/AL319</f>
        <v>2.7027027027027029E-2</v>
      </c>
      <c r="AN309" s="5">
        <f>10/$AN$1</f>
        <v>2.7027027027027029E-2</v>
      </c>
      <c r="AP309">
        <v>3</v>
      </c>
      <c r="AQ309" s="5">
        <f>AP309/AP319</f>
        <v>7.9365079365079361E-3</v>
      </c>
      <c r="AR309" s="5">
        <f>3/$AR$1</f>
        <v>7.9365079365079361E-3</v>
      </c>
      <c r="AT309">
        <v>8</v>
      </c>
      <c r="AU309" s="5">
        <f>AT309/AT319</f>
        <v>3.1746031746031744E-2</v>
      </c>
      <c r="AV309" s="5">
        <f>8/$AV$1</f>
        <v>3.1746031746031744E-2</v>
      </c>
      <c r="AX309">
        <v>3</v>
      </c>
      <c r="AY309" s="5">
        <f>AX309/AX319</f>
        <v>1.098901098901099E-2</v>
      </c>
      <c r="AZ309" s="5">
        <f>3/$AZ$1</f>
        <v>1.098901098901099E-2</v>
      </c>
      <c r="BA309" s="5"/>
      <c r="BB309">
        <v>3</v>
      </c>
      <c r="BC309" s="5">
        <f>BB309/BB319</f>
        <v>1.4778325123152709E-2</v>
      </c>
      <c r="BD309" s="5">
        <f>3/$BD$1</f>
        <v>1.4778325123152709E-2</v>
      </c>
      <c r="BF309">
        <v>8</v>
      </c>
      <c r="BG309" s="5">
        <f>BF309/BF319</f>
        <v>3.7209302325581395E-2</v>
      </c>
      <c r="BH309" s="5">
        <f>8/$BH$1</f>
        <v>3.7209302325581395E-2</v>
      </c>
      <c r="BJ309">
        <v>7</v>
      </c>
      <c r="BK309" s="5">
        <f>BJ309/BJ319</f>
        <v>2.2653721682847898E-2</v>
      </c>
      <c r="BL309" s="5">
        <f>7/$BL$1</f>
        <v>2.2653721682847898E-2</v>
      </c>
      <c r="BN309">
        <v>2</v>
      </c>
      <c r="BO309" s="5">
        <f>BN309/BN319</f>
        <v>4.2553191489361701E-2</v>
      </c>
      <c r="BP309" s="5">
        <f>2/$BP$1</f>
        <v>4.2553191489361701E-2</v>
      </c>
      <c r="BR309">
        <v>7</v>
      </c>
      <c r="BS309" s="5">
        <f>BR309/BR319</f>
        <v>2.2292993630573247E-2</v>
      </c>
      <c r="BT309" s="5">
        <f>7/$BT$1</f>
        <v>2.2292993630573247E-2</v>
      </c>
      <c r="BV309">
        <v>10</v>
      </c>
      <c r="BW309" s="5">
        <f>BV309/BV319</f>
        <v>2.5445292620865138E-2</v>
      </c>
      <c r="BX309" s="5">
        <f>10/$BX$1</f>
        <v>2.5445292620865138E-2</v>
      </c>
      <c r="BZ309">
        <v>2</v>
      </c>
      <c r="CA309" s="5">
        <f>BZ309/BZ319</f>
        <v>8.130081300813009E-3</v>
      </c>
      <c r="CB309" s="5">
        <f>2/$CB$1</f>
        <v>8.130081300813009E-3</v>
      </c>
      <c r="CD309">
        <v>4</v>
      </c>
      <c r="CE309" s="5">
        <f>CD309/CD319</f>
        <v>3.2520325203252036E-2</v>
      </c>
      <c r="CF309" s="5">
        <f>4/$CF$1</f>
        <v>3.2520325203252036E-2</v>
      </c>
      <c r="CH309">
        <v>9</v>
      </c>
      <c r="CI309" s="5">
        <f>CH309/CH319</f>
        <v>1.308139534883721E-2</v>
      </c>
      <c r="CJ309" s="5">
        <f>9/$CJ$1</f>
        <v>1.308139534883721E-2</v>
      </c>
      <c r="CL309">
        <v>10</v>
      </c>
      <c r="CM309" s="5">
        <f>CL309/CL319</f>
        <v>1.3192612137203167E-2</v>
      </c>
      <c r="CN309" s="5">
        <f>10/$CN$1</f>
        <v>1.3192612137203167E-2</v>
      </c>
      <c r="CP309">
        <v>11</v>
      </c>
      <c r="CQ309" s="5">
        <f>CP309/CP319</f>
        <v>4.5454545454545456E-2</v>
      </c>
      <c r="CR309" s="5">
        <f>11/$CR$1</f>
        <v>4.5454545454545456E-2</v>
      </c>
      <c r="CT309">
        <v>3</v>
      </c>
      <c r="CU309" s="5">
        <f>CT309/CT319</f>
        <v>9.0090090090090089E-3</v>
      </c>
      <c r="CV309" s="5">
        <f>3/$CV$1</f>
        <v>9.0090090090090089E-3</v>
      </c>
      <c r="CX309">
        <v>18</v>
      </c>
      <c r="CY309" s="5">
        <f>CX309/CX319</f>
        <v>2.6986506746626688E-2</v>
      </c>
      <c r="CZ309" s="5">
        <f>18/$CZ$1</f>
        <v>2.6986506746626688E-2</v>
      </c>
    </row>
    <row r="310" spans="1:104" x14ac:dyDescent="0.25">
      <c r="A310" s="1" t="s">
        <v>2943</v>
      </c>
      <c r="B310">
        <v>80</v>
      </c>
      <c r="C310" s="5">
        <f>B310/B319</f>
        <v>0.08</v>
      </c>
      <c r="D310" s="5">
        <f>80/$D$1</f>
        <v>0.08</v>
      </c>
      <c r="F310">
        <v>54</v>
      </c>
      <c r="G310" s="5">
        <f>F310/F319</f>
        <v>0.10778443113772455</v>
      </c>
      <c r="H310" s="5">
        <f>54/$H$1</f>
        <v>0.10778443113772455</v>
      </c>
      <c r="J310">
        <v>26</v>
      </c>
      <c r="K310" s="5">
        <f>J310/J319</f>
        <v>5.2104208416833664E-2</v>
      </c>
      <c r="L310" s="5">
        <f>26/$L$1</f>
        <v>5.2104208416833664E-2</v>
      </c>
      <c r="N310">
        <v>6</v>
      </c>
      <c r="O310" s="5">
        <f>N310/N319</f>
        <v>6.1855670103092786E-2</v>
      </c>
      <c r="P310" s="5">
        <f>6/$P$1</f>
        <v>6.1855670103092786E-2</v>
      </c>
      <c r="R310">
        <v>22</v>
      </c>
      <c r="S310" s="5">
        <f>R310/R319</f>
        <v>0.1111111111111111</v>
      </c>
      <c r="T310" s="5">
        <f>22/$T$1</f>
        <v>0.1111111111111111</v>
      </c>
      <c r="V310">
        <v>21</v>
      </c>
      <c r="W310" s="5">
        <f>V310/V319</f>
        <v>8.7136929460580909E-2</v>
      </c>
      <c r="X310" s="5">
        <f>21/$X$1</f>
        <v>8.7136929460580909E-2</v>
      </c>
      <c r="Z310">
        <v>10</v>
      </c>
      <c r="AA310" s="5">
        <f>Z310/Z319</f>
        <v>5.0505050505050504E-2</v>
      </c>
      <c r="AB310" s="5">
        <f>10/$AB$1</f>
        <v>5.0505050505050504E-2</v>
      </c>
      <c r="AD310">
        <v>14</v>
      </c>
      <c r="AE310" s="5">
        <f>AD310/AD319</f>
        <v>9.0909090909090912E-2</v>
      </c>
      <c r="AF310" s="5">
        <f>14/$AF$1</f>
        <v>9.0909090909090912E-2</v>
      </c>
      <c r="AH310">
        <v>9</v>
      </c>
      <c r="AI310" s="5">
        <f>AH310/AH319</f>
        <v>7.4999999999999997E-2</v>
      </c>
      <c r="AJ310" s="5">
        <f>9/$AJ$1</f>
        <v>7.4999999999999997E-2</v>
      </c>
      <c r="AL310">
        <v>33</v>
      </c>
      <c r="AM310" s="5">
        <f>AL310/AL319</f>
        <v>8.9189189189189194E-2</v>
      </c>
      <c r="AN310" s="5">
        <f>33/$AN$1</f>
        <v>8.9189189189189194E-2</v>
      </c>
      <c r="AP310">
        <v>25</v>
      </c>
      <c r="AQ310" s="5">
        <f>AP310/AP319</f>
        <v>6.6137566137566134E-2</v>
      </c>
      <c r="AR310" s="5">
        <f>25/$AR$1</f>
        <v>6.6137566137566134E-2</v>
      </c>
      <c r="AT310">
        <v>22</v>
      </c>
      <c r="AU310" s="5">
        <f>AT310/AT319</f>
        <v>8.7301587301587297E-2</v>
      </c>
      <c r="AV310" s="5">
        <f>22/$AV$1</f>
        <v>8.7301587301587297E-2</v>
      </c>
      <c r="AX310">
        <v>18</v>
      </c>
      <c r="AY310" s="5">
        <f>AX310/AX319</f>
        <v>6.5934065934065936E-2</v>
      </c>
      <c r="AZ310" s="5">
        <f>18/$AZ$1</f>
        <v>6.5934065934065936E-2</v>
      </c>
      <c r="BA310" s="5"/>
      <c r="BB310">
        <v>15</v>
      </c>
      <c r="BC310" s="5">
        <f>BB310/BB319</f>
        <v>7.3891625615763554E-2</v>
      </c>
      <c r="BD310" s="5">
        <f>15/$BD$1</f>
        <v>7.3891625615763554E-2</v>
      </c>
      <c r="BF310">
        <v>22</v>
      </c>
      <c r="BG310" s="5">
        <f>BF310/BF319</f>
        <v>0.10232558139534884</v>
      </c>
      <c r="BH310" s="5">
        <f>22/$BH$1</f>
        <v>0.10232558139534884</v>
      </c>
      <c r="BJ310">
        <v>25</v>
      </c>
      <c r="BK310" s="5">
        <f>BJ310/BJ319</f>
        <v>8.0906148867313912E-2</v>
      </c>
      <c r="BL310" s="5">
        <f>25/$BL$1</f>
        <v>8.0906148867313912E-2</v>
      </c>
      <c r="BN310">
        <v>5</v>
      </c>
      <c r="BO310" s="5">
        <f>BN310/BN319</f>
        <v>0.10638297872340426</v>
      </c>
      <c r="BP310" s="5">
        <f>5/$BP$1</f>
        <v>0.10638297872340426</v>
      </c>
      <c r="BR310">
        <v>32</v>
      </c>
      <c r="BS310" s="5">
        <f>BR310/BR319</f>
        <v>0.10191082802547771</v>
      </c>
      <c r="BT310" s="5">
        <f>32/$BT$1</f>
        <v>0.10191082802547771</v>
      </c>
      <c r="BV310">
        <v>31</v>
      </c>
      <c r="BW310" s="5">
        <f>BV310/BV319</f>
        <v>7.8880407124681931E-2</v>
      </c>
      <c r="BX310" s="5">
        <f>31/$BX$1</f>
        <v>7.8880407124681931E-2</v>
      </c>
      <c r="BZ310">
        <v>12</v>
      </c>
      <c r="CA310" s="5">
        <f>BZ310/BZ319</f>
        <v>4.878048780487805E-2</v>
      </c>
      <c r="CB310" s="5">
        <f>12/$CB$1</f>
        <v>4.878048780487805E-2</v>
      </c>
      <c r="CD310">
        <v>11</v>
      </c>
      <c r="CE310" s="5">
        <f>CD310/CD319</f>
        <v>8.943089430894309E-2</v>
      </c>
      <c r="CF310" s="5">
        <f>11/$CF$1</f>
        <v>8.943089430894309E-2</v>
      </c>
      <c r="CH310">
        <v>48</v>
      </c>
      <c r="CI310" s="5">
        <f>CH310/CH319</f>
        <v>6.9767441860465115E-2</v>
      </c>
      <c r="CJ310" s="5">
        <f>48/$CJ$1</f>
        <v>6.9767441860465115E-2</v>
      </c>
      <c r="CL310">
        <v>42</v>
      </c>
      <c r="CM310" s="5">
        <f>CL310/CL319</f>
        <v>5.5408970976253295E-2</v>
      </c>
      <c r="CN310" s="5">
        <f>42/$CN$1</f>
        <v>5.5408970976253295E-2</v>
      </c>
      <c r="CP310">
        <v>38</v>
      </c>
      <c r="CQ310" s="5">
        <f>CP310/CP319</f>
        <v>0.15702479338842976</v>
      </c>
      <c r="CR310" s="5">
        <f>38/$CR$1</f>
        <v>0.15702479338842976</v>
      </c>
      <c r="CT310">
        <v>11</v>
      </c>
      <c r="CU310" s="5">
        <f>CT310/CT319</f>
        <v>3.3033033033033031E-2</v>
      </c>
      <c r="CV310" s="5">
        <f>11/$CV$1</f>
        <v>3.3033033033033031E-2</v>
      </c>
      <c r="CX310">
        <v>69</v>
      </c>
      <c r="CY310" s="5">
        <f>CX310/CX319</f>
        <v>0.10344827586206896</v>
      </c>
      <c r="CZ310" s="5">
        <f>69/$CZ$1</f>
        <v>0.10344827586206896</v>
      </c>
    </row>
    <row r="311" spans="1:104" x14ac:dyDescent="0.25">
      <c r="A311" s="1" t="s">
        <v>2944</v>
      </c>
      <c r="B311">
        <v>544</v>
      </c>
      <c r="C311" s="5">
        <f>B311/B319</f>
        <v>0.54400000000000004</v>
      </c>
      <c r="D311" s="5">
        <f>544/$D$1</f>
        <v>0.54400000000000004</v>
      </c>
      <c r="F311">
        <v>313</v>
      </c>
      <c r="G311" s="5">
        <f>F311/F319</f>
        <v>0.62475049900199597</v>
      </c>
      <c r="H311" s="5">
        <f>313/$H$1</f>
        <v>0.62475049900199597</v>
      </c>
      <c r="J311">
        <v>231</v>
      </c>
      <c r="K311" s="5">
        <f>J311/J319</f>
        <v>0.46292585170340683</v>
      </c>
      <c r="L311" s="5">
        <f>231/$L$1</f>
        <v>0.46292585170340683</v>
      </c>
      <c r="N311">
        <v>53</v>
      </c>
      <c r="O311" s="5">
        <f>N311/N319</f>
        <v>0.54639175257731953</v>
      </c>
      <c r="P311" s="5">
        <f>53/$P$1</f>
        <v>0.54639175257731953</v>
      </c>
      <c r="R311">
        <v>110</v>
      </c>
      <c r="S311" s="5">
        <f>R311/R319</f>
        <v>0.55555555555555558</v>
      </c>
      <c r="T311" s="5">
        <f>110/$T$1</f>
        <v>0.55555555555555558</v>
      </c>
      <c r="V311">
        <v>133</v>
      </c>
      <c r="W311" s="5">
        <f>V311/V319</f>
        <v>0.55186721991701249</v>
      </c>
      <c r="X311" s="5">
        <f>133/$X$1</f>
        <v>0.55186721991701249</v>
      </c>
      <c r="Z311">
        <v>121</v>
      </c>
      <c r="AA311" s="5">
        <f>Z311/Z319</f>
        <v>0.61111111111111116</v>
      </c>
      <c r="AB311" s="5">
        <f>121/$AB$1</f>
        <v>0.61111111111111116</v>
      </c>
      <c r="AD311">
        <v>72</v>
      </c>
      <c r="AE311" s="5">
        <f>AD311/AD319</f>
        <v>0.46753246753246752</v>
      </c>
      <c r="AF311" s="5">
        <f>72/$AF$1</f>
        <v>0.46753246753246752</v>
      </c>
      <c r="AH311">
        <v>59</v>
      </c>
      <c r="AI311" s="5">
        <f>AH311/AH319</f>
        <v>0.49166666666666664</v>
      </c>
      <c r="AJ311" s="5">
        <f>59/$AJ$1</f>
        <v>0.49166666666666664</v>
      </c>
      <c r="AL311">
        <v>193</v>
      </c>
      <c r="AM311" s="5">
        <f>AL311/AL319</f>
        <v>0.52162162162162162</v>
      </c>
      <c r="AN311" s="5">
        <f>193/$AN$1</f>
        <v>0.52162162162162162</v>
      </c>
      <c r="AP311">
        <v>206</v>
      </c>
      <c r="AQ311" s="5">
        <f>AP311/AP319</f>
        <v>0.544973544973545</v>
      </c>
      <c r="AR311" s="5">
        <f>206/$AR$1</f>
        <v>0.544973544973545</v>
      </c>
      <c r="AT311">
        <v>145</v>
      </c>
      <c r="AU311" s="5">
        <f>AT311/AT319</f>
        <v>0.57539682539682535</v>
      </c>
      <c r="AV311" s="5">
        <f>145/$AV$1</f>
        <v>0.57539682539682535</v>
      </c>
      <c r="AX311">
        <v>149</v>
      </c>
      <c r="AY311" s="5">
        <f>AX311/AX319</f>
        <v>0.54578754578754574</v>
      </c>
      <c r="AZ311" s="5">
        <f>149/$AZ$1</f>
        <v>0.54578754578754574</v>
      </c>
      <c r="BA311" s="5"/>
      <c r="BB311">
        <v>109</v>
      </c>
      <c r="BC311" s="5">
        <f>BB311/BB319</f>
        <v>0.53694581280788178</v>
      </c>
      <c r="BD311" s="5">
        <f>109/$BD$1</f>
        <v>0.53694581280788178</v>
      </c>
      <c r="BF311">
        <v>127</v>
      </c>
      <c r="BG311" s="5">
        <f>BF311/BF319</f>
        <v>0.59069767441860466</v>
      </c>
      <c r="BH311" s="5">
        <f>127/$BH$1</f>
        <v>0.59069767441860466</v>
      </c>
      <c r="BJ311">
        <v>159</v>
      </c>
      <c r="BK311" s="5">
        <f>BJ311/BJ319</f>
        <v>0.5145631067961165</v>
      </c>
      <c r="BL311" s="5">
        <f>159/$BL$1</f>
        <v>0.5145631067961165</v>
      </c>
      <c r="BN311">
        <v>23</v>
      </c>
      <c r="BO311" s="5">
        <f>BN311/BN319</f>
        <v>0.48936170212765956</v>
      </c>
      <c r="BP311" s="5">
        <f>23/$BP$1</f>
        <v>0.48936170212765956</v>
      </c>
      <c r="BR311">
        <v>174</v>
      </c>
      <c r="BS311" s="5">
        <f>BR311/BR319</f>
        <v>0.55414012738853502</v>
      </c>
      <c r="BT311" s="5">
        <f>174/$BT$1</f>
        <v>0.55414012738853502</v>
      </c>
      <c r="BV311">
        <v>214</v>
      </c>
      <c r="BW311" s="5">
        <f>BV311/BV319</f>
        <v>0.54452926208651398</v>
      </c>
      <c r="BX311" s="5">
        <f>214/$BX$1</f>
        <v>0.54452926208651398</v>
      </c>
      <c r="BZ311">
        <v>133</v>
      </c>
      <c r="CA311" s="5">
        <f>BZ311/BZ319</f>
        <v>0.54065040650406504</v>
      </c>
      <c r="CB311" s="5">
        <f>133/$CB$1</f>
        <v>0.54065040650406504</v>
      </c>
      <c r="CD311">
        <v>65</v>
      </c>
      <c r="CE311" s="5">
        <f>CD311/CD319</f>
        <v>0.52845528455284552</v>
      </c>
      <c r="CF311" s="5">
        <f>65/$CF$1</f>
        <v>0.52845528455284552</v>
      </c>
      <c r="CH311">
        <v>359</v>
      </c>
      <c r="CI311" s="5">
        <f>CH311/CH319</f>
        <v>0.52180232558139539</v>
      </c>
      <c r="CJ311" s="5">
        <f>359/$CJ$1</f>
        <v>0.52180232558139539</v>
      </c>
      <c r="CL311">
        <v>375</v>
      </c>
      <c r="CM311" s="5">
        <f>CL311/CL319</f>
        <v>0.49472295514511871</v>
      </c>
      <c r="CN311" s="5">
        <f>375/$CN$1</f>
        <v>0.49472295514511871</v>
      </c>
      <c r="CP311">
        <v>169</v>
      </c>
      <c r="CQ311" s="5">
        <f>CP311/CP319</f>
        <v>0.69834710743801653</v>
      </c>
      <c r="CR311" s="5">
        <f>169/$CR$1</f>
        <v>0.69834710743801653</v>
      </c>
      <c r="CT311">
        <v>150</v>
      </c>
      <c r="CU311" s="5">
        <f>CT311/CT319</f>
        <v>0.45045045045045046</v>
      </c>
      <c r="CV311" s="5">
        <f>150/$CV$1</f>
        <v>0.45045045045045046</v>
      </c>
      <c r="CX311">
        <v>394</v>
      </c>
      <c r="CY311" s="5">
        <f>CX311/CX319</f>
        <v>0.59070464767616193</v>
      </c>
      <c r="CZ311" s="5">
        <f>394/$CZ$1</f>
        <v>0.59070464767616193</v>
      </c>
    </row>
    <row r="312" spans="1:104" x14ac:dyDescent="0.25">
      <c r="A312" s="1" t="s">
        <v>2945</v>
      </c>
      <c r="B312">
        <v>295</v>
      </c>
      <c r="C312" s="5">
        <f>B312/B319</f>
        <v>0.29499999999999998</v>
      </c>
      <c r="D312" s="5">
        <f>295/$D$1</f>
        <v>0.29499999999999998</v>
      </c>
      <c r="F312">
        <v>166</v>
      </c>
      <c r="G312" s="5">
        <f>F312/F319</f>
        <v>0.33133732534930138</v>
      </c>
      <c r="H312" s="5">
        <f>166/$H$1</f>
        <v>0.33133732534930138</v>
      </c>
      <c r="J312">
        <v>129</v>
      </c>
      <c r="K312" s="5">
        <f>J312/J319</f>
        <v>0.25851703406813625</v>
      </c>
      <c r="L312" s="5">
        <f>129/$L$1</f>
        <v>0.25851703406813625</v>
      </c>
      <c r="N312">
        <v>26</v>
      </c>
      <c r="O312" s="5">
        <f>N312/N319</f>
        <v>0.26804123711340205</v>
      </c>
      <c r="P312" s="5">
        <f>26/$P$1</f>
        <v>0.26804123711340205</v>
      </c>
      <c r="R312">
        <v>51</v>
      </c>
      <c r="S312" s="5">
        <f>R312/R319</f>
        <v>0.25757575757575757</v>
      </c>
      <c r="T312" s="5">
        <f>51/$T$1</f>
        <v>0.25757575757575757</v>
      </c>
      <c r="V312">
        <v>77</v>
      </c>
      <c r="W312" s="5">
        <f>V312/V319</f>
        <v>0.31950207468879666</v>
      </c>
      <c r="X312" s="5">
        <f>77/$X$1</f>
        <v>0.31950207468879666</v>
      </c>
      <c r="Z312">
        <v>61</v>
      </c>
      <c r="AA312" s="5">
        <f>Z312/Z319</f>
        <v>0.30808080808080807</v>
      </c>
      <c r="AB312" s="5">
        <f>61/$AB$1</f>
        <v>0.30808080808080807</v>
      </c>
      <c r="AD312">
        <v>42</v>
      </c>
      <c r="AE312" s="5">
        <f>AD312/AD319</f>
        <v>0.27272727272727271</v>
      </c>
      <c r="AF312" s="5">
        <f>42/$AF$1</f>
        <v>0.27272727272727271</v>
      </c>
      <c r="AH312">
        <v>40</v>
      </c>
      <c r="AI312" s="5">
        <f>AH312/AH319</f>
        <v>0.33333333333333331</v>
      </c>
      <c r="AJ312" s="5">
        <f>40/$AJ$1</f>
        <v>0.33333333333333331</v>
      </c>
      <c r="AL312">
        <v>114</v>
      </c>
      <c r="AM312" s="5">
        <f>AL312/AL319</f>
        <v>0.30810810810810813</v>
      </c>
      <c r="AN312" s="5">
        <f>114/$AN$1</f>
        <v>0.30810810810810813</v>
      </c>
      <c r="AP312">
        <v>106</v>
      </c>
      <c r="AQ312" s="5">
        <f>AP312/AP319</f>
        <v>0.28042328042328041</v>
      </c>
      <c r="AR312" s="5">
        <f>106/$AR$1</f>
        <v>0.28042328042328041</v>
      </c>
      <c r="AT312">
        <v>75</v>
      </c>
      <c r="AU312" s="5">
        <f>AT312/AT319</f>
        <v>0.29761904761904762</v>
      </c>
      <c r="AV312" s="5">
        <f>75/$AV$1</f>
        <v>0.29761904761904762</v>
      </c>
      <c r="AX312">
        <v>74</v>
      </c>
      <c r="AY312" s="5">
        <f>AX312/AX319</f>
        <v>0.27106227106227104</v>
      </c>
      <c r="AZ312" s="5">
        <f>74/$AZ$1</f>
        <v>0.27106227106227104</v>
      </c>
      <c r="BA312" s="5"/>
      <c r="BB312">
        <v>66</v>
      </c>
      <c r="BC312" s="5">
        <f>BB312/BB319</f>
        <v>0.3251231527093596</v>
      </c>
      <c r="BD312" s="5">
        <f>66/$BD$1</f>
        <v>0.3251231527093596</v>
      </c>
      <c r="BF312">
        <v>62</v>
      </c>
      <c r="BG312" s="5">
        <f>BF312/BF319</f>
        <v>0.28837209302325584</v>
      </c>
      <c r="BH312" s="5">
        <f>62/$BH$1</f>
        <v>0.28837209302325584</v>
      </c>
      <c r="BJ312">
        <v>93</v>
      </c>
      <c r="BK312" s="5">
        <f>BJ312/BJ319</f>
        <v>0.30097087378640774</v>
      </c>
      <c r="BL312" s="5">
        <f>93/$BL$1</f>
        <v>0.30097087378640774</v>
      </c>
      <c r="BN312">
        <v>20</v>
      </c>
      <c r="BO312" s="5">
        <f>BN312/BN319</f>
        <v>0.42553191489361702</v>
      </c>
      <c r="BP312" s="5">
        <f>20/$BP$1</f>
        <v>0.42553191489361702</v>
      </c>
      <c r="BR312">
        <v>113</v>
      </c>
      <c r="BS312" s="5">
        <f>BR312/BR319</f>
        <v>0.35987261146496813</v>
      </c>
      <c r="BT312" s="5">
        <f>113/$BT$1</f>
        <v>0.35987261146496813</v>
      </c>
      <c r="BV312">
        <v>112</v>
      </c>
      <c r="BW312" s="5">
        <f>BV312/BV319</f>
        <v>0.28498727735368956</v>
      </c>
      <c r="BX312" s="5">
        <f>112/$BX$1</f>
        <v>0.28498727735368956</v>
      </c>
      <c r="BZ312">
        <v>50</v>
      </c>
      <c r="CA312" s="5">
        <f>BZ312/BZ319</f>
        <v>0.2032520325203252</v>
      </c>
      <c r="CB312" s="5">
        <f>50/$CB$1</f>
        <v>0.2032520325203252</v>
      </c>
      <c r="CD312">
        <v>32</v>
      </c>
      <c r="CE312" s="5">
        <f>CD312/CD319</f>
        <v>0.26016260162601629</v>
      </c>
      <c r="CF312" s="5">
        <f>32/$CF$1</f>
        <v>0.26016260162601629</v>
      </c>
      <c r="CH312">
        <v>205</v>
      </c>
      <c r="CI312" s="5">
        <f>CH312/CH319</f>
        <v>0.29796511627906974</v>
      </c>
      <c r="CJ312" s="5">
        <f>205/$CJ$1</f>
        <v>0.29796511627906974</v>
      </c>
      <c r="CL312">
        <v>200</v>
      </c>
      <c r="CM312" s="5">
        <f>CL312/CL319</f>
        <v>0.26385224274406333</v>
      </c>
      <c r="CN312" s="5">
        <f>200/$CN$1</f>
        <v>0.26385224274406333</v>
      </c>
      <c r="CP312">
        <v>95</v>
      </c>
      <c r="CQ312" s="5">
        <f>CP312/CP319</f>
        <v>0.3925619834710744</v>
      </c>
      <c r="CR312" s="5">
        <f>95/$CR$1</f>
        <v>0.3925619834710744</v>
      </c>
      <c r="CT312">
        <v>57</v>
      </c>
      <c r="CU312" s="5">
        <f>CT312/CT319</f>
        <v>0.17117117117117117</v>
      </c>
      <c r="CV312" s="5">
        <f>57/$CV$1</f>
        <v>0.17117117117117117</v>
      </c>
      <c r="CX312">
        <v>238</v>
      </c>
      <c r="CY312" s="5">
        <f>CX312/CX319</f>
        <v>0.3568215892053973</v>
      </c>
      <c r="CZ312" s="5">
        <f>238/$CZ$1</f>
        <v>0.3568215892053973</v>
      </c>
    </row>
    <row r="313" spans="1:104" x14ac:dyDescent="0.25">
      <c r="A313" s="1" t="s">
        <v>2946</v>
      </c>
      <c r="B313">
        <v>507</v>
      </c>
      <c r="C313" s="5">
        <f>B313/B319</f>
        <v>0.50700000000000001</v>
      </c>
      <c r="D313" s="5">
        <f>507/$D$1</f>
        <v>0.50700000000000001</v>
      </c>
      <c r="F313">
        <v>278</v>
      </c>
      <c r="G313" s="5">
        <f>F313/F319</f>
        <v>0.55489021956087825</v>
      </c>
      <c r="H313" s="5">
        <f>278/$H$1</f>
        <v>0.55489021956087825</v>
      </c>
      <c r="J313">
        <v>229</v>
      </c>
      <c r="K313" s="5">
        <f>J313/J319</f>
        <v>0.4589178356713427</v>
      </c>
      <c r="L313" s="5">
        <f>229/$L$1</f>
        <v>0.4589178356713427</v>
      </c>
      <c r="N313">
        <v>35</v>
      </c>
      <c r="O313" s="5">
        <f>N313/N319</f>
        <v>0.36082474226804123</v>
      </c>
      <c r="P313" s="5">
        <f>35/$P$1</f>
        <v>0.36082474226804123</v>
      </c>
      <c r="R313">
        <v>91</v>
      </c>
      <c r="S313" s="5">
        <f>R313/R319</f>
        <v>0.45959595959595961</v>
      </c>
      <c r="T313" s="5">
        <f>91/$T$1</f>
        <v>0.45959595959595961</v>
      </c>
      <c r="V313">
        <v>128</v>
      </c>
      <c r="W313" s="5">
        <f>V313/V319</f>
        <v>0.53112033195020747</v>
      </c>
      <c r="X313" s="5">
        <f>128/$X$1</f>
        <v>0.53112033195020747</v>
      </c>
      <c r="Z313">
        <v>108</v>
      </c>
      <c r="AA313" s="5">
        <f>Z313/Z319</f>
        <v>0.54545454545454541</v>
      </c>
      <c r="AB313" s="5">
        <f>108/$AB$1</f>
        <v>0.54545454545454541</v>
      </c>
      <c r="AD313">
        <v>78</v>
      </c>
      <c r="AE313" s="5">
        <f>AD313/AD319</f>
        <v>0.50649350649350644</v>
      </c>
      <c r="AF313" s="5">
        <f>78/$AF$1</f>
        <v>0.50649350649350644</v>
      </c>
      <c r="AH313">
        <v>73</v>
      </c>
      <c r="AI313" s="5">
        <f>AH313/AH319</f>
        <v>0.60833333333333328</v>
      </c>
      <c r="AJ313" s="5">
        <f>73/$AJ$1</f>
        <v>0.60833333333333328</v>
      </c>
      <c r="AL313">
        <v>177</v>
      </c>
      <c r="AM313" s="5">
        <f>AL313/AL319</f>
        <v>0.47837837837837838</v>
      </c>
      <c r="AN313" s="5">
        <f>177/$AN$1</f>
        <v>0.47837837837837838</v>
      </c>
      <c r="AP313">
        <v>198</v>
      </c>
      <c r="AQ313" s="5">
        <f>AP313/AP319</f>
        <v>0.52380952380952384</v>
      </c>
      <c r="AR313" s="5">
        <f>198/$AR$1</f>
        <v>0.52380952380952384</v>
      </c>
      <c r="AT313">
        <v>132</v>
      </c>
      <c r="AU313" s="5">
        <f>AT313/AT319</f>
        <v>0.52380952380952384</v>
      </c>
      <c r="AV313" s="5">
        <f>132/$AV$1</f>
        <v>0.52380952380952384</v>
      </c>
      <c r="AX313">
        <v>133</v>
      </c>
      <c r="AY313" s="5">
        <f>AX313/AX319</f>
        <v>0.48717948717948717</v>
      </c>
      <c r="AZ313" s="5">
        <f>133/$AZ$1</f>
        <v>0.48717948717948717</v>
      </c>
      <c r="BA313" s="5"/>
      <c r="BB313">
        <v>104</v>
      </c>
      <c r="BC313" s="5">
        <f>BB313/BB319</f>
        <v>0.51231527093596063</v>
      </c>
      <c r="BD313" s="5">
        <f>104/$BD$1</f>
        <v>0.51231527093596063</v>
      </c>
      <c r="BF313">
        <v>102</v>
      </c>
      <c r="BG313" s="5">
        <f>BF313/BF319</f>
        <v>0.47441860465116281</v>
      </c>
      <c r="BH313" s="5">
        <f>102/$BH$1</f>
        <v>0.47441860465116281</v>
      </c>
      <c r="BJ313">
        <v>168</v>
      </c>
      <c r="BK313" s="5">
        <f>BJ313/BJ319</f>
        <v>0.5436893203883495</v>
      </c>
      <c r="BL313" s="5">
        <f>168/$BL$1</f>
        <v>0.5436893203883495</v>
      </c>
      <c r="BN313">
        <v>24</v>
      </c>
      <c r="BO313" s="5">
        <f>BN313/BN319</f>
        <v>0.51063829787234039</v>
      </c>
      <c r="BP313" s="5">
        <f>24/$BP$1</f>
        <v>0.51063829787234039</v>
      </c>
      <c r="BR313">
        <v>150</v>
      </c>
      <c r="BS313" s="5">
        <f>BR313/BR319</f>
        <v>0.47770700636942676</v>
      </c>
      <c r="BT313" s="5">
        <f>150/$BT$1</f>
        <v>0.47770700636942676</v>
      </c>
      <c r="BV313">
        <v>197</v>
      </c>
      <c r="BW313" s="5">
        <f>BV313/BV319</f>
        <v>0.50127226463104324</v>
      </c>
      <c r="BX313" s="5">
        <f>197/$BX$1</f>
        <v>0.50127226463104324</v>
      </c>
      <c r="BZ313">
        <v>136</v>
      </c>
      <c r="CA313" s="5">
        <f>BZ313/BZ319</f>
        <v>0.55284552845528456</v>
      </c>
      <c r="CB313" s="5">
        <f>136/$CB$1</f>
        <v>0.55284552845528456</v>
      </c>
      <c r="CD313">
        <v>63</v>
      </c>
      <c r="CE313" s="5">
        <f>CD313/CD319</f>
        <v>0.51219512195121952</v>
      </c>
      <c r="CF313" s="5">
        <f>63/$CF$1</f>
        <v>0.51219512195121952</v>
      </c>
      <c r="CH313">
        <v>337</v>
      </c>
      <c r="CI313" s="5">
        <f>CH313/CH319</f>
        <v>0.48982558139534882</v>
      </c>
      <c r="CJ313" s="5">
        <f>337/$CJ$1</f>
        <v>0.48982558139534882</v>
      </c>
      <c r="CL313">
        <v>348</v>
      </c>
      <c r="CM313" s="5">
        <f>CL313/CL319</f>
        <v>0.45910290237467016</v>
      </c>
      <c r="CN313" s="5">
        <f>348/$CN$1</f>
        <v>0.45910290237467016</v>
      </c>
      <c r="CP313">
        <v>159</v>
      </c>
      <c r="CQ313" s="5">
        <f>CP313/CP319</f>
        <v>0.65702479338842978</v>
      </c>
      <c r="CR313" s="5">
        <f>159/$CR$1</f>
        <v>0.65702479338842978</v>
      </c>
      <c r="CT313">
        <v>132</v>
      </c>
      <c r="CU313" s="5">
        <f>CT313/CT319</f>
        <v>0.3963963963963964</v>
      </c>
      <c r="CV313" s="5">
        <f>132/$CV$1</f>
        <v>0.3963963963963964</v>
      </c>
      <c r="CX313">
        <v>375</v>
      </c>
      <c r="CY313" s="5">
        <f>CX313/CX319</f>
        <v>0.56221889055472263</v>
      </c>
      <c r="CZ313" s="5">
        <f>375/$CZ$1</f>
        <v>0.56221889055472263</v>
      </c>
    </row>
    <row r="314" spans="1:104" x14ac:dyDescent="0.25">
      <c r="A314" s="1" t="s">
        <v>2947</v>
      </c>
      <c r="B314">
        <v>145</v>
      </c>
      <c r="C314" s="5">
        <f>B314/B319</f>
        <v>0.14499999999999999</v>
      </c>
      <c r="D314" s="5">
        <f>145/$D$1</f>
        <v>0.14499999999999999</v>
      </c>
      <c r="F314">
        <v>91</v>
      </c>
      <c r="G314" s="5">
        <f>F314/F319</f>
        <v>0.18163672654690619</v>
      </c>
      <c r="H314" s="5">
        <f>91/$H$1</f>
        <v>0.18163672654690619</v>
      </c>
      <c r="J314">
        <v>54</v>
      </c>
      <c r="K314" s="5">
        <f>J314/J319</f>
        <v>0.10821643286573146</v>
      </c>
      <c r="L314" s="5">
        <f>54/$L$1</f>
        <v>0.10821643286573146</v>
      </c>
      <c r="N314">
        <v>12</v>
      </c>
      <c r="O314" s="5">
        <f>N314/N319</f>
        <v>0.12371134020618557</v>
      </c>
      <c r="P314" s="5">
        <f>12/$P$1</f>
        <v>0.12371134020618557</v>
      </c>
      <c r="R314">
        <v>37</v>
      </c>
      <c r="S314" s="5">
        <f>R314/R319</f>
        <v>0.18686868686868688</v>
      </c>
      <c r="T314" s="5">
        <f>37/$T$1</f>
        <v>0.18686868686868688</v>
      </c>
      <c r="V314">
        <v>38</v>
      </c>
      <c r="W314" s="5">
        <f>V314/V319</f>
        <v>0.15767634854771784</v>
      </c>
      <c r="X314" s="5">
        <f>38/$X$1</f>
        <v>0.15767634854771784</v>
      </c>
      <c r="Z314">
        <v>25</v>
      </c>
      <c r="AA314" s="5">
        <f>Z314/Z319</f>
        <v>0.12626262626262627</v>
      </c>
      <c r="AB314" s="5">
        <f>25/$AB$1</f>
        <v>0.12626262626262627</v>
      </c>
      <c r="AD314">
        <v>18</v>
      </c>
      <c r="AE314" s="5">
        <f>AD314/AD319</f>
        <v>0.11688311688311688</v>
      </c>
      <c r="AF314" s="5">
        <f>18/$AF$1</f>
        <v>0.11688311688311688</v>
      </c>
      <c r="AH314">
        <v>17</v>
      </c>
      <c r="AI314" s="5">
        <f>AH314/AH319</f>
        <v>0.14166666666666666</v>
      </c>
      <c r="AJ314" s="5">
        <f>17/$AJ$1</f>
        <v>0.14166666666666666</v>
      </c>
      <c r="AL314">
        <v>44</v>
      </c>
      <c r="AM314" s="5">
        <f>AL314/AL319</f>
        <v>0.11891891891891893</v>
      </c>
      <c r="AN314" s="5">
        <f>44/$AN$1</f>
        <v>0.11891891891891893</v>
      </c>
      <c r="AP314">
        <v>60</v>
      </c>
      <c r="AQ314" s="5">
        <f>AP314/AP319</f>
        <v>0.15873015873015872</v>
      </c>
      <c r="AR314" s="5">
        <f>60/$AR$1</f>
        <v>0.15873015873015872</v>
      </c>
      <c r="AT314">
        <v>41</v>
      </c>
      <c r="AU314" s="5">
        <f>AT314/AT319</f>
        <v>0.1626984126984127</v>
      </c>
      <c r="AV314" s="5">
        <f>41/$AV$1</f>
        <v>0.1626984126984127</v>
      </c>
      <c r="AX314">
        <v>40</v>
      </c>
      <c r="AY314" s="5">
        <f>AX314/AX319</f>
        <v>0.14652014652014653</v>
      </c>
      <c r="AZ314" s="5">
        <f>40/$AZ$1</f>
        <v>0.14652014652014653</v>
      </c>
      <c r="BA314" s="5"/>
      <c r="BB314">
        <v>28</v>
      </c>
      <c r="BC314" s="5">
        <f>BB314/BB319</f>
        <v>0.13793103448275862</v>
      </c>
      <c r="BD314" s="5">
        <f>28/$BD$1</f>
        <v>0.13793103448275862</v>
      </c>
      <c r="BF314">
        <v>34</v>
      </c>
      <c r="BG314" s="5">
        <f>BF314/BF319</f>
        <v>0.15813953488372093</v>
      </c>
      <c r="BH314" s="5">
        <f>34/$BH$1</f>
        <v>0.15813953488372093</v>
      </c>
      <c r="BJ314">
        <v>43</v>
      </c>
      <c r="BK314" s="5">
        <f>BJ314/BJ319</f>
        <v>0.13915857605177995</v>
      </c>
      <c r="BL314" s="5">
        <f>43/$BL$1</f>
        <v>0.13915857605177995</v>
      </c>
      <c r="BN314">
        <v>6</v>
      </c>
      <c r="BO314" s="5">
        <f>BN314/BN319</f>
        <v>0.1276595744680851</v>
      </c>
      <c r="BP314" s="5">
        <f>6/$BP$1</f>
        <v>0.1276595744680851</v>
      </c>
      <c r="BR314">
        <v>52</v>
      </c>
      <c r="BS314" s="5">
        <f>BR314/BR319</f>
        <v>0.16560509554140126</v>
      </c>
      <c r="BT314" s="5">
        <f>52/$BT$1</f>
        <v>0.16560509554140126</v>
      </c>
      <c r="BV314">
        <v>57</v>
      </c>
      <c r="BW314" s="5">
        <f>BV314/BV319</f>
        <v>0.14503816793893129</v>
      </c>
      <c r="BX314" s="5">
        <f>57/$BX$1</f>
        <v>0.14503816793893129</v>
      </c>
      <c r="BZ314">
        <v>30</v>
      </c>
      <c r="CA314" s="5">
        <f>BZ314/BZ319</f>
        <v>0.12195121951219512</v>
      </c>
      <c r="CB314" s="5">
        <f>30/$CB$1</f>
        <v>0.12195121951219512</v>
      </c>
      <c r="CD314">
        <v>21</v>
      </c>
      <c r="CE314" s="5">
        <f>CD314/CD319</f>
        <v>0.17073170731707318</v>
      </c>
      <c r="CF314" s="5">
        <f>21/$CF$1</f>
        <v>0.17073170731707318</v>
      </c>
      <c r="CH314">
        <v>76</v>
      </c>
      <c r="CI314" s="5">
        <f>CH314/CH319</f>
        <v>0.11046511627906977</v>
      </c>
      <c r="CJ314" s="5">
        <f>76/$CJ$1</f>
        <v>0.11046511627906977</v>
      </c>
      <c r="CL314">
        <v>82</v>
      </c>
      <c r="CM314" s="5">
        <f>CL314/CL319</f>
        <v>0.10817941952506596</v>
      </c>
      <c r="CN314" s="5">
        <f>82/$CN$1</f>
        <v>0.10817941952506596</v>
      </c>
      <c r="CP314">
        <v>63</v>
      </c>
      <c r="CQ314" s="5">
        <f>CP314/CP319</f>
        <v>0.26033057851239672</v>
      </c>
      <c r="CR314" s="5">
        <f>63/$CR$1</f>
        <v>0.26033057851239672</v>
      </c>
      <c r="CT314">
        <v>27</v>
      </c>
      <c r="CU314" s="5">
        <f>CT314/CT319</f>
        <v>8.1081081081081086E-2</v>
      </c>
      <c r="CV314" s="5">
        <f>27/$CV$1</f>
        <v>8.1081081081081086E-2</v>
      </c>
      <c r="CX314">
        <v>118</v>
      </c>
      <c r="CY314" s="5">
        <f>CX314/CX319</f>
        <v>0.17691154422788605</v>
      </c>
      <c r="CZ314" s="5">
        <f>118/$CZ$1</f>
        <v>0.17691154422788605</v>
      </c>
    </row>
    <row r="315" spans="1:104" x14ac:dyDescent="0.25">
      <c r="A315" s="1" t="s">
        <v>2948</v>
      </c>
      <c r="B315">
        <v>411</v>
      </c>
      <c r="C315" s="5">
        <f>B315/B319</f>
        <v>0.41099999999999998</v>
      </c>
      <c r="D315" s="5">
        <f>411/$D$1</f>
        <v>0.41099999999999998</v>
      </c>
      <c r="F315">
        <v>214</v>
      </c>
      <c r="G315" s="5">
        <f>F315/F319</f>
        <v>0.42714570858283435</v>
      </c>
      <c r="H315" s="5">
        <f>214/$H$1</f>
        <v>0.42714570858283435</v>
      </c>
      <c r="J315">
        <v>197</v>
      </c>
      <c r="K315" s="5">
        <f>J315/J319</f>
        <v>0.39478957915831664</v>
      </c>
      <c r="L315" s="5">
        <f>197/$L$1</f>
        <v>0.39478957915831664</v>
      </c>
      <c r="N315">
        <v>47</v>
      </c>
      <c r="O315" s="5">
        <f>N315/N319</f>
        <v>0.4845360824742268</v>
      </c>
      <c r="P315" s="5">
        <f>47/$P$1</f>
        <v>0.4845360824742268</v>
      </c>
      <c r="R315">
        <v>88</v>
      </c>
      <c r="S315" s="5">
        <f>R315/R319</f>
        <v>0.44444444444444442</v>
      </c>
      <c r="T315" s="5">
        <f>88/$T$1</f>
        <v>0.44444444444444442</v>
      </c>
      <c r="V315">
        <v>92</v>
      </c>
      <c r="W315" s="5">
        <f>V315/V319</f>
        <v>0.38174273858921159</v>
      </c>
      <c r="X315" s="5">
        <f>92/$X$1</f>
        <v>0.38174273858921159</v>
      </c>
      <c r="Z315">
        <v>74</v>
      </c>
      <c r="AA315" s="5">
        <f>Z315/Z319</f>
        <v>0.37373737373737376</v>
      </c>
      <c r="AB315" s="5">
        <f>74/$AB$1</f>
        <v>0.37373737373737376</v>
      </c>
      <c r="AD315">
        <v>65</v>
      </c>
      <c r="AE315" s="5">
        <f>AD315/AD319</f>
        <v>0.42207792207792205</v>
      </c>
      <c r="AF315" s="5">
        <f>65/$AF$1</f>
        <v>0.42207792207792205</v>
      </c>
      <c r="AH315">
        <v>48</v>
      </c>
      <c r="AI315" s="5">
        <f>AH315/AH319</f>
        <v>0.4</v>
      </c>
      <c r="AJ315" s="5">
        <f>48/$AJ$1</f>
        <v>0.4</v>
      </c>
      <c r="AL315">
        <v>133</v>
      </c>
      <c r="AM315" s="5">
        <f>AL315/AL319</f>
        <v>0.35945945945945945</v>
      </c>
      <c r="AN315" s="5">
        <f>133/$AN$1</f>
        <v>0.35945945945945945</v>
      </c>
      <c r="AP315">
        <v>151</v>
      </c>
      <c r="AQ315" s="5">
        <f>AP315/AP319</f>
        <v>0.39947089947089948</v>
      </c>
      <c r="AR315" s="5">
        <f>151/$AR$1</f>
        <v>0.39947089947089948</v>
      </c>
      <c r="AT315">
        <v>127</v>
      </c>
      <c r="AU315" s="5">
        <f>AT315/AT319</f>
        <v>0.50396825396825395</v>
      </c>
      <c r="AV315" s="5">
        <f>127/$AV$1</f>
        <v>0.50396825396825395</v>
      </c>
      <c r="AX315">
        <v>94</v>
      </c>
      <c r="AY315" s="5">
        <f>AX315/AX319</f>
        <v>0.34432234432234432</v>
      </c>
      <c r="AZ315" s="5">
        <f>94/$AZ$1</f>
        <v>0.34432234432234432</v>
      </c>
      <c r="BA315" s="5"/>
      <c r="BB315">
        <v>87</v>
      </c>
      <c r="BC315" s="5">
        <f>BB315/BB319</f>
        <v>0.42857142857142855</v>
      </c>
      <c r="BD315" s="5">
        <f>87/$BD$1</f>
        <v>0.42857142857142855</v>
      </c>
      <c r="BF315">
        <v>96</v>
      </c>
      <c r="BG315" s="5">
        <f>BF315/BF319</f>
        <v>0.44651162790697674</v>
      </c>
      <c r="BH315" s="5">
        <f>96/$BH$1</f>
        <v>0.44651162790697674</v>
      </c>
      <c r="BJ315">
        <v>134</v>
      </c>
      <c r="BK315" s="5">
        <f>BJ315/BJ319</f>
        <v>0.4336569579288026</v>
      </c>
      <c r="BL315" s="5">
        <f>134/$BL$1</f>
        <v>0.4336569579288026</v>
      </c>
      <c r="BN315">
        <v>20</v>
      </c>
      <c r="BO315" s="5">
        <f>BN315/BN319</f>
        <v>0.42553191489361702</v>
      </c>
      <c r="BP315" s="5">
        <f>20/$BP$1</f>
        <v>0.42553191489361702</v>
      </c>
      <c r="BR315">
        <v>111</v>
      </c>
      <c r="BS315" s="5">
        <f>BR315/BR319</f>
        <v>0.35350318471337577</v>
      </c>
      <c r="BT315" s="5">
        <f>111/$BT$1</f>
        <v>0.35350318471337577</v>
      </c>
      <c r="BV315">
        <v>165</v>
      </c>
      <c r="BW315" s="5">
        <f>BV315/BV319</f>
        <v>0.41984732824427479</v>
      </c>
      <c r="BX315" s="5">
        <f>165/$BX$1</f>
        <v>0.41984732824427479</v>
      </c>
      <c r="BZ315">
        <v>115</v>
      </c>
      <c r="CA315" s="5">
        <f>BZ315/BZ319</f>
        <v>0.46747967479674796</v>
      </c>
      <c r="CB315" s="5">
        <f>115/$CB$1</f>
        <v>0.46747967479674796</v>
      </c>
      <c r="CD315">
        <v>52</v>
      </c>
      <c r="CE315" s="5">
        <f>CD315/CD319</f>
        <v>0.42276422764227645</v>
      </c>
      <c r="CF315" s="5">
        <f>52/$CF$1</f>
        <v>0.42276422764227645</v>
      </c>
      <c r="CH315">
        <v>274</v>
      </c>
      <c r="CI315" s="5">
        <f>CH315/CH319</f>
        <v>0.39825581395348836</v>
      </c>
      <c r="CJ315" s="5">
        <f>274/$CJ$1</f>
        <v>0.39825581395348836</v>
      </c>
      <c r="CL315">
        <v>283</v>
      </c>
      <c r="CM315" s="5">
        <f>CL315/CL319</f>
        <v>0.37335092348284959</v>
      </c>
      <c r="CN315" s="5">
        <f>283/$CN$1</f>
        <v>0.37335092348284959</v>
      </c>
      <c r="CP315">
        <v>128</v>
      </c>
      <c r="CQ315" s="5">
        <f>CP315/CP319</f>
        <v>0.52892561983471076</v>
      </c>
      <c r="CR315" s="5">
        <f>128/$CR$1</f>
        <v>0.52892561983471076</v>
      </c>
      <c r="CT315">
        <v>127</v>
      </c>
      <c r="CU315" s="5">
        <f>CT315/CT319</f>
        <v>0.38138138138138139</v>
      </c>
      <c r="CV315" s="5">
        <f>127/$CV$1</f>
        <v>0.38138138138138139</v>
      </c>
      <c r="CX315">
        <v>284</v>
      </c>
      <c r="CY315" s="5">
        <f>CX315/CX319</f>
        <v>0.42578710644677659</v>
      </c>
      <c r="CZ315" s="5">
        <f>284/$CZ$1</f>
        <v>0.42578710644677659</v>
      </c>
    </row>
    <row r="316" spans="1:104" x14ac:dyDescent="0.25">
      <c r="A316" s="1" t="s">
        <v>2949</v>
      </c>
      <c r="B316">
        <v>94</v>
      </c>
      <c r="C316" s="5">
        <f>B316/B319</f>
        <v>9.4E-2</v>
      </c>
      <c r="D316" s="5">
        <f>94/$D$1</f>
        <v>9.4E-2</v>
      </c>
      <c r="F316">
        <v>61</v>
      </c>
      <c r="G316" s="5">
        <f>F316/F319</f>
        <v>0.1217564870259481</v>
      </c>
      <c r="H316" s="5">
        <f>61/$H$1</f>
        <v>0.1217564870259481</v>
      </c>
      <c r="J316">
        <v>33</v>
      </c>
      <c r="K316" s="5">
        <f>J316/J319</f>
        <v>6.6132264529058113E-2</v>
      </c>
      <c r="L316" s="5">
        <f>33/$L$1</f>
        <v>6.6132264529058113E-2</v>
      </c>
      <c r="N316">
        <v>7</v>
      </c>
      <c r="O316" s="5">
        <f>N316/N319</f>
        <v>7.2164948453608241E-2</v>
      </c>
      <c r="P316" s="5">
        <f>7/$P$1</f>
        <v>7.2164948453608241E-2</v>
      </c>
      <c r="R316">
        <v>22</v>
      </c>
      <c r="S316" s="5">
        <f>R316/R319</f>
        <v>0.1111111111111111</v>
      </c>
      <c r="T316" s="5">
        <f>22/$T$1</f>
        <v>0.1111111111111111</v>
      </c>
      <c r="V316">
        <v>29</v>
      </c>
      <c r="W316" s="5">
        <f>V316/V319</f>
        <v>0.12033195020746888</v>
      </c>
      <c r="X316" s="5">
        <f>29/$X$1</f>
        <v>0.12033195020746888</v>
      </c>
      <c r="Z316">
        <v>15</v>
      </c>
      <c r="AA316" s="5">
        <f>Z316/Z319</f>
        <v>7.575757575757576E-2</v>
      </c>
      <c r="AB316" s="5">
        <f>15/$AB$1</f>
        <v>7.575757575757576E-2</v>
      </c>
      <c r="AD316">
        <v>16</v>
      </c>
      <c r="AE316" s="5">
        <f>AD316/AD319</f>
        <v>0.1038961038961039</v>
      </c>
      <c r="AF316" s="5">
        <f>16/$AF$1</f>
        <v>0.1038961038961039</v>
      </c>
      <c r="AH316">
        <v>7</v>
      </c>
      <c r="AI316" s="5">
        <f>AH316/AH319</f>
        <v>5.8333333333333334E-2</v>
      </c>
      <c r="AJ316" s="5">
        <f>7/$AJ$1</f>
        <v>5.8333333333333334E-2</v>
      </c>
      <c r="AL316">
        <v>40</v>
      </c>
      <c r="AM316" s="5">
        <f>AL316/AL319</f>
        <v>0.10810810810810811</v>
      </c>
      <c r="AN316" s="5">
        <f>40/$AN$1</f>
        <v>0.10810810810810811</v>
      </c>
      <c r="AP316">
        <v>30</v>
      </c>
      <c r="AQ316" s="5">
        <f>AP316/AP319</f>
        <v>7.9365079365079361E-2</v>
      </c>
      <c r="AR316" s="5">
        <f>30/$AR$1</f>
        <v>7.9365079365079361E-2</v>
      </c>
      <c r="AT316">
        <v>24</v>
      </c>
      <c r="AU316" s="5">
        <f>AT316/AT319</f>
        <v>9.5238095238095233E-2</v>
      </c>
      <c r="AV316" s="5">
        <f>24/$AV$1</f>
        <v>9.5238095238095233E-2</v>
      </c>
      <c r="AX316">
        <v>22</v>
      </c>
      <c r="AY316" s="5">
        <f>AX316/AX319</f>
        <v>8.0586080586080591E-2</v>
      </c>
      <c r="AZ316" s="5">
        <f>22/$AZ$1</f>
        <v>8.0586080586080591E-2</v>
      </c>
      <c r="BA316" s="5"/>
      <c r="BB316">
        <v>21</v>
      </c>
      <c r="BC316" s="5">
        <f>BB316/BB319</f>
        <v>0.10344827586206896</v>
      </c>
      <c r="BD316" s="5">
        <f>21/$BD$1</f>
        <v>0.10344827586206896</v>
      </c>
      <c r="BF316">
        <v>25</v>
      </c>
      <c r="BG316" s="5">
        <f>BF316/BF319</f>
        <v>0.11627906976744186</v>
      </c>
      <c r="BH316" s="5">
        <f>25/$BH$1</f>
        <v>0.11627906976744186</v>
      </c>
      <c r="BJ316">
        <v>26</v>
      </c>
      <c r="BK316" s="5">
        <f>BJ316/BJ319</f>
        <v>8.4142394822006472E-2</v>
      </c>
      <c r="BL316" s="5">
        <f>26/$BL$1</f>
        <v>8.4142394822006472E-2</v>
      </c>
      <c r="BN316">
        <v>6</v>
      </c>
      <c r="BO316" s="5">
        <f>BN316/BN319</f>
        <v>0.1276595744680851</v>
      </c>
      <c r="BP316" s="5">
        <f>6/$BP$1</f>
        <v>0.1276595744680851</v>
      </c>
      <c r="BR316">
        <v>38</v>
      </c>
      <c r="BS316" s="5">
        <f>BR316/BR319</f>
        <v>0.12101910828025478</v>
      </c>
      <c r="BT316" s="5">
        <f>38/$BT$1</f>
        <v>0.12101910828025478</v>
      </c>
      <c r="BV316">
        <v>32</v>
      </c>
      <c r="BW316" s="5">
        <f>BV316/BV319</f>
        <v>8.1424936386768454E-2</v>
      </c>
      <c r="BX316" s="5">
        <f>32/$BX$1</f>
        <v>8.1424936386768454E-2</v>
      </c>
      <c r="BZ316">
        <v>18</v>
      </c>
      <c r="CA316" s="5">
        <f>BZ316/BZ319</f>
        <v>7.3170731707317069E-2</v>
      </c>
      <c r="CB316" s="5">
        <f>18/$CB$1</f>
        <v>7.3170731707317069E-2</v>
      </c>
      <c r="CD316">
        <v>11</v>
      </c>
      <c r="CE316" s="5">
        <f>CD316/CD319</f>
        <v>8.943089430894309E-2</v>
      </c>
      <c r="CF316" s="5">
        <f>11/$CF$1</f>
        <v>8.943089430894309E-2</v>
      </c>
      <c r="CH316">
        <v>55</v>
      </c>
      <c r="CI316" s="5">
        <f>CH316/CH319</f>
        <v>7.9941860465116282E-2</v>
      </c>
      <c r="CJ316" s="5">
        <f>55/$CJ$1</f>
        <v>7.9941860465116282E-2</v>
      </c>
      <c r="CL316">
        <v>61</v>
      </c>
      <c r="CM316" s="5">
        <f>CL316/CL319</f>
        <v>8.0474934036939311E-2</v>
      </c>
      <c r="CN316" s="5">
        <f>61/$CN$1</f>
        <v>8.0474934036939311E-2</v>
      </c>
      <c r="CP316">
        <v>33</v>
      </c>
      <c r="CQ316" s="5">
        <f>CP316/CP319</f>
        <v>0.13636363636363635</v>
      </c>
      <c r="CR316" s="5">
        <f>33/$CR$1</f>
        <v>0.13636363636363635</v>
      </c>
      <c r="CT316">
        <v>16</v>
      </c>
      <c r="CU316" s="5">
        <f>CT316/CT319</f>
        <v>4.8048048048048048E-2</v>
      </c>
      <c r="CV316" s="5">
        <f>16/$CV$1</f>
        <v>4.8048048048048048E-2</v>
      </c>
      <c r="CX316">
        <v>78</v>
      </c>
      <c r="CY316" s="5">
        <f>CX316/CX319</f>
        <v>0.11694152923538231</v>
      </c>
      <c r="CZ316" s="5">
        <f>78/$CZ$1</f>
        <v>0.11694152923538231</v>
      </c>
    </row>
    <row r="318" spans="1:104" x14ac:dyDescent="0.25">
      <c r="A318" s="1" t="s">
        <v>32</v>
      </c>
      <c r="B318">
        <v>0</v>
      </c>
      <c r="C318" s="5">
        <f>B318/B319</f>
        <v>0</v>
      </c>
      <c r="D318" s="5">
        <f>0/$D$1</f>
        <v>0</v>
      </c>
      <c r="F318">
        <v>0</v>
      </c>
      <c r="G318" s="5">
        <f>F318/F319</f>
        <v>0</v>
      </c>
      <c r="H318" s="5">
        <f>0/$H$1</f>
        <v>0</v>
      </c>
      <c r="J318">
        <v>0</v>
      </c>
      <c r="K318" s="5">
        <f>J318/J319</f>
        <v>0</v>
      </c>
      <c r="L318" s="5">
        <f>0/$L$1</f>
        <v>0</v>
      </c>
      <c r="N318">
        <v>0</v>
      </c>
      <c r="O318" s="5">
        <f>N318/N319</f>
        <v>0</v>
      </c>
      <c r="P318" s="5">
        <f>0/$P$1</f>
        <v>0</v>
      </c>
      <c r="R318">
        <v>0</v>
      </c>
      <c r="S318" s="5">
        <f>R318/R319</f>
        <v>0</v>
      </c>
      <c r="T318" s="5">
        <f>0/$T$1</f>
        <v>0</v>
      </c>
      <c r="V318">
        <v>0</v>
      </c>
      <c r="W318" s="5">
        <f>V318/V319</f>
        <v>0</v>
      </c>
      <c r="X318" s="5">
        <f>0/$X$1</f>
        <v>0</v>
      </c>
      <c r="Z318">
        <v>0</v>
      </c>
      <c r="AA318" s="5">
        <f>Z318/Z319</f>
        <v>0</v>
      </c>
      <c r="AB318" s="5">
        <f>0/$AB$1</f>
        <v>0</v>
      </c>
      <c r="AD318">
        <v>0</v>
      </c>
      <c r="AE318" s="5">
        <f>AD318/AD319</f>
        <v>0</v>
      </c>
      <c r="AF318" s="5">
        <f>0/$AF$1</f>
        <v>0</v>
      </c>
      <c r="AH318">
        <v>0</v>
      </c>
      <c r="AI318" s="5">
        <f>AH318/AH319</f>
        <v>0</v>
      </c>
      <c r="AJ318" s="5">
        <f>0/$AJ$1</f>
        <v>0</v>
      </c>
      <c r="AL318">
        <v>0</v>
      </c>
      <c r="AM318" s="5">
        <f>AL318/AL319</f>
        <v>0</v>
      </c>
      <c r="AN318" s="5">
        <f>0/$AN$1</f>
        <v>0</v>
      </c>
      <c r="AP318">
        <v>0</v>
      </c>
      <c r="AQ318" s="5">
        <f>AP318/AP319</f>
        <v>0</v>
      </c>
      <c r="AR318" s="5">
        <f>0/$AR$1</f>
        <v>0</v>
      </c>
      <c r="AT318">
        <v>0</v>
      </c>
      <c r="AU318" s="5">
        <f>AT318/AT319</f>
        <v>0</v>
      </c>
      <c r="AV318" s="5">
        <f>0/$AV$1</f>
        <v>0</v>
      </c>
      <c r="AX318">
        <v>0</v>
      </c>
      <c r="AY318" s="5">
        <f>AX318/AX319</f>
        <v>0</v>
      </c>
      <c r="AZ318" s="5">
        <f>0/$AZ$1</f>
        <v>0</v>
      </c>
      <c r="BA318" s="5"/>
      <c r="BB318">
        <v>0</v>
      </c>
      <c r="BC318" s="5">
        <f>BB318/BB319</f>
        <v>0</v>
      </c>
      <c r="BD318" s="5">
        <f>0/$BD$1</f>
        <v>0</v>
      </c>
      <c r="BF318">
        <v>0</v>
      </c>
      <c r="BG318" s="5">
        <f>BF318/BF319</f>
        <v>0</v>
      </c>
      <c r="BH318" s="5">
        <f>0/$BH$1</f>
        <v>0</v>
      </c>
      <c r="BJ318">
        <v>0</v>
      </c>
      <c r="BK318" s="5">
        <f>BJ318/BJ319</f>
        <v>0</v>
      </c>
      <c r="BL318" s="5">
        <f>0/$BL$1</f>
        <v>0</v>
      </c>
      <c r="BN318">
        <v>0</v>
      </c>
      <c r="BO318" s="5">
        <f>BN318/BN319</f>
        <v>0</v>
      </c>
      <c r="BP318" s="5">
        <f>0/$BP$1</f>
        <v>0</v>
      </c>
      <c r="BR318">
        <v>0</v>
      </c>
      <c r="BS318" s="5">
        <f>BR318/BR319</f>
        <v>0</v>
      </c>
      <c r="BT318" s="5">
        <f>0/$BT$1</f>
        <v>0</v>
      </c>
      <c r="BV318">
        <v>0</v>
      </c>
      <c r="BW318" s="5">
        <f>BV318/BV319</f>
        <v>0</v>
      </c>
      <c r="BX318" s="5">
        <f>0/$BX$1</f>
        <v>0</v>
      </c>
      <c r="BZ318">
        <v>0</v>
      </c>
      <c r="CA318" s="5">
        <f>BZ318/BZ319</f>
        <v>0</v>
      </c>
      <c r="CB318" s="5">
        <f>0/$CB$1</f>
        <v>0</v>
      </c>
      <c r="CD318">
        <v>0</v>
      </c>
      <c r="CE318" s="5">
        <f>CD318/CD319</f>
        <v>0</v>
      </c>
      <c r="CF318" s="5">
        <f>0/$CF$1</f>
        <v>0</v>
      </c>
      <c r="CH318">
        <v>0</v>
      </c>
      <c r="CI318" s="5">
        <f>CH318/CH319</f>
        <v>0</v>
      </c>
      <c r="CJ318" s="5">
        <f>0/$CJ$1</f>
        <v>0</v>
      </c>
      <c r="CL318">
        <v>0</v>
      </c>
      <c r="CM318" s="5">
        <f>CL318/CL319</f>
        <v>0</v>
      </c>
      <c r="CN318" s="5">
        <f>0/$CN$1</f>
        <v>0</v>
      </c>
      <c r="CP318">
        <v>0</v>
      </c>
      <c r="CQ318" s="5">
        <f>CP318/CP319</f>
        <v>0</v>
      </c>
      <c r="CR318" s="5">
        <f>0/$CR$1</f>
        <v>0</v>
      </c>
      <c r="CT318">
        <v>0</v>
      </c>
      <c r="CU318" s="5">
        <f>CT318/CT319</f>
        <v>0</v>
      </c>
      <c r="CV318" s="5">
        <f>0/$CV$1</f>
        <v>0</v>
      </c>
      <c r="CX318">
        <v>0</v>
      </c>
      <c r="CY318" s="5">
        <f>CX318/CX319</f>
        <v>0</v>
      </c>
      <c r="CZ318" s="5">
        <f>0/$CZ$1</f>
        <v>0</v>
      </c>
    </row>
    <row r="319" spans="1:104" s="6" customFormat="1" x14ac:dyDescent="0.25">
      <c r="A319" s="7" t="s">
        <v>33</v>
      </c>
      <c r="B319" s="6">
        <v>1000</v>
      </c>
      <c r="D319" s="8">
        <f>1000/$D$1</f>
        <v>1</v>
      </c>
      <c r="F319" s="6">
        <v>501</v>
      </c>
      <c r="H319" s="8">
        <f>501/$H$1</f>
        <v>1</v>
      </c>
      <c r="J319" s="6">
        <v>499</v>
      </c>
      <c r="L319" s="8">
        <f>499/$L$1</f>
        <v>1</v>
      </c>
      <c r="N319" s="6">
        <v>97</v>
      </c>
      <c r="P319" s="8">
        <f>97/$P$1</f>
        <v>1</v>
      </c>
      <c r="R319" s="6">
        <v>198</v>
      </c>
      <c r="T319" s="8">
        <f>198/$T$1</f>
        <v>1</v>
      </c>
      <c r="V319" s="6">
        <v>241</v>
      </c>
      <c r="X319" s="8">
        <f>241/$X$1</f>
        <v>1</v>
      </c>
      <c r="Z319" s="6">
        <v>198</v>
      </c>
      <c r="AB319" s="8">
        <f>198/$AB$1</f>
        <v>1</v>
      </c>
      <c r="AD319" s="6">
        <v>154</v>
      </c>
      <c r="AF319" s="8">
        <f>154/$AF$1</f>
        <v>1</v>
      </c>
      <c r="AH319" s="6">
        <v>120</v>
      </c>
      <c r="AJ319" s="8">
        <f>120/$AJ$1</f>
        <v>1</v>
      </c>
      <c r="AL319" s="6">
        <v>370</v>
      </c>
      <c r="AN319" s="8">
        <f>370/$AN$1</f>
        <v>1</v>
      </c>
      <c r="AP319" s="6">
        <v>378</v>
      </c>
      <c r="AR319" s="8">
        <f>378/$AR$1</f>
        <v>1</v>
      </c>
      <c r="AT319" s="6">
        <v>252</v>
      </c>
      <c r="AV319" s="8">
        <f>252/$AV$1</f>
        <v>1</v>
      </c>
      <c r="AX319" s="6">
        <v>273</v>
      </c>
      <c r="AZ319" s="8">
        <f>273/$AZ$1</f>
        <v>1</v>
      </c>
      <c r="BA319" s="8"/>
      <c r="BB319" s="6">
        <v>203</v>
      </c>
      <c r="BD319" s="8">
        <f>203/$BD$1</f>
        <v>1</v>
      </c>
      <c r="BF319" s="6">
        <v>215</v>
      </c>
      <c r="BH319" s="8">
        <f>215/$BH$1</f>
        <v>1</v>
      </c>
      <c r="BJ319" s="6">
        <v>309</v>
      </c>
      <c r="BL319" s="8">
        <f>309/$BL$1</f>
        <v>1</v>
      </c>
      <c r="BN319" s="6">
        <v>47</v>
      </c>
      <c r="BP319" s="8">
        <f>47/$BP$1</f>
        <v>1</v>
      </c>
      <c r="BR319" s="6">
        <v>314</v>
      </c>
      <c r="BT319" s="8">
        <f>314/$BT$1</f>
        <v>1</v>
      </c>
      <c r="BV319" s="6">
        <v>393</v>
      </c>
      <c r="BX319" s="8">
        <f>393/$BX$1</f>
        <v>1</v>
      </c>
      <c r="BZ319" s="6">
        <v>246</v>
      </c>
      <c r="CB319" s="8">
        <f>246/$CB$1</f>
        <v>1</v>
      </c>
      <c r="CD319" s="6">
        <v>123</v>
      </c>
      <c r="CF319" s="8">
        <f>123/$CF$1</f>
        <v>1</v>
      </c>
      <c r="CH319" s="6">
        <v>688</v>
      </c>
      <c r="CJ319" s="8">
        <f>688/$CJ$1</f>
        <v>1</v>
      </c>
      <c r="CL319" s="6">
        <v>758</v>
      </c>
      <c r="CN319" s="8">
        <f>758/$CN$1</f>
        <v>1</v>
      </c>
      <c r="CP319" s="6">
        <v>242</v>
      </c>
      <c r="CR319" s="8">
        <f>242/$CR$1</f>
        <v>1</v>
      </c>
      <c r="CT319" s="6">
        <v>333</v>
      </c>
      <c r="CV319" s="8">
        <f>333/$CV$1</f>
        <v>1</v>
      </c>
      <c r="CX319" s="6">
        <v>667</v>
      </c>
      <c r="CZ319" s="8">
        <f>667/$CZ$1</f>
        <v>1</v>
      </c>
    </row>
    <row r="320" spans="1:104" ht="15" hidden="1" customHeight="1" x14ac:dyDescent="0.25">
      <c r="A320" s="9" t="s">
        <v>34</v>
      </c>
      <c r="B320">
        <v>0</v>
      </c>
      <c r="D320" s="10">
        <f>0/$D$1</f>
        <v>0</v>
      </c>
      <c r="F320">
        <v>0</v>
      </c>
      <c r="H320" s="10">
        <f>0/$H$1</f>
        <v>0</v>
      </c>
      <c r="J320">
        <v>0</v>
      </c>
      <c r="L320" s="10">
        <f>0/$L$1</f>
        <v>0</v>
      </c>
      <c r="N320">
        <v>0</v>
      </c>
      <c r="P320" s="10">
        <f>0/$P$1</f>
        <v>0</v>
      </c>
      <c r="R320">
        <v>0</v>
      </c>
      <c r="T320" s="10">
        <f>0/$T$1</f>
        <v>0</v>
      </c>
      <c r="V320">
        <v>0</v>
      </c>
      <c r="X320" s="10">
        <f>0/$X$1</f>
        <v>0</v>
      </c>
      <c r="Z320">
        <v>0</v>
      </c>
      <c r="AB320" s="10">
        <f>0/$AB$1</f>
        <v>0</v>
      </c>
      <c r="AD320">
        <v>0</v>
      </c>
      <c r="AF320" s="10">
        <f>0/$AF$1</f>
        <v>0</v>
      </c>
      <c r="AH320">
        <v>0</v>
      </c>
      <c r="AJ320" s="10">
        <f>0/$AJ$1</f>
        <v>0</v>
      </c>
      <c r="AL320">
        <v>0</v>
      </c>
      <c r="AN320" s="10">
        <f>0/$AN$1</f>
        <v>0</v>
      </c>
      <c r="AP320">
        <v>0</v>
      </c>
      <c r="AR320" s="10">
        <f>0/$AR$1</f>
        <v>0</v>
      </c>
      <c r="AT320">
        <v>0</v>
      </c>
      <c r="AV320" s="10">
        <f>0/$AV$1</f>
        <v>0</v>
      </c>
      <c r="AX320">
        <v>0</v>
      </c>
      <c r="AZ320" s="10">
        <f>0/$AZ$1</f>
        <v>0</v>
      </c>
      <c r="BA320" s="10"/>
      <c r="BB320">
        <v>0</v>
      </c>
      <c r="BD320" s="10">
        <f>0/$BD$1</f>
        <v>0</v>
      </c>
      <c r="BF320">
        <v>0</v>
      </c>
      <c r="BH320" s="10">
        <f>0/$BH$1</f>
        <v>0</v>
      </c>
      <c r="BJ320">
        <v>0</v>
      </c>
      <c r="BL320" s="10">
        <f>0/$BL$1</f>
        <v>0</v>
      </c>
      <c r="BN320">
        <v>0</v>
      </c>
      <c r="BP320" s="10">
        <f>0/$BP$1</f>
        <v>0</v>
      </c>
      <c r="BR320">
        <v>0</v>
      </c>
      <c r="BT320" s="10">
        <f>0/$BT$1</f>
        <v>0</v>
      </c>
      <c r="BV320">
        <v>0</v>
      </c>
      <c r="BX320" s="10">
        <f>0/$BX$1</f>
        <v>0</v>
      </c>
      <c r="BZ320">
        <v>0</v>
      </c>
      <c r="CB320" s="10">
        <f>0/$CB$1</f>
        <v>0</v>
      </c>
      <c r="CD320">
        <v>0</v>
      </c>
      <c r="CF320" s="10">
        <f>0/$CF$1</f>
        <v>0</v>
      </c>
      <c r="CH320">
        <v>0</v>
      </c>
      <c r="CJ320" s="10">
        <f>0/$CJ$1</f>
        <v>0</v>
      </c>
      <c r="CL320">
        <v>0</v>
      </c>
      <c r="CN320" s="10">
        <f>0/$CN$1</f>
        <v>0</v>
      </c>
      <c r="CP320">
        <v>0</v>
      </c>
      <c r="CR320" s="10">
        <f>0/$CR$1</f>
        <v>0</v>
      </c>
      <c r="CT320">
        <v>0</v>
      </c>
      <c r="CV320" s="10">
        <f>0/$CV$1</f>
        <v>0</v>
      </c>
      <c r="CX320">
        <v>0</v>
      </c>
      <c r="CZ320" s="10">
        <f>0/$CZ$1</f>
        <v>0</v>
      </c>
    </row>
    <row r="321" spans="1:104" ht="15" hidden="1" customHeight="1" x14ac:dyDescent="0.25">
      <c r="A321" s="9" t="s">
        <v>35</v>
      </c>
      <c r="B321">
        <v>0</v>
      </c>
      <c r="D321" s="10">
        <f>0/$D$1</f>
        <v>0</v>
      </c>
      <c r="F321">
        <v>0</v>
      </c>
      <c r="H321" s="10">
        <f>0/$H$1</f>
        <v>0</v>
      </c>
      <c r="J321">
        <v>0</v>
      </c>
      <c r="L321" s="10">
        <f>0/$L$1</f>
        <v>0</v>
      </c>
      <c r="N321">
        <v>0</v>
      </c>
      <c r="P321" s="10">
        <f>0/$P$1</f>
        <v>0</v>
      </c>
      <c r="R321">
        <v>0</v>
      </c>
      <c r="T321" s="10">
        <f>0/$T$1</f>
        <v>0</v>
      </c>
      <c r="V321">
        <v>0</v>
      </c>
      <c r="X321" s="10">
        <f>0/$X$1</f>
        <v>0</v>
      </c>
      <c r="Z321">
        <v>0</v>
      </c>
      <c r="AB321" s="10">
        <f>0/$AB$1</f>
        <v>0</v>
      </c>
      <c r="AD321">
        <v>0</v>
      </c>
      <c r="AF321" s="10">
        <f>0/$AF$1</f>
        <v>0</v>
      </c>
      <c r="AH321">
        <v>0</v>
      </c>
      <c r="AJ321" s="10">
        <f>0/$AJ$1</f>
        <v>0</v>
      </c>
      <c r="AL321">
        <v>0</v>
      </c>
      <c r="AN321" s="10">
        <f>0/$AN$1</f>
        <v>0</v>
      </c>
      <c r="AP321">
        <v>0</v>
      </c>
      <c r="AR321" s="10">
        <f>0/$AR$1</f>
        <v>0</v>
      </c>
      <c r="AT321">
        <v>0</v>
      </c>
      <c r="AV321" s="10">
        <f>0/$AV$1</f>
        <v>0</v>
      </c>
      <c r="AX321">
        <v>0</v>
      </c>
      <c r="AZ321" s="10">
        <f>0/$AZ$1</f>
        <v>0</v>
      </c>
      <c r="BA321" s="10"/>
      <c r="BB321">
        <v>0</v>
      </c>
      <c r="BD321" s="10">
        <f>0/$BD$1</f>
        <v>0</v>
      </c>
      <c r="BF321">
        <v>0</v>
      </c>
      <c r="BH321" s="10">
        <f>0/$BH$1</f>
        <v>0</v>
      </c>
      <c r="BJ321">
        <v>0</v>
      </c>
      <c r="BL321" s="10">
        <f>0/$BL$1</f>
        <v>0</v>
      </c>
      <c r="BN321">
        <v>0</v>
      </c>
      <c r="BP321" s="10">
        <f>0/$BP$1</f>
        <v>0</v>
      </c>
      <c r="BR321">
        <v>0</v>
      </c>
      <c r="BT321" s="10">
        <f>0/$BT$1</f>
        <v>0</v>
      </c>
      <c r="BV321">
        <v>0</v>
      </c>
      <c r="BX321" s="10">
        <f>0/$BX$1</f>
        <v>0</v>
      </c>
      <c r="BZ321">
        <v>0</v>
      </c>
      <c r="CB321" s="10">
        <f>0/$CB$1</f>
        <v>0</v>
      </c>
      <c r="CD321">
        <v>0</v>
      </c>
      <c r="CF321" s="10">
        <f>0/$CF$1</f>
        <v>0</v>
      </c>
      <c r="CH321">
        <v>0</v>
      </c>
      <c r="CJ321" s="10">
        <f>0/$CJ$1</f>
        <v>0</v>
      </c>
      <c r="CL321">
        <v>0</v>
      </c>
      <c r="CN321" s="10">
        <f>0/$CN$1</f>
        <v>0</v>
      </c>
      <c r="CP321">
        <v>0</v>
      </c>
      <c r="CR321" s="10">
        <f>0/$CR$1</f>
        <v>0</v>
      </c>
      <c r="CT321">
        <v>0</v>
      </c>
      <c r="CV321" s="10">
        <f>0/$CV$1</f>
        <v>0</v>
      </c>
      <c r="CX321">
        <v>0</v>
      </c>
      <c r="CZ321" s="10">
        <f>0/$CZ$1</f>
        <v>0</v>
      </c>
    </row>
    <row r="323" spans="1:104" s="3" customFormat="1" x14ac:dyDescent="0.25">
      <c r="A323" s="3" t="s">
        <v>2950</v>
      </c>
      <c r="D323" s="4" t="s">
        <v>27</v>
      </c>
      <c r="H323" s="4" t="s">
        <v>27</v>
      </c>
      <c r="L323" s="4" t="s">
        <v>27</v>
      </c>
      <c r="P323" s="4" t="s">
        <v>27</v>
      </c>
      <c r="T323" s="4" t="s">
        <v>27</v>
      </c>
      <c r="X323" s="4" t="s">
        <v>27</v>
      </c>
      <c r="AB323" s="4" t="s">
        <v>27</v>
      </c>
      <c r="AF323" s="4" t="s">
        <v>27</v>
      </c>
      <c r="AJ323" s="4" t="s">
        <v>27</v>
      </c>
      <c r="AN323" s="4" t="s">
        <v>27</v>
      </c>
      <c r="AR323" s="4" t="s">
        <v>27</v>
      </c>
      <c r="AV323" s="4" t="s">
        <v>27</v>
      </c>
      <c r="AZ323" s="4" t="s">
        <v>27</v>
      </c>
      <c r="BA323" s="4"/>
      <c r="BD323" s="4" t="s">
        <v>27</v>
      </c>
      <c r="BH323" s="4" t="s">
        <v>27</v>
      </c>
      <c r="BL323" s="4" t="s">
        <v>27</v>
      </c>
      <c r="BP323" s="4" t="s">
        <v>27</v>
      </c>
      <c r="BT323" s="4" t="s">
        <v>27</v>
      </c>
      <c r="BX323" s="4" t="s">
        <v>27</v>
      </c>
      <c r="CB323" s="4" t="s">
        <v>27</v>
      </c>
      <c r="CF323" s="4" t="s">
        <v>27</v>
      </c>
      <c r="CJ323" s="4" t="s">
        <v>27</v>
      </c>
      <c r="CN323" s="4" t="s">
        <v>27</v>
      </c>
      <c r="CR323" s="4" t="s">
        <v>27</v>
      </c>
      <c r="CV323" s="4" t="s">
        <v>27</v>
      </c>
      <c r="CZ323" s="4" t="s">
        <v>27</v>
      </c>
    </row>
    <row r="324" spans="1:104" x14ac:dyDescent="0.25">
      <c r="A324" s="1" t="s">
        <v>2951</v>
      </c>
      <c r="B324">
        <v>598</v>
      </c>
      <c r="C324" s="5">
        <f>B324/B384</f>
        <v>0.59799999999999998</v>
      </c>
      <c r="D324" s="5">
        <f>598/$D$1</f>
        <v>0.59799999999999998</v>
      </c>
      <c r="F324">
        <v>272</v>
      </c>
      <c r="G324" s="5">
        <f>F324/F384</f>
        <v>0.54291417165668665</v>
      </c>
      <c r="H324" s="5">
        <f>272/$H$1</f>
        <v>0.54291417165668665</v>
      </c>
      <c r="J324">
        <v>326</v>
      </c>
      <c r="K324" s="5">
        <f>J324/J384</f>
        <v>0.65330661322645289</v>
      </c>
      <c r="L324" s="5">
        <f>326/$L$1</f>
        <v>0.65330661322645289</v>
      </c>
      <c r="N324">
        <v>61</v>
      </c>
      <c r="O324" s="5">
        <f>N324/N384</f>
        <v>0.62886597938144329</v>
      </c>
      <c r="P324" s="5">
        <f>61/$P$1</f>
        <v>0.62886597938144329</v>
      </c>
      <c r="R324">
        <v>129</v>
      </c>
      <c r="S324" s="5">
        <f>R324/R384</f>
        <v>0.65151515151515149</v>
      </c>
      <c r="T324" s="5">
        <f>129/$T$1</f>
        <v>0.65151515151515149</v>
      </c>
      <c r="V324">
        <v>147</v>
      </c>
      <c r="W324" s="5">
        <f>V324/V384</f>
        <v>0.60995850622406644</v>
      </c>
      <c r="X324" s="5">
        <f>147/$X$1</f>
        <v>0.60995850622406644</v>
      </c>
      <c r="Z324">
        <v>108</v>
      </c>
      <c r="AA324" s="5">
        <f>Z324/Z384</f>
        <v>0.54545454545454541</v>
      </c>
      <c r="AB324" s="5">
        <f>108/$AB$1</f>
        <v>0.54545454545454541</v>
      </c>
      <c r="AD324">
        <v>87</v>
      </c>
      <c r="AE324" s="5">
        <f>AD324/AD384</f>
        <v>0.56493506493506496</v>
      </c>
      <c r="AF324" s="5">
        <f>87/$AF$1</f>
        <v>0.56493506493506496</v>
      </c>
      <c r="AH324">
        <v>70</v>
      </c>
      <c r="AI324" s="5">
        <f>AH324/AH384</f>
        <v>0.58333333333333337</v>
      </c>
      <c r="AJ324" s="5">
        <f>70/$AJ$1</f>
        <v>0.58333333333333337</v>
      </c>
      <c r="AL324">
        <v>211</v>
      </c>
      <c r="AM324" s="5">
        <f>AL324/AL384</f>
        <v>0.57027027027027022</v>
      </c>
      <c r="AN324" s="5">
        <f>211/$AN$1</f>
        <v>0.57027027027027022</v>
      </c>
      <c r="AP324">
        <v>220</v>
      </c>
      <c r="AQ324" s="5">
        <f>AP324/AP384</f>
        <v>0.58201058201058198</v>
      </c>
      <c r="AR324" s="5">
        <f>220/$AR$1</f>
        <v>0.58201058201058198</v>
      </c>
      <c r="AT324">
        <v>167</v>
      </c>
      <c r="AU324" s="5">
        <f>AT324/AT384</f>
        <v>0.66269841269841268</v>
      </c>
      <c r="AV324" s="5">
        <f>167/$AV$1</f>
        <v>0.66269841269841268</v>
      </c>
      <c r="AX324">
        <v>160</v>
      </c>
      <c r="AY324" s="5">
        <f>AX324/AX384</f>
        <v>0.58608058608058611</v>
      </c>
      <c r="AZ324" s="5">
        <f>160/$AZ$1</f>
        <v>0.58608058608058611</v>
      </c>
      <c r="BA324" s="5"/>
      <c r="BB324">
        <v>109</v>
      </c>
      <c r="BC324" s="5">
        <f>BB324/BB384</f>
        <v>0.53694581280788178</v>
      </c>
      <c r="BD324" s="5">
        <f>109/$BD$1</f>
        <v>0.53694581280788178</v>
      </c>
      <c r="BF324">
        <v>133</v>
      </c>
      <c r="BG324" s="5">
        <f>BF324/BF384</f>
        <v>0.61860465116279073</v>
      </c>
      <c r="BH324" s="5">
        <f>133/$BH$1</f>
        <v>0.61860465116279073</v>
      </c>
      <c r="BJ324">
        <v>196</v>
      </c>
      <c r="BK324" s="5">
        <f>BJ324/BJ384</f>
        <v>0.63430420711974111</v>
      </c>
      <c r="BL324" s="5">
        <f>196/$BL$1</f>
        <v>0.63430420711974111</v>
      </c>
      <c r="BN324">
        <v>20</v>
      </c>
      <c r="BO324" s="5">
        <f>BN324/BN384</f>
        <v>0.42553191489361702</v>
      </c>
      <c r="BP324" s="5">
        <f>20/$BP$1</f>
        <v>0.42553191489361702</v>
      </c>
      <c r="BR324">
        <v>158</v>
      </c>
      <c r="BS324" s="5">
        <f>BR324/BR384</f>
        <v>0.50318471337579618</v>
      </c>
      <c r="BT324" s="5">
        <f>158/$BT$1</f>
        <v>0.50318471337579618</v>
      </c>
      <c r="BV324">
        <v>243</v>
      </c>
      <c r="BW324" s="5">
        <f>BV324/BV384</f>
        <v>0.61832061068702293</v>
      </c>
      <c r="BX324" s="5">
        <f>243/$BX$1</f>
        <v>0.61832061068702293</v>
      </c>
      <c r="BZ324">
        <v>177</v>
      </c>
      <c r="CA324" s="5">
        <f>BZ324/BZ384</f>
        <v>0.71951219512195119</v>
      </c>
      <c r="CB324" s="5">
        <f>177/$CB$1</f>
        <v>0.71951219512195119</v>
      </c>
      <c r="CD324">
        <v>79</v>
      </c>
      <c r="CE324" s="5">
        <f>CD324/CD384</f>
        <v>0.64227642276422769</v>
      </c>
      <c r="CF324" s="5">
        <f>79/$CF$1</f>
        <v>0.64227642276422769</v>
      </c>
      <c r="CH324">
        <v>397</v>
      </c>
      <c r="CI324" s="5">
        <f>CH324/CH384</f>
        <v>0.57703488372093026</v>
      </c>
      <c r="CJ324" s="5">
        <f>397/$CJ$1</f>
        <v>0.57703488372093026</v>
      </c>
      <c r="CL324">
        <v>465</v>
      </c>
      <c r="CM324" s="5">
        <f>CL324/CL384</f>
        <v>0.61345646437994727</v>
      </c>
      <c r="CN324" s="5">
        <f>465/$CN$1</f>
        <v>0.61345646437994727</v>
      </c>
      <c r="CP324">
        <v>133</v>
      </c>
      <c r="CQ324" s="5">
        <f>CP324/CP384</f>
        <v>0.54958677685950408</v>
      </c>
      <c r="CR324" s="5">
        <f>133/$CR$1</f>
        <v>0.54958677685950408</v>
      </c>
      <c r="CT324">
        <v>229</v>
      </c>
      <c r="CU324" s="5">
        <f>CT324/CT384</f>
        <v>0.68768768768768773</v>
      </c>
      <c r="CV324" s="5">
        <f>229/$CV$1</f>
        <v>0.68768768768768773</v>
      </c>
      <c r="CX324">
        <v>369</v>
      </c>
      <c r="CY324" s="5">
        <f>CX324/CX384</f>
        <v>0.55322338830584705</v>
      </c>
      <c r="CZ324" s="5">
        <f>369/$CZ$1</f>
        <v>0.55322338830584705</v>
      </c>
    </row>
    <row r="325" spans="1:104" x14ac:dyDescent="0.25">
      <c r="A325" s="1" t="s">
        <v>2952</v>
      </c>
      <c r="B325">
        <v>209</v>
      </c>
      <c r="C325" s="5">
        <f>B325/B384</f>
        <v>0.20899999999999999</v>
      </c>
      <c r="D325" s="5">
        <f>209/$D$1</f>
        <v>0.20899999999999999</v>
      </c>
      <c r="F325">
        <v>106</v>
      </c>
      <c r="G325" s="5">
        <f>F325/F384</f>
        <v>0.21157684630738524</v>
      </c>
      <c r="H325" s="5">
        <f>106/$H$1</f>
        <v>0.21157684630738524</v>
      </c>
      <c r="J325">
        <v>103</v>
      </c>
      <c r="K325" s="5">
        <f>J325/J384</f>
        <v>0.20641282565130262</v>
      </c>
      <c r="L325" s="5">
        <f>103/$L$1</f>
        <v>0.20641282565130262</v>
      </c>
      <c r="N325">
        <v>23</v>
      </c>
      <c r="O325" s="5">
        <f>N325/N384</f>
        <v>0.23711340206185566</v>
      </c>
      <c r="P325" s="5">
        <f>23/$P$1</f>
        <v>0.23711340206185566</v>
      </c>
      <c r="R325">
        <v>35</v>
      </c>
      <c r="S325" s="5">
        <f>R325/R384</f>
        <v>0.17676767676767677</v>
      </c>
      <c r="T325" s="5">
        <f>35/$T$1</f>
        <v>0.17676767676767677</v>
      </c>
      <c r="V325">
        <v>50</v>
      </c>
      <c r="W325" s="5">
        <f>V325/V384</f>
        <v>0.2074688796680498</v>
      </c>
      <c r="X325" s="5">
        <f>50/$X$1</f>
        <v>0.2074688796680498</v>
      </c>
      <c r="Z325">
        <v>51</v>
      </c>
      <c r="AA325" s="5">
        <f>Z325/Z384</f>
        <v>0.25757575757575757</v>
      </c>
      <c r="AB325" s="5">
        <f>51/$AB$1</f>
        <v>0.25757575757575757</v>
      </c>
      <c r="AD325">
        <v>28</v>
      </c>
      <c r="AE325" s="5">
        <f>AD325/AD384</f>
        <v>0.18181818181818182</v>
      </c>
      <c r="AF325" s="5">
        <f>28/$AF$1</f>
        <v>0.18181818181818182</v>
      </c>
      <c r="AH325">
        <v>24</v>
      </c>
      <c r="AI325" s="5">
        <f>AH325/AH384</f>
        <v>0.2</v>
      </c>
      <c r="AJ325" s="5">
        <f>24/$AJ$1</f>
        <v>0.2</v>
      </c>
      <c r="AL325">
        <v>84</v>
      </c>
      <c r="AM325" s="5">
        <f>AL325/AL384</f>
        <v>0.22702702702702704</v>
      </c>
      <c r="AN325" s="5">
        <f>84/$AN$1</f>
        <v>0.22702702702702704</v>
      </c>
      <c r="AP325">
        <v>86</v>
      </c>
      <c r="AQ325" s="5">
        <f>AP325/AP384</f>
        <v>0.2275132275132275</v>
      </c>
      <c r="AR325" s="5">
        <f>86/$AR$1</f>
        <v>0.2275132275132275</v>
      </c>
      <c r="AT325">
        <v>39</v>
      </c>
      <c r="AU325" s="5">
        <f>AT325/AT384</f>
        <v>0.15476190476190477</v>
      </c>
      <c r="AV325" s="5">
        <f>39/$AV$1</f>
        <v>0.15476190476190477</v>
      </c>
      <c r="AX325">
        <v>62</v>
      </c>
      <c r="AY325" s="5">
        <f>AX325/AX384</f>
        <v>0.2271062271062271</v>
      </c>
      <c r="AZ325" s="5">
        <f>62/$AZ$1</f>
        <v>0.2271062271062271</v>
      </c>
      <c r="BA325" s="5"/>
      <c r="BB325">
        <v>51</v>
      </c>
      <c r="BC325" s="5">
        <f>BB325/BB384</f>
        <v>0.25123152709359609</v>
      </c>
      <c r="BD325" s="5">
        <f>51/$BD$1</f>
        <v>0.25123152709359609</v>
      </c>
      <c r="BF325">
        <v>39</v>
      </c>
      <c r="BG325" s="5">
        <f>BF325/BF384</f>
        <v>0.18139534883720931</v>
      </c>
      <c r="BH325" s="5">
        <f>39/$BH$1</f>
        <v>0.18139534883720931</v>
      </c>
      <c r="BJ325">
        <v>57</v>
      </c>
      <c r="BK325" s="5">
        <f>BJ325/BJ384</f>
        <v>0.18446601941747573</v>
      </c>
      <c r="BL325" s="5">
        <f>57/$BL$1</f>
        <v>0.18446601941747573</v>
      </c>
      <c r="BN325">
        <v>10</v>
      </c>
      <c r="BO325" s="5">
        <f>BN325/BN384</f>
        <v>0.21276595744680851</v>
      </c>
      <c r="BP325" s="5">
        <f>10/$BP$1</f>
        <v>0.21276595744680851</v>
      </c>
      <c r="BR325">
        <v>90</v>
      </c>
      <c r="BS325" s="5">
        <f>BR325/BR384</f>
        <v>0.28662420382165604</v>
      </c>
      <c r="BT325" s="5">
        <f>90/$BT$1</f>
        <v>0.28662420382165604</v>
      </c>
      <c r="BV325">
        <v>73</v>
      </c>
      <c r="BW325" s="5">
        <f>BV325/BV384</f>
        <v>0.18575063613231552</v>
      </c>
      <c r="BX325" s="5">
        <f>73/$BX$1</f>
        <v>0.18575063613231552</v>
      </c>
      <c r="BZ325">
        <v>36</v>
      </c>
      <c r="CA325" s="5">
        <f>BZ325/BZ384</f>
        <v>0.14634146341463414</v>
      </c>
      <c r="CB325" s="5">
        <f>36/$CB$1</f>
        <v>0.14634146341463414</v>
      </c>
      <c r="CD325">
        <v>27</v>
      </c>
      <c r="CE325" s="5">
        <f>CD325/CD384</f>
        <v>0.21951219512195122</v>
      </c>
      <c r="CF325" s="5">
        <f>27/$CF$1</f>
        <v>0.21951219512195122</v>
      </c>
      <c r="CH325">
        <v>146</v>
      </c>
      <c r="CI325" s="5">
        <f>CH325/CH384</f>
        <v>0.21220930232558138</v>
      </c>
      <c r="CJ325" s="5">
        <f>146/$CJ$1</f>
        <v>0.21220930232558138</v>
      </c>
      <c r="CL325">
        <v>179</v>
      </c>
      <c r="CM325" s="5">
        <f>CL325/CL384</f>
        <v>0.23614775725593667</v>
      </c>
      <c r="CN325" s="5">
        <f>179/$CN$1</f>
        <v>0.23614775725593667</v>
      </c>
      <c r="CP325">
        <v>30</v>
      </c>
      <c r="CQ325" s="5">
        <f>CP325/CP384</f>
        <v>0.12396694214876033</v>
      </c>
      <c r="CR325" s="5">
        <f>30/$CR$1</f>
        <v>0.12396694214876033</v>
      </c>
      <c r="CT325">
        <v>66</v>
      </c>
      <c r="CU325" s="5">
        <f>CT325/CT384</f>
        <v>0.1981981981981982</v>
      </c>
      <c r="CV325" s="5">
        <f>66/$CV$1</f>
        <v>0.1981981981981982</v>
      </c>
      <c r="CX325">
        <v>143</v>
      </c>
      <c r="CY325" s="5">
        <f>CX325/CX384</f>
        <v>0.2143928035982009</v>
      </c>
      <c r="CZ325" s="5">
        <f>143/$CZ$1</f>
        <v>0.2143928035982009</v>
      </c>
    </row>
    <row r="326" spans="1:104" x14ac:dyDescent="0.25">
      <c r="A326" s="1" t="s">
        <v>2953</v>
      </c>
      <c r="B326">
        <v>193</v>
      </c>
      <c r="C326" s="5">
        <f>B326/B384</f>
        <v>0.193</v>
      </c>
      <c r="D326" s="5">
        <f>193/$D$1</f>
        <v>0.193</v>
      </c>
      <c r="F326">
        <v>123</v>
      </c>
      <c r="G326" s="5">
        <f>F326/F384</f>
        <v>0.24550898203592814</v>
      </c>
      <c r="H326" s="5">
        <f>123/$H$1</f>
        <v>0.24550898203592814</v>
      </c>
      <c r="J326">
        <v>70</v>
      </c>
      <c r="K326" s="5">
        <f>J326/J384</f>
        <v>0.14028056112224449</v>
      </c>
      <c r="L326" s="5">
        <f>70/$L$1</f>
        <v>0.14028056112224449</v>
      </c>
      <c r="N326">
        <v>13</v>
      </c>
      <c r="O326" s="5">
        <f>N326/N384</f>
        <v>0.13402061855670103</v>
      </c>
      <c r="P326" s="5">
        <f>13/$P$1</f>
        <v>0.13402061855670103</v>
      </c>
      <c r="R326">
        <v>34</v>
      </c>
      <c r="S326" s="5">
        <f>R326/R384</f>
        <v>0.17171717171717171</v>
      </c>
      <c r="T326" s="5">
        <f>34/$T$1</f>
        <v>0.17171717171717171</v>
      </c>
      <c r="V326">
        <v>44</v>
      </c>
      <c r="W326" s="5">
        <f>V326/V384</f>
        <v>0.18257261410788381</v>
      </c>
      <c r="X326" s="5">
        <f>44/$X$1</f>
        <v>0.18257261410788381</v>
      </c>
      <c r="Z326">
        <v>39</v>
      </c>
      <c r="AA326" s="5">
        <f>Z326/Z384</f>
        <v>0.19696969696969696</v>
      </c>
      <c r="AB326" s="5">
        <f>39/$AB$1</f>
        <v>0.19696969696969696</v>
      </c>
      <c r="AD326">
        <v>39</v>
      </c>
      <c r="AE326" s="5">
        <f>AD326/AD384</f>
        <v>0.25324675324675322</v>
      </c>
      <c r="AF326" s="5">
        <f>39/$AF$1</f>
        <v>0.25324675324675322</v>
      </c>
      <c r="AH326">
        <v>26</v>
      </c>
      <c r="AI326" s="5">
        <f>AH326/AH384</f>
        <v>0.21666666666666667</v>
      </c>
      <c r="AJ326" s="5">
        <f>26/$AJ$1</f>
        <v>0.21666666666666667</v>
      </c>
      <c r="AL326">
        <v>75</v>
      </c>
      <c r="AM326" s="5">
        <f>AL326/AL384</f>
        <v>0.20270270270270271</v>
      </c>
      <c r="AN326" s="5">
        <f>75/$AN$1</f>
        <v>0.20270270270270271</v>
      </c>
      <c r="AP326">
        <v>72</v>
      </c>
      <c r="AQ326" s="5">
        <f>AP326/AP384</f>
        <v>0.19047619047619047</v>
      </c>
      <c r="AR326" s="5">
        <f>72/$AR$1</f>
        <v>0.19047619047619047</v>
      </c>
      <c r="AT326">
        <v>46</v>
      </c>
      <c r="AU326" s="5">
        <f>AT326/AT384</f>
        <v>0.18253968253968253</v>
      </c>
      <c r="AV326" s="5">
        <f>46/$AV$1</f>
        <v>0.18253968253968253</v>
      </c>
      <c r="AX326">
        <v>51</v>
      </c>
      <c r="AY326" s="5">
        <f>AX326/AX384</f>
        <v>0.18681318681318682</v>
      </c>
      <c r="AZ326" s="5">
        <f>51/$AZ$1</f>
        <v>0.18681318681318682</v>
      </c>
      <c r="BA326" s="5"/>
      <c r="BB326">
        <v>43</v>
      </c>
      <c r="BC326" s="5">
        <f>BB326/BB384</f>
        <v>0.21182266009852216</v>
      </c>
      <c r="BD326" s="5">
        <f>43/$BD$1</f>
        <v>0.21182266009852216</v>
      </c>
      <c r="BF326">
        <v>43</v>
      </c>
      <c r="BG326" s="5">
        <f>BF326/BF384</f>
        <v>0.2</v>
      </c>
      <c r="BH326" s="5">
        <f>43/$BH$1</f>
        <v>0.2</v>
      </c>
      <c r="BJ326">
        <v>56</v>
      </c>
      <c r="BK326" s="5">
        <f>BJ326/BJ384</f>
        <v>0.18122977346278318</v>
      </c>
      <c r="BL326" s="5">
        <f>56/$BL$1</f>
        <v>0.18122977346278318</v>
      </c>
      <c r="BN326">
        <v>17</v>
      </c>
      <c r="BO326" s="5">
        <f>BN326/BN384</f>
        <v>0.36170212765957449</v>
      </c>
      <c r="BP326" s="5">
        <f>17/$BP$1</f>
        <v>0.36170212765957449</v>
      </c>
      <c r="BR326">
        <v>66</v>
      </c>
      <c r="BS326" s="5">
        <f>BR326/BR384</f>
        <v>0.21019108280254778</v>
      </c>
      <c r="BT326" s="5">
        <f>66/$BT$1</f>
        <v>0.21019108280254778</v>
      </c>
      <c r="BV326">
        <v>77</v>
      </c>
      <c r="BW326" s="5">
        <f>BV326/BV384</f>
        <v>0.19592875318066158</v>
      </c>
      <c r="BX326" s="5">
        <f>77/$BX$1</f>
        <v>0.19592875318066158</v>
      </c>
      <c r="BZ326">
        <v>33</v>
      </c>
      <c r="CA326" s="5">
        <f>BZ326/BZ384</f>
        <v>0.13414634146341464</v>
      </c>
      <c r="CB326" s="5">
        <f>33/$CB$1</f>
        <v>0.13414634146341464</v>
      </c>
      <c r="CD326">
        <v>17</v>
      </c>
      <c r="CE326" s="5">
        <f>CD326/CD384</f>
        <v>0.13821138211382114</v>
      </c>
      <c r="CF326" s="5">
        <f>17/$CF$1</f>
        <v>0.13821138211382114</v>
      </c>
      <c r="CH326">
        <v>145</v>
      </c>
      <c r="CI326" s="5">
        <f>CH326/CH384</f>
        <v>0.21075581395348839</v>
      </c>
      <c r="CJ326" s="5">
        <f>145/$CJ$1</f>
        <v>0.21075581395348839</v>
      </c>
      <c r="CL326">
        <v>114</v>
      </c>
      <c r="CM326" s="5">
        <f>CL326/CL384</f>
        <v>0.15039577836411611</v>
      </c>
      <c r="CN326" s="5">
        <f>114/$CN$1</f>
        <v>0.15039577836411611</v>
      </c>
      <c r="CP326">
        <v>79</v>
      </c>
      <c r="CQ326" s="5">
        <f>CP326/CP384</f>
        <v>0.32644628099173556</v>
      </c>
      <c r="CR326" s="5">
        <f>79/$CR$1</f>
        <v>0.32644628099173556</v>
      </c>
      <c r="CT326">
        <v>38</v>
      </c>
      <c r="CU326" s="5">
        <f>CT326/CT384</f>
        <v>0.11411411411411411</v>
      </c>
      <c r="CV326" s="5">
        <f>38/$CV$1</f>
        <v>0.11411411411411411</v>
      </c>
      <c r="CX326">
        <v>155</v>
      </c>
      <c r="CY326" s="5">
        <f>CX326/CX384</f>
        <v>0.23238380809595202</v>
      </c>
      <c r="CZ326" s="5">
        <f>155/$CZ$1</f>
        <v>0.23238380809595202</v>
      </c>
    </row>
    <row r="328" spans="1:104" x14ac:dyDescent="0.25">
      <c r="A328" s="1" t="s">
        <v>2954</v>
      </c>
      <c r="B328">
        <v>468</v>
      </c>
      <c r="C328" s="5">
        <f>B328/B384</f>
        <v>0.46800000000000003</v>
      </c>
      <c r="D328" s="5">
        <f>468/$D$1</f>
        <v>0.46800000000000003</v>
      </c>
      <c r="F328">
        <v>173</v>
      </c>
      <c r="G328" s="5">
        <f>F328/F384</f>
        <v>0.34530938123752497</v>
      </c>
      <c r="H328" s="5">
        <f>173/$H$1</f>
        <v>0.34530938123752497</v>
      </c>
      <c r="J328">
        <v>295</v>
      </c>
      <c r="K328" s="5">
        <f>J328/J384</f>
        <v>0.59118236472945895</v>
      </c>
      <c r="L328" s="5">
        <f>295/$L$1</f>
        <v>0.59118236472945895</v>
      </c>
      <c r="N328">
        <v>34</v>
      </c>
      <c r="O328" s="5">
        <f>N328/N384</f>
        <v>0.35051546391752575</v>
      </c>
      <c r="P328" s="5">
        <f>34/$P$1</f>
        <v>0.35051546391752575</v>
      </c>
      <c r="R328">
        <v>86</v>
      </c>
      <c r="S328" s="5">
        <f>R328/R384</f>
        <v>0.43434343434343436</v>
      </c>
      <c r="T328" s="5">
        <f>86/$T$1</f>
        <v>0.43434343434343436</v>
      </c>
      <c r="V328">
        <v>110</v>
      </c>
      <c r="W328" s="5">
        <f>V328/V384</f>
        <v>0.45643153526970953</v>
      </c>
      <c r="X328" s="5">
        <f>110/$X$1</f>
        <v>0.45643153526970953</v>
      </c>
      <c r="Z328">
        <v>94</v>
      </c>
      <c r="AA328" s="5">
        <f>Z328/Z384</f>
        <v>0.47474747474747475</v>
      </c>
      <c r="AB328" s="5">
        <f>94/$AB$1</f>
        <v>0.47474747474747475</v>
      </c>
      <c r="AD328">
        <v>78</v>
      </c>
      <c r="AE328" s="5">
        <f>AD328/AD384</f>
        <v>0.50649350649350644</v>
      </c>
      <c r="AF328" s="5">
        <f>78/$AF$1</f>
        <v>0.50649350649350644</v>
      </c>
      <c r="AH328">
        <v>70</v>
      </c>
      <c r="AI328" s="5">
        <f>AH328/AH384</f>
        <v>0.58333333333333337</v>
      </c>
      <c r="AJ328" s="5">
        <f>70/$AJ$1</f>
        <v>0.58333333333333337</v>
      </c>
      <c r="AL328">
        <v>172</v>
      </c>
      <c r="AM328" s="5">
        <f>AL328/AL384</f>
        <v>0.46486486486486489</v>
      </c>
      <c r="AN328" s="5">
        <f>172/$AN$1</f>
        <v>0.46486486486486489</v>
      </c>
      <c r="AP328">
        <v>177</v>
      </c>
      <c r="AQ328" s="5">
        <f>AP328/AP384</f>
        <v>0.46825396825396826</v>
      </c>
      <c r="AR328" s="5">
        <f>177/$AR$1</f>
        <v>0.46825396825396826</v>
      </c>
      <c r="AT328">
        <v>119</v>
      </c>
      <c r="AU328" s="5">
        <f>AT328/AT384</f>
        <v>0.47222222222222221</v>
      </c>
      <c r="AV328" s="5">
        <f>119/$AV$1</f>
        <v>0.47222222222222221</v>
      </c>
      <c r="AX328">
        <v>139</v>
      </c>
      <c r="AY328" s="5">
        <f>AX328/AX384</f>
        <v>0.50915750915750912</v>
      </c>
      <c r="AZ328" s="5">
        <f>139/$AZ$1</f>
        <v>0.50915750915750912</v>
      </c>
      <c r="BA328" s="5"/>
      <c r="BB328">
        <v>100</v>
      </c>
      <c r="BC328" s="5">
        <f>BB328/BB384</f>
        <v>0.49261083743842365</v>
      </c>
      <c r="BD328" s="5">
        <f>100/$BD$1</f>
        <v>0.49261083743842365</v>
      </c>
      <c r="BF328">
        <v>103</v>
      </c>
      <c r="BG328" s="5">
        <f>BF328/BF384</f>
        <v>0.47906976744186047</v>
      </c>
      <c r="BH328" s="5">
        <f>103/$BH$1</f>
        <v>0.47906976744186047</v>
      </c>
      <c r="BJ328">
        <v>126</v>
      </c>
      <c r="BK328" s="5">
        <f>BJ328/BJ384</f>
        <v>0.40776699029126212</v>
      </c>
      <c r="BL328" s="5">
        <f>126/$BL$1</f>
        <v>0.40776699029126212</v>
      </c>
      <c r="BN328">
        <v>21</v>
      </c>
      <c r="BO328" s="5">
        <f>BN328/BN384</f>
        <v>0.44680851063829785</v>
      </c>
      <c r="BP328" s="5">
        <f>21/$BP$1</f>
        <v>0.44680851063829785</v>
      </c>
      <c r="BR328">
        <v>131</v>
      </c>
      <c r="BS328" s="5">
        <f>BR328/BR384</f>
        <v>0.41719745222929938</v>
      </c>
      <c r="BT328" s="5">
        <f>131/$BT$1</f>
        <v>0.41719745222929938</v>
      </c>
      <c r="BV328">
        <v>208</v>
      </c>
      <c r="BW328" s="5">
        <f>BV328/BV384</f>
        <v>0.52926208651399487</v>
      </c>
      <c r="BX328" s="5">
        <f>208/$BX$1</f>
        <v>0.52926208651399487</v>
      </c>
      <c r="BZ328">
        <v>108</v>
      </c>
      <c r="CA328" s="5">
        <f>BZ328/BZ384</f>
        <v>0.43902439024390244</v>
      </c>
      <c r="CB328" s="5">
        <f>108/$CB$1</f>
        <v>0.43902439024390244</v>
      </c>
      <c r="CD328">
        <v>62</v>
      </c>
      <c r="CE328" s="5">
        <f>CD328/CD384</f>
        <v>0.50406504065040647</v>
      </c>
      <c r="CF328" s="5">
        <f>62/$CF$1</f>
        <v>0.50406504065040647</v>
      </c>
      <c r="CH328">
        <v>338</v>
      </c>
      <c r="CI328" s="5">
        <f>CH328/CH384</f>
        <v>0.49127906976744184</v>
      </c>
      <c r="CJ328" s="5">
        <f>338/$CJ$1</f>
        <v>0.49127906976744184</v>
      </c>
      <c r="CL328">
        <v>376</v>
      </c>
      <c r="CM328" s="5">
        <f>CL328/CL384</f>
        <v>0.49604221635883905</v>
      </c>
      <c r="CN328" s="5">
        <f>376/$CN$1</f>
        <v>0.49604221635883905</v>
      </c>
      <c r="CP328">
        <v>92</v>
      </c>
      <c r="CQ328" s="5">
        <f>CP328/CP384</f>
        <v>0.38016528925619836</v>
      </c>
      <c r="CR328" s="5">
        <f>92/$CR$1</f>
        <v>0.38016528925619836</v>
      </c>
      <c r="CT328">
        <v>184</v>
      </c>
      <c r="CU328" s="5">
        <f>CT328/CT384</f>
        <v>0.55255255255255253</v>
      </c>
      <c r="CV328" s="5">
        <f>184/$CV$1</f>
        <v>0.55255255255255253</v>
      </c>
      <c r="CX328">
        <v>284</v>
      </c>
      <c r="CY328" s="5">
        <f>CX328/CX384</f>
        <v>0.42578710644677659</v>
      </c>
      <c r="CZ328" s="5">
        <f>284/$CZ$1</f>
        <v>0.42578710644677659</v>
      </c>
    </row>
    <row r="329" spans="1:104" x14ac:dyDescent="0.25">
      <c r="A329" s="1" t="s">
        <v>2955</v>
      </c>
      <c r="B329">
        <v>228</v>
      </c>
      <c r="C329" s="5">
        <f>B329/B384</f>
        <v>0.22800000000000001</v>
      </c>
      <c r="D329" s="5">
        <f>228/$D$1</f>
        <v>0.22800000000000001</v>
      </c>
      <c r="F329">
        <v>124</v>
      </c>
      <c r="G329" s="5">
        <f>F329/F384</f>
        <v>0.24750499001996007</v>
      </c>
      <c r="H329" s="5">
        <f>124/$H$1</f>
        <v>0.24750499001996007</v>
      </c>
      <c r="J329">
        <v>104</v>
      </c>
      <c r="K329" s="5">
        <f>J329/J384</f>
        <v>0.20841683366733466</v>
      </c>
      <c r="L329" s="5">
        <f>104/$L$1</f>
        <v>0.20841683366733466</v>
      </c>
      <c r="N329">
        <v>26</v>
      </c>
      <c r="O329" s="5">
        <f>N329/N384</f>
        <v>0.26804123711340205</v>
      </c>
      <c r="P329" s="5">
        <f>26/$P$1</f>
        <v>0.26804123711340205</v>
      </c>
      <c r="R329">
        <v>38</v>
      </c>
      <c r="S329" s="5">
        <f>R329/R384</f>
        <v>0.19191919191919191</v>
      </c>
      <c r="T329" s="5">
        <f>38/$T$1</f>
        <v>0.19191919191919191</v>
      </c>
      <c r="V329">
        <v>59</v>
      </c>
      <c r="W329" s="5">
        <f>V329/V384</f>
        <v>0.24481327800829875</v>
      </c>
      <c r="X329" s="5">
        <f>59/$X$1</f>
        <v>0.24481327800829875</v>
      </c>
      <c r="Z329">
        <v>42</v>
      </c>
      <c r="AA329" s="5">
        <f>Z329/Z384</f>
        <v>0.21212121212121213</v>
      </c>
      <c r="AB329" s="5">
        <f>42/$AB$1</f>
        <v>0.21212121212121213</v>
      </c>
      <c r="AD329">
        <v>37</v>
      </c>
      <c r="AE329" s="5">
        <f>AD329/AD384</f>
        <v>0.24025974025974026</v>
      </c>
      <c r="AF329" s="5">
        <f>37/$AF$1</f>
        <v>0.24025974025974026</v>
      </c>
      <c r="AH329">
        <v>29</v>
      </c>
      <c r="AI329" s="5">
        <f>AH329/AH384</f>
        <v>0.24166666666666667</v>
      </c>
      <c r="AJ329" s="5">
        <f>29/$AJ$1</f>
        <v>0.24166666666666667</v>
      </c>
      <c r="AL329">
        <v>94</v>
      </c>
      <c r="AM329" s="5">
        <f>AL329/AL384</f>
        <v>0.25405405405405407</v>
      </c>
      <c r="AN329" s="5">
        <f>94/$AN$1</f>
        <v>0.25405405405405407</v>
      </c>
      <c r="AP329">
        <v>86</v>
      </c>
      <c r="AQ329" s="5">
        <f>AP329/AP384</f>
        <v>0.2275132275132275</v>
      </c>
      <c r="AR329" s="5">
        <f>86/$AR$1</f>
        <v>0.2275132275132275</v>
      </c>
      <c r="AT329">
        <v>48</v>
      </c>
      <c r="AU329" s="5">
        <f>AT329/AT384</f>
        <v>0.19047619047619047</v>
      </c>
      <c r="AV329" s="5">
        <f>48/$AV$1</f>
        <v>0.19047619047619047</v>
      </c>
      <c r="AX329">
        <v>55</v>
      </c>
      <c r="AY329" s="5">
        <f>AX329/AX384</f>
        <v>0.20146520146520147</v>
      </c>
      <c r="AZ329" s="5">
        <f>55/$AZ$1</f>
        <v>0.20146520146520147</v>
      </c>
      <c r="BA329" s="5"/>
      <c r="BB329">
        <v>52</v>
      </c>
      <c r="BC329" s="5">
        <f>BB329/BB384</f>
        <v>0.25615763546798032</v>
      </c>
      <c r="BD329" s="5">
        <f>52/$BD$1</f>
        <v>0.25615763546798032</v>
      </c>
      <c r="BF329">
        <v>45</v>
      </c>
      <c r="BG329" s="5">
        <f>BF329/BF384</f>
        <v>0.20930232558139536</v>
      </c>
      <c r="BH329" s="5">
        <f>45/$BH$1</f>
        <v>0.20930232558139536</v>
      </c>
      <c r="BJ329">
        <v>76</v>
      </c>
      <c r="BK329" s="5">
        <f>BJ329/BJ384</f>
        <v>0.2459546925566343</v>
      </c>
      <c r="BL329" s="5">
        <f>76/$BL$1</f>
        <v>0.2459546925566343</v>
      </c>
      <c r="BN329">
        <v>9</v>
      </c>
      <c r="BO329" s="5">
        <f>BN329/BN384</f>
        <v>0.19148936170212766</v>
      </c>
      <c r="BP329" s="5">
        <f>9/$BP$1</f>
        <v>0.19148936170212766</v>
      </c>
      <c r="BR329">
        <v>82</v>
      </c>
      <c r="BS329" s="5">
        <f>BR329/BR384</f>
        <v>0.26114649681528662</v>
      </c>
      <c r="BT329" s="5">
        <f>82/$BT$1</f>
        <v>0.26114649681528662</v>
      </c>
      <c r="BV329">
        <v>79</v>
      </c>
      <c r="BW329" s="5">
        <f>BV329/BV384</f>
        <v>0.2010178117048346</v>
      </c>
      <c r="BX329" s="5">
        <f>79/$BX$1</f>
        <v>0.2010178117048346</v>
      </c>
      <c r="BZ329">
        <v>58</v>
      </c>
      <c r="CA329" s="5">
        <f>BZ329/BZ384</f>
        <v>0.23577235772357724</v>
      </c>
      <c r="CB329" s="5">
        <f>58/$CB$1</f>
        <v>0.23577235772357724</v>
      </c>
      <c r="CD329">
        <v>23</v>
      </c>
      <c r="CE329" s="5">
        <f>CD329/CD384</f>
        <v>0.18699186991869918</v>
      </c>
      <c r="CF329" s="5">
        <f>23/$CF$1</f>
        <v>0.18699186991869918</v>
      </c>
      <c r="CH329">
        <v>167</v>
      </c>
      <c r="CI329" s="5">
        <f>CH329/CH384</f>
        <v>0.24273255813953487</v>
      </c>
      <c r="CJ329" s="5">
        <f>167/$CJ$1</f>
        <v>0.24273255813953487</v>
      </c>
      <c r="CL329">
        <v>187</v>
      </c>
      <c r="CM329" s="5">
        <f>CL329/CL384</f>
        <v>0.24670184696569922</v>
      </c>
      <c r="CN329" s="5">
        <f>187/$CN$1</f>
        <v>0.24670184696569922</v>
      </c>
      <c r="CP329">
        <v>41</v>
      </c>
      <c r="CQ329" s="5">
        <f>CP329/CP384</f>
        <v>0.16942148760330578</v>
      </c>
      <c r="CR329" s="5">
        <f>41/$CR$1</f>
        <v>0.16942148760330578</v>
      </c>
      <c r="CT329">
        <v>73</v>
      </c>
      <c r="CU329" s="5">
        <f>CT329/CT384</f>
        <v>0.21921921921921922</v>
      </c>
      <c r="CV329" s="5">
        <f>73/$CV$1</f>
        <v>0.21921921921921922</v>
      </c>
      <c r="CX329">
        <v>155</v>
      </c>
      <c r="CY329" s="5">
        <f>CX329/CX384</f>
        <v>0.23238380809595202</v>
      </c>
      <c r="CZ329" s="5">
        <f>155/$CZ$1</f>
        <v>0.23238380809595202</v>
      </c>
    </row>
    <row r="330" spans="1:104" x14ac:dyDescent="0.25">
      <c r="A330" s="1" t="s">
        <v>2956</v>
      </c>
      <c r="B330">
        <v>305</v>
      </c>
      <c r="C330" s="5">
        <f>B330/B384</f>
        <v>0.30499999999999999</v>
      </c>
      <c r="D330" s="5">
        <f>305/$D$1</f>
        <v>0.30499999999999999</v>
      </c>
      <c r="F330">
        <v>204</v>
      </c>
      <c r="G330" s="5">
        <f>F330/F384</f>
        <v>0.40718562874251496</v>
      </c>
      <c r="H330" s="5">
        <f>204/$H$1</f>
        <v>0.40718562874251496</v>
      </c>
      <c r="J330">
        <v>101</v>
      </c>
      <c r="K330" s="5">
        <f>J330/J384</f>
        <v>0.20240480961923848</v>
      </c>
      <c r="L330" s="5">
        <f>101/$L$1</f>
        <v>0.20240480961923848</v>
      </c>
      <c r="N330">
        <v>38</v>
      </c>
      <c r="O330" s="5">
        <f>N330/N384</f>
        <v>0.39175257731958762</v>
      </c>
      <c r="P330" s="5">
        <f>38/$P$1</f>
        <v>0.39175257731958762</v>
      </c>
      <c r="R330">
        <v>74</v>
      </c>
      <c r="S330" s="5">
        <f>R330/R384</f>
        <v>0.37373737373737376</v>
      </c>
      <c r="T330" s="5">
        <f>74/$T$1</f>
        <v>0.37373737373737376</v>
      </c>
      <c r="V330">
        <v>72</v>
      </c>
      <c r="W330" s="5">
        <f>V330/V384</f>
        <v>0.29875518672199169</v>
      </c>
      <c r="X330" s="5">
        <f>72/$X$1</f>
        <v>0.29875518672199169</v>
      </c>
      <c r="Z330">
        <v>62</v>
      </c>
      <c r="AA330" s="5">
        <f>Z330/Z384</f>
        <v>0.31313131313131315</v>
      </c>
      <c r="AB330" s="5">
        <f>62/$AB$1</f>
        <v>0.31313131313131315</v>
      </c>
      <c r="AD330">
        <v>39</v>
      </c>
      <c r="AE330" s="5">
        <f>AD330/AD384</f>
        <v>0.25324675324675322</v>
      </c>
      <c r="AF330" s="5">
        <f>39/$AF$1</f>
        <v>0.25324675324675322</v>
      </c>
      <c r="AH330">
        <v>21</v>
      </c>
      <c r="AI330" s="5">
        <f>AH330/AH384</f>
        <v>0.17499999999999999</v>
      </c>
      <c r="AJ330" s="5">
        <f>21/$AJ$1</f>
        <v>0.17499999999999999</v>
      </c>
      <c r="AL330">
        <v>105</v>
      </c>
      <c r="AM330" s="5">
        <f>AL330/AL384</f>
        <v>0.28378378378378377</v>
      </c>
      <c r="AN330" s="5">
        <f>105/$AN$1</f>
        <v>0.28378378378378377</v>
      </c>
      <c r="AP330">
        <v>115</v>
      </c>
      <c r="AQ330" s="5">
        <f>AP330/AP384</f>
        <v>0.30423280423280424</v>
      </c>
      <c r="AR330" s="5">
        <f>115/$AR$1</f>
        <v>0.30423280423280424</v>
      </c>
      <c r="AT330">
        <v>85</v>
      </c>
      <c r="AU330" s="5">
        <f>AT330/AT384</f>
        <v>0.33730158730158732</v>
      </c>
      <c r="AV330" s="5">
        <f>85/$AV$1</f>
        <v>0.33730158730158732</v>
      </c>
      <c r="AX330">
        <v>79</v>
      </c>
      <c r="AY330" s="5">
        <f>AX330/AX384</f>
        <v>0.2893772893772894</v>
      </c>
      <c r="AZ330" s="5">
        <f>79/$AZ$1</f>
        <v>0.2893772893772894</v>
      </c>
      <c r="BA330" s="5"/>
      <c r="BB330">
        <v>52</v>
      </c>
      <c r="BC330" s="5">
        <f>BB330/BB384</f>
        <v>0.25615763546798032</v>
      </c>
      <c r="BD330" s="5">
        <f>52/$BD$1</f>
        <v>0.25615763546798032</v>
      </c>
      <c r="BF330">
        <v>67</v>
      </c>
      <c r="BG330" s="5">
        <f>BF330/BF384</f>
        <v>0.3116279069767442</v>
      </c>
      <c r="BH330" s="5">
        <f>67/$BH$1</f>
        <v>0.3116279069767442</v>
      </c>
      <c r="BJ330">
        <v>107</v>
      </c>
      <c r="BK330" s="5">
        <f>BJ330/BJ384</f>
        <v>0.34627831715210355</v>
      </c>
      <c r="BL330" s="5">
        <f>107/$BL$1</f>
        <v>0.34627831715210355</v>
      </c>
      <c r="BN330">
        <v>17</v>
      </c>
      <c r="BO330" s="5">
        <f>BN330/BN384</f>
        <v>0.36170212765957449</v>
      </c>
      <c r="BP330" s="5">
        <f>17/$BP$1</f>
        <v>0.36170212765957449</v>
      </c>
      <c r="BR330">
        <v>102</v>
      </c>
      <c r="BS330" s="5">
        <f>BR330/BR384</f>
        <v>0.32484076433121017</v>
      </c>
      <c r="BT330" s="5">
        <f>102/$BT$1</f>
        <v>0.32484076433121017</v>
      </c>
      <c r="BV330">
        <v>106</v>
      </c>
      <c r="BW330" s="5">
        <f>BV330/BV384</f>
        <v>0.26972010178117051</v>
      </c>
      <c r="BX330" s="5">
        <f>106/$BX$1</f>
        <v>0.26972010178117051</v>
      </c>
      <c r="BZ330">
        <v>80</v>
      </c>
      <c r="CA330" s="5">
        <f>BZ330/BZ384</f>
        <v>0.32520325203252032</v>
      </c>
      <c r="CB330" s="5">
        <f>80/$CB$1</f>
        <v>0.32520325203252032</v>
      </c>
      <c r="CD330">
        <v>38</v>
      </c>
      <c r="CE330" s="5">
        <f>CD330/CD384</f>
        <v>0.30894308943089432</v>
      </c>
      <c r="CF330" s="5">
        <f>38/$CF$1</f>
        <v>0.30894308943089432</v>
      </c>
      <c r="CH330">
        <v>184</v>
      </c>
      <c r="CI330" s="5">
        <f>CH330/CH384</f>
        <v>0.26744186046511625</v>
      </c>
      <c r="CJ330" s="5">
        <f>184/$CJ$1</f>
        <v>0.26744186046511625</v>
      </c>
      <c r="CL330">
        <v>196</v>
      </c>
      <c r="CM330" s="5">
        <f>CL330/CL384</f>
        <v>0.25857519788918204</v>
      </c>
      <c r="CN330" s="5">
        <f>196/$CN$1</f>
        <v>0.25857519788918204</v>
      </c>
      <c r="CP330">
        <v>109</v>
      </c>
      <c r="CQ330" s="5">
        <f>CP330/CP384</f>
        <v>0.45041322314049587</v>
      </c>
      <c r="CR330" s="5">
        <f>109/$CR$1</f>
        <v>0.45041322314049587</v>
      </c>
      <c r="CT330">
        <v>76</v>
      </c>
      <c r="CU330" s="5">
        <f>CT330/CT384</f>
        <v>0.22822822822822822</v>
      </c>
      <c r="CV330" s="5">
        <f>76/$CV$1</f>
        <v>0.22822822822822822</v>
      </c>
      <c r="CX330">
        <v>229</v>
      </c>
      <c r="CY330" s="5">
        <f>CX330/CX384</f>
        <v>0.34332833583208394</v>
      </c>
      <c r="CZ330" s="5">
        <f>229/$CZ$1</f>
        <v>0.34332833583208394</v>
      </c>
    </row>
    <row r="332" spans="1:104" x14ac:dyDescent="0.25">
      <c r="A332" s="1" t="s">
        <v>2957</v>
      </c>
      <c r="B332">
        <v>814</v>
      </c>
      <c r="C332" s="5">
        <f>B332/B384</f>
        <v>0.81399999999999995</v>
      </c>
      <c r="D332" s="5">
        <f>814/$D$1</f>
        <v>0.81399999999999995</v>
      </c>
      <c r="F332">
        <v>379</v>
      </c>
      <c r="G332" s="5">
        <f>F332/F384</f>
        <v>0.7564870259481038</v>
      </c>
      <c r="H332" s="5">
        <f>379/$H$1</f>
        <v>0.7564870259481038</v>
      </c>
      <c r="J332">
        <v>435</v>
      </c>
      <c r="K332" s="5">
        <f>J332/J384</f>
        <v>0.87174348697394788</v>
      </c>
      <c r="L332" s="5">
        <f>435/$L$1</f>
        <v>0.87174348697394788</v>
      </c>
      <c r="N332">
        <v>83</v>
      </c>
      <c r="O332" s="5">
        <f>N332/N384</f>
        <v>0.85567010309278346</v>
      </c>
      <c r="P332" s="5">
        <f>83/$P$1</f>
        <v>0.85567010309278346</v>
      </c>
      <c r="R332">
        <v>169</v>
      </c>
      <c r="S332" s="5">
        <f>R332/R384</f>
        <v>0.85353535353535348</v>
      </c>
      <c r="T332" s="5">
        <f>169/$T$1</f>
        <v>0.85353535353535348</v>
      </c>
      <c r="V332">
        <v>185</v>
      </c>
      <c r="W332" s="5">
        <f>V332/V384</f>
        <v>0.76763485477178428</v>
      </c>
      <c r="X332" s="5">
        <f>185/$X$1</f>
        <v>0.76763485477178428</v>
      </c>
      <c r="Z332">
        <v>165</v>
      </c>
      <c r="AA332" s="5">
        <f>Z332/Z384</f>
        <v>0.83333333333333337</v>
      </c>
      <c r="AB332" s="5">
        <f>165/$AB$1</f>
        <v>0.83333333333333337</v>
      </c>
      <c r="AD332">
        <v>126</v>
      </c>
      <c r="AE332" s="5">
        <f>AD332/AD384</f>
        <v>0.81818181818181823</v>
      </c>
      <c r="AF332" s="5">
        <f>126/$AF$1</f>
        <v>0.81818181818181823</v>
      </c>
      <c r="AH332">
        <v>91</v>
      </c>
      <c r="AI332" s="5">
        <f>AH332/AH384</f>
        <v>0.7583333333333333</v>
      </c>
      <c r="AJ332" s="5">
        <f>91/$AJ$1</f>
        <v>0.7583333333333333</v>
      </c>
      <c r="AL332">
        <v>298</v>
      </c>
      <c r="AM332" s="5">
        <f>AL332/AL384</f>
        <v>0.80540540540540539</v>
      </c>
      <c r="AN332" s="5">
        <f>298/$AN$1</f>
        <v>0.80540540540540539</v>
      </c>
      <c r="AP332">
        <v>305</v>
      </c>
      <c r="AQ332" s="5">
        <f>AP332/AP384</f>
        <v>0.80687830687830686</v>
      </c>
      <c r="AR332" s="5">
        <f>305/$AR$1</f>
        <v>0.80687830687830686</v>
      </c>
      <c r="AT332">
        <v>211</v>
      </c>
      <c r="AU332" s="5">
        <f>AT332/AT384</f>
        <v>0.83730158730158732</v>
      </c>
      <c r="AV332" s="5">
        <f>211/$AV$1</f>
        <v>0.83730158730158732</v>
      </c>
      <c r="AX332">
        <v>227</v>
      </c>
      <c r="AY332" s="5">
        <f>AX332/AX384</f>
        <v>0.83150183150183155</v>
      </c>
      <c r="AZ332" s="5">
        <f>227/$AZ$1</f>
        <v>0.83150183150183155</v>
      </c>
      <c r="BA332" s="5"/>
      <c r="BB332">
        <v>159</v>
      </c>
      <c r="BC332" s="5">
        <f>BB332/BB384</f>
        <v>0.78325123152709364</v>
      </c>
      <c r="BD332" s="5">
        <f>159/$BD$1</f>
        <v>0.78325123152709364</v>
      </c>
      <c r="BF332">
        <v>173</v>
      </c>
      <c r="BG332" s="5">
        <f>BF332/BF384</f>
        <v>0.8046511627906977</v>
      </c>
      <c r="BH332" s="5">
        <f>173/$BH$1</f>
        <v>0.8046511627906977</v>
      </c>
      <c r="BJ332">
        <v>255</v>
      </c>
      <c r="BK332" s="5">
        <f>BJ332/BJ384</f>
        <v>0.82524271844660191</v>
      </c>
      <c r="BL332" s="5">
        <f>255/$BL$1</f>
        <v>0.82524271844660191</v>
      </c>
      <c r="BN332">
        <v>38</v>
      </c>
      <c r="BO332" s="5">
        <f>BN332/BN384</f>
        <v>0.80851063829787229</v>
      </c>
      <c r="BP332" s="5">
        <f>38/$BP$1</f>
        <v>0.80851063829787229</v>
      </c>
      <c r="BR332">
        <v>241</v>
      </c>
      <c r="BS332" s="5">
        <f>BR332/BR384</f>
        <v>0.76751592356687903</v>
      </c>
      <c r="BT332" s="5">
        <f>241/$BT$1</f>
        <v>0.76751592356687903</v>
      </c>
      <c r="BV332">
        <v>321</v>
      </c>
      <c r="BW332" s="5">
        <f>BV332/BV384</f>
        <v>0.81679389312977102</v>
      </c>
      <c r="BX332" s="5">
        <f>321/$BX$1</f>
        <v>0.81679389312977102</v>
      </c>
      <c r="BZ332">
        <v>214</v>
      </c>
      <c r="CA332" s="5">
        <f>BZ332/BZ384</f>
        <v>0.86991869918699183</v>
      </c>
      <c r="CB332" s="5">
        <f>214/$CB$1</f>
        <v>0.86991869918699183</v>
      </c>
      <c r="CD332">
        <v>95</v>
      </c>
      <c r="CE332" s="5">
        <f>CD332/CD384</f>
        <v>0.77235772357723576</v>
      </c>
      <c r="CF332" s="5">
        <f>95/$CF$1</f>
        <v>0.77235772357723576</v>
      </c>
      <c r="CH332">
        <v>576</v>
      </c>
      <c r="CI332" s="5">
        <f>CH332/CH384</f>
        <v>0.83720930232558144</v>
      </c>
      <c r="CJ332" s="5">
        <f>576/$CJ$1</f>
        <v>0.83720930232558144</v>
      </c>
      <c r="CL332">
        <v>642</v>
      </c>
      <c r="CM332" s="5">
        <f>CL332/CL384</f>
        <v>0.84696569920844322</v>
      </c>
      <c r="CN332" s="5">
        <f>642/$CN$1</f>
        <v>0.84696569920844322</v>
      </c>
      <c r="CP332">
        <v>172</v>
      </c>
      <c r="CQ332" s="5">
        <f>CP332/CP384</f>
        <v>0.71074380165289253</v>
      </c>
      <c r="CR332" s="5">
        <f>172/$CR$1</f>
        <v>0.71074380165289253</v>
      </c>
      <c r="CT332">
        <v>291</v>
      </c>
      <c r="CU332" s="5">
        <f>CT332/CT384</f>
        <v>0.87387387387387383</v>
      </c>
      <c r="CV332" s="5">
        <f>291/$CV$1</f>
        <v>0.87387387387387383</v>
      </c>
      <c r="CX332">
        <v>523</v>
      </c>
      <c r="CY332" s="5">
        <f>CX332/CX384</f>
        <v>0.78410794602698652</v>
      </c>
      <c r="CZ332" s="5">
        <f>523/$CZ$1</f>
        <v>0.78410794602698652</v>
      </c>
    </row>
    <row r="333" spans="1:104" x14ac:dyDescent="0.25">
      <c r="A333" s="1" t="s">
        <v>2958</v>
      </c>
      <c r="B333">
        <v>113</v>
      </c>
      <c r="C333" s="5">
        <f>B333/B384</f>
        <v>0.113</v>
      </c>
      <c r="D333" s="5">
        <f>113/$D$1</f>
        <v>0.113</v>
      </c>
      <c r="F333">
        <v>69</v>
      </c>
      <c r="G333" s="5">
        <f>F333/F384</f>
        <v>0.1377245508982036</v>
      </c>
      <c r="H333" s="5">
        <f>69/$H$1</f>
        <v>0.1377245508982036</v>
      </c>
      <c r="J333">
        <v>44</v>
      </c>
      <c r="K333" s="5">
        <f>J333/J384</f>
        <v>8.8176352705410826E-2</v>
      </c>
      <c r="L333" s="5">
        <f>44/$L$1</f>
        <v>8.8176352705410826E-2</v>
      </c>
      <c r="N333">
        <v>11</v>
      </c>
      <c r="O333" s="5">
        <f>N333/N384</f>
        <v>0.1134020618556701</v>
      </c>
      <c r="P333" s="5">
        <f>11/$P$1</f>
        <v>0.1134020618556701</v>
      </c>
      <c r="R333">
        <v>17</v>
      </c>
      <c r="S333" s="5">
        <f>R333/R384</f>
        <v>8.5858585858585856E-2</v>
      </c>
      <c r="T333" s="5">
        <f>17/$T$1</f>
        <v>8.5858585858585856E-2</v>
      </c>
      <c r="V333">
        <v>33</v>
      </c>
      <c r="W333" s="5">
        <f>V333/V384</f>
        <v>0.13692946058091288</v>
      </c>
      <c r="X333" s="5">
        <f>33/$X$1</f>
        <v>0.13692946058091288</v>
      </c>
      <c r="Z333">
        <v>21</v>
      </c>
      <c r="AA333" s="5">
        <f>Z333/Z384</f>
        <v>0.10606060606060606</v>
      </c>
      <c r="AB333" s="5">
        <f>21/$AB$1</f>
        <v>0.10606060606060606</v>
      </c>
      <c r="AD333">
        <v>13</v>
      </c>
      <c r="AE333" s="5">
        <f>AD333/AD384</f>
        <v>8.4415584415584416E-2</v>
      </c>
      <c r="AF333" s="5">
        <f>13/$AF$1</f>
        <v>8.4415584415584416E-2</v>
      </c>
      <c r="AH333">
        <v>19</v>
      </c>
      <c r="AI333" s="5">
        <f>AH333/AH384</f>
        <v>0.15833333333333333</v>
      </c>
      <c r="AJ333" s="5">
        <f>19/$AJ$1</f>
        <v>0.15833333333333333</v>
      </c>
      <c r="AL333">
        <v>49</v>
      </c>
      <c r="AM333" s="5">
        <f>AL333/AL384</f>
        <v>0.13243243243243244</v>
      </c>
      <c r="AN333" s="5">
        <f>49/$AN$1</f>
        <v>0.13243243243243244</v>
      </c>
      <c r="AP333">
        <v>44</v>
      </c>
      <c r="AQ333" s="5">
        <f>AP333/AP384</f>
        <v>0.1164021164021164</v>
      </c>
      <c r="AR333" s="5">
        <f>44/$AR$1</f>
        <v>0.1164021164021164</v>
      </c>
      <c r="AT333">
        <v>20</v>
      </c>
      <c r="AU333" s="5">
        <f>AT333/AT384</f>
        <v>7.9365079365079361E-2</v>
      </c>
      <c r="AV333" s="5">
        <f>20/$AV$1</f>
        <v>7.9365079365079361E-2</v>
      </c>
      <c r="AX333">
        <v>32</v>
      </c>
      <c r="AY333" s="5">
        <f>AX333/AX384</f>
        <v>0.11721611721611722</v>
      </c>
      <c r="AZ333" s="5">
        <f>32/$AZ$1</f>
        <v>0.11721611721611722</v>
      </c>
      <c r="BA333" s="5"/>
      <c r="BB333">
        <v>27</v>
      </c>
      <c r="BC333" s="5">
        <f>BB333/BB384</f>
        <v>0.13300492610837439</v>
      </c>
      <c r="BD333" s="5">
        <f>27/$BD$1</f>
        <v>0.13300492610837439</v>
      </c>
      <c r="BF333">
        <v>20</v>
      </c>
      <c r="BG333" s="5">
        <f>BF333/BF384</f>
        <v>9.3023255813953487E-2</v>
      </c>
      <c r="BH333" s="5">
        <f>20/$BH$1</f>
        <v>9.3023255813953487E-2</v>
      </c>
      <c r="BJ333">
        <v>34</v>
      </c>
      <c r="BK333" s="5">
        <f>BJ333/BJ384</f>
        <v>0.11003236245954692</v>
      </c>
      <c r="BL333" s="5">
        <f>34/$BL$1</f>
        <v>0.11003236245954692</v>
      </c>
      <c r="BN333">
        <v>5</v>
      </c>
      <c r="BO333" s="5">
        <f>BN333/BN384</f>
        <v>0.10638297872340426</v>
      </c>
      <c r="BP333" s="5">
        <f>5/$BP$1</f>
        <v>0.10638297872340426</v>
      </c>
      <c r="BR333">
        <v>45</v>
      </c>
      <c r="BS333" s="5">
        <f>BR333/BR384</f>
        <v>0.14331210191082802</v>
      </c>
      <c r="BT333" s="5">
        <f>45/$BT$1</f>
        <v>0.14331210191082802</v>
      </c>
      <c r="BV333">
        <v>43</v>
      </c>
      <c r="BW333" s="5">
        <f>BV333/BV384</f>
        <v>0.10941475826972011</v>
      </c>
      <c r="BX333" s="5">
        <f>43/$BX$1</f>
        <v>0.10941475826972011</v>
      </c>
      <c r="BZ333">
        <v>20</v>
      </c>
      <c r="CA333" s="5">
        <f>BZ333/BZ384</f>
        <v>8.1300813008130079E-2</v>
      </c>
      <c r="CB333" s="5">
        <f>20/$CB$1</f>
        <v>8.1300813008130079E-2</v>
      </c>
      <c r="CD333">
        <v>16</v>
      </c>
      <c r="CE333" s="5">
        <f>CD333/CD384</f>
        <v>0.13008130081300814</v>
      </c>
      <c r="CF333" s="5">
        <f>16/$CF$1</f>
        <v>0.13008130081300814</v>
      </c>
      <c r="CH333">
        <v>79</v>
      </c>
      <c r="CI333" s="5">
        <f>CH333/CH384</f>
        <v>0.11482558139534883</v>
      </c>
      <c r="CJ333" s="5">
        <f>79/$CJ$1</f>
        <v>0.11482558139534883</v>
      </c>
      <c r="CL333">
        <v>83</v>
      </c>
      <c r="CM333" s="5">
        <f>CL333/CL384</f>
        <v>0.10949868073878628</v>
      </c>
      <c r="CN333" s="5">
        <f>83/$CN$1</f>
        <v>0.10949868073878628</v>
      </c>
      <c r="CP333">
        <v>30</v>
      </c>
      <c r="CQ333" s="5">
        <f>CP333/CP384</f>
        <v>0.12396694214876033</v>
      </c>
      <c r="CR333" s="5">
        <f>30/$CR$1</f>
        <v>0.12396694214876033</v>
      </c>
      <c r="CT333">
        <v>30</v>
      </c>
      <c r="CU333" s="5">
        <f>CT333/CT384</f>
        <v>9.0090090090090086E-2</v>
      </c>
      <c r="CV333" s="5">
        <f>30/$CV$1</f>
        <v>9.0090090090090086E-2</v>
      </c>
      <c r="CX333">
        <v>83</v>
      </c>
      <c r="CY333" s="5">
        <f>CX333/CX384</f>
        <v>0.12443778110944528</v>
      </c>
      <c r="CZ333" s="5">
        <f>83/$CZ$1</f>
        <v>0.12443778110944528</v>
      </c>
    </row>
    <row r="334" spans="1:104" x14ac:dyDescent="0.25">
      <c r="A334" s="1" t="s">
        <v>2959</v>
      </c>
      <c r="B334">
        <v>74</v>
      </c>
      <c r="C334" s="5">
        <f>B334/B384</f>
        <v>7.3999999999999996E-2</v>
      </c>
      <c r="D334" s="5">
        <f>74/$D$1</f>
        <v>7.3999999999999996E-2</v>
      </c>
      <c r="F334">
        <v>53</v>
      </c>
      <c r="G334" s="5">
        <f>F334/F384</f>
        <v>0.10578842315369262</v>
      </c>
      <c r="H334" s="5">
        <f>53/$H$1</f>
        <v>0.10578842315369262</v>
      </c>
      <c r="J334">
        <v>21</v>
      </c>
      <c r="K334" s="5">
        <f>J334/J384</f>
        <v>4.2084168336673347E-2</v>
      </c>
      <c r="L334" s="5">
        <f>21/$L$1</f>
        <v>4.2084168336673347E-2</v>
      </c>
      <c r="N334">
        <v>2</v>
      </c>
      <c r="O334" s="5">
        <f>N334/N384</f>
        <v>2.0618556701030927E-2</v>
      </c>
      <c r="P334" s="5">
        <f>2/$P$1</f>
        <v>2.0618556701030927E-2</v>
      </c>
      <c r="R334">
        <v>13</v>
      </c>
      <c r="S334" s="5">
        <f>R334/R384</f>
        <v>6.5656565656565663E-2</v>
      </c>
      <c r="T334" s="5">
        <f>13/$T$1</f>
        <v>6.5656565656565663E-2</v>
      </c>
      <c r="V334">
        <v>23</v>
      </c>
      <c r="W334" s="5">
        <f>V334/V384</f>
        <v>9.5435684647302899E-2</v>
      </c>
      <c r="X334" s="5">
        <f>23/$X$1</f>
        <v>9.5435684647302899E-2</v>
      </c>
      <c r="Z334">
        <v>12</v>
      </c>
      <c r="AA334" s="5">
        <f>Z334/Z384</f>
        <v>6.0606060606060608E-2</v>
      </c>
      <c r="AB334" s="5">
        <f>12/$AB$1</f>
        <v>6.0606060606060608E-2</v>
      </c>
      <c r="AD334">
        <v>16</v>
      </c>
      <c r="AE334" s="5">
        <f>AD334/AD384</f>
        <v>0.1038961038961039</v>
      </c>
      <c r="AF334" s="5">
        <f>16/$AF$1</f>
        <v>0.1038961038961039</v>
      </c>
      <c r="AH334">
        <v>10</v>
      </c>
      <c r="AI334" s="5">
        <f>AH334/AH384</f>
        <v>8.3333333333333329E-2</v>
      </c>
      <c r="AJ334" s="5">
        <f>10/$AJ$1</f>
        <v>8.3333333333333329E-2</v>
      </c>
      <c r="AL334">
        <v>22</v>
      </c>
      <c r="AM334" s="5">
        <f>AL334/AL384</f>
        <v>5.9459459459459463E-2</v>
      </c>
      <c r="AN334" s="5">
        <f>22/$AN$1</f>
        <v>5.9459459459459463E-2</v>
      </c>
      <c r="AP334">
        <v>31</v>
      </c>
      <c r="AQ334" s="5">
        <f>AP334/AP384</f>
        <v>8.2010582010582006E-2</v>
      </c>
      <c r="AR334" s="5">
        <f>31/$AR$1</f>
        <v>8.2010582010582006E-2</v>
      </c>
      <c r="AT334">
        <v>21</v>
      </c>
      <c r="AU334" s="5">
        <f>AT334/AT384</f>
        <v>8.3333333333333329E-2</v>
      </c>
      <c r="AV334" s="5">
        <f>21/$AV$1</f>
        <v>8.3333333333333329E-2</v>
      </c>
      <c r="AX334">
        <v>14</v>
      </c>
      <c r="AY334" s="5">
        <f>AX334/AX384</f>
        <v>5.128205128205128E-2</v>
      </c>
      <c r="AZ334" s="5">
        <f>14/$AZ$1</f>
        <v>5.128205128205128E-2</v>
      </c>
      <c r="BA334" s="5"/>
      <c r="BB334">
        <v>16</v>
      </c>
      <c r="BC334" s="5">
        <f>BB334/BB384</f>
        <v>7.8817733990147784E-2</v>
      </c>
      <c r="BD334" s="5">
        <f>16/$BD$1</f>
        <v>7.8817733990147784E-2</v>
      </c>
      <c r="BF334">
        <v>23</v>
      </c>
      <c r="BG334" s="5">
        <f>BF334/BF384</f>
        <v>0.10697674418604651</v>
      </c>
      <c r="BH334" s="5">
        <f>23/$BH$1</f>
        <v>0.10697674418604651</v>
      </c>
      <c r="BJ334">
        <v>21</v>
      </c>
      <c r="BK334" s="5">
        <f>BJ334/BJ384</f>
        <v>6.7961165048543687E-2</v>
      </c>
      <c r="BL334" s="5">
        <f>21/$BL$1</f>
        <v>6.7961165048543687E-2</v>
      </c>
      <c r="BN334">
        <v>4</v>
      </c>
      <c r="BO334" s="5">
        <f>BN334/BN384</f>
        <v>8.5106382978723402E-2</v>
      </c>
      <c r="BP334" s="5">
        <f>4/$BP$1</f>
        <v>8.5106382978723402E-2</v>
      </c>
      <c r="BR334">
        <v>29</v>
      </c>
      <c r="BS334" s="5">
        <f>BR334/BR384</f>
        <v>9.2356687898089165E-2</v>
      </c>
      <c r="BT334" s="5">
        <f>29/$BT$1</f>
        <v>9.2356687898089165E-2</v>
      </c>
      <c r="BV334">
        <v>29</v>
      </c>
      <c r="BW334" s="5">
        <f>BV334/BV384</f>
        <v>7.3791348600508899E-2</v>
      </c>
      <c r="BX334" s="5">
        <f>29/$BX$1</f>
        <v>7.3791348600508899E-2</v>
      </c>
      <c r="BZ334">
        <v>12</v>
      </c>
      <c r="CA334" s="5">
        <f>BZ334/BZ384</f>
        <v>4.878048780487805E-2</v>
      </c>
      <c r="CB334" s="5">
        <f>12/$CB$1</f>
        <v>4.878048780487805E-2</v>
      </c>
      <c r="CD334">
        <v>12</v>
      </c>
      <c r="CE334" s="5">
        <f>CD334/CD384</f>
        <v>9.7560975609756101E-2</v>
      </c>
      <c r="CF334" s="5">
        <f>12/$CF$1</f>
        <v>9.7560975609756101E-2</v>
      </c>
      <c r="CH334">
        <v>34</v>
      </c>
      <c r="CI334" s="5">
        <f>CH334/CH384</f>
        <v>4.9418604651162788E-2</v>
      </c>
      <c r="CJ334" s="5">
        <f>34/$CJ$1</f>
        <v>4.9418604651162788E-2</v>
      </c>
      <c r="CL334">
        <v>34</v>
      </c>
      <c r="CM334" s="5">
        <f>CL334/CL384</f>
        <v>4.4854881266490766E-2</v>
      </c>
      <c r="CN334" s="5">
        <f>34/$CN$1</f>
        <v>4.4854881266490766E-2</v>
      </c>
      <c r="CP334">
        <v>40</v>
      </c>
      <c r="CQ334" s="5">
        <f>CP334/CP384</f>
        <v>0.16528925619834711</v>
      </c>
      <c r="CR334" s="5">
        <f>40/$CR$1</f>
        <v>0.16528925619834711</v>
      </c>
      <c r="CT334">
        <v>12</v>
      </c>
      <c r="CU334" s="5">
        <f>CT334/CT384</f>
        <v>3.6036036036036036E-2</v>
      </c>
      <c r="CV334" s="5">
        <f>12/$CV$1</f>
        <v>3.6036036036036036E-2</v>
      </c>
      <c r="CX334">
        <v>62</v>
      </c>
      <c r="CY334" s="5">
        <f>CX334/CX384</f>
        <v>9.2953523238380811E-2</v>
      </c>
      <c r="CZ334" s="5">
        <f>62/$CZ$1</f>
        <v>9.2953523238380811E-2</v>
      </c>
    </row>
    <row r="336" spans="1:104" x14ac:dyDescent="0.25">
      <c r="A336" s="1" t="s">
        <v>2960</v>
      </c>
      <c r="B336">
        <v>641</v>
      </c>
      <c r="C336" s="5">
        <f>B336/B384</f>
        <v>0.64100000000000001</v>
      </c>
      <c r="D336" s="5">
        <f>641/$D$1</f>
        <v>0.64100000000000001</v>
      </c>
      <c r="F336">
        <v>290</v>
      </c>
      <c r="G336" s="5">
        <f>F336/F384</f>
        <v>0.57884231536926145</v>
      </c>
      <c r="H336" s="5">
        <f>290/$H$1</f>
        <v>0.57884231536926145</v>
      </c>
      <c r="J336">
        <v>351</v>
      </c>
      <c r="K336" s="5">
        <f>J336/J384</f>
        <v>0.70340681362725455</v>
      </c>
      <c r="L336" s="5">
        <f>351/$L$1</f>
        <v>0.70340681362725455</v>
      </c>
      <c r="N336">
        <v>78</v>
      </c>
      <c r="O336" s="5">
        <f>N336/N384</f>
        <v>0.80412371134020622</v>
      </c>
      <c r="P336" s="5">
        <f>78/$P$1</f>
        <v>0.80412371134020622</v>
      </c>
      <c r="R336">
        <v>142</v>
      </c>
      <c r="S336" s="5">
        <f>R336/R384</f>
        <v>0.71717171717171713</v>
      </c>
      <c r="T336" s="5">
        <f>142/$T$1</f>
        <v>0.71717171717171713</v>
      </c>
      <c r="V336">
        <v>156</v>
      </c>
      <c r="W336" s="5">
        <f>V336/V384</f>
        <v>0.64730290456431538</v>
      </c>
      <c r="X336" s="5">
        <f>156/$X$1</f>
        <v>0.64730290456431538</v>
      </c>
      <c r="Z336">
        <v>134</v>
      </c>
      <c r="AA336" s="5">
        <f>Z336/Z384</f>
        <v>0.6767676767676768</v>
      </c>
      <c r="AB336" s="5">
        <f>134/$AB$1</f>
        <v>0.6767676767676768</v>
      </c>
      <c r="AD336">
        <v>86</v>
      </c>
      <c r="AE336" s="5">
        <f>AD336/AD384</f>
        <v>0.55844155844155841</v>
      </c>
      <c r="AF336" s="5">
        <f>86/$AF$1</f>
        <v>0.55844155844155841</v>
      </c>
      <c r="AH336">
        <v>50</v>
      </c>
      <c r="AI336" s="5">
        <f>AH336/AH384</f>
        <v>0.41666666666666669</v>
      </c>
      <c r="AJ336" s="5">
        <f>50/$AJ$1</f>
        <v>0.41666666666666669</v>
      </c>
      <c r="AL336">
        <v>223</v>
      </c>
      <c r="AM336" s="5">
        <f>AL336/AL384</f>
        <v>0.60270270270270265</v>
      </c>
      <c r="AN336" s="5">
        <f>223/$AN$1</f>
        <v>0.60270270270270265</v>
      </c>
      <c r="AP336">
        <v>236</v>
      </c>
      <c r="AQ336" s="5">
        <f>AP336/AP384</f>
        <v>0.6243386243386243</v>
      </c>
      <c r="AR336" s="5">
        <f>236/$AR$1</f>
        <v>0.6243386243386243</v>
      </c>
      <c r="AT336">
        <v>182</v>
      </c>
      <c r="AU336" s="5">
        <f>AT336/AT384</f>
        <v>0.72222222222222221</v>
      </c>
      <c r="AV336" s="5">
        <f>182/$AV$1</f>
        <v>0.72222222222222221</v>
      </c>
      <c r="AX336">
        <v>171</v>
      </c>
      <c r="AY336" s="5">
        <f>AX336/AX384</f>
        <v>0.62637362637362637</v>
      </c>
      <c r="AZ336" s="5">
        <f>171/$AZ$1</f>
        <v>0.62637362637362637</v>
      </c>
      <c r="BA336" s="5"/>
      <c r="BB336">
        <v>131</v>
      </c>
      <c r="BC336" s="5">
        <f>BB336/BB384</f>
        <v>0.64532019704433496</v>
      </c>
      <c r="BD336" s="5">
        <f>131/$BD$1</f>
        <v>0.64532019704433496</v>
      </c>
      <c r="BF336">
        <v>136</v>
      </c>
      <c r="BG336" s="5">
        <f>BF336/BF384</f>
        <v>0.63255813953488371</v>
      </c>
      <c r="BH336" s="5">
        <f>136/$BH$1</f>
        <v>0.63255813953488371</v>
      </c>
      <c r="BJ336">
        <v>203</v>
      </c>
      <c r="BK336" s="5">
        <f>BJ336/BJ384</f>
        <v>0.65695792880258896</v>
      </c>
      <c r="BL336" s="5">
        <f>203/$BL$1</f>
        <v>0.65695792880258896</v>
      </c>
      <c r="BN336">
        <v>29</v>
      </c>
      <c r="BO336" s="5">
        <f>BN336/BN384</f>
        <v>0.61702127659574468</v>
      </c>
      <c r="BP336" s="5">
        <f>29/$BP$1</f>
        <v>0.61702127659574468</v>
      </c>
      <c r="BR336">
        <v>177</v>
      </c>
      <c r="BS336" s="5">
        <f>BR336/BR384</f>
        <v>0.56369426751592355</v>
      </c>
      <c r="BT336" s="5">
        <f>177/$BT$1</f>
        <v>0.56369426751592355</v>
      </c>
      <c r="BV336">
        <v>247</v>
      </c>
      <c r="BW336" s="5">
        <f>BV336/BV384</f>
        <v>0.62849872773536897</v>
      </c>
      <c r="BX336" s="5">
        <f>247/$BX$1</f>
        <v>0.62849872773536897</v>
      </c>
      <c r="BZ336">
        <v>188</v>
      </c>
      <c r="CA336" s="5">
        <f>BZ336/BZ384</f>
        <v>0.76422764227642281</v>
      </c>
      <c r="CB336" s="5">
        <f>188/$CB$1</f>
        <v>0.76422764227642281</v>
      </c>
      <c r="CD336">
        <v>87</v>
      </c>
      <c r="CE336" s="5">
        <f>CD336/CD384</f>
        <v>0.70731707317073167</v>
      </c>
      <c r="CF336" s="5">
        <f>87/$CF$1</f>
        <v>0.70731707317073167</v>
      </c>
      <c r="CH336">
        <v>442</v>
      </c>
      <c r="CI336" s="5">
        <f>CH336/CH384</f>
        <v>0.64244186046511631</v>
      </c>
      <c r="CJ336" s="5">
        <f>442/$CJ$1</f>
        <v>0.64244186046511631</v>
      </c>
      <c r="CL336">
        <v>513</v>
      </c>
      <c r="CM336" s="5">
        <f>CL336/CL384</f>
        <v>0.67678100263852248</v>
      </c>
      <c r="CN336" s="5">
        <f>513/$CN$1</f>
        <v>0.67678100263852248</v>
      </c>
      <c r="CP336">
        <v>128</v>
      </c>
      <c r="CQ336" s="5">
        <f>CP336/CP384</f>
        <v>0.52892561983471076</v>
      </c>
      <c r="CR336" s="5">
        <f>128/$CR$1</f>
        <v>0.52892561983471076</v>
      </c>
      <c r="CT336">
        <v>249</v>
      </c>
      <c r="CU336" s="5">
        <f>CT336/CT384</f>
        <v>0.74774774774774777</v>
      </c>
      <c r="CV336" s="5">
        <f>249/$CV$1</f>
        <v>0.74774774774774777</v>
      </c>
      <c r="CX336">
        <v>392</v>
      </c>
      <c r="CY336" s="5">
        <f>CX336/CX384</f>
        <v>0.58770614692653678</v>
      </c>
      <c r="CZ336" s="5">
        <f>392/$CZ$1</f>
        <v>0.58770614692653678</v>
      </c>
    </row>
    <row r="337" spans="1:104" x14ac:dyDescent="0.25">
      <c r="A337" s="1" t="s">
        <v>2961</v>
      </c>
      <c r="B337">
        <v>169</v>
      </c>
      <c r="C337" s="5">
        <f>B337/B384</f>
        <v>0.16900000000000001</v>
      </c>
      <c r="D337" s="5">
        <f>169/$D$1</f>
        <v>0.16900000000000001</v>
      </c>
      <c r="F337">
        <v>94</v>
      </c>
      <c r="G337" s="5">
        <f>F337/F384</f>
        <v>0.18762475049900199</v>
      </c>
      <c r="H337" s="5">
        <f>94/$H$1</f>
        <v>0.18762475049900199</v>
      </c>
      <c r="J337">
        <v>75</v>
      </c>
      <c r="K337" s="5">
        <f>J337/J384</f>
        <v>0.15030060120240482</v>
      </c>
      <c r="L337" s="5">
        <f>75/$L$1</f>
        <v>0.15030060120240482</v>
      </c>
      <c r="N337">
        <v>14</v>
      </c>
      <c r="O337" s="5">
        <f>N337/N384</f>
        <v>0.14432989690721648</v>
      </c>
      <c r="P337" s="5">
        <f>14/$P$1</f>
        <v>0.14432989690721648</v>
      </c>
      <c r="R337">
        <v>27</v>
      </c>
      <c r="S337" s="5">
        <f>R337/R384</f>
        <v>0.13636363636363635</v>
      </c>
      <c r="T337" s="5">
        <f>27/$T$1</f>
        <v>0.13636363636363635</v>
      </c>
      <c r="V337">
        <v>39</v>
      </c>
      <c r="W337" s="5">
        <f>V337/V384</f>
        <v>0.16182572614107885</v>
      </c>
      <c r="X337" s="5">
        <f>39/$X$1</f>
        <v>0.16182572614107885</v>
      </c>
      <c r="Z337">
        <v>31</v>
      </c>
      <c r="AA337" s="5">
        <f>Z337/Z384</f>
        <v>0.15656565656565657</v>
      </c>
      <c r="AB337" s="5">
        <f>31/$AB$1</f>
        <v>0.15656565656565657</v>
      </c>
      <c r="AD337">
        <v>26</v>
      </c>
      <c r="AE337" s="5">
        <f>AD337/AD384</f>
        <v>0.16883116883116883</v>
      </c>
      <c r="AF337" s="5">
        <f>26/$AF$1</f>
        <v>0.16883116883116883</v>
      </c>
      <c r="AH337">
        <v>33</v>
      </c>
      <c r="AI337" s="5">
        <f>AH337/AH384</f>
        <v>0.27500000000000002</v>
      </c>
      <c r="AJ337" s="5">
        <f>33/$AJ$1</f>
        <v>0.27500000000000002</v>
      </c>
      <c r="AL337">
        <v>65</v>
      </c>
      <c r="AM337" s="5">
        <f>AL337/AL384</f>
        <v>0.17567567567567569</v>
      </c>
      <c r="AN337" s="5">
        <f>65/$AN$1</f>
        <v>0.17567567567567569</v>
      </c>
      <c r="AP337">
        <v>69</v>
      </c>
      <c r="AQ337" s="5">
        <f>AP337/AP384</f>
        <v>0.18253968253968253</v>
      </c>
      <c r="AR337" s="5">
        <f>69/$AR$1</f>
        <v>0.18253968253968253</v>
      </c>
      <c r="AT337">
        <v>35</v>
      </c>
      <c r="AU337" s="5">
        <f>AT337/AT384</f>
        <v>0.1388888888888889</v>
      </c>
      <c r="AV337" s="5">
        <f>35/$AV$1</f>
        <v>0.1388888888888889</v>
      </c>
      <c r="AX337">
        <v>52</v>
      </c>
      <c r="AY337" s="5">
        <f>AX337/AX384</f>
        <v>0.19047619047619047</v>
      </c>
      <c r="AZ337" s="5">
        <f>52/$AZ$1</f>
        <v>0.19047619047619047</v>
      </c>
      <c r="BA337" s="5"/>
      <c r="BB337">
        <v>31</v>
      </c>
      <c r="BC337" s="5">
        <f>BB337/BB384</f>
        <v>0.15270935960591134</v>
      </c>
      <c r="BD337" s="5">
        <f>31/$BD$1</f>
        <v>0.15270935960591134</v>
      </c>
      <c r="BF337">
        <v>36</v>
      </c>
      <c r="BG337" s="5">
        <f>BF337/BF384</f>
        <v>0.16744186046511628</v>
      </c>
      <c r="BH337" s="5">
        <f>36/$BH$1</f>
        <v>0.16744186046511628</v>
      </c>
      <c r="BJ337">
        <v>50</v>
      </c>
      <c r="BK337" s="5">
        <f>BJ337/BJ384</f>
        <v>0.16181229773462782</v>
      </c>
      <c r="BL337" s="5">
        <f>50/$BL$1</f>
        <v>0.16181229773462782</v>
      </c>
      <c r="BN337">
        <v>8</v>
      </c>
      <c r="BO337" s="5">
        <f>BN337/BN384</f>
        <v>0.1702127659574468</v>
      </c>
      <c r="BP337" s="5">
        <f>8/$BP$1</f>
        <v>0.1702127659574468</v>
      </c>
      <c r="BR337">
        <v>70</v>
      </c>
      <c r="BS337" s="5">
        <f>BR337/BR384</f>
        <v>0.22292993630573249</v>
      </c>
      <c r="BT337" s="5">
        <f>70/$BT$1</f>
        <v>0.22292993630573249</v>
      </c>
      <c r="BV337">
        <v>55</v>
      </c>
      <c r="BW337" s="5">
        <f>BV337/BV384</f>
        <v>0.13994910941475827</v>
      </c>
      <c r="BX337" s="5">
        <f>55/$BX$1</f>
        <v>0.13994910941475827</v>
      </c>
      <c r="BZ337">
        <v>36</v>
      </c>
      <c r="CA337" s="5">
        <f>BZ337/BZ384</f>
        <v>0.14634146341463414</v>
      </c>
      <c r="CB337" s="5">
        <f>36/$CB$1</f>
        <v>0.14634146341463414</v>
      </c>
      <c r="CD337">
        <v>15</v>
      </c>
      <c r="CE337" s="5">
        <f>CD337/CD384</f>
        <v>0.12195121951219512</v>
      </c>
      <c r="CF337" s="5">
        <f>15/$CF$1</f>
        <v>0.12195121951219512</v>
      </c>
      <c r="CH337">
        <v>122</v>
      </c>
      <c r="CI337" s="5">
        <f>CH337/CH384</f>
        <v>0.17732558139534885</v>
      </c>
      <c r="CJ337" s="5">
        <f>122/$CJ$1</f>
        <v>0.17732558139534885</v>
      </c>
      <c r="CL337">
        <v>130</v>
      </c>
      <c r="CM337" s="5">
        <f>CL337/CL384</f>
        <v>0.17150395778364116</v>
      </c>
      <c r="CN337" s="5">
        <f>130/$CN$1</f>
        <v>0.17150395778364116</v>
      </c>
      <c r="CP337">
        <v>39</v>
      </c>
      <c r="CQ337" s="5">
        <f>CP337/CP384</f>
        <v>0.16115702479338842</v>
      </c>
      <c r="CR337" s="5">
        <f>39/$CR$1</f>
        <v>0.16115702479338842</v>
      </c>
      <c r="CT337">
        <v>49</v>
      </c>
      <c r="CU337" s="5">
        <f>CT337/CT384</f>
        <v>0.14714714714714713</v>
      </c>
      <c r="CV337" s="5">
        <f>49/$CV$1</f>
        <v>0.14714714714714713</v>
      </c>
      <c r="CX337">
        <v>120</v>
      </c>
      <c r="CY337" s="5">
        <f>CX337/CX384</f>
        <v>0.17991004497751126</v>
      </c>
      <c r="CZ337" s="5">
        <f>120/$CZ$1</f>
        <v>0.17991004497751126</v>
      </c>
    </row>
    <row r="338" spans="1:104" x14ac:dyDescent="0.25">
      <c r="A338" s="1" t="s">
        <v>2962</v>
      </c>
      <c r="B338">
        <v>190</v>
      </c>
      <c r="C338" s="5">
        <f>B338/B384</f>
        <v>0.19</v>
      </c>
      <c r="D338" s="5">
        <f>190/$D$1</f>
        <v>0.19</v>
      </c>
      <c r="F338">
        <v>117</v>
      </c>
      <c r="G338" s="5">
        <f>F338/F384</f>
        <v>0.23353293413173654</v>
      </c>
      <c r="H338" s="5">
        <f>117/$H$1</f>
        <v>0.23353293413173654</v>
      </c>
      <c r="J338">
        <v>73</v>
      </c>
      <c r="K338" s="5">
        <f>J338/J384</f>
        <v>0.14629258517034069</v>
      </c>
      <c r="L338" s="5">
        <f>73/$L$1</f>
        <v>0.14629258517034069</v>
      </c>
      <c r="N338">
        <v>5</v>
      </c>
      <c r="O338" s="5">
        <f>N338/N384</f>
        <v>5.1546391752577317E-2</v>
      </c>
      <c r="P338" s="5">
        <f>5/$P$1</f>
        <v>5.1546391752577317E-2</v>
      </c>
      <c r="R338">
        <v>29</v>
      </c>
      <c r="S338" s="5">
        <f>R338/R384</f>
        <v>0.14646464646464646</v>
      </c>
      <c r="T338" s="5">
        <f>29/$T$1</f>
        <v>0.14646464646464646</v>
      </c>
      <c r="V338">
        <v>46</v>
      </c>
      <c r="W338" s="5">
        <f>V338/V384</f>
        <v>0.1908713692946058</v>
      </c>
      <c r="X338" s="5">
        <f>46/$X$1</f>
        <v>0.1908713692946058</v>
      </c>
      <c r="Z338">
        <v>33</v>
      </c>
      <c r="AA338" s="5">
        <f>Z338/Z384</f>
        <v>0.16666666666666666</v>
      </c>
      <c r="AB338" s="5">
        <f>33/$AB$1</f>
        <v>0.16666666666666666</v>
      </c>
      <c r="AD338">
        <v>42</v>
      </c>
      <c r="AE338" s="5">
        <f>AD338/AD384</f>
        <v>0.27272727272727271</v>
      </c>
      <c r="AF338" s="5">
        <f>42/$AF$1</f>
        <v>0.27272727272727271</v>
      </c>
      <c r="AH338">
        <v>37</v>
      </c>
      <c r="AI338" s="5">
        <f>AH338/AH384</f>
        <v>0.30833333333333335</v>
      </c>
      <c r="AJ338" s="5">
        <f>37/$AJ$1</f>
        <v>0.30833333333333335</v>
      </c>
      <c r="AL338">
        <v>82</v>
      </c>
      <c r="AM338" s="5">
        <f>AL338/AL384</f>
        <v>0.22162162162162163</v>
      </c>
      <c r="AN338" s="5">
        <f>82/$AN$1</f>
        <v>0.22162162162162163</v>
      </c>
      <c r="AP338">
        <v>73</v>
      </c>
      <c r="AQ338" s="5">
        <f>AP338/AP384</f>
        <v>0.19312169312169311</v>
      </c>
      <c r="AR338" s="5">
        <f>73/$AR$1</f>
        <v>0.19312169312169311</v>
      </c>
      <c r="AT338">
        <v>35</v>
      </c>
      <c r="AU338" s="5">
        <f>AT338/AT384</f>
        <v>0.1388888888888889</v>
      </c>
      <c r="AV338" s="5">
        <f>35/$AV$1</f>
        <v>0.1388888888888889</v>
      </c>
      <c r="AX338">
        <v>50</v>
      </c>
      <c r="AY338" s="5">
        <f>AX338/AX384</f>
        <v>0.18315018315018314</v>
      </c>
      <c r="AZ338" s="5">
        <f>50/$AZ$1</f>
        <v>0.18315018315018314</v>
      </c>
      <c r="BA338" s="5"/>
      <c r="BB338">
        <v>41</v>
      </c>
      <c r="BC338" s="5">
        <f>BB338/BB384</f>
        <v>0.2019704433497537</v>
      </c>
      <c r="BD338" s="5">
        <f>41/$BD$1</f>
        <v>0.2019704433497537</v>
      </c>
      <c r="BF338">
        <v>43</v>
      </c>
      <c r="BG338" s="5">
        <f>BF338/BF384</f>
        <v>0.2</v>
      </c>
      <c r="BH338" s="5">
        <f>43/$BH$1</f>
        <v>0.2</v>
      </c>
      <c r="BJ338">
        <v>56</v>
      </c>
      <c r="BK338" s="5">
        <f>BJ338/BJ384</f>
        <v>0.18122977346278318</v>
      </c>
      <c r="BL338" s="5">
        <f>56/$BL$1</f>
        <v>0.18122977346278318</v>
      </c>
      <c r="BN338">
        <v>10</v>
      </c>
      <c r="BO338" s="5">
        <f>BN338/BN384</f>
        <v>0.21276595744680851</v>
      </c>
      <c r="BP338" s="5">
        <f>10/$BP$1</f>
        <v>0.21276595744680851</v>
      </c>
      <c r="BR338">
        <v>67</v>
      </c>
      <c r="BS338" s="5">
        <f>BR338/BR384</f>
        <v>0.21337579617834396</v>
      </c>
      <c r="BT338" s="5">
        <f>67/$BT$1</f>
        <v>0.21337579617834396</v>
      </c>
      <c r="BV338">
        <v>91</v>
      </c>
      <c r="BW338" s="5">
        <f>BV338/BV384</f>
        <v>0.23155216284987276</v>
      </c>
      <c r="BX338" s="5">
        <f>91/$BX$1</f>
        <v>0.23155216284987276</v>
      </c>
      <c r="BZ338">
        <v>22</v>
      </c>
      <c r="CA338" s="5">
        <f>BZ338/BZ384</f>
        <v>8.943089430894309E-2</v>
      </c>
      <c r="CB338" s="5">
        <f>22/$CB$1</f>
        <v>8.943089430894309E-2</v>
      </c>
      <c r="CD338">
        <v>21</v>
      </c>
      <c r="CE338" s="5">
        <f>CD338/CD384</f>
        <v>0.17073170731707318</v>
      </c>
      <c r="CF338" s="5">
        <f>21/$CF$1</f>
        <v>0.17073170731707318</v>
      </c>
      <c r="CH338">
        <v>124</v>
      </c>
      <c r="CI338" s="5">
        <f>CH338/CH384</f>
        <v>0.18023255813953487</v>
      </c>
      <c r="CJ338" s="5">
        <f>124/$CJ$1</f>
        <v>0.18023255813953487</v>
      </c>
      <c r="CL338">
        <v>115</v>
      </c>
      <c r="CM338" s="5">
        <f>CL338/CL384</f>
        <v>0.15171503957783641</v>
      </c>
      <c r="CN338" s="5">
        <f>115/$CN$1</f>
        <v>0.15171503957783641</v>
      </c>
      <c r="CP338">
        <v>75</v>
      </c>
      <c r="CQ338" s="5">
        <f>CP338/CP384</f>
        <v>0.30991735537190085</v>
      </c>
      <c r="CR338" s="5">
        <f>75/$CR$1</f>
        <v>0.30991735537190085</v>
      </c>
      <c r="CT338">
        <v>35</v>
      </c>
      <c r="CU338" s="5">
        <f>CT338/CT384</f>
        <v>0.10510510510510511</v>
      </c>
      <c r="CV338" s="5">
        <f>35/$CV$1</f>
        <v>0.10510510510510511</v>
      </c>
      <c r="CX338">
        <v>155</v>
      </c>
      <c r="CY338" s="5">
        <f>CX338/CX384</f>
        <v>0.23238380809595202</v>
      </c>
      <c r="CZ338" s="5">
        <f>155/$CZ$1</f>
        <v>0.23238380809595202</v>
      </c>
    </row>
    <row r="340" spans="1:104" x14ac:dyDescent="0.25">
      <c r="A340" s="1" t="s">
        <v>2963</v>
      </c>
      <c r="B340">
        <v>506</v>
      </c>
      <c r="C340" s="5">
        <f>B340/B384</f>
        <v>0.50600000000000001</v>
      </c>
      <c r="D340" s="5">
        <f>506/$D$1</f>
        <v>0.50600000000000001</v>
      </c>
      <c r="F340">
        <v>231</v>
      </c>
      <c r="G340" s="5">
        <f>F340/F384</f>
        <v>0.46107784431137727</v>
      </c>
      <c r="H340" s="5">
        <f>231/$H$1</f>
        <v>0.46107784431137727</v>
      </c>
      <c r="J340">
        <v>275</v>
      </c>
      <c r="K340" s="5">
        <f>J340/J384</f>
        <v>0.55110220440881763</v>
      </c>
      <c r="L340" s="5">
        <f>275/$L$1</f>
        <v>0.55110220440881763</v>
      </c>
      <c r="N340">
        <v>63</v>
      </c>
      <c r="O340" s="5">
        <f>N340/N384</f>
        <v>0.64948453608247425</v>
      </c>
      <c r="P340" s="5">
        <f>63/$P$1</f>
        <v>0.64948453608247425</v>
      </c>
      <c r="R340">
        <v>88</v>
      </c>
      <c r="S340" s="5">
        <f>R340/R384</f>
        <v>0.44444444444444442</v>
      </c>
      <c r="T340" s="5">
        <f>88/$T$1</f>
        <v>0.44444444444444442</v>
      </c>
      <c r="V340">
        <v>107</v>
      </c>
      <c r="W340" s="5">
        <f>V340/V384</f>
        <v>0.44398340248962653</v>
      </c>
      <c r="X340" s="5">
        <f>107/$X$1</f>
        <v>0.44398340248962653</v>
      </c>
      <c r="Z340">
        <v>97</v>
      </c>
      <c r="AA340" s="5">
        <f>Z340/Z384</f>
        <v>0.48989898989898989</v>
      </c>
      <c r="AB340" s="5">
        <f>97/$AB$1</f>
        <v>0.48989898989898989</v>
      </c>
      <c r="AD340">
        <v>73</v>
      </c>
      <c r="AE340" s="5">
        <f>AD340/AD384</f>
        <v>0.47402597402597402</v>
      </c>
      <c r="AF340" s="5">
        <f>73/$AF$1</f>
        <v>0.47402597402597402</v>
      </c>
      <c r="AH340">
        <v>80</v>
      </c>
      <c r="AI340" s="5">
        <f>AH340/AH384</f>
        <v>0.66666666666666663</v>
      </c>
      <c r="AJ340" s="5">
        <f>80/$AJ$1</f>
        <v>0.66666666666666663</v>
      </c>
      <c r="AL340">
        <v>194</v>
      </c>
      <c r="AM340" s="5">
        <f>AL340/AL384</f>
        <v>0.5243243243243243</v>
      </c>
      <c r="AN340" s="5">
        <f>194/$AN$1</f>
        <v>0.5243243243243243</v>
      </c>
      <c r="AP340">
        <v>194</v>
      </c>
      <c r="AQ340" s="5">
        <f>AP340/AP384</f>
        <v>0.51322751322751325</v>
      </c>
      <c r="AR340" s="5">
        <f>194/$AR$1</f>
        <v>0.51322751322751325</v>
      </c>
      <c r="AT340">
        <v>118</v>
      </c>
      <c r="AU340" s="5">
        <f>AT340/AT384</f>
        <v>0.46825396825396826</v>
      </c>
      <c r="AV340" s="5">
        <f>118/$AV$1</f>
        <v>0.46825396825396826</v>
      </c>
      <c r="AX340">
        <v>109</v>
      </c>
      <c r="AY340" s="5">
        <f>AX340/AX384</f>
        <v>0.39926739926739929</v>
      </c>
      <c r="AZ340" s="5">
        <f>109/$AZ$1</f>
        <v>0.39926739926739929</v>
      </c>
      <c r="BA340" s="5"/>
      <c r="BB340">
        <v>81</v>
      </c>
      <c r="BC340" s="5">
        <f>BB340/BB384</f>
        <v>0.39901477832512317</v>
      </c>
      <c r="BD340" s="5">
        <f>81/$BD$1</f>
        <v>0.39901477832512317</v>
      </c>
      <c r="BF340">
        <v>106</v>
      </c>
      <c r="BG340" s="5">
        <f>BF340/BF384</f>
        <v>0.49302325581395351</v>
      </c>
      <c r="BH340" s="5">
        <f>106/$BH$1</f>
        <v>0.49302325581395351</v>
      </c>
      <c r="BJ340">
        <v>210</v>
      </c>
      <c r="BK340" s="5">
        <f>BJ340/BJ384</f>
        <v>0.67961165048543692</v>
      </c>
      <c r="BL340" s="5">
        <f>210/$BL$1</f>
        <v>0.67961165048543692</v>
      </c>
      <c r="BN340">
        <v>26</v>
      </c>
      <c r="BO340" s="5">
        <f>BN340/BN384</f>
        <v>0.55319148936170215</v>
      </c>
      <c r="BP340" s="5">
        <f>26/$BP$1</f>
        <v>0.55319148936170215</v>
      </c>
      <c r="BR340">
        <v>156</v>
      </c>
      <c r="BS340" s="5">
        <f>BR340/BR384</f>
        <v>0.49681528662420382</v>
      </c>
      <c r="BT340" s="5">
        <f>156/$BT$1</f>
        <v>0.49681528662420382</v>
      </c>
      <c r="BV340">
        <v>194</v>
      </c>
      <c r="BW340" s="5">
        <f>BV340/BV384</f>
        <v>0.49363867684478374</v>
      </c>
      <c r="BX340" s="5">
        <f>194/$BX$1</f>
        <v>0.49363867684478374</v>
      </c>
      <c r="BZ340">
        <v>130</v>
      </c>
      <c r="CA340" s="5">
        <f>BZ340/BZ384</f>
        <v>0.52845528455284552</v>
      </c>
      <c r="CB340" s="5">
        <f>130/$CB$1</f>
        <v>0.52845528455284552</v>
      </c>
      <c r="CD340">
        <v>64</v>
      </c>
      <c r="CE340" s="5">
        <f>CD340/CD384</f>
        <v>0.52032520325203258</v>
      </c>
      <c r="CF340" s="5">
        <f>64/$CF$1</f>
        <v>0.52032520325203258</v>
      </c>
      <c r="CH340">
        <v>344</v>
      </c>
      <c r="CI340" s="5">
        <f>CH340/CH384</f>
        <v>0.5</v>
      </c>
      <c r="CJ340" s="5">
        <f>344/$CJ$1</f>
        <v>0.5</v>
      </c>
      <c r="CL340">
        <v>395</v>
      </c>
      <c r="CM340" s="5">
        <f>CL340/CL384</f>
        <v>0.52110817941952503</v>
      </c>
      <c r="CN340" s="5">
        <f>395/$CN$1</f>
        <v>0.52110817941952503</v>
      </c>
      <c r="CP340">
        <v>111</v>
      </c>
      <c r="CQ340" s="5">
        <f>CP340/CP384</f>
        <v>0.45867768595041325</v>
      </c>
      <c r="CR340" s="5">
        <f>111/$CR$1</f>
        <v>0.45867768595041325</v>
      </c>
      <c r="CT340">
        <v>173</v>
      </c>
      <c r="CU340" s="5">
        <f>CT340/CT384</f>
        <v>0.51951951951951947</v>
      </c>
      <c r="CV340" s="5">
        <f>173/$CV$1</f>
        <v>0.51951951951951947</v>
      </c>
      <c r="CX340">
        <v>333</v>
      </c>
      <c r="CY340" s="5">
        <f>CX340/CX384</f>
        <v>0.49925037481259371</v>
      </c>
      <c r="CZ340" s="5">
        <f>333/$CZ$1</f>
        <v>0.49925037481259371</v>
      </c>
    </row>
    <row r="341" spans="1:104" x14ac:dyDescent="0.25">
      <c r="A341" s="1" t="s">
        <v>2964</v>
      </c>
      <c r="B341">
        <v>165</v>
      </c>
      <c r="C341" s="5">
        <f>B341/B384</f>
        <v>0.16500000000000001</v>
      </c>
      <c r="D341" s="5">
        <f>165/$D$1</f>
        <v>0.16500000000000001</v>
      </c>
      <c r="F341">
        <v>76</v>
      </c>
      <c r="G341" s="5">
        <f>F341/F384</f>
        <v>0.15169660678642716</v>
      </c>
      <c r="H341" s="5">
        <f>76/$H$1</f>
        <v>0.15169660678642716</v>
      </c>
      <c r="J341">
        <v>89</v>
      </c>
      <c r="K341" s="5">
        <f>J341/J384</f>
        <v>0.17835671342685372</v>
      </c>
      <c r="L341" s="5">
        <f>89/$L$1</f>
        <v>0.17835671342685372</v>
      </c>
      <c r="N341">
        <v>11</v>
      </c>
      <c r="O341" s="5">
        <f>N341/N384</f>
        <v>0.1134020618556701</v>
      </c>
      <c r="P341" s="5">
        <f>11/$P$1</f>
        <v>0.1134020618556701</v>
      </c>
      <c r="R341">
        <v>36</v>
      </c>
      <c r="S341" s="5">
        <f>R341/R384</f>
        <v>0.18181818181818182</v>
      </c>
      <c r="T341" s="5">
        <f>36/$T$1</f>
        <v>0.18181818181818182</v>
      </c>
      <c r="V341">
        <v>42</v>
      </c>
      <c r="W341" s="5">
        <f>V341/V384</f>
        <v>0.17427385892116182</v>
      </c>
      <c r="X341" s="5">
        <f>42/$X$1</f>
        <v>0.17427385892116182</v>
      </c>
      <c r="Z341">
        <v>28</v>
      </c>
      <c r="AA341" s="5">
        <f>Z341/Z384</f>
        <v>0.14141414141414141</v>
      </c>
      <c r="AB341" s="5">
        <f>28/$AB$1</f>
        <v>0.14141414141414141</v>
      </c>
      <c r="AD341">
        <v>32</v>
      </c>
      <c r="AE341" s="5">
        <f>AD341/AD384</f>
        <v>0.20779220779220781</v>
      </c>
      <c r="AF341" s="5">
        <f>32/$AF$1</f>
        <v>0.20779220779220781</v>
      </c>
      <c r="AH341">
        <v>19</v>
      </c>
      <c r="AI341" s="5">
        <f>AH341/AH384</f>
        <v>0.15833333333333333</v>
      </c>
      <c r="AJ341" s="5">
        <f>19/$AJ$1</f>
        <v>0.15833333333333333</v>
      </c>
      <c r="AL341">
        <v>57</v>
      </c>
      <c r="AM341" s="5">
        <f>AL341/AL384</f>
        <v>0.15405405405405406</v>
      </c>
      <c r="AN341" s="5">
        <f>57/$AN$1</f>
        <v>0.15405405405405406</v>
      </c>
      <c r="AP341">
        <v>64</v>
      </c>
      <c r="AQ341" s="5">
        <f>AP341/AP384</f>
        <v>0.1693121693121693</v>
      </c>
      <c r="AR341" s="5">
        <f>64/$AR$1</f>
        <v>0.1693121693121693</v>
      </c>
      <c r="AT341">
        <v>44</v>
      </c>
      <c r="AU341" s="5">
        <f>AT341/AT384</f>
        <v>0.17460317460317459</v>
      </c>
      <c r="AV341" s="5">
        <f>44/$AV$1</f>
        <v>0.17460317460317459</v>
      </c>
      <c r="AX341">
        <v>50</v>
      </c>
      <c r="AY341" s="5">
        <f>AX341/AX384</f>
        <v>0.18315018315018314</v>
      </c>
      <c r="AZ341" s="5">
        <f>50/$AZ$1</f>
        <v>0.18315018315018314</v>
      </c>
      <c r="BA341" s="5"/>
      <c r="BB341">
        <v>40</v>
      </c>
      <c r="BC341" s="5">
        <f>BB341/BB384</f>
        <v>0.19704433497536947</v>
      </c>
      <c r="BD341" s="5">
        <f>40/$BD$1</f>
        <v>0.19704433497536947</v>
      </c>
      <c r="BF341">
        <v>36</v>
      </c>
      <c r="BG341" s="5">
        <f>BF341/BF384</f>
        <v>0.16744186046511628</v>
      </c>
      <c r="BH341" s="5">
        <f>36/$BH$1</f>
        <v>0.16744186046511628</v>
      </c>
      <c r="BJ341">
        <v>39</v>
      </c>
      <c r="BK341" s="5">
        <f>BJ341/BJ384</f>
        <v>0.12621359223300971</v>
      </c>
      <c r="BL341" s="5">
        <f>39/$BL$1</f>
        <v>0.12621359223300971</v>
      </c>
      <c r="BN341">
        <v>3</v>
      </c>
      <c r="BO341" s="5">
        <f>BN341/BN384</f>
        <v>6.3829787234042548E-2</v>
      </c>
      <c r="BP341" s="5">
        <f>3/$BP$1</f>
        <v>6.3829787234042548E-2</v>
      </c>
      <c r="BR341">
        <v>59</v>
      </c>
      <c r="BS341" s="5">
        <f>BR341/BR384</f>
        <v>0.18789808917197454</v>
      </c>
      <c r="BT341" s="5">
        <f>59/$BT$1</f>
        <v>0.18789808917197454</v>
      </c>
      <c r="BV341">
        <v>67</v>
      </c>
      <c r="BW341" s="5">
        <f>BV341/BV384</f>
        <v>0.17048346055979643</v>
      </c>
      <c r="BX341" s="5">
        <f>67/$BX$1</f>
        <v>0.17048346055979643</v>
      </c>
      <c r="BZ341">
        <v>36</v>
      </c>
      <c r="CA341" s="5">
        <f>BZ341/BZ384</f>
        <v>0.14634146341463414</v>
      </c>
      <c r="CB341" s="5">
        <f>36/$CB$1</f>
        <v>0.14634146341463414</v>
      </c>
      <c r="CD341">
        <v>21</v>
      </c>
      <c r="CE341" s="5">
        <f>CD341/CD384</f>
        <v>0.17073170731707318</v>
      </c>
      <c r="CF341" s="5">
        <f>21/$CF$1</f>
        <v>0.17073170731707318</v>
      </c>
      <c r="CH341">
        <v>125</v>
      </c>
      <c r="CI341" s="5">
        <f>CH341/CH384</f>
        <v>0.1816860465116279</v>
      </c>
      <c r="CJ341" s="5">
        <f>125/$CJ$1</f>
        <v>0.1816860465116279</v>
      </c>
      <c r="CL341">
        <v>144</v>
      </c>
      <c r="CM341" s="5">
        <f>CL341/CL384</f>
        <v>0.18997361477572558</v>
      </c>
      <c r="CN341" s="5">
        <f>144/$CN$1</f>
        <v>0.18997361477572558</v>
      </c>
      <c r="CP341">
        <v>21</v>
      </c>
      <c r="CQ341" s="5">
        <f>CP341/CP384</f>
        <v>8.6776859504132234E-2</v>
      </c>
      <c r="CR341" s="5">
        <f>21/$CR$1</f>
        <v>8.6776859504132234E-2</v>
      </c>
      <c r="CT341">
        <v>69</v>
      </c>
      <c r="CU341" s="5">
        <f>CT341/CT384</f>
        <v>0.2072072072072072</v>
      </c>
      <c r="CV341" s="5">
        <f>69/$CV$1</f>
        <v>0.2072072072072072</v>
      </c>
      <c r="CX341">
        <v>96</v>
      </c>
      <c r="CY341" s="5">
        <f>CX341/CX384</f>
        <v>0.14392803598200898</v>
      </c>
      <c r="CZ341" s="5">
        <f>96/$CZ$1</f>
        <v>0.14392803598200898</v>
      </c>
    </row>
    <row r="342" spans="1:104" x14ac:dyDescent="0.25">
      <c r="A342" s="1" t="s">
        <v>2965</v>
      </c>
      <c r="B342">
        <v>330</v>
      </c>
      <c r="C342" s="5">
        <f>B342/B384</f>
        <v>0.33</v>
      </c>
      <c r="D342" s="5">
        <f>330/$D$1</f>
        <v>0.33</v>
      </c>
      <c r="F342">
        <v>194</v>
      </c>
      <c r="G342" s="5">
        <f>F342/F384</f>
        <v>0.38722554890219563</v>
      </c>
      <c r="H342" s="5">
        <f>194/$H$1</f>
        <v>0.38722554890219563</v>
      </c>
      <c r="J342">
        <v>136</v>
      </c>
      <c r="K342" s="5">
        <f>J342/J384</f>
        <v>0.27254509018036072</v>
      </c>
      <c r="L342" s="5">
        <f>136/$L$1</f>
        <v>0.27254509018036072</v>
      </c>
      <c r="N342">
        <v>23</v>
      </c>
      <c r="O342" s="5">
        <f>N342/N384</f>
        <v>0.23711340206185566</v>
      </c>
      <c r="P342" s="5">
        <f>23/$P$1</f>
        <v>0.23711340206185566</v>
      </c>
      <c r="R342">
        <v>74</v>
      </c>
      <c r="S342" s="5">
        <f>R342/R384</f>
        <v>0.37373737373737376</v>
      </c>
      <c r="T342" s="5">
        <f>74/$T$1</f>
        <v>0.37373737373737376</v>
      </c>
      <c r="V342">
        <v>93</v>
      </c>
      <c r="W342" s="5">
        <f>V342/V384</f>
        <v>0.38589211618257263</v>
      </c>
      <c r="X342" s="5">
        <f>93/$X$1</f>
        <v>0.38589211618257263</v>
      </c>
      <c r="Z342">
        <v>73</v>
      </c>
      <c r="AA342" s="5">
        <f>Z342/Z384</f>
        <v>0.36868686868686867</v>
      </c>
      <c r="AB342" s="5">
        <f>73/$AB$1</f>
        <v>0.36868686868686867</v>
      </c>
      <c r="AD342">
        <v>49</v>
      </c>
      <c r="AE342" s="5">
        <f>AD342/AD384</f>
        <v>0.31818181818181818</v>
      </c>
      <c r="AF342" s="5">
        <f>49/$AF$1</f>
        <v>0.31818181818181818</v>
      </c>
      <c r="AH342">
        <v>21</v>
      </c>
      <c r="AI342" s="5">
        <f>AH342/AH384</f>
        <v>0.17499999999999999</v>
      </c>
      <c r="AJ342" s="5">
        <f>21/$AJ$1</f>
        <v>0.17499999999999999</v>
      </c>
      <c r="AL342">
        <v>120</v>
      </c>
      <c r="AM342" s="5">
        <f>AL342/AL384</f>
        <v>0.32432432432432434</v>
      </c>
      <c r="AN342" s="5">
        <f>120/$AN$1</f>
        <v>0.32432432432432434</v>
      </c>
      <c r="AP342">
        <v>120</v>
      </c>
      <c r="AQ342" s="5">
        <f>AP342/AP384</f>
        <v>0.31746031746031744</v>
      </c>
      <c r="AR342" s="5">
        <f>120/$AR$1</f>
        <v>0.31746031746031744</v>
      </c>
      <c r="AT342">
        <v>90</v>
      </c>
      <c r="AU342" s="5">
        <f>AT342/AT384</f>
        <v>0.35714285714285715</v>
      </c>
      <c r="AV342" s="5">
        <f>90/$AV$1</f>
        <v>0.35714285714285715</v>
      </c>
      <c r="AX342">
        <v>115</v>
      </c>
      <c r="AY342" s="5">
        <f>AX342/AX384</f>
        <v>0.42124542124542125</v>
      </c>
      <c r="AZ342" s="5">
        <f>115/$AZ$1</f>
        <v>0.42124542124542125</v>
      </c>
      <c r="BA342" s="5"/>
      <c r="BB342">
        <v>82</v>
      </c>
      <c r="BC342" s="5">
        <f>BB342/BB384</f>
        <v>0.4039408866995074</v>
      </c>
      <c r="BD342" s="5">
        <f>82/$BD$1</f>
        <v>0.4039408866995074</v>
      </c>
      <c r="BF342">
        <v>73</v>
      </c>
      <c r="BG342" s="5">
        <f>BF342/BF384</f>
        <v>0.33953488372093021</v>
      </c>
      <c r="BH342" s="5">
        <f>73/$BH$1</f>
        <v>0.33953488372093021</v>
      </c>
      <c r="BJ342">
        <v>60</v>
      </c>
      <c r="BK342" s="5">
        <f>BJ342/BJ384</f>
        <v>0.1941747572815534</v>
      </c>
      <c r="BL342" s="5">
        <f>60/$BL$1</f>
        <v>0.1941747572815534</v>
      </c>
      <c r="BN342">
        <v>18</v>
      </c>
      <c r="BO342" s="5">
        <f>BN342/BN384</f>
        <v>0.38297872340425532</v>
      </c>
      <c r="BP342" s="5">
        <f>18/$BP$1</f>
        <v>0.38297872340425532</v>
      </c>
      <c r="BR342">
        <v>99</v>
      </c>
      <c r="BS342" s="5">
        <f>BR342/BR384</f>
        <v>0.31528662420382164</v>
      </c>
      <c r="BT342" s="5">
        <f>99/$BT$1</f>
        <v>0.31528662420382164</v>
      </c>
      <c r="BV342">
        <v>133</v>
      </c>
      <c r="BW342" s="5">
        <f>BV342/BV384</f>
        <v>0.33842239185750639</v>
      </c>
      <c r="BX342" s="5">
        <f>133/$BX$1</f>
        <v>0.33842239185750639</v>
      </c>
      <c r="BZ342">
        <v>80</v>
      </c>
      <c r="CA342" s="5">
        <f>BZ342/BZ384</f>
        <v>0.32520325203252032</v>
      </c>
      <c r="CB342" s="5">
        <f>80/$CB$1</f>
        <v>0.32520325203252032</v>
      </c>
      <c r="CD342">
        <v>38</v>
      </c>
      <c r="CE342" s="5">
        <f>CD342/CD384</f>
        <v>0.30894308943089432</v>
      </c>
      <c r="CF342" s="5">
        <f>38/$CF$1</f>
        <v>0.30894308943089432</v>
      </c>
      <c r="CH342">
        <v>220</v>
      </c>
      <c r="CI342" s="5">
        <f>CH342/CH384</f>
        <v>0.31976744186046513</v>
      </c>
      <c r="CJ342" s="5">
        <f>220/$CJ$1</f>
        <v>0.31976744186046513</v>
      </c>
      <c r="CL342">
        <v>220</v>
      </c>
      <c r="CM342" s="5">
        <f>CL342/CL384</f>
        <v>0.29023746701846964</v>
      </c>
      <c r="CN342" s="5">
        <f>220/$CN$1</f>
        <v>0.29023746701846964</v>
      </c>
      <c r="CP342">
        <v>110</v>
      </c>
      <c r="CQ342" s="5">
        <f>CP342/CP384</f>
        <v>0.45454545454545453</v>
      </c>
      <c r="CR342" s="5">
        <f>110/$CR$1</f>
        <v>0.45454545454545453</v>
      </c>
      <c r="CT342">
        <v>92</v>
      </c>
      <c r="CU342" s="5">
        <f>CT342/CT384</f>
        <v>0.27627627627627627</v>
      </c>
      <c r="CV342" s="5">
        <f>92/$CV$1</f>
        <v>0.27627627627627627</v>
      </c>
      <c r="CX342">
        <v>238</v>
      </c>
      <c r="CY342" s="5">
        <f>CX342/CX384</f>
        <v>0.3568215892053973</v>
      </c>
      <c r="CZ342" s="5">
        <f>238/$CZ$1</f>
        <v>0.3568215892053973</v>
      </c>
    </row>
    <row r="344" spans="1:104" x14ac:dyDescent="0.25">
      <c r="A344" s="1" t="s">
        <v>2966</v>
      </c>
      <c r="B344">
        <v>44</v>
      </c>
      <c r="C344" s="5">
        <f>B344/B384</f>
        <v>4.3999999999999997E-2</v>
      </c>
      <c r="D344" s="5">
        <f>44/$D$1</f>
        <v>4.3999999999999997E-2</v>
      </c>
      <c r="F344">
        <v>27</v>
      </c>
      <c r="G344" s="5">
        <f>F344/F384</f>
        <v>5.3892215568862277E-2</v>
      </c>
      <c r="H344" s="5">
        <f>27/$H$1</f>
        <v>5.3892215568862277E-2</v>
      </c>
      <c r="J344">
        <v>17</v>
      </c>
      <c r="K344" s="5">
        <f>J344/J384</f>
        <v>3.406813627254509E-2</v>
      </c>
      <c r="L344" s="5">
        <f>17/$L$1</f>
        <v>3.406813627254509E-2</v>
      </c>
      <c r="N344">
        <v>7</v>
      </c>
      <c r="O344" s="5">
        <f>N344/N384</f>
        <v>7.2164948453608241E-2</v>
      </c>
      <c r="P344" s="5">
        <f>7/$P$1</f>
        <v>7.2164948453608241E-2</v>
      </c>
      <c r="R344">
        <v>6</v>
      </c>
      <c r="S344" s="5">
        <f>R344/R384</f>
        <v>3.0303030303030304E-2</v>
      </c>
      <c r="T344" s="5">
        <f>6/$T$1</f>
        <v>3.0303030303030304E-2</v>
      </c>
      <c r="V344">
        <v>7</v>
      </c>
      <c r="W344" s="5">
        <f>V344/V384</f>
        <v>2.9045643153526972E-2</v>
      </c>
      <c r="X344" s="5">
        <f>7/$X$1</f>
        <v>2.9045643153526972E-2</v>
      </c>
      <c r="Z344">
        <v>15</v>
      </c>
      <c r="AA344" s="5">
        <f>Z344/Z384</f>
        <v>7.575757575757576E-2</v>
      </c>
      <c r="AB344" s="5">
        <f>15/$AB$1</f>
        <v>7.575757575757576E-2</v>
      </c>
      <c r="AD344">
        <v>5</v>
      </c>
      <c r="AE344" s="5">
        <f>AD344/AD384</f>
        <v>3.2467532467532464E-2</v>
      </c>
      <c r="AF344" s="5">
        <f>5/$AF$1</f>
        <v>3.2467532467532464E-2</v>
      </c>
      <c r="AH344">
        <v>4</v>
      </c>
      <c r="AI344" s="5">
        <f>AH344/AH384</f>
        <v>3.3333333333333333E-2</v>
      </c>
      <c r="AJ344" s="5">
        <f>4/$AJ$1</f>
        <v>3.3333333333333333E-2</v>
      </c>
      <c r="AL344">
        <v>25</v>
      </c>
      <c r="AM344" s="5">
        <f>AL344/AL384</f>
        <v>6.7567567567567571E-2</v>
      </c>
      <c r="AN344" s="5">
        <f>25/$AN$1</f>
        <v>6.7567567567567571E-2</v>
      </c>
      <c r="AP344">
        <v>13</v>
      </c>
      <c r="AQ344" s="5">
        <f>AP344/AP384</f>
        <v>3.439153439153439E-2</v>
      </c>
      <c r="AR344" s="5">
        <f>13/$AR$1</f>
        <v>3.439153439153439E-2</v>
      </c>
      <c r="AT344">
        <v>6</v>
      </c>
      <c r="AU344" s="5">
        <f>AT344/AT384</f>
        <v>2.3809523809523808E-2</v>
      </c>
      <c r="AV344" s="5">
        <f>6/$AV$1</f>
        <v>2.3809523809523808E-2</v>
      </c>
      <c r="AX344">
        <v>8</v>
      </c>
      <c r="AY344" s="5">
        <f>AX344/AX384</f>
        <v>2.9304029304029304E-2</v>
      </c>
      <c r="AZ344" s="5">
        <f>8/$AZ$1</f>
        <v>2.9304029304029304E-2</v>
      </c>
      <c r="BA344" s="5"/>
      <c r="BB344">
        <v>14</v>
      </c>
      <c r="BC344" s="5">
        <f>BB344/BB384</f>
        <v>6.8965517241379309E-2</v>
      </c>
      <c r="BD344" s="5">
        <f>14/$BD$1</f>
        <v>6.8965517241379309E-2</v>
      </c>
      <c r="BF344">
        <v>11</v>
      </c>
      <c r="BG344" s="5">
        <f>BF344/BF384</f>
        <v>5.1162790697674418E-2</v>
      </c>
      <c r="BH344" s="5">
        <f>11/$BH$1</f>
        <v>5.1162790697674418E-2</v>
      </c>
      <c r="BJ344">
        <v>11</v>
      </c>
      <c r="BK344" s="5">
        <f>BJ344/BJ384</f>
        <v>3.5598705501618123E-2</v>
      </c>
      <c r="BL344" s="5">
        <f>11/$BL$1</f>
        <v>3.5598705501618123E-2</v>
      </c>
      <c r="BN344">
        <v>3</v>
      </c>
      <c r="BO344" s="5">
        <f>BN344/BN384</f>
        <v>6.3829787234042548E-2</v>
      </c>
      <c r="BP344" s="5">
        <f>3/$BP$1</f>
        <v>6.3829787234042548E-2</v>
      </c>
      <c r="BR344">
        <v>26</v>
      </c>
      <c r="BS344" s="5">
        <f>BR344/BR384</f>
        <v>8.2802547770700632E-2</v>
      </c>
      <c r="BT344" s="5">
        <f>26/$BT$1</f>
        <v>8.2802547770700632E-2</v>
      </c>
      <c r="BV344">
        <v>10</v>
      </c>
      <c r="BW344" s="5">
        <f>BV344/BV384</f>
        <v>2.5445292620865138E-2</v>
      </c>
      <c r="BX344" s="5">
        <f>10/$BX$1</f>
        <v>2.5445292620865138E-2</v>
      </c>
      <c r="BZ344">
        <v>5</v>
      </c>
      <c r="CA344" s="5">
        <f>BZ344/BZ384</f>
        <v>2.032520325203252E-2</v>
      </c>
      <c r="CB344" s="5">
        <f>5/$CB$1</f>
        <v>2.032520325203252E-2</v>
      </c>
      <c r="CD344">
        <v>11</v>
      </c>
      <c r="CE344" s="5">
        <f>CD344/CD384</f>
        <v>8.943089430894309E-2</v>
      </c>
      <c r="CF344" s="5">
        <f>11/$CF$1</f>
        <v>8.943089430894309E-2</v>
      </c>
      <c r="CH344">
        <v>24</v>
      </c>
      <c r="CI344" s="5">
        <f>CH344/CH384</f>
        <v>3.4883720930232558E-2</v>
      </c>
      <c r="CJ344" s="5">
        <f>24/$CJ$1</f>
        <v>3.4883720930232558E-2</v>
      </c>
      <c r="CL344">
        <v>31</v>
      </c>
      <c r="CM344" s="5">
        <f>CL344/CL384</f>
        <v>4.0897097625329816E-2</v>
      </c>
      <c r="CN344" s="5">
        <f>31/$CN$1</f>
        <v>4.0897097625329816E-2</v>
      </c>
      <c r="CP344">
        <v>13</v>
      </c>
      <c r="CQ344" s="5">
        <f>CP344/CP384</f>
        <v>5.3719008264462811E-2</v>
      </c>
      <c r="CR344" s="5">
        <f>13/$CR$1</f>
        <v>5.3719008264462811E-2</v>
      </c>
      <c r="CT344">
        <v>18</v>
      </c>
      <c r="CU344" s="5">
        <f>CT344/CT384</f>
        <v>5.4054054054054057E-2</v>
      </c>
      <c r="CV344" s="5">
        <f>18/$CV$1</f>
        <v>5.4054054054054057E-2</v>
      </c>
      <c r="CX344">
        <v>26</v>
      </c>
      <c r="CY344" s="5">
        <f>CX344/CX384</f>
        <v>3.8980509745127435E-2</v>
      </c>
      <c r="CZ344" s="5">
        <f>26/$CZ$1</f>
        <v>3.8980509745127435E-2</v>
      </c>
    </row>
    <row r="345" spans="1:104" x14ac:dyDescent="0.25">
      <c r="A345" s="1" t="s">
        <v>2967</v>
      </c>
      <c r="B345">
        <v>141</v>
      </c>
      <c r="C345" s="5">
        <f>B345/B384</f>
        <v>0.14099999999999999</v>
      </c>
      <c r="D345" s="5">
        <f>141/$D$1</f>
        <v>0.14099999999999999</v>
      </c>
      <c r="F345">
        <v>60</v>
      </c>
      <c r="G345" s="5">
        <f>F345/F384</f>
        <v>0.11976047904191617</v>
      </c>
      <c r="H345" s="5">
        <f>60/$H$1</f>
        <v>0.11976047904191617</v>
      </c>
      <c r="J345">
        <v>81</v>
      </c>
      <c r="K345" s="5">
        <f>J345/J384</f>
        <v>0.16232464929859719</v>
      </c>
      <c r="L345" s="5">
        <f>81/$L$1</f>
        <v>0.16232464929859719</v>
      </c>
      <c r="N345">
        <v>17</v>
      </c>
      <c r="O345" s="5">
        <f>N345/N384</f>
        <v>0.17525773195876287</v>
      </c>
      <c r="P345" s="5">
        <f>17/$P$1</f>
        <v>0.17525773195876287</v>
      </c>
      <c r="R345">
        <v>32</v>
      </c>
      <c r="S345" s="5">
        <f>R345/R384</f>
        <v>0.16161616161616163</v>
      </c>
      <c r="T345" s="5">
        <f>32/$T$1</f>
        <v>0.16161616161616163</v>
      </c>
      <c r="V345">
        <v>33</v>
      </c>
      <c r="W345" s="5">
        <f>V345/V384</f>
        <v>0.13692946058091288</v>
      </c>
      <c r="X345" s="5">
        <f>33/$X$1</f>
        <v>0.13692946058091288</v>
      </c>
      <c r="Z345">
        <v>22</v>
      </c>
      <c r="AA345" s="5">
        <f>Z345/Z384</f>
        <v>0.1111111111111111</v>
      </c>
      <c r="AB345" s="5">
        <f>22/$AB$1</f>
        <v>0.1111111111111111</v>
      </c>
      <c r="AD345">
        <v>22</v>
      </c>
      <c r="AE345" s="5">
        <f>AD345/AD384</f>
        <v>0.14285714285714285</v>
      </c>
      <c r="AF345" s="5">
        <f>22/$AF$1</f>
        <v>0.14285714285714285</v>
      </c>
      <c r="AH345">
        <v>15</v>
      </c>
      <c r="AI345" s="5">
        <f>AH345/AH384</f>
        <v>0.125</v>
      </c>
      <c r="AJ345" s="5">
        <f>15/$AJ$1</f>
        <v>0.125</v>
      </c>
      <c r="AL345">
        <v>56</v>
      </c>
      <c r="AM345" s="5">
        <f>AL345/AL384</f>
        <v>0.15135135135135136</v>
      </c>
      <c r="AN345" s="5">
        <f>56/$AN$1</f>
        <v>0.15135135135135136</v>
      </c>
      <c r="AP345">
        <v>55</v>
      </c>
      <c r="AQ345" s="5">
        <f>AP345/AP384</f>
        <v>0.14550264550264549</v>
      </c>
      <c r="AR345" s="5">
        <f>55/$AR$1</f>
        <v>0.14550264550264549</v>
      </c>
      <c r="AT345">
        <v>30</v>
      </c>
      <c r="AU345" s="5">
        <f>AT345/AT384</f>
        <v>0.11904761904761904</v>
      </c>
      <c r="AV345" s="5">
        <f>30/$AV$1</f>
        <v>0.11904761904761904</v>
      </c>
      <c r="AX345">
        <v>39</v>
      </c>
      <c r="AY345" s="5">
        <f>AX345/AX384</f>
        <v>0.14285714285714285</v>
      </c>
      <c r="AZ345" s="5">
        <f>39/$AZ$1</f>
        <v>0.14285714285714285</v>
      </c>
      <c r="BA345" s="5"/>
      <c r="BB345">
        <v>37</v>
      </c>
      <c r="BC345" s="5">
        <f>BB345/BB384</f>
        <v>0.18226600985221675</v>
      </c>
      <c r="BD345" s="5">
        <f>37/$BD$1</f>
        <v>0.18226600985221675</v>
      </c>
      <c r="BF345">
        <v>24</v>
      </c>
      <c r="BG345" s="5">
        <f>BF345/BF384</f>
        <v>0.11162790697674418</v>
      </c>
      <c r="BH345" s="5">
        <f>24/$BH$1</f>
        <v>0.11162790697674418</v>
      </c>
      <c r="BJ345">
        <v>41</v>
      </c>
      <c r="BK345" s="5">
        <f>BJ345/BJ384</f>
        <v>0.13268608414239483</v>
      </c>
      <c r="BL345" s="5">
        <f>41/$BL$1</f>
        <v>0.13268608414239483</v>
      </c>
      <c r="BN345">
        <v>8</v>
      </c>
      <c r="BO345" s="5">
        <f>BN345/BN384</f>
        <v>0.1702127659574468</v>
      </c>
      <c r="BP345" s="5">
        <f>8/$BP$1</f>
        <v>0.1702127659574468</v>
      </c>
      <c r="BR345">
        <v>47</v>
      </c>
      <c r="BS345" s="5">
        <f>BR345/BR384</f>
        <v>0.14968152866242038</v>
      </c>
      <c r="BT345" s="5">
        <f>47/$BT$1</f>
        <v>0.14968152866242038</v>
      </c>
      <c r="BV345">
        <v>56</v>
      </c>
      <c r="BW345" s="5">
        <f>BV345/BV384</f>
        <v>0.14249363867684478</v>
      </c>
      <c r="BX345" s="5">
        <f>56/$BX$1</f>
        <v>0.14249363867684478</v>
      </c>
      <c r="BZ345">
        <v>30</v>
      </c>
      <c r="CA345" s="5">
        <f>BZ345/BZ384</f>
        <v>0.12195121951219512</v>
      </c>
      <c r="CB345" s="5">
        <f>30/$CB$1</f>
        <v>0.12195121951219512</v>
      </c>
      <c r="CD345">
        <v>17</v>
      </c>
      <c r="CE345" s="5">
        <f>CD345/CD384</f>
        <v>0.13821138211382114</v>
      </c>
      <c r="CF345" s="5">
        <f>17/$CF$1</f>
        <v>0.13821138211382114</v>
      </c>
      <c r="CH345">
        <v>106</v>
      </c>
      <c r="CI345" s="5">
        <f>CH345/CH384</f>
        <v>0.15406976744186046</v>
      </c>
      <c r="CJ345" s="5">
        <f>106/$CJ$1</f>
        <v>0.15406976744186046</v>
      </c>
      <c r="CL345">
        <v>128</v>
      </c>
      <c r="CM345" s="5">
        <f>CL345/CL384</f>
        <v>0.16886543535620052</v>
      </c>
      <c r="CN345" s="5">
        <f>128/$CN$1</f>
        <v>0.16886543535620052</v>
      </c>
      <c r="CP345">
        <v>13</v>
      </c>
      <c r="CQ345" s="5">
        <f>CP345/CP384</f>
        <v>5.3719008264462811E-2</v>
      </c>
      <c r="CR345" s="5">
        <f>13/$CR$1</f>
        <v>5.3719008264462811E-2</v>
      </c>
      <c r="CT345">
        <v>62</v>
      </c>
      <c r="CU345" s="5">
        <f>CT345/CT384</f>
        <v>0.18618618618618618</v>
      </c>
      <c r="CV345" s="5">
        <f>62/$CV$1</f>
        <v>0.18618618618618618</v>
      </c>
      <c r="CX345">
        <v>79</v>
      </c>
      <c r="CY345" s="5">
        <f>CX345/CX384</f>
        <v>0.1184407796101949</v>
      </c>
      <c r="CZ345" s="5">
        <f>79/$CZ$1</f>
        <v>0.1184407796101949</v>
      </c>
    </row>
    <row r="346" spans="1:104" x14ac:dyDescent="0.25">
      <c r="A346" s="1" t="s">
        <v>2968</v>
      </c>
      <c r="B346">
        <v>815</v>
      </c>
      <c r="C346" s="5">
        <f>B346/B384</f>
        <v>0.81499999999999995</v>
      </c>
      <c r="D346" s="5">
        <f>815/$D$1</f>
        <v>0.81499999999999995</v>
      </c>
      <c r="F346">
        <v>414</v>
      </c>
      <c r="G346" s="5">
        <f>F346/F384</f>
        <v>0.82634730538922152</v>
      </c>
      <c r="H346" s="5">
        <f>414/$H$1</f>
        <v>0.82634730538922152</v>
      </c>
      <c r="J346">
        <v>401</v>
      </c>
      <c r="K346" s="5">
        <f>J346/J384</f>
        <v>0.80360721442885774</v>
      </c>
      <c r="L346" s="5">
        <f>401/$L$1</f>
        <v>0.80360721442885774</v>
      </c>
      <c r="N346">
        <v>73</v>
      </c>
      <c r="O346" s="5">
        <f>N346/N384</f>
        <v>0.75257731958762886</v>
      </c>
      <c r="P346" s="5">
        <f>73/$P$1</f>
        <v>0.75257731958762886</v>
      </c>
      <c r="R346">
        <v>160</v>
      </c>
      <c r="S346" s="5">
        <f>R346/R384</f>
        <v>0.80808080808080807</v>
      </c>
      <c r="T346" s="5">
        <f>160/$T$1</f>
        <v>0.80808080808080807</v>
      </c>
      <c r="V346">
        <v>201</v>
      </c>
      <c r="W346" s="5">
        <f>V346/V384</f>
        <v>0.8340248962655602</v>
      </c>
      <c r="X346" s="5">
        <f>201/$X$1</f>
        <v>0.8340248962655602</v>
      </c>
      <c r="Z346">
        <v>161</v>
      </c>
      <c r="AA346" s="5">
        <f>Z346/Z384</f>
        <v>0.81313131313131315</v>
      </c>
      <c r="AB346" s="5">
        <f>161/$AB$1</f>
        <v>0.81313131313131315</v>
      </c>
      <c r="AD346">
        <v>127</v>
      </c>
      <c r="AE346" s="5">
        <f>AD346/AD384</f>
        <v>0.82467532467532467</v>
      </c>
      <c r="AF346" s="5">
        <f>127/$AF$1</f>
        <v>0.82467532467532467</v>
      </c>
      <c r="AH346">
        <v>101</v>
      </c>
      <c r="AI346" s="5">
        <f>AH346/AH384</f>
        <v>0.84166666666666667</v>
      </c>
      <c r="AJ346" s="5">
        <f>101/$AJ$1</f>
        <v>0.84166666666666667</v>
      </c>
      <c r="AL346">
        <v>289</v>
      </c>
      <c r="AM346" s="5">
        <f>AL346/AL384</f>
        <v>0.7810810810810811</v>
      </c>
      <c r="AN346" s="5">
        <f>289/$AN$1</f>
        <v>0.7810810810810811</v>
      </c>
      <c r="AP346">
        <v>310</v>
      </c>
      <c r="AQ346" s="5">
        <f>AP346/AP384</f>
        <v>0.82010582010582012</v>
      </c>
      <c r="AR346" s="5">
        <f>310/$AR$1</f>
        <v>0.82010582010582012</v>
      </c>
      <c r="AT346">
        <v>216</v>
      </c>
      <c r="AU346" s="5">
        <f>AT346/AT384</f>
        <v>0.8571428571428571</v>
      </c>
      <c r="AV346" s="5">
        <f>216/$AV$1</f>
        <v>0.8571428571428571</v>
      </c>
      <c r="AX346">
        <v>226</v>
      </c>
      <c r="AY346" s="5">
        <f>AX346/AX384</f>
        <v>0.82783882783882778</v>
      </c>
      <c r="AZ346" s="5">
        <f>226/$AZ$1</f>
        <v>0.82783882783882778</v>
      </c>
      <c r="BA346" s="5"/>
      <c r="BB346">
        <v>152</v>
      </c>
      <c r="BC346" s="5">
        <f>BB346/BB384</f>
        <v>0.74876847290640391</v>
      </c>
      <c r="BD346" s="5">
        <f>152/$BD$1</f>
        <v>0.74876847290640391</v>
      </c>
      <c r="BF346">
        <v>180</v>
      </c>
      <c r="BG346" s="5">
        <f>BF346/BF384</f>
        <v>0.83720930232558144</v>
      </c>
      <c r="BH346" s="5">
        <f>180/$BH$1</f>
        <v>0.83720930232558144</v>
      </c>
      <c r="BJ346">
        <v>257</v>
      </c>
      <c r="BK346" s="5">
        <f>BJ346/BJ384</f>
        <v>0.83171521035598706</v>
      </c>
      <c r="BL346" s="5">
        <f>257/$BL$1</f>
        <v>0.83171521035598706</v>
      </c>
      <c r="BN346">
        <v>36</v>
      </c>
      <c r="BO346" s="5">
        <f>BN346/BN384</f>
        <v>0.76595744680851063</v>
      </c>
      <c r="BP346" s="5">
        <f>36/$BP$1</f>
        <v>0.76595744680851063</v>
      </c>
      <c r="BR346">
        <v>241</v>
      </c>
      <c r="BS346" s="5">
        <f>BR346/BR384</f>
        <v>0.76751592356687903</v>
      </c>
      <c r="BT346" s="5">
        <f>241/$BT$1</f>
        <v>0.76751592356687903</v>
      </c>
      <c r="BV346">
        <v>327</v>
      </c>
      <c r="BW346" s="5">
        <f>BV346/BV384</f>
        <v>0.83206106870229013</v>
      </c>
      <c r="BX346" s="5">
        <f>327/$BX$1</f>
        <v>0.83206106870229013</v>
      </c>
      <c r="BZ346">
        <v>211</v>
      </c>
      <c r="CA346" s="5">
        <f>BZ346/BZ384</f>
        <v>0.85772357723577231</v>
      </c>
      <c r="CB346" s="5">
        <f>211/$CB$1</f>
        <v>0.85772357723577231</v>
      </c>
      <c r="CD346">
        <v>95</v>
      </c>
      <c r="CE346" s="5">
        <f>CD346/CD384</f>
        <v>0.77235772357723576</v>
      </c>
      <c r="CF346" s="5">
        <f>95/$CF$1</f>
        <v>0.77235772357723576</v>
      </c>
      <c r="CH346">
        <v>558</v>
      </c>
      <c r="CI346" s="5">
        <f>CH346/CH384</f>
        <v>0.81104651162790697</v>
      </c>
      <c r="CJ346" s="5">
        <f>558/$CJ$1</f>
        <v>0.81104651162790697</v>
      </c>
      <c r="CL346">
        <v>599</v>
      </c>
      <c r="CM346" s="5">
        <f>CL346/CL384</f>
        <v>0.79023746701846964</v>
      </c>
      <c r="CN346" s="5">
        <f>599/$CN$1</f>
        <v>0.79023746701846964</v>
      </c>
      <c r="CP346">
        <v>216</v>
      </c>
      <c r="CQ346" s="5">
        <f>CP346/CP384</f>
        <v>0.8925619834710744</v>
      </c>
      <c r="CR346" s="5">
        <f>216/$CR$1</f>
        <v>0.8925619834710744</v>
      </c>
      <c r="CT346">
        <v>253</v>
      </c>
      <c r="CU346" s="5">
        <f>CT346/CT384</f>
        <v>0.75975975975975973</v>
      </c>
      <c r="CV346" s="5">
        <f>253/$CV$1</f>
        <v>0.75975975975975973</v>
      </c>
      <c r="CX346">
        <v>562</v>
      </c>
      <c r="CY346" s="5">
        <f>CX346/CX384</f>
        <v>0.84257871064467771</v>
      </c>
      <c r="CZ346" s="5">
        <f>562/$CZ$1</f>
        <v>0.84257871064467771</v>
      </c>
    </row>
    <row r="348" spans="1:104" x14ac:dyDescent="0.25">
      <c r="A348" s="1" t="s">
        <v>2969</v>
      </c>
      <c r="B348">
        <v>818</v>
      </c>
      <c r="C348" s="5">
        <f>B348/B384</f>
        <v>0.81799999999999995</v>
      </c>
      <c r="D348" s="5">
        <f>818/$D$1</f>
        <v>0.81799999999999995</v>
      </c>
      <c r="F348">
        <v>409</v>
      </c>
      <c r="G348" s="5">
        <f>F348/F384</f>
        <v>0.81636726546906191</v>
      </c>
      <c r="H348" s="5">
        <f>409/$H$1</f>
        <v>0.81636726546906191</v>
      </c>
      <c r="J348">
        <v>409</v>
      </c>
      <c r="K348" s="5">
        <f>J348/J384</f>
        <v>0.81963927855711427</v>
      </c>
      <c r="L348" s="5">
        <f>409/$L$1</f>
        <v>0.81963927855711427</v>
      </c>
      <c r="N348">
        <v>70</v>
      </c>
      <c r="O348" s="5">
        <f>N348/N384</f>
        <v>0.72164948453608246</v>
      </c>
      <c r="P348" s="5">
        <f>70/$P$1</f>
        <v>0.72164948453608246</v>
      </c>
      <c r="R348">
        <v>148</v>
      </c>
      <c r="S348" s="5">
        <f>R348/R384</f>
        <v>0.74747474747474751</v>
      </c>
      <c r="T348" s="5">
        <f>148/$T$1</f>
        <v>0.74747474747474751</v>
      </c>
      <c r="V348">
        <v>192</v>
      </c>
      <c r="W348" s="5">
        <f>V348/V384</f>
        <v>0.79668049792531115</v>
      </c>
      <c r="X348" s="5">
        <f>192/$X$1</f>
        <v>0.79668049792531115</v>
      </c>
      <c r="Z348">
        <v>170</v>
      </c>
      <c r="AA348" s="5">
        <f>Z348/Z384</f>
        <v>0.85858585858585856</v>
      </c>
      <c r="AB348" s="5">
        <f>170/$AB$1</f>
        <v>0.85858585858585856</v>
      </c>
      <c r="AD348">
        <v>136</v>
      </c>
      <c r="AE348" s="5">
        <f>AD348/AD384</f>
        <v>0.88311688311688308</v>
      </c>
      <c r="AF348" s="5">
        <f>136/$AF$1</f>
        <v>0.88311688311688308</v>
      </c>
      <c r="AH348">
        <v>109</v>
      </c>
      <c r="AI348" s="5">
        <f>AH348/AH384</f>
        <v>0.90833333333333333</v>
      </c>
      <c r="AJ348" s="5">
        <f>109/$AJ$1</f>
        <v>0.90833333333333333</v>
      </c>
      <c r="AL348">
        <v>291</v>
      </c>
      <c r="AM348" s="5">
        <f>AL348/AL384</f>
        <v>0.78648648648648645</v>
      </c>
      <c r="AN348" s="5">
        <f>291/$AN$1</f>
        <v>0.78648648648648645</v>
      </c>
      <c r="AP348">
        <v>316</v>
      </c>
      <c r="AQ348" s="5">
        <f>AP348/AP384</f>
        <v>0.83597883597883593</v>
      </c>
      <c r="AR348" s="5">
        <f>316/$AR$1</f>
        <v>0.83597883597883593</v>
      </c>
      <c r="AT348">
        <v>211</v>
      </c>
      <c r="AU348" s="5">
        <f>AT348/AT384</f>
        <v>0.83730158730158732</v>
      </c>
      <c r="AV348" s="5">
        <f>211/$AV$1</f>
        <v>0.83730158730158732</v>
      </c>
      <c r="AX348">
        <v>225</v>
      </c>
      <c r="AY348" s="5">
        <f>AX348/AX384</f>
        <v>0.82417582417582413</v>
      </c>
      <c r="AZ348" s="5">
        <f>225/$AZ$1</f>
        <v>0.82417582417582413</v>
      </c>
      <c r="BA348" s="5"/>
      <c r="BB348">
        <v>167</v>
      </c>
      <c r="BC348" s="5">
        <f>BB348/BB384</f>
        <v>0.82266009852216748</v>
      </c>
      <c r="BD348" s="5">
        <f>167/$BD$1</f>
        <v>0.82266009852216748</v>
      </c>
      <c r="BF348">
        <v>173</v>
      </c>
      <c r="BG348" s="5">
        <f>BF348/BF384</f>
        <v>0.8046511627906977</v>
      </c>
      <c r="BH348" s="5">
        <f>173/$BH$1</f>
        <v>0.8046511627906977</v>
      </c>
      <c r="BJ348">
        <v>253</v>
      </c>
      <c r="BK348" s="5">
        <f>BJ348/BJ384</f>
        <v>0.81877022653721687</v>
      </c>
      <c r="BL348" s="5">
        <f>253/$BL$1</f>
        <v>0.81877022653721687</v>
      </c>
      <c r="BN348">
        <v>36</v>
      </c>
      <c r="BO348" s="5">
        <f>BN348/BN384</f>
        <v>0.76595744680851063</v>
      </c>
      <c r="BP348" s="5">
        <f>36/$BP$1</f>
        <v>0.76595744680851063</v>
      </c>
      <c r="BR348">
        <v>257</v>
      </c>
      <c r="BS348" s="5">
        <f>BR348/BR384</f>
        <v>0.81847133757961787</v>
      </c>
      <c r="BT348" s="5">
        <f>257/$BT$1</f>
        <v>0.81847133757961787</v>
      </c>
      <c r="BV348">
        <v>324</v>
      </c>
      <c r="BW348" s="5">
        <f>BV348/BV384</f>
        <v>0.82442748091603058</v>
      </c>
      <c r="BX348" s="5">
        <f>324/$BX$1</f>
        <v>0.82442748091603058</v>
      </c>
      <c r="BZ348">
        <v>201</v>
      </c>
      <c r="CA348" s="5">
        <f>BZ348/BZ384</f>
        <v>0.81707317073170727</v>
      </c>
      <c r="CB348" s="5">
        <f>201/$CB$1</f>
        <v>0.81707317073170727</v>
      </c>
      <c r="CD348">
        <v>92</v>
      </c>
      <c r="CE348" s="5">
        <f>CD348/CD384</f>
        <v>0.74796747967479671</v>
      </c>
      <c r="CF348" s="5">
        <f>92/$CF$1</f>
        <v>0.74796747967479671</v>
      </c>
      <c r="CH348">
        <v>580</v>
      </c>
      <c r="CI348" s="5">
        <f>CH348/CH384</f>
        <v>0.84302325581395354</v>
      </c>
      <c r="CJ348" s="5">
        <f>580/$CJ$1</f>
        <v>0.84302325581395354</v>
      </c>
      <c r="CL348">
        <v>623</v>
      </c>
      <c r="CM348" s="5">
        <f>CL348/CL384</f>
        <v>0.82189973614775724</v>
      </c>
      <c r="CN348" s="5">
        <f>623/$CN$1</f>
        <v>0.82189973614775724</v>
      </c>
      <c r="CP348">
        <v>195</v>
      </c>
      <c r="CQ348" s="5">
        <f>CP348/CP384</f>
        <v>0.80578512396694213</v>
      </c>
      <c r="CR348" s="5">
        <f>195/$CR$1</f>
        <v>0.80578512396694213</v>
      </c>
      <c r="CT348">
        <v>278</v>
      </c>
      <c r="CU348" s="5">
        <f>CT348/CT384</f>
        <v>0.83483483483483478</v>
      </c>
      <c r="CV348" s="5">
        <f>278/$CV$1</f>
        <v>0.83483483483483478</v>
      </c>
      <c r="CX348">
        <v>540</v>
      </c>
      <c r="CY348" s="5">
        <f>CX348/CX384</f>
        <v>0.80959520239880056</v>
      </c>
      <c r="CZ348" s="5">
        <f>540/$CZ$1</f>
        <v>0.80959520239880056</v>
      </c>
    </row>
    <row r="349" spans="1:104" x14ac:dyDescent="0.25">
      <c r="A349" s="1" t="s">
        <v>2970</v>
      </c>
      <c r="B349">
        <v>120</v>
      </c>
      <c r="C349" s="5">
        <f>B349/B384</f>
        <v>0.12</v>
      </c>
      <c r="D349" s="5">
        <f>120/$D$1</f>
        <v>0.12</v>
      </c>
      <c r="F349">
        <v>52</v>
      </c>
      <c r="G349" s="5">
        <f>F349/F384</f>
        <v>0.10379241516966067</v>
      </c>
      <c r="H349" s="5">
        <f>52/$H$1</f>
        <v>0.10379241516966067</v>
      </c>
      <c r="J349">
        <v>68</v>
      </c>
      <c r="K349" s="5">
        <f>J349/J384</f>
        <v>0.13627254509018036</v>
      </c>
      <c r="L349" s="5">
        <f>68/$L$1</f>
        <v>0.13627254509018036</v>
      </c>
      <c r="N349">
        <v>21</v>
      </c>
      <c r="O349" s="5">
        <f>N349/N384</f>
        <v>0.21649484536082475</v>
      </c>
      <c r="P349" s="5">
        <f>21/$P$1</f>
        <v>0.21649484536082475</v>
      </c>
      <c r="R349">
        <v>39</v>
      </c>
      <c r="S349" s="5">
        <f>R349/R384</f>
        <v>0.19696969696969696</v>
      </c>
      <c r="T349" s="5">
        <f>39/$T$1</f>
        <v>0.19696969696969696</v>
      </c>
      <c r="V349">
        <v>26</v>
      </c>
      <c r="W349" s="5">
        <f>V349/V384</f>
        <v>0.1078838174273859</v>
      </c>
      <c r="X349" s="5">
        <f>26/$X$1</f>
        <v>0.1078838174273859</v>
      </c>
      <c r="Z349">
        <v>18</v>
      </c>
      <c r="AA349" s="5">
        <f>Z349/Z384</f>
        <v>9.0909090909090912E-2</v>
      </c>
      <c r="AB349" s="5">
        <f>18/$AB$1</f>
        <v>9.0909090909090912E-2</v>
      </c>
      <c r="AD349">
        <v>8</v>
      </c>
      <c r="AE349" s="5">
        <f>AD349/AD384</f>
        <v>5.1948051948051951E-2</v>
      </c>
      <c r="AF349" s="5">
        <f>8/$AF$1</f>
        <v>5.1948051948051951E-2</v>
      </c>
      <c r="AH349">
        <v>8</v>
      </c>
      <c r="AI349" s="5">
        <f>AH349/AH384</f>
        <v>6.6666666666666666E-2</v>
      </c>
      <c r="AJ349" s="5">
        <f>8/$AJ$1</f>
        <v>6.6666666666666666E-2</v>
      </c>
      <c r="AL349">
        <v>49</v>
      </c>
      <c r="AM349" s="5">
        <f>AL349/AL384</f>
        <v>0.13243243243243244</v>
      </c>
      <c r="AN349" s="5">
        <f>49/$AN$1</f>
        <v>0.13243243243243244</v>
      </c>
      <c r="AP349">
        <v>48</v>
      </c>
      <c r="AQ349" s="5">
        <f>AP349/AP384</f>
        <v>0.12698412698412698</v>
      </c>
      <c r="AR349" s="5">
        <f>48/$AR$1</f>
        <v>0.12698412698412698</v>
      </c>
      <c r="AT349">
        <v>23</v>
      </c>
      <c r="AU349" s="5">
        <f>AT349/AT384</f>
        <v>9.1269841269841265E-2</v>
      </c>
      <c r="AV349" s="5">
        <f>23/$AV$1</f>
        <v>9.1269841269841265E-2</v>
      </c>
      <c r="AX349">
        <v>31</v>
      </c>
      <c r="AY349" s="5">
        <f>AX349/AX384</f>
        <v>0.11355311355311355</v>
      </c>
      <c r="AZ349" s="5">
        <f>31/$AZ$1</f>
        <v>0.11355311355311355</v>
      </c>
      <c r="BA349" s="5"/>
      <c r="BB349">
        <v>24</v>
      </c>
      <c r="BC349" s="5">
        <f>BB349/BB384</f>
        <v>0.11822660098522167</v>
      </c>
      <c r="BD349" s="5">
        <f>24/$BD$1</f>
        <v>0.11822660098522167</v>
      </c>
      <c r="BF349">
        <v>28</v>
      </c>
      <c r="BG349" s="5">
        <f>BF349/BF384</f>
        <v>0.13023255813953488</v>
      </c>
      <c r="BH349" s="5">
        <f>28/$BH$1</f>
        <v>0.13023255813953488</v>
      </c>
      <c r="BJ349">
        <v>37</v>
      </c>
      <c r="BK349" s="5">
        <f>BJ349/BJ384</f>
        <v>0.11974110032362459</v>
      </c>
      <c r="BL349" s="5">
        <f>37/$BL$1</f>
        <v>0.11974110032362459</v>
      </c>
      <c r="BN349">
        <v>7</v>
      </c>
      <c r="BO349" s="5">
        <f>BN349/BN384</f>
        <v>0.14893617021276595</v>
      </c>
      <c r="BP349" s="5">
        <f>7/$BP$1</f>
        <v>0.14893617021276595</v>
      </c>
      <c r="BR349">
        <v>38</v>
      </c>
      <c r="BS349" s="5">
        <f>BR349/BR384</f>
        <v>0.12101910828025478</v>
      </c>
      <c r="BT349" s="5">
        <f>38/$BT$1</f>
        <v>0.12101910828025478</v>
      </c>
      <c r="BV349">
        <v>45</v>
      </c>
      <c r="BW349" s="5">
        <f>BV349/BV384</f>
        <v>0.11450381679389313</v>
      </c>
      <c r="BX349" s="5">
        <f>45/$BX$1</f>
        <v>0.11450381679389313</v>
      </c>
      <c r="BZ349">
        <v>30</v>
      </c>
      <c r="CA349" s="5">
        <f>BZ349/BZ384</f>
        <v>0.12195121951219512</v>
      </c>
      <c r="CB349" s="5">
        <f>30/$CB$1</f>
        <v>0.12195121951219512</v>
      </c>
      <c r="CD349">
        <v>13</v>
      </c>
      <c r="CE349" s="5">
        <f>CD349/CD384</f>
        <v>0.10569105691056911</v>
      </c>
      <c r="CF349" s="5">
        <f>13/$CF$1</f>
        <v>0.10569105691056911</v>
      </c>
      <c r="CH349">
        <v>81</v>
      </c>
      <c r="CI349" s="5">
        <f>CH349/CH384</f>
        <v>0.11773255813953488</v>
      </c>
      <c r="CJ349" s="5">
        <f>81/$CJ$1</f>
        <v>0.11773255813953488</v>
      </c>
      <c r="CL349">
        <v>100</v>
      </c>
      <c r="CM349" s="5">
        <f>CL349/CL384</f>
        <v>0.13192612137203166</v>
      </c>
      <c r="CN349" s="5">
        <f>100/$CN$1</f>
        <v>0.13192612137203166</v>
      </c>
      <c r="CP349">
        <v>20</v>
      </c>
      <c r="CQ349" s="5">
        <f>CP349/CP384</f>
        <v>8.2644628099173556E-2</v>
      </c>
      <c r="CR349" s="5">
        <f>20/$CR$1</f>
        <v>8.2644628099173556E-2</v>
      </c>
      <c r="CT349">
        <v>40</v>
      </c>
      <c r="CU349" s="5">
        <f>CT349/CT384</f>
        <v>0.12012012012012012</v>
      </c>
      <c r="CV349" s="5">
        <f>40/$CV$1</f>
        <v>0.12012012012012012</v>
      </c>
      <c r="CX349">
        <v>80</v>
      </c>
      <c r="CY349" s="5">
        <f>CX349/CX384</f>
        <v>0.1199400299850075</v>
      </c>
      <c r="CZ349" s="5">
        <f>80/$CZ$1</f>
        <v>0.1199400299850075</v>
      </c>
    </row>
    <row r="350" spans="1:104" x14ac:dyDescent="0.25">
      <c r="A350" s="1" t="s">
        <v>2971</v>
      </c>
      <c r="B350">
        <v>62</v>
      </c>
      <c r="C350" s="5">
        <f>B350/B384</f>
        <v>6.2E-2</v>
      </c>
      <c r="D350" s="5">
        <f>62/$D$1</f>
        <v>6.2E-2</v>
      </c>
      <c r="F350">
        <v>40</v>
      </c>
      <c r="G350" s="5">
        <f>F350/F384</f>
        <v>7.9840319361277445E-2</v>
      </c>
      <c r="H350" s="5">
        <f>40/$H$1</f>
        <v>7.9840319361277445E-2</v>
      </c>
      <c r="J350">
        <v>22</v>
      </c>
      <c r="K350" s="5">
        <f>J350/J384</f>
        <v>4.4088176352705413E-2</v>
      </c>
      <c r="L350" s="5">
        <f>22/$L$1</f>
        <v>4.4088176352705413E-2</v>
      </c>
      <c r="N350">
        <v>6</v>
      </c>
      <c r="O350" s="5">
        <f>N350/N384</f>
        <v>6.1855670103092786E-2</v>
      </c>
      <c r="P350" s="5">
        <f>6/$P$1</f>
        <v>6.1855670103092786E-2</v>
      </c>
      <c r="R350">
        <v>11</v>
      </c>
      <c r="S350" s="5">
        <f>R350/R384</f>
        <v>5.5555555555555552E-2</v>
      </c>
      <c r="T350" s="5">
        <f>11/$T$1</f>
        <v>5.5555555555555552E-2</v>
      </c>
      <c r="V350">
        <v>23</v>
      </c>
      <c r="W350" s="5">
        <f>V350/V384</f>
        <v>9.5435684647302899E-2</v>
      </c>
      <c r="X350" s="5">
        <f>23/$X$1</f>
        <v>9.5435684647302899E-2</v>
      </c>
      <c r="Z350">
        <v>10</v>
      </c>
      <c r="AA350" s="5">
        <f>Z350/Z384</f>
        <v>5.0505050505050504E-2</v>
      </c>
      <c r="AB350" s="5">
        <f>10/$AB$1</f>
        <v>5.0505050505050504E-2</v>
      </c>
      <c r="AD350">
        <v>10</v>
      </c>
      <c r="AE350" s="5">
        <f>AD350/AD384</f>
        <v>6.4935064935064929E-2</v>
      </c>
      <c r="AF350" s="5">
        <f>10/$AF$1</f>
        <v>6.4935064935064929E-2</v>
      </c>
      <c r="AH350">
        <v>3</v>
      </c>
      <c r="AI350" s="5">
        <f>AH350/AH384</f>
        <v>2.5000000000000001E-2</v>
      </c>
      <c r="AJ350" s="5">
        <f>3/$AJ$1</f>
        <v>2.5000000000000001E-2</v>
      </c>
      <c r="AL350">
        <v>30</v>
      </c>
      <c r="AM350" s="5">
        <f>AL350/AL384</f>
        <v>8.1081081081081086E-2</v>
      </c>
      <c r="AN350" s="5">
        <f>30/$AN$1</f>
        <v>8.1081081081081086E-2</v>
      </c>
      <c r="AP350">
        <v>14</v>
      </c>
      <c r="AQ350" s="5">
        <f>AP350/AP384</f>
        <v>3.7037037037037035E-2</v>
      </c>
      <c r="AR350" s="5">
        <f>14/$AR$1</f>
        <v>3.7037037037037035E-2</v>
      </c>
      <c r="AT350">
        <v>18</v>
      </c>
      <c r="AU350" s="5">
        <f>AT350/AT384</f>
        <v>7.1428571428571425E-2</v>
      </c>
      <c r="AV350" s="5">
        <f>18/$AV$1</f>
        <v>7.1428571428571425E-2</v>
      </c>
      <c r="AX350">
        <v>17</v>
      </c>
      <c r="AY350" s="5">
        <f>AX350/AX384</f>
        <v>6.2271062271062272E-2</v>
      </c>
      <c r="AZ350" s="5">
        <f>17/$AZ$1</f>
        <v>6.2271062271062272E-2</v>
      </c>
      <c r="BA350" s="5"/>
      <c r="BB350">
        <v>12</v>
      </c>
      <c r="BC350" s="5">
        <f>BB350/BB384</f>
        <v>5.9113300492610835E-2</v>
      </c>
      <c r="BD350" s="5">
        <f>12/$BD$1</f>
        <v>5.9113300492610835E-2</v>
      </c>
      <c r="BF350">
        <v>14</v>
      </c>
      <c r="BG350" s="5">
        <f>BF350/BF384</f>
        <v>6.5116279069767441E-2</v>
      </c>
      <c r="BH350" s="5">
        <f>14/$BH$1</f>
        <v>6.5116279069767441E-2</v>
      </c>
      <c r="BJ350">
        <v>19</v>
      </c>
      <c r="BK350" s="5">
        <f>BJ350/BJ384</f>
        <v>6.1488673139158574E-2</v>
      </c>
      <c r="BL350" s="5">
        <f>19/$BL$1</f>
        <v>6.1488673139158574E-2</v>
      </c>
      <c r="BN350">
        <v>4</v>
      </c>
      <c r="BO350" s="5">
        <f>BN350/BN384</f>
        <v>8.5106382978723402E-2</v>
      </c>
      <c r="BP350" s="5">
        <f>4/$BP$1</f>
        <v>8.5106382978723402E-2</v>
      </c>
      <c r="BR350">
        <v>19</v>
      </c>
      <c r="BS350" s="5">
        <f>BR350/BR384</f>
        <v>6.0509554140127389E-2</v>
      </c>
      <c r="BT350" s="5">
        <f>19/$BT$1</f>
        <v>6.0509554140127389E-2</v>
      </c>
      <c r="BV350">
        <v>24</v>
      </c>
      <c r="BW350" s="5">
        <f>BV350/BV384</f>
        <v>6.1068702290076333E-2</v>
      </c>
      <c r="BX350" s="5">
        <f>24/$BX$1</f>
        <v>6.1068702290076333E-2</v>
      </c>
      <c r="BZ350">
        <v>15</v>
      </c>
      <c r="CA350" s="5">
        <f>BZ350/BZ384</f>
        <v>6.097560975609756E-2</v>
      </c>
      <c r="CB350" s="5">
        <f>15/$CB$1</f>
        <v>6.097560975609756E-2</v>
      </c>
      <c r="CD350">
        <v>18</v>
      </c>
      <c r="CE350" s="5">
        <f>CD350/CD384</f>
        <v>0.14634146341463414</v>
      </c>
      <c r="CF350" s="5">
        <f>18/$CF$1</f>
        <v>0.14634146341463414</v>
      </c>
      <c r="CH350">
        <v>27</v>
      </c>
      <c r="CI350" s="5">
        <f>CH350/CH384</f>
        <v>3.9244186046511628E-2</v>
      </c>
      <c r="CJ350" s="5">
        <f>27/$CJ$1</f>
        <v>3.9244186046511628E-2</v>
      </c>
      <c r="CL350">
        <v>35</v>
      </c>
      <c r="CM350" s="5">
        <f>CL350/CL384</f>
        <v>4.6174142480211081E-2</v>
      </c>
      <c r="CN350" s="5">
        <f>35/$CN$1</f>
        <v>4.6174142480211081E-2</v>
      </c>
      <c r="CP350">
        <v>27</v>
      </c>
      <c r="CQ350" s="5">
        <f>CP350/CP384</f>
        <v>0.1115702479338843</v>
      </c>
      <c r="CR350" s="5">
        <f>27/$CR$1</f>
        <v>0.1115702479338843</v>
      </c>
      <c r="CT350">
        <v>15</v>
      </c>
      <c r="CU350" s="5">
        <f>CT350/CT384</f>
        <v>4.5045045045045043E-2</v>
      </c>
      <c r="CV350" s="5">
        <f>15/$CV$1</f>
        <v>4.5045045045045043E-2</v>
      </c>
      <c r="CX350">
        <v>47</v>
      </c>
      <c r="CY350" s="5">
        <f>CX350/CX384</f>
        <v>7.0464767616191901E-2</v>
      </c>
      <c r="CZ350" s="5">
        <f>47/$CZ$1</f>
        <v>7.0464767616191901E-2</v>
      </c>
    </row>
    <row r="352" spans="1:104" x14ac:dyDescent="0.25">
      <c r="A352" s="1" t="s">
        <v>2972</v>
      </c>
      <c r="B352">
        <v>568</v>
      </c>
      <c r="C352" s="5">
        <f>B352/B384</f>
        <v>0.56799999999999995</v>
      </c>
      <c r="D352" s="5">
        <f>568/$D$1</f>
        <v>0.56799999999999995</v>
      </c>
      <c r="F352">
        <v>247</v>
      </c>
      <c r="G352" s="5">
        <f>F352/F384</f>
        <v>0.49301397205588821</v>
      </c>
      <c r="H352" s="5">
        <f>247/$H$1</f>
        <v>0.49301397205588821</v>
      </c>
      <c r="J352">
        <v>321</v>
      </c>
      <c r="K352" s="5">
        <f>J352/J384</f>
        <v>0.64328657314629256</v>
      </c>
      <c r="L352" s="5">
        <f>321/$L$1</f>
        <v>0.64328657314629256</v>
      </c>
      <c r="N352">
        <v>56</v>
      </c>
      <c r="O352" s="5">
        <f>N352/N384</f>
        <v>0.57731958762886593</v>
      </c>
      <c r="P352" s="5">
        <f>56/$P$1</f>
        <v>0.57731958762886593</v>
      </c>
      <c r="R352">
        <v>124</v>
      </c>
      <c r="S352" s="5">
        <f>R352/R384</f>
        <v>0.6262626262626263</v>
      </c>
      <c r="T352" s="5">
        <f>124/$T$1</f>
        <v>0.6262626262626263</v>
      </c>
      <c r="V352">
        <v>144</v>
      </c>
      <c r="W352" s="5">
        <f>V352/V384</f>
        <v>0.59751037344398339</v>
      </c>
      <c r="X352" s="5">
        <f>144/$X$1</f>
        <v>0.59751037344398339</v>
      </c>
      <c r="Z352">
        <v>116</v>
      </c>
      <c r="AA352" s="5">
        <f>Z352/Z384</f>
        <v>0.58585858585858586</v>
      </c>
      <c r="AB352" s="5">
        <f>116/$AB$1</f>
        <v>0.58585858585858586</v>
      </c>
      <c r="AD352">
        <v>80</v>
      </c>
      <c r="AE352" s="5">
        <f>AD352/AD384</f>
        <v>0.51948051948051943</v>
      </c>
      <c r="AF352" s="5">
        <f>80/$AF$1</f>
        <v>0.51948051948051943</v>
      </c>
      <c r="AH352">
        <v>51</v>
      </c>
      <c r="AI352" s="5">
        <f>AH352/AH384</f>
        <v>0.42499999999999999</v>
      </c>
      <c r="AJ352" s="5">
        <f>51/$AJ$1</f>
        <v>0.42499999999999999</v>
      </c>
      <c r="AL352">
        <v>222</v>
      </c>
      <c r="AM352" s="5">
        <f>AL352/AL384</f>
        <v>0.6</v>
      </c>
      <c r="AN352" s="5">
        <f>222/$AN$1</f>
        <v>0.6</v>
      </c>
      <c r="AP352">
        <v>215</v>
      </c>
      <c r="AQ352" s="5">
        <f>AP352/AP384</f>
        <v>0.56878306878306883</v>
      </c>
      <c r="AR352" s="5">
        <f>215/$AR$1</f>
        <v>0.56878306878306883</v>
      </c>
      <c r="AT352">
        <v>131</v>
      </c>
      <c r="AU352" s="5">
        <f>AT352/AT384</f>
        <v>0.51984126984126988</v>
      </c>
      <c r="AV352" s="5">
        <f>131/$AV$1</f>
        <v>0.51984126984126988</v>
      </c>
      <c r="AX352">
        <v>161</v>
      </c>
      <c r="AY352" s="5">
        <f>AX352/AX384</f>
        <v>0.58974358974358976</v>
      </c>
      <c r="AZ352" s="5">
        <f>161/$AZ$1</f>
        <v>0.58974358974358976</v>
      </c>
      <c r="BA352" s="5"/>
      <c r="BB352">
        <v>118</v>
      </c>
      <c r="BC352" s="5">
        <f>BB352/BB384</f>
        <v>0.58128078817733986</v>
      </c>
      <c r="BD352" s="5">
        <f>118/$BD$1</f>
        <v>0.58128078817733986</v>
      </c>
      <c r="BF352">
        <v>114</v>
      </c>
      <c r="BG352" s="5">
        <f>BF352/BF384</f>
        <v>0.53023255813953485</v>
      </c>
      <c r="BH352" s="5">
        <f>114/$BH$1</f>
        <v>0.53023255813953485</v>
      </c>
      <c r="BJ352">
        <v>175</v>
      </c>
      <c r="BK352" s="5">
        <f>BJ352/BJ384</f>
        <v>0.56634304207119746</v>
      </c>
      <c r="BL352" s="5">
        <f>175/$BL$1</f>
        <v>0.56634304207119746</v>
      </c>
      <c r="BN352">
        <v>26</v>
      </c>
      <c r="BO352" s="5">
        <f>BN352/BN384</f>
        <v>0.55319148936170215</v>
      </c>
      <c r="BP352" s="5">
        <f>26/$BP$1</f>
        <v>0.55319148936170215</v>
      </c>
      <c r="BR352">
        <v>159</v>
      </c>
      <c r="BS352" s="5">
        <f>BR352/BR384</f>
        <v>0.50636942675159236</v>
      </c>
      <c r="BT352" s="5">
        <f>159/$BT$1</f>
        <v>0.50636942675159236</v>
      </c>
      <c r="BV352">
        <v>226</v>
      </c>
      <c r="BW352" s="5">
        <f>BV352/BV384</f>
        <v>0.5750636132315522</v>
      </c>
      <c r="BX352" s="5">
        <f>226/$BX$1</f>
        <v>0.5750636132315522</v>
      </c>
      <c r="BZ352">
        <v>157</v>
      </c>
      <c r="CA352" s="5">
        <f>BZ352/BZ384</f>
        <v>0.63821138211382111</v>
      </c>
      <c r="CB352" s="5">
        <f>157/$CB$1</f>
        <v>0.63821138211382111</v>
      </c>
      <c r="CD352">
        <v>73</v>
      </c>
      <c r="CE352" s="5">
        <f>CD352/CD384</f>
        <v>0.5934959349593496</v>
      </c>
      <c r="CF352" s="5">
        <f>73/$CF$1</f>
        <v>0.5934959349593496</v>
      </c>
      <c r="CH352">
        <v>399</v>
      </c>
      <c r="CI352" s="5">
        <f>CH352/CH384</f>
        <v>0.57994186046511631</v>
      </c>
      <c r="CJ352" s="5">
        <f>399/$CJ$1</f>
        <v>0.57994186046511631</v>
      </c>
      <c r="CL352">
        <v>443</v>
      </c>
      <c r="CM352" s="5">
        <f>CL352/CL384</f>
        <v>0.58443271767810023</v>
      </c>
      <c r="CN352" s="5">
        <f>443/$CN$1</f>
        <v>0.58443271767810023</v>
      </c>
      <c r="CP352">
        <v>125</v>
      </c>
      <c r="CQ352" s="5">
        <f>CP352/CP384</f>
        <v>0.51652892561983466</v>
      </c>
      <c r="CR352" s="5">
        <f>125/$CR$1</f>
        <v>0.51652892561983466</v>
      </c>
      <c r="CT352">
        <v>212</v>
      </c>
      <c r="CU352" s="5">
        <f>CT352/CT384</f>
        <v>0.63663663663663661</v>
      </c>
      <c r="CV352" s="5">
        <f>212/$CV$1</f>
        <v>0.63663663663663661</v>
      </c>
      <c r="CX352">
        <v>356</v>
      </c>
      <c r="CY352" s="5">
        <f>CX352/CX384</f>
        <v>0.53373313343328332</v>
      </c>
      <c r="CZ352" s="5">
        <f>356/$CZ$1</f>
        <v>0.53373313343328332</v>
      </c>
    </row>
    <row r="353" spans="1:104" x14ac:dyDescent="0.25">
      <c r="A353" s="1" t="s">
        <v>2973</v>
      </c>
      <c r="B353">
        <v>140</v>
      </c>
      <c r="C353" s="5">
        <f>B353/B384</f>
        <v>0.14000000000000001</v>
      </c>
      <c r="D353" s="5">
        <f>140/$D$1</f>
        <v>0.14000000000000001</v>
      </c>
      <c r="F353">
        <v>82</v>
      </c>
      <c r="G353" s="5">
        <f>F353/F384</f>
        <v>0.16367265469061876</v>
      </c>
      <c r="H353" s="5">
        <f>82/$H$1</f>
        <v>0.16367265469061876</v>
      </c>
      <c r="J353">
        <v>58</v>
      </c>
      <c r="K353" s="5">
        <f>J353/J384</f>
        <v>0.11623246492985972</v>
      </c>
      <c r="L353" s="5">
        <f>58/$L$1</f>
        <v>0.11623246492985972</v>
      </c>
      <c r="N353">
        <v>15</v>
      </c>
      <c r="O353" s="5">
        <f>N353/N384</f>
        <v>0.15463917525773196</v>
      </c>
      <c r="P353" s="5">
        <f>15/$P$1</f>
        <v>0.15463917525773196</v>
      </c>
      <c r="R353">
        <v>23</v>
      </c>
      <c r="S353" s="5">
        <f>R353/R384</f>
        <v>0.11616161616161616</v>
      </c>
      <c r="T353" s="5">
        <f>23/$T$1</f>
        <v>0.11616161616161616</v>
      </c>
      <c r="V353">
        <v>33</v>
      </c>
      <c r="W353" s="5">
        <f>V353/V384</f>
        <v>0.13692946058091288</v>
      </c>
      <c r="X353" s="5">
        <f>33/$X$1</f>
        <v>0.13692946058091288</v>
      </c>
      <c r="Z353">
        <v>31</v>
      </c>
      <c r="AA353" s="5">
        <f>Z353/Z384</f>
        <v>0.15656565656565657</v>
      </c>
      <c r="AB353" s="5">
        <f>31/$AB$1</f>
        <v>0.15656565656565657</v>
      </c>
      <c r="AD353">
        <v>16</v>
      </c>
      <c r="AE353" s="5">
        <f>AD353/AD384</f>
        <v>0.1038961038961039</v>
      </c>
      <c r="AF353" s="5">
        <f>16/$AF$1</f>
        <v>0.1038961038961039</v>
      </c>
      <c r="AH353">
        <v>24</v>
      </c>
      <c r="AI353" s="5">
        <f>AH353/AH384</f>
        <v>0.2</v>
      </c>
      <c r="AJ353" s="5">
        <f>24/$AJ$1</f>
        <v>0.2</v>
      </c>
      <c r="AL353">
        <v>52</v>
      </c>
      <c r="AM353" s="5">
        <f>AL353/AL384</f>
        <v>0.14054054054054055</v>
      </c>
      <c r="AN353" s="5">
        <f>52/$AN$1</f>
        <v>0.14054054054054055</v>
      </c>
      <c r="AP353">
        <v>63</v>
      </c>
      <c r="AQ353" s="5">
        <f>AP353/AP384</f>
        <v>0.16666666666666666</v>
      </c>
      <c r="AR353" s="5">
        <f>63/$AR$1</f>
        <v>0.16666666666666666</v>
      </c>
      <c r="AT353">
        <v>25</v>
      </c>
      <c r="AU353" s="5">
        <f>AT353/AT384</f>
        <v>9.9206349206349201E-2</v>
      </c>
      <c r="AV353" s="5">
        <f>25/$AV$1</f>
        <v>9.9206349206349201E-2</v>
      </c>
      <c r="AX353">
        <v>35</v>
      </c>
      <c r="AY353" s="5">
        <f>AX353/AX384</f>
        <v>0.12820512820512819</v>
      </c>
      <c r="AZ353" s="5">
        <f>35/$AZ$1</f>
        <v>0.12820512820512819</v>
      </c>
      <c r="BA353" s="5"/>
      <c r="BB353">
        <v>29</v>
      </c>
      <c r="BC353" s="5">
        <f>BB353/BB384</f>
        <v>0.14285714285714285</v>
      </c>
      <c r="BD353" s="5">
        <f>29/$BD$1</f>
        <v>0.14285714285714285</v>
      </c>
      <c r="BF353">
        <v>32</v>
      </c>
      <c r="BG353" s="5">
        <f>BF353/BF384</f>
        <v>0.14883720930232558</v>
      </c>
      <c r="BH353" s="5">
        <f>32/$BH$1</f>
        <v>0.14883720930232558</v>
      </c>
      <c r="BJ353">
        <v>44</v>
      </c>
      <c r="BK353" s="5">
        <f>BJ353/BJ384</f>
        <v>0.14239482200647249</v>
      </c>
      <c r="BL353" s="5">
        <f>44/$BL$1</f>
        <v>0.14239482200647249</v>
      </c>
      <c r="BN353">
        <v>8</v>
      </c>
      <c r="BO353" s="5">
        <f>BN353/BN384</f>
        <v>0.1702127659574468</v>
      </c>
      <c r="BP353" s="5">
        <f>8/$BP$1</f>
        <v>0.1702127659574468</v>
      </c>
      <c r="BR353">
        <v>55</v>
      </c>
      <c r="BS353" s="5">
        <f>BR353/BR384</f>
        <v>0.1751592356687898</v>
      </c>
      <c r="BT353" s="5">
        <f>55/$BT$1</f>
        <v>0.1751592356687898</v>
      </c>
      <c r="BV353">
        <v>54</v>
      </c>
      <c r="BW353" s="5">
        <f>BV353/BV384</f>
        <v>0.13740458015267176</v>
      </c>
      <c r="BX353" s="5">
        <f>54/$BX$1</f>
        <v>0.13740458015267176</v>
      </c>
      <c r="BZ353">
        <v>23</v>
      </c>
      <c r="CA353" s="5">
        <f>BZ353/BZ384</f>
        <v>9.3495934959349589E-2</v>
      </c>
      <c r="CB353" s="5">
        <f>23/$CB$1</f>
        <v>9.3495934959349589E-2</v>
      </c>
      <c r="CD353">
        <v>16</v>
      </c>
      <c r="CE353" s="5">
        <f>CD353/CD384</f>
        <v>0.13008130081300814</v>
      </c>
      <c r="CF353" s="5">
        <f>16/$CF$1</f>
        <v>0.13008130081300814</v>
      </c>
      <c r="CH353">
        <v>100</v>
      </c>
      <c r="CI353" s="5">
        <f>CH353/CH384</f>
        <v>0.14534883720930233</v>
      </c>
      <c r="CJ353" s="5">
        <f>100/$CJ$1</f>
        <v>0.14534883720930233</v>
      </c>
      <c r="CL353">
        <v>109</v>
      </c>
      <c r="CM353" s="5">
        <f>CL353/CL384</f>
        <v>0.14379947229551451</v>
      </c>
      <c r="CN353" s="5">
        <f>109/$CN$1</f>
        <v>0.14379947229551451</v>
      </c>
      <c r="CP353">
        <v>31</v>
      </c>
      <c r="CQ353" s="5">
        <f>CP353/CP384</f>
        <v>0.128099173553719</v>
      </c>
      <c r="CR353" s="5">
        <f>31/$CR$1</f>
        <v>0.128099173553719</v>
      </c>
      <c r="CT353">
        <v>40</v>
      </c>
      <c r="CU353" s="5">
        <f>CT353/CT384</f>
        <v>0.12012012012012012</v>
      </c>
      <c r="CV353" s="5">
        <f>40/$CV$1</f>
        <v>0.12012012012012012</v>
      </c>
      <c r="CX353">
        <v>100</v>
      </c>
      <c r="CY353" s="5">
        <f>CX353/CX384</f>
        <v>0.14992503748125938</v>
      </c>
      <c r="CZ353" s="5">
        <f>100/$CZ$1</f>
        <v>0.14992503748125938</v>
      </c>
    </row>
    <row r="354" spans="1:104" x14ac:dyDescent="0.25">
      <c r="A354" s="1" t="s">
        <v>2974</v>
      </c>
      <c r="B354">
        <v>292</v>
      </c>
      <c r="C354" s="5">
        <f>B354/B384</f>
        <v>0.29199999999999998</v>
      </c>
      <c r="D354" s="5">
        <f>292/$D$1</f>
        <v>0.29199999999999998</v>
      </c>
      <c r="F354">
        <v>172</v>
      </c>
      <c r="G354" s="5">
        <f>F354/F384</f>
        <v>0.34331337325349304</v>
      </c>
      <c r="H354" s="5">
        <f>172/$H$1</f>
        <v>0.34331337325349304</v>
      </c>
      <c r="J354">
        <v>120</v>
      </c>
      <c r="K354" s="5">
        <f>J354/J384</f>
        <v>0.24048096192384769</v>
      </c>
      <c r="L354" s="5">
        <f>120/$L$1</f>
        <v>0.24048096192384769</v>
      </c>
      <c r="N354">
        <v>26</v>
      </c>
      <c r="O354" s="5">
        <f>N354/N384</f>
        <v>0.26804123711340205</v>
      </c>
      <c r="P354" s="5">
        <f>26/$P$1</f>
        <v>0.26804123711340205</v>
      </c>
      <c r="R354">
        <v>51</v>
      </c>
      <c r="S354" s="5">
        <f>R354/R384</f>
        <v>0.25757575757575757</v>
      </c>
      <c r="T354" s="5">
        <f>51/$T$1</f>
        <v>0.25757575757575757</v>
      </c>
      <c r="V354">
        <v>64</v>
      </c>
      <c r="W354" s="5">
        <f>V354/V384</f>
        <v>0.26556016597510373</v>
      </c>
      <c r="X354" s="5">
        <f>64/$X$1</f>
        <v>0.26556016597510373</v>
      </c>
      <c r="Z354">
        <v>51</v>
      </c>
      <c r="AA354" s="5">
        <f>Z354/Z384</f>
        <v>0.25757575757575757</v>
      </c>
      <c r="AB354" s="5">
        <f>51/$AB$1</f>
        <v>0.25757575757575757</v>
      </c>
      <c r="AD354">
        <v>58</v>
      </c>
      <c r="AE354" s="5">
        <f>AD354/AD384</f>
        <v>0.37662337662337664</v>
      </c>
      <c r="AF354" s="5">
        <f>58/$AF$1</f>
        <v>0.37662337662337664</v>
      </c>
      <c r="AH354">
        <v>45</v>
      </c>
      <c r="AI354" s="5">
        <f>AH354/AH384</f>
        <v>0.375</v>
      </c>
      <c r="AJ354" s="5">
        <f>45/$AJ$1</f>
        <v>0.375</v>
      </c>
      <c r="AL354">
        <v>96</v>
      </c>
      <c r="AM354" s="5">
        <f>AL354/AL384</f>
        <v>0.25945945945945947</v>
      </c>
      <c r="AN354" s="5">
        <f>96/$AN$1</f>
        <v>0.25945945945945947</v>
      </c>
      <c r="AP354">
        <v>100</v>
      </c>
      <c r="AQ354" s="5">
        <f>AP354/AP384</f>
        <v>0.26455026455026454</v>
      </c>
      <c r="AR354" s="5">
        <f>100/$AR$1</f>
        <v>0.26455026455026454</v>
      </c>
      <c r="AT354">
        <v>96</v>
      </c>
      <c r="AU354" s="5">
        <f>AT354/AT384</f>
        <v>0.38095238095238093</v>
      </c>
      <c r="AV354" s="5">
        <f>96/$AV$1</f>
        <v>0.38095238095238093</v>
      </c>
      <c r="AX354">
        <v>77</v>
      </c>
      <c r="AY354" s="5">
        <f>AX354/AX384</f>
        <v>0.28205128205128205</v>
      </c>
      <c r="AZ354" s="5">
        <f>77/$AZ$1</f>
        <v>0.28205128205128205</v>
      </c>
      <c r="BA354" s="5"/>
      <c r="BB354">
        <v>56</v>
      </c>
      <c r="BC354" s="5">
        <f>BB354/BB384</f>
        <v>0.27586206896551724</v>
      </c>
      <c r="BD354" s="5">
        <f>56/$BD$1</f>
        <v>0.27586206896551724</v>
      </c>
      <c r="BF354">
        <v>69</v>
      </c>
      <c r="BG354" s="5">
        <f>BF354/BF384</f>
        <v>0.32093023255813952</v>
      </c>
      <c r="BH354" s="5">
        <f>69/$BH$1</f>
        <v>0.32093023255813952</v>
      </c>
      <c r="BJ354">
        <v>90</v>
      </c>
      <c r="BK354" s="5">
        <f>BJ354/BJ384</f>
        <v>0.29126213592233008</v>
      </c>
      <c r="BL354" s="5">
        <f>90/$BL$1</f>
        <v>0.29126213592233008</v>
      </c>
      <c r="BN354">
        <v>13</v>
      </c>
      <c r="BO354" s="5">
        <f>BN354/BN384</f>
        <v>0.27659574468085107</v>
      </c>
      <c r="BP354" s="5">
        <f>13/$BP$1</f>
        <v>0.27659574468085107</v>
      </c>
      <c r="BR354">
        <v>100</v>
      </c>
      <c r="BS354" s="5">
        <f>BR354/BR384</f>
        <v>0.31847133757961782</v>
      </c>
      <c r="BT354" s="5">
        <f>100/$BT$1</f>
        <v>0.31847133757961782</v>
      </c>
      <c r="BV354">
        <v>113</v>
      </c>
      <c r="BW354" s="5">
        <f>BV354/BV384</f>
        <v>0.2875318066157761</v>
      </c>
      <c r="BX354" s="5">
        <f>113/$BX$1</f>
        <v>0.2875318066157761</v>
      </c>
      <c r="BZ354">
        <v>66</v>
      </c>
      <c r="CA354" s="5">
        <f>BZ354/BZ384</f>
        <v>0.26829268292682928</v>
      </c>
      <c r="CB354" s="5">
        <f>66/$CB$1</f>
        <v>0.26829268292682928</v>
      </c>
      <c r="CD354">
        <v>34</v>
      </c>
      <c r="CE354" s="5">
        <f>CD354/CD384</f>
        <v>0.27642276422764228</v>
      </c>
      <c r="CF354" s="5">
        <f>34/$CF$1</f>
        <v>0.27642276422764228</v>
      </c>
      <c r="CH354">
        <v>189</v>
      </c>
      <c r="CI354" s="5">
        <f>CH354/CH384</f>
        <v>0.27470930232558138</v>
      </c>
      <c r="CJ354" s="5">
        <f>189/$CJ$1</f>
        <v>0.27470930232558138</v>
      </c>
      <c r="CL354">
        <v>206</v>
      </c>
      <c r="CM354" s="5">
        <f>CL354/CL384</f>
        <v>0.27176781002638523</v>
      </c>
      <c r="CN354" s="5">
        <f>206/$CN$1</f>
        <v>0.27176781002638523</v>
      </c>
      <c r="CP354">
        <v>86</v>
      </c>
      <c r="CQ354" s="5">
        <f>CP354/CP384</f>
        <v>0.35537190082644626</v>
      </c>
      <c r="CR354" s="5">
        <f>86/$CR$1</f>
        <v>0.35537190082644626</v>
      </c>
      <c r="CT354">
        <v>81</v>
      </c>
      <c r="CU354" s="5">
        <f>CT354/CT384</f>
        <v>0.24324324324324326</v>
      </c>
      <c r="CV354" s="5">
        <f>81/$CV$1</f>
        <v>0.24324324324324326</v>
      </c>
      <c r="CX354">
        <v>211</v>
      </c>
      <c r="CY354" s="5">
        <f>CX354/CX384</f>
        <v>0.31634182908545727</v>
      </c>
      <c r="CZ354" s="5">
        <f>211/$CZ$1</f>
        <v>0.31634182908545727</v>
      </c>
    </row>
    <row r="356" spans="1:104" x14ac:dyDescent="0.25">
      <c r="A356" s="1" t="s">
        <v>2975</v>
      </c>
      <c r="B356">
        <v>598</v>
      </c>
      <c r="C356" s="5">
        <f>B356/B384</f>
        <v>0.59799999999999998</v>
      </c>
      <c r="D356" s="5">
        <f>598/$D$1</f>
        <v>0.59799999999999998</v>
      </c>
      <c r="F356">
        <v>272</v>
      </c>
      <c r="G356" s="5">
        <f>F356/F384</f>
        <v>0.54291417165668665</v>
      </c>
      <c r="H356" s="5">
        <f>272/$H$1</f>
        <v>0.54291417165668665</v>
      </c>
      <c r="J356">
        <v>326</v>
      </c>
      <c r="K356" s="5">
        <f>J356/J384</f>
        <v>0.65330661322645289</v>
      </c>
      <c r="L356" s="5">
        <f>326/$L$1</f>
        <v>0.65330661322645289</v>
      </c>
      <c r="N356">
        <v>61</v>
      </c>
      <c r="O356" s="5">
        <f>N356/N384</f>
        <v>0.62886597938144329</v>
      </c>
      <c r="P356" s="5">
        <f>61/$P$1</f>
        <v>0.62886597938144329</v>
      </c>
      <c r="R356">
        <v>129</v>
      </c>
      <c r="S356" s="5">
        <f>R356/R384</f>
        <v>0.65151515151515149</v>
      </c>
      <c r="T356" s="5">
        <f>129/$T$1</f>
        <v>0.65151515151515149</v>
      </c>
      <c r="V356">
        <v>147</v>
      </c>
      <c r="W356" s="5">
        <f>V356/V384</f>
        <v>0.60995850622406644</v>
      </c>
      <c r="X356" s="5">
        <f>147/$X$1</f>
        <v>0.60995850622406644</v>
      </c>
      <c r="Z356">
        <v>108</v>
      </c>
      <c r="AA356" s="5">
        <f>Z356/Z384</f>
        <v>0.54545454545454541</v>
      </c>
      <c r="AB356" s="5">
        <f>108/$AB$1</f>
        <v>0.54545454545454541</v>
      </c>
      <c r="AD356">
        <v>87</v>
      </c>
      <c r="AE356" s="5">
        <f>AD356/AD384</f>
        <v>0.56493506493506496</v>
      </c>
      <c r="AF356" s="5">
        <f>87/$AF$1</f>
        <v>0.56493506493506496</v>
      </c>
      <c r="AH356">
        <v>70</v>
      </c>
      <c r="AI356" s="5">
        <f>AH356/AH384</f>
        <v>0.58333333333333337</v>
      </c>
      <c r="AJ356" s="5">
        <f>70/$AJ$1</f>
        <v>0.58333333333333337</v>
      </c>
      <c r="AL356">
        <v>211</v>
      </c>
      <c r="AM356" s="5">
        <f>AL356/AL384</f>
        <v>0.57027027027027022</v>
      </c>
      <c r="AN356" s="5">
        <f>211/$AN$1</f>
        <v>0.57027027027027022</v>
      </c>
      <c r="AP356">
        <v>220</v>
      </c>
      <c r="AQ356" s="5">
        <f>AP356/AP384</f>
        <v>0.58201058201058198</v>
      </c>
      <c r="AR356" s="5">
        <f>220/$AR$1</f>
        <v>0.58201058201058198</v>
      </c>
      <c r="AT356">
        <v>167</v>
      </c>
      <c r="AU356" s="5">
        <f>AT356/AT384</f>
        <v>0.66269841269841268</v>
      </c>
      <c r="AV356" s="5">
        <f>167/$AV$1</f>
        <v>0.66269841269841268</v>
      </c>
      <c r="AX356">
        <v>160</v>
      </c>
      <c r="AY356" s="5">
        <f>AX356/AX384</f>
        <v>0.58608058608058611</v>
      </c>
      <c r="AZ356" s="5">
        <f>160/$AZ$1</f>
        <v>0.58608058608058611</v>
      </c>
      <c r="BA356" s="5"/>
      <c r="BB356">
        <v>109</v>
      </c>
      <c r="BC356" s="5">
        <f>BB356/BB384</f>
        <v>0.53694581280788178</v>
      </c>
      <c r="BD356" s="5">
        <f>109/$BD$1</f>
        <v>0.53694581280788178</v>
      </c>
      <c r="BF356">
        <v>133</v>
      </c>
      <c r="BG356" s="5">
        <f>BF356/BF384</f>
        <v>0.61860465116279073</v>
      </c>
      <c r="BH356" s="5">
        <f>133/$BH$1</f>
        <v>0.61860465116279073</v>
      </c>
      <c r="BJ356">
        <v>196</v>
      </c>
      <c r="BK356" s="5">
        <f>BJ356/BJ384</f>
        <v>0.63430420711974111</v>
      </c>
      <c r="BL356" s="5">
        <f>196/$BL$1</f>
        <v>0.63430420711974111</v>
      </c>
      <c r="BN356">
        <v>20</v>
      </c>
      <c r="BO356" s="5">
        <f>BN356/BN384</f>
        <v>0.42553191489361702</v>
      </c>
      <c r="BP356" s="5">
        <f>20/$BP$1</f>
        <v>0.42553191489361702</v>
      </c>
      <c r="BR356">
        <v>158</v>
      </c>
      <c r="BS356" s="5">
        <f>BR356/BR384</f>
        <v>0.50318471337579618</v>
      </c>
      <c r="BT356" s="5">
        <f>158/$BT$1</f>
        <v>0.50318471337579618</v>
      </c>
      <c r="BV356">
        <v>243</v>
      </c>
      <c r="BW356" s="5">
        <f>BV356/BV384</f>
        <v>0.61832061068702293</v>
      </c>
      <c r="BX356" s="5">
        <f>243/$BX$1</f>
        <v>0.61832061068702293</v>
      </c>
      <c r="BZ356">
        <v>177</v>
      </c>
      <c r="CA356" s="5">
        <f>BZ356/BZ384</f>
        <v>0.71951219512195119</v>
      </c>
      <c r="CB356" s="5">
        <f>177/$CB$1</f>
        <v>0.71951219512195119</v>
      </c>
      <c r="CD356">
        <v>79</v>
      </c>
      <c r="CE356" s="5">
        <f>CD356/CD384</f>
        <v>0.64227642276422769</v>
      </c>
      <c r="CF356" s="5">
        <f>79/$CF$1</f>
        <v>0.64227642276422769</v>
      </c>
      <c r="CH356">
        <v>397</v>
      </c>
      <c r="CI356" s="5">
        <f>CH356/CH384</f>
        <v>0.57703488372093026</v>
      </c>
      <c r="CJ356" s="5">
        <f>397/$CJ$1</f>
        <v>0.57703488372093026</v>
      </c>
      <c r="CL356">
        <v>465</v>
      </c>
      <c r="CM356" s="5">
        <f>CL356/CL384</f>
        <v>0.61345646437994727</v>
      </c>
      <c r="CN356" s="5">
        <f>465/$CN$1</f>
        <v>0.61345646437994727</v>
      </c>
      <c r="CP356">
        <v>133</v>
      </c>
      <c r="CQ356" s="5">
        <f>CP356/CP384</f>
        <v>0.54958677685950408</v>
      </c>
      <c r="CR356" s="5">
        <f>133/$CR$1</f>
        <v>0.54958677685950408</v>
      </c>
      <c r="CT356">
        <v>229</v>
      </c>
      <c r="CU356" s="5">
        <f>CT356/CT384</f>
        <v>0.68768768768768773</v>
      </c>
      <c r="CV356" s="5">
        <f>229/$CV$1</f>
        <v>0.68768768768768773</v>
      </c>
      <c r="CX356">
        <v>369</v>
      </c>
      <c r="CY356" s="5">
        <f>CX356/CX384</f>
        <v>0.55322338830584705</v>
      </c>
      <c r="CZ356" s="5">
        <f>369/$CZ$1</f>
        <v>0.55322338830584705</v>
      </c>
    </row>
    <row r="357" spans="1:104" x14ac:dyDescent="0.25">
      <c r="A357" s="1" t="s">
        <v>2976</v>
      </c>
      <c r="B357">
        <v>468</v>
      </c>
      <c r="C357" s="5">
        <f>B357/B384</f>
        <v>0.46800000000000003</v>
      </c>
      <c r="D357" s="5">
        <f>468/$D$1</f>
        <v>0.46800000000000003</v>
      </c>
      <c r="F357">
        <v>173</v>
      </c>
      <c r="G357" s="5">
        <f>F357/F384</f>
        <v>0.34530938123752497</v>
      </c>
      <c r="H357" s="5">
        <f>173/$H$1</f>
        <v>0.34530938123752497</v>
      </c>
      <c r="J357">
        <v>295</v>
      </c>
      <c r="K357" s="5">
        <f>J357/J384</f>
        <v>0.59118236472945895</v>
      </c>
      <c r="L357" s="5">
        <f>295/$L$1</f>
        <v>0.59118236472945895</v>
      </c>
      <c r="N357">
        <v>34</v>
      </c>
      <c r="O357" s="5">
        <f>N357/N384</f>
        <v>0.35051546391752575</v>
      </c>
      <c r="P357" s="5">
        <f>34/$P$1</f>
        <v>0.35051546391752575</v>
      </c>
      <c r="R357">
        <v>86</v>
      </c>
      <c r="S357" s="5">
        <f>R357/R384</f>
        <v>0.43434343434343436</v>
      </c>
      <c r="T357" s="5">
        <f>86/$T$1</f>
        <v>0.43434343434343436</v>
      </c>
      <c r="V357">
        <v>110</v>
      </c>
      <c r="W357" s="5">
        <f>V357/V384</f>
        <v>0.45643153526970953</v>
      </c>
      <c r="X357" s="5">
        <f>110/$X$1</f>
        <v>0.45643153526970953</v>
      </c>
      <c r="Z357">
        <v>94</v>
      </c>
      <c r="AA357" s="5">
        <f>Z357/Z384</f>
        <v>0.47474747474747475</v>
      </c>
      <c r="AB357" s="5">
        <f>94/$AB$1</f>
        <v>0.47474747474747475</v>
      </c>
      <c r="AD357">
        <v>78</v>
      </c>
      <c r="AE357" s="5">
        <f>AD357/AD384</f>
        <v>0.50649350649350644</v>
      </c>
      <c r="AF357" s="5">
        <f>78/$AF$1</f>
        <v>0.50649350649350644</v>
      </c>
      <c r="AH357">
        <v>70</v>
      </c>
      <c r="AI357" s="5">
        <f>AH357/AH384</f>
        <v>0.58333333333333337</v>
      </c>
      <c r="AJ357" s="5">
        <f>70/$AJ$1</f>
        <v>0.58333333333333337</v>
      </c>
      <c r="AL357">
        <v>172</v>
      </c>
      <c r="AM357" s="5">
        <f>AL357/AL384</f>
        <v>0.46486486486486489</v>
      </c>
      <c r="AN357" s="5">
        <f>172/$AN$1</f>
        <v>0.46486486486486489</v>
      </c>
      <c r="AP357">
        <v>177</v>
      </c>
      <c r="AQ357" s="5">
        <f>AP357/AP384</f>
        <v>0.46825396825396826</v>
      </c>
      <c r="AR357" s="5">
        <f>177/$AR$1</f>
        <v>0.46825396825396826</v>
      </c>
      <c r="AT357">
        <v>119</v>
      </c>
      <c r="AU357" s="5">
        <f>AT357/AT384</f>
        <v>0.47222222222222221</v>
      </c>
      <c r="AV357" s="5">
        <f>119/$AV$1</f>
        <v>0.47222222222222221</v>
      </c>
      <c r="AX357">
        <v>139</v>
      </c>
      <c r="AY357" s="5">
        <f>AX357/AX384</f>
        <v>0.50915750915750912</v>
      </c>
      <c r="AZ357" s="5">
        <f>139/$AZ$1</f>
        <v>0.50915750915750912</v>
      </c>
      <c r="BA357" s="5"/>
      <c r="BB357">
        <v>100</v>
      </c>
      <c r="BC357" s="5">
        <f>BB357/BB384</f>
        <v>0.49261083743842365</v>
      </c>
      <c r="BD357" s="5">
        <f>100/$BD$1</f>
        <v>0.49261083743842365</v>
      </c>
      <c r="BF357">
        <v>103</v>
      </c>
      <c r="BG357" s="5">
        <f>BF357/BF384</f>
        <v>0.47906976744186047</v>
      </c>
      <c r="BH357" s="5">
        <f>103/$BH$1</f>
        <v>0.47906976744186047</v>
      </c>
      <c r="BJ357">
        <v>126</v>
      </c>
      <c r="BK357" s="5">
        <f>BJ357/BJ384</f>
        <v>0.40776699029126212</v>
      </c>
      <c r="BL357" s="5">
        <f>126/$BL$1</f>
        <v>0.40776699029126212</v>
      </c>
      <c r="BN357">
        <v>21</v>
      </c>
      <c r="BO357" s="5">
        <f>BN357/BN384</f>
        <v>0.44680851063829785</v>
      </c>
      <c r="BP357" s="5">
        <f>21/$BP$1</f>
        <v>0.44680851063829785</v>
      </c>
      <c r="BR357">
        <v>131</v>
      </c>
      <c r="BS357" s="5">
        <f>BR357/BR384</f>
        <v>0.41719745222929938</v>
      </c>
      <c r="BT357" s="5">
        <f>131/$BT$1</f>
        <v>0.41719745222929938</v>
      </c>
      <c r="BV357">
        <v>208</v>
      </c>
      <c r="BW357" s="5">
        <f>BV357/BV384</f>
        <v>0.52926208651399487</v>
      </c>
      <c r="BX357" s="5">
        <f>208/$BX$1</f>
        <v>0.52926208651399487</v>
      </c>
      <c r="BZ357">
        <v>108</v>
      </c>
      <c r="CA357" s="5">
        <f>BZ357/BZ384</f>
        <v>0.43902439024390244</v>
      </c>
      <c r="CB357" s="5">
        <f>108/$CB$1</f>
        <v>0.43902439024390244</v>
      </c>
      <c r="CD357">
        <v>62</v>
      </c>
      <c r="CE357" s="5">
        <f>CD357/CD384</f>
        <v>0.50406504065040647</v>
      </c>
      <c r="CF357" s="5">
        <f>62/$CF$1</f>
        <v>0.50406504065040647</v>
      </c>
      <c r="CH357">
        <v>338</v>
      </c>
      <c r="CI357" s="5">
        <f>CH357/CH384</f>
        <v>0.49127906976744184</v>
      </c>
      <c r="CJ357" s="5">
        <f>338/$CJ$1</f>
        <v>0.49127906976744184</v>
      </c>
      <c r="CL357">
        <v>376</v>
      </c>
      <c r="CM357" s="5">
        <f>CL357/CL384</f>
        <v>0.49604221635883905</v>
      </c>
      <c r="CN357" s="5">
        <f>376/$CN$1</f>
        <v>0.49604221635883905</v>
      </c>
      <c r="CP357">
        <v>92</v>
      </c>
      <c r="CQ357" s="5">
        <f>CP357/CP384</f>
        <v>0.38016528925619836</v>
      </c>
      <c r="CR357" s="5">
        <f>92/$CR$1</f>
        <v>0.38016528925619836</v>
      </c>
      <c r="CT357">
        <v>184</v>
      </c>
      <c r="CU357" s="5">
        <f>CT357/CT384</f>
        <v>0.55255255255255253</v>
      </c>
      <c r="CV357" s="5">
        <f>184/$CV$1</f>
        <v>0.55255255255255253</v>
      </c>
      <c r="CX357">
        <v>284</v>
      </c>
      <c r="CY357" s="5">
        <f>CX357/CX384</f>
        <v>0.42578710644677659</v>
      </c>
      <c r="CZ357" s="5">
        <f>284/$CZ$1</f>
        <v>0.42578710644677659</v>
      </c>
    </row>
    <row r="358" spans="1:104" x14ac:dyDescent="0.25">
      <c r="A358" s="1" t="s">
        <v>2977</v>
      </c>
      <c r="B358">
        <v>814</v>
      </c>
      <c r="C358" s="5">
        <f>B358/B384</f>
        <v>0.81399999999999995</v>
      </c>
      <c r="D358" s="5">
        <f>814/$D$1</f>
        <v>0.81399999999999995</v>
      </c>
      <c r="F358">
        <v>379</v>
      </c>
      <c r="G358" s="5">
        <f>F358/F384</f>
        <v>0.7564870259481038</v>
      </c>
      <c r="H358" s="5">
        <f>379/$H$1</f>
        <v>0.7564870259481038</v>
      </c>
      <c r="J358">
        <v>435</v>
      </c>
      <c r="K358" s="5">
        <f>J358/J384</f>
        <v>0.87174348697394788</v>
      </c>
      <c r="L358" s="5">
        <f>435/$L$1</f>
        <v>0.87174348697394788</v>
      </c>
      <c r="N358">
        <v>83</v>
      </c>
      <c r="O358" s="5">
        <f>N358/N384</f>
        <v>0.85567010309278346</v>
      </c>
      <c r="P358" s="5">
        <f>83/$P$1</f>
        <v>0.85567010309278346</v>
      </c>
      <c r="R358">
        <v>169</v>
      </c>
      <c r="S358" s="5">
        <f>R358/R384</f>
        <v>0.85353535353535348</v>
      </c>
      <c r="T358" s="5">
        <f>169/$T$1</f>
        <v>0.85353535353535348</v>
      </c>
      <c r="V358">
        <v>185</v>
      </c>
      <c r="W358" s="5">
        <f>V358/V384</f>
        <v>0.76763485477178428</v>
      </c>
      <c r="X358" s="5">
        <f>185/$X$1</f>
        <v>0.76763485477178428</v>
      </c>
      <c r="Z358">
        <v>165</v>
      </c>
      <c r="AA358" s="5">
        <f>Z358/Z384</f>
        <v>0.83333333333333337</v>
      </c>
      <c r="AB358" s="5">
        <f>165/$AB$1</f>
        <v>0.83333333333333337</v>
      </c>
      <c r="AD358">
        <v>126</v>
      </c>
      <c r="AE358" s="5">
        <f>AD358/AD384</f>
        <v>0.81818181818181823</v>
      </c>
      <c r="AF358" s="5">
        <f>126/$AF$1</f>
        <v>0.81818181818181823</v>
      </c>
      <c r="AH358">
        <v>91</v>
      </c>
      <c r="AI358" s="5">
        <f>AH358/AH384</f>
        <v>0.7583333333333333</v>
      </c>
      <c r="AJ358" s="5">
        <f>91/$AJ$1</f>
        <v>0.7583333333333333</v>
      </c>
      <c r="AL358">
        <v>298</v>
      </c>
      <c r="AM358" s="5">
        <f>AL358/AL384</f>
        <v>0.80540540540540539</v>
      </c>
      <c r="AN358" s="5">
        <f>298/$AN$1</f>
        <v>0.80540540540540539</v>
      </c>
      <c r="AP358">
        <v>305</v>
      </c>
      <c r="AQ358" s="5">
        <f>AP358/AP384</f>
        <v>0.80687830687830686</v>
      </c>
      <c r="AR358" s="5">
        <f>305/$AR$1</f>
        <v>0.80687830687830686</v>
      </c>
      <c r="AT358">
        <v>211</v>
      </c>
      <c r="AU358" s="5">
        <f>AT358/AT384</f>
        <v>0.83730158730158732</v>
      </c>
      <c r="AV358" s="5">
        <f>211/$AV$1</f>
        <v>0.83730158730158732</v>
      </c>
      <c r="AX358">
        <v>227</v>
      </c>
      <c r="AY358" s="5">
        <f>AX358/AX384</f>
        <v>0.83150183150183155</v>
      </c>
      <c r="AZ358" s="5">
        <f>227/$AZ$1</f>
        <v>0.83150183150183155</v>
      </c>
      <c r="BA358" s="5"/>
      <c r="BB358">
        <v>159</v>
      </c>
      <c r="BC358" s="5">
        <f>BB358/BB384</f>
        <v>0.78325123152709364</v>
      </c>
      <c r="BD358" s="5">
        <f>159/$BD$1</f>
        <v>0.78325123152709364</v>
      </c>
      <c r="BF358">
        <v>173</v>
      </c>
      <c r="BG358" s="5">
        <f>BF358/BF384</f>
        <v>0.8046511627906977</v>
      </c>
      <c r="BH358" s="5">
        <f>173/$BH$1</f>
        <v>0.8046511627906977</v>
      </c>
      <c r="BJ358">
        <v>255</v>
      </c>
      <c r="BK358" s="5">
        <f>BJ358/BJ384</f>
        <v>0.82524271844660191</v>
      </c>
      <c r="BL358" s="5">
        <f>255/$BL$1</f>
        <v>0.82524271844660191</v>
      </c>
      <c r="BN358">
        <v>38</v>
      </c>
      <c r="BO358" s="5">
        <f>BN358/BN384</f>
        <v>0.80851063829787229</v>
      </c>
      <c r="BP358" s="5">
        <f>38/$BP$1</f>
        <v>0.80851063829787229</v>
      </c>
      <c r="BR358">
        <v>241</v>
      </c>
      <c r="BS358" s="5">
        <f>BR358/BR384</f>
        <v>0.76751592356687903</v>
      </c>
      <c r="BT358" s="5">
        <f>241/$BT$1</f>
        <v>0.76751592356687903</v>
      </c>
      <c r="BV358">
        <v>321</v>
      </c>
      <c r="BW358" s="5">
        <f>BV358/BV384</f>
        <v>0.81679389312977102</v>
      </c>
      <c r="BX358" s="5">
        <f>321/$BX$1</f>
        <v>0.81679389312977102</v>
      </c>
      <c r="BZ358">
        <v>214</v>
      </c>
      <c r="CA358" s="5">
        <f>BZ358/BZ384</f>
        <v>0.86991869918699183</v>
      </c>
      <c r="CB358" s="5">
        <f>214/$CB$1</f>
        <v>0.86991869918699183</v>
      </c>
      <c r="CD358">
        <v>95</v>
      </c>
      <c r="CE358" s="5">
        <f>CD358/CD384</f>
        <v>0.77235772357723576</v>
      </c>
      <c r="CF358" s="5">
        <f>95/$CF$1</f>
        <v>0.77235772357723576</v>
      </c>
      <c r="CH358">
        <v>576</v>
      </c>
      <c r="CI358" s="5">
        <f>CH358/CH384</f>
        <v>0.83720930232558144</v>
      </c>
      <c r="CJ358" s="5">
        <f>576/$CJ$1</f>
        <v>0.83720930232558144</v>
      </c>
      <c r="CL358">
        <v>642</v>
      </c>
      <c r="CM358" s="5">
        <f>CL358/CL384</f>
        <v>0.84696569920844322</v>
      </c>
      <c r="CN358" s="5">
        <f>642/$CN$1</f>
        <v>0.84696569920844322</v>
      </c>
      <c r="CP358">
        <v>172</v>
      </c>
      <c r="CQ358" s="5">
        <f>CP358/CP384</f>
        <v>0.71074380165289253</v>
      </c>
      <c r="CR358" s="5">
        <f>172/$CR$1</f>
        <v>0.71074380165289253</v>
      </c>
      <c r="CT358">
        <v>291</v>
      </c>
      <c r="CU358" s="5">
        <f>CT358/CT384</f>
        <v>0.87387387387387383</v>
      </c>
      <c r="CV358" s="5">
        <f>291/$CV$1</f>
        <v>0.87387387387387383</v>
      </c>
      <c r="CX358">
        <v>523</v>
      </c>
      <c r="CY358" s="5">
        <f>CX358/CX384</f>
        <v>0.78410794602698652</v>
      </c>
      <c r="CZ358" s="5">
        <f>523/$CZ$1</f>
        <v>0.78410794602698652</v>
      </c>
    </row>
    <row r="359" spans="1:104" x14ac:dyDescent="0.25">
      <c r="A359" s="1" t="s">
        <v>2978</v>
      </c>
      <c r="B359">
        <v>641</v>
      </c>
      <c r="C359" s="5">
        <f>B359/B384</f>
        <v>0.64100000000000001</v>
      </c>
      <c r="D359" s="5">
        <f>641/$D$1</f>
        <v>0.64100000000000001</v>
      </c>
      <c r="F359">
        <v>290</v>
      </c>
      <c r="G359" s="5">
        <f>F359/F384</f>
        <v>0.57884231536926145</v>
      </c>
      <c r="H359" s="5">
        <f>290/$H$1</f>
        <v>0.57884231536926145</v>
      </c>
      <c r="J359">
        <v>351</v>
      </c>
      <c r="K359" s="5">
        <f>J359/J384</f>
        <v>0.70340681362725455</v>
      </c>
      <c r="L359" s="5">
        <f>351/$L$1</f>
        <v>0.70340681362725455</v>
      </c>
      <c r="N359">
        <v>78</v>
      </c>
      <c r="O359" s="5">
        <f>N359/N384</f>
        <v>0.80412371134020622</v>
      </c>
      <c r="P359" s="5">
        <f>78/$P$1</f>
        <v>0.80412371134020622</v>
      </c>
      <c r="R359">
        <v>142</v>
      </c>
      <c r="S359" s="5">
        <f>R359/R384</f>
        <v>0.71717171717171713</v>
      </c>
      <c r="T359" s="5">
        <f>142/$T$1</f>
        <v>0.71717171717171713</v>
      </c>
      <c r="V359">
        <v>156</v>
      </c>
      <c r="W359" s="5">
        <f>V359/V384</f>
        <v>0.64730290456431538</v>
      </c>
      <c r="X359" s="5">
        <f>156/$X$1</f>
        <v>0.64730290456431538</v>
      </c>
      <c r="Z359">
        <v>134</v>
      </c>
      <c r="AA359" s="5">
        <f>Z359/Z384</f>
        <v>0.6767676767676768</v>
      </c>
      <c r="AB359" s="5">
        <f>134/$AB$1</f>
        <v>0.6767676767676768</v>
      </c>
      <c r="AD359">
        <v>86</v>
      </c>
      <c r="AE359" s="5">
        <f>AD359/AD384</f>
        <v>0.55844155844155841</v>
      </c>
      <c r="AF359" s="5">
        <f>86/$AF$1</f>
        <v>0.55844155844155841</v>
      </c>
      <c r="AH359">
        <v>50</v>
      </c>
      <c r="AI359" s="5">
        <f>AH359/AH384</f>
        <v>0.41666666666666669</v>
      </c>
      <c r="AJ359" s="5">
        <f>50/$AJ$1</f>
        <v>0.41666666666666669</v>
      </c>
      <c r="AL359">
        <v>223</v>
      </c>
      <c r="AM359" s="5">
        <f>AL359/AL384</f>
        <v>0.60270270270270265</v>
      </c>
      <c r="AN359" s="5">
        <f>223/$AN$1</f>
        <v>0.60270270270270265</v>
      </c>
      <c r="AP359">
        <v>236</v>
      </c>
      <c r="AQ359" s="5">
        <f>AP359/AP384</f>
        <v>0.6243386243386243</v>
      </c>
      <c r="AR359" s="5">
        <f>236/$AR$1</f>
        <v>0.6243386243386243</v>
      </c>
      <c r="AT359">
        <v>182</v>
      </c>
      <c r="AU359" s="5">
        <f>AT359/AT384</f>
        <v>0.72222222222222221</v>
      </c>
      <c r="AV359" s="5">
        <f>182/$AV$1</f>
        <v>0.72222222222222221</v>
      </c>
      <c r="AX359">
        <v>171</v>
      </c>
      <c r="AY359" s="5">
        <f>AX359/AX384</f>
        <v>0.62637362637362637</v>
      </c>
      <c r="AZ359" s="5">
        <f>171/$AZ$1</f>
        <v>0.62637362637362637</v>
      </c>
      <c r="BA359" s="5"/>
      <c r="BB359">
        <v>131</v>
      </c>
      <c r="BC359" s="5">
        <f>BB359/BB384</f>
        <v>0.64532019704433496</v>
      </c>
      <c r="BD359" s="5">
        <f>131/$BD$1</f>
        <v>0.64532019704433496</v>
      </c>
      <c r="BF359">
        <v>136</v>
      </c>
      <c r="BG359" s="5">
        <f>BF359/BF384</f>
        <v>0.63255813953488371</v>
      </c>
      <c r="BH359" s="5">
        <f>136/$BH$1</f>
        <v>0.63255813953488371</v>
      </c>
      <c r="BJ359">
        <v>203</v>
      </c>
      <c r="BK359" s="5">
        <f>BJ359/BJ384</f>
        <v>0.65695792880258896</v>
      </c>
      <c r="BL359" s="5">
        <f>203/$BL$1</f>
        <v>0.65695792880258896</v>
      </c>
      <c r="BN359">
        <v>29</v>
      </c>
      <c r="BO359" s="5">
        <f>BN359/BN384</f>
        <v>0.61702127659574468</v>
      </c>
      <c r="BP359" s="5">
        <f>29/$BP$1</f>
        <v>0.61702127659574468</v>
      </c>
      <c r="BR359">
        <v>177</v>
      </c>
      <c r="BS359" s="5">
        <f>BR359/BR384</f>
        <v>0.56369426751592355</v>
      </c>
      <c r="BT359" s="5">
        <f>177/$BT$1</f>
        <v>0.56369426751592355</v>
      </c>
      <c r="BV359">
        <v>247</v>
      </c>
      <c r="BW359" s="5">
        <f>BV359/BV384</f>
        <v>0.62849872773536897</v>
      </c>
      <c r="BX359" s="5">
        <f>247/$BX$1</f>
        <v>0.62849872773536897</v>
      </c>
      <c r="BZ359">
        <v>188</v>
      </c>
      <c r="CA359" s="5">
        <f>BZ359/BZ384</f>
        <v>0.76422764227642281</v>
      </c>
      <c r="CB359" s="5">
        <f>188/$CB$1</f>
        <v>0.76422764227642281</v>
      </c>
      <c r="CD359">
        <v>87</v>
      </c>
      <c r="CE359" s="5">
        <f>CD359/CD384</f>
        <v>0.70731707317073167</v>
      </c>
      <c r="CF359" s="5">
        <f>87/$CF$1</f>
        <v>0.70731707317073167</v>
      </c>
      <c r="CH359">
        <v>442</v>
      </c>
      <c r="CI359" s="5">
        <f>CH359/CH384</f>
        <v>0.64244186046511631</v>
      </c>
      <c r="CJ359" s="5">
        <f>442/$CJ$1</f>
        <v>0.64244186046511631</v>
      </c>
      <c r="CL359">
        <v>513</v>
      </c>
      <c r="CM359" s="5">
        <f>CL359/CL384</f>
        <v>0.67678100263852248</v>
      </c>
      <c r="CN359" s="5">
        <f>513/$CN$1</f>
        <v>0.67678100263852248</v>
      </c>
      <c r="CP359">
        <v>128</v>
      </c>
      <c r="CQ359" s="5">
        <f>CP359/CP384</f>
        <v>0.52892561983471076</v>
      </c>
      <c r="CR359" s="5">
        <f>128/$CR$1</f>
        <v>0.52892561983471076</v>
      </c>
      <c r="CT359">
        <v>249</v>
      </c>
      <c r="CU359" s="5">
        <f>CT359/CT384</f>
        <v>0.74774774774774777</v>
      </c>
      <c r="CV359" s="5">
        <f>249/$CV$1</f>
        <v>0.74774774774774777</v>
      </c>
      <c r="CX359">
        <v>392</v>
      </c>
      <c r="CY359" s="5">
        <f>CX359/CX384</f>
        <v>0.58770614692653678</v>
      </c>
      <c r="CZ359" s="5">
        <f>392/$CZ$1</f>
        <v>0.58770614692653678</v>
      </c>
    </row>
    <row r="360" spans="1:104" x14ac:dyDescent="0.25">
      <c r="A360" s="1" t="s">
        <v>2979</v>
      </c>
      <c r="B360">
        <v>506</v>
      </c>
      <c r="C360" s="5">
        <f>B360/B384</f>
        <v>0.50600000000000001</v>
      </c>
      <c r="D360" s="5">
        <f>506/$D$1</f>
        <v>0.50600000000000001</v>
      </c>
      <c r="F360">
        <v>231</v>
      </c>
      <c r="G360" s="5">
        <f>F360/F384</f>
        <v>0.46107784431137727</v>
      </c>
      <c r="H360" s="5">
        <f>231/$H$1</f>
        <v>0.46107784431137727</v>
      </c>
      <c r="J360">
        <v>275</v>
      </c>
      <c r="K360" s="5">
        <f>J360/J384</f>
        <v>0.55110220440881763</v>
      </c>
      <c r="L360" s="5">
        <f>275/$L$1</f>
        <v>0.55110220440881763</v>
      </c>
      <c r="N360">
        <v>63</v>
      </c>
      <c r="O360" s="5">
        <f>N360/N384</f>
        <v>0.64948453608247425</v>
      </c>
      <c r="P360" s="5">
        <f>63/$P$1</f>
        <v>0.64948453608247425</v>
      </c>
      <c r="R360">
        <v>88</v>
      </c>
      <c r="S360" s="5">
        <f>R360/R384</f>
        <v>0.44444444444444442</v>
      </c>
      <c r="T360" s="5">
        <f>88/$T$1</f>
        <v>0.44444444444444442</v>
      </c>
      <c r="V360">
        <v>107</v>
      </c>
      <c r="W360" s="5">
        <f>V360/V384</f>
        <v>0.44398340248962653</v>
      </c>
      <c r="X360" s="5">
        <f>107/$X$1</f>
        <v>0.44398340248962653</v>
      </c>
      <c r="Z360">
        <v>97</v>
      </c>
      <c r="AA360" s="5">
        <f>Z360/Z384</f>
        <v>0.48989898989898989</v>
      </c>
      <c r="AB360" s="5">
        <f>97/$AB$1</f>
        <v>0.48989898989898989</v>
      </c>
      <c r="AD360">
        <v>73</v>
      </c>
      <c r="AE360" s="5">
        <f>AD360/AD384</f>
        <v>0.47402597402597402</v>
      </c>
      <c r="AF360" s="5">
        <f>73/$AF$1</f>
        <v>0.47402597402597402</v>
      </c>
      <c r="AH360">
        <v>80</v>
      </c>
      <c r="AI360" s="5">
        <f>AH360/AH384</f>
        <v>0.66666666666666663</v>
      </c>
      <c r="AJ360" s="5">
        <f>80/$AJ$1</f>
        <v>0.66666666666666663</v>
      </c>
      <c r="AL360">
        <v>194</v>
      </c>
      <c r="AM360" s="5">
        <f>AL360/AL384</f>
        <v>0.5243243243243243</v>
      </c>
      <c r="AN360" s="5">
        <f>194/$AN$1</f>
        <v>0.5243243243243243</v>
      </c>
      <c r="AP360">
        <v>194</v>
      </c>
      <c r="AQ360" s="5">
        <f>AP360/AP384</f>
        <v>0.51322751322751325</v>
      </c>
      <c r="AR360" s="5">
        <f>194/$AR$1</f>
        <v>0.51322751322751325</v>
      </c>
      <c r="AT360">
        <v>118</v>
      </c>
      <c r="AU360" s="5">
        <f>AT360/AT384</f>
        <v>0.46825396825396826</v>
      </c>
      <c r="AV360" s="5">
        <f>118/$AV$1</f>
        <v>0.46825396825396826</v>
      </c>
      <c r="AX360">
        <v>109</v>
      </c>
      <c r="AY360" s="5">
        <f>AX360/AX384</f>
        <v>0.39926739926739929</v>
      </c>
      <c r="AZ360" s="5">
        <f>109/$AZ$1</f>
        <v>0.39926739926739929</v>
      </c>
      <c r="BA360" s="5"/>
      <c r="BB360">
        <v>81</v>
      </c>
      <c r="BC360" s="5">
        <f>BB360/BB384</f>
        <v>0.39901477832512317</v>
      </c>
      <c r="BD360" s="5">
        <f>81/$BD$1</f>
        <v>0.39901477832512317</v>
      </c>
      <c r="BF360">
        <v>106</v>
      </c>
      <c r="BG360" s="5">
        <f>BF360/BF384</f>
        <v>0.49302325581395351</v>
      </c>
      <c r="BH360" s="5">
        <f>106/$BH$1</f>
        <v>0.49302325581395351</v>
      </c>
      <c r="BJ360">
        <v>210</v>
      </c>
      <c r="BK360" s="5">
        <f>BJ360/BJ384</f>
        <v>0.67961165048543692</v>
      </c>
      <c r="BL360" s="5">
        <f>210/$BL$1</f>
        <v>0.67961165048543692</v>
      </c>
      <c r="BN360">
        <v>26</v>
      </c>
      <c r="BO360" s="5">
        <f>BN360/BN384</f>
        <v>0.55319148936170215</v>
      </c>
      <c r="BP360" s="5">
        <f>26/$BP$1</f>
        <v>0.55319148936170215</v>
      </c>
      <c r="BR360">
        <v>156</v>
      </c>
      <c r="BS360" s="5">
        <f>BR360/BR384</f>
        <v>0.49681528662420382</v>
      </c>
      <c r="BT360" s="5">
        <f>156/$BT$1</f>
        <v>0.49681528662420382</v>
      </c>
      <c r="BV360">
        <v>194</v>
      </c>
      <c r="BW360" s="5">
        <f>BV360/BV384</f>
        <v>0.49363867684478374</v>
      </c>
      <c r="BX360" s="5">
        <f>194/$BX$1</f>
        <v>0.49363867684478374</v>
      </c>
      <c r="BZ360">
        <v>130</v>
      </c>
      <c r="CA360" s="5">
        <f>BZ360/BZ384</f>
        <v>0.52845528455284552</v>
      </c>
      <c r="CB360" s="5">
        <f>130/$CB$1</f>
        <v>0.52845528455284552</v>
      </c>
      <c r="CD360">
        <v>64</v>
      </c>
      <c r="CE360" s="5">
        <f>CD360/CD384</f>
        <v>0.52032520325203258</v>
      </c>
      <c r="CF360" s="5">
        <f>64/$CF$1</f>
        <v>0.52032520325203258</v>
      </c>
      <c r="CH360">
        <v>344</v>
      </c>
      <c r="CI360" s="5">
        <f>CH360/CH384</f>
        <v>0.5</v>
      </c>
      <c r="CJ360" s="5">
        <f>344/$CJ$1</f>
        <v>0.5</v>
      </c>
      <c r="CL360">
        <v>395</v>
      </c>
      <c r="CM360" s="5">
        <f>CL360/CL384</f>
        <v>0.52110817941952503</v>
      </c>
      <c r="CN360" s="5">
        <f>395/$CN$1</f>
        <v>0.52110817941952503</v>
      </c>
      <c r="CP360">
        <v>111</v>
      </c>
      <c r="CQ360" s="5">
        <f>CP360/CP384</f>
        <v>0.45867768595041325</v>
      </c>
      <c r="CR360" s="5">
        <f>111/$CR$1</f>
        <v>0.45867768595041325</v>
      </c>
      <c r="CT360">
        <v>173</v>
      </c>
      <c r="CU360" s="5">
        <f>CT360/CT384</f>
        <v>0.51951951951951947</v>
      </c>
      <c r="CV360" s="5">
        <f>173/$CV$1</f>
        <v>0.51951951951951947</v>
      </c>
      <c r="CX360">
        <v>333</v>
      </c>
      <c r="CY360" s="5">
        <f>CX360/CX384</f>
        <v>0.49925037481259371</v>
      </c>
      <c r="CZ360" s="5">
        <f>333/$CZ$1</f>
        <v>0.49925037481259371</v>
      </c>
    </row>
    <row r="361" spans="1:104" x14ac:dyDescent="0.25">
      <c r="A361" s="1" t="s">
        <v>2980</v>
      </c>
      <c r="B361">
        <v>44</v>
      </c>
      <c r="C361" s="5">
        <f>B361/B384</f>
        <v>4.3999999999999997E-2</v>
      </c>
      <c r="D361" s="5">
        <f>44/$D$1</f>
        <v>4.3999999999999997E-2</v>
      </c>
      <c r="F361">
        <v>27</v>
      </c>
      <c r="G361" s="5">
        <f>F361/F384</f>
        <v>5.3892215568862277E-2</v>
      </c>
      <c r="H361" s="5">
        <f>27/$H$1</f>
        <v>5.3892215568862277E-2</v>
      </c>
      <c r="J361">
        <v>17</v>
      </c>
      <c r="K361" s="5">
        <f>J361/J384</f>
        <v>3.406813627254509E-2</v>
      </c>
      <c r="L361" s="5">
        <f>17/$L$1</f>
        <v>3.406813627254509E-2</v>
      </c>
      <c r="N361">
        <v>7</v>
      </c>
      <c r="O361" s="5">
        <f>N361/N384</f>
        <v>7.2164948453608241E-2</v>
      </c>
      <c r="P361" s="5">
        <f>7/$P$1</f>
        <v>7.2164948453608241E-2</v>
      </c>
      <c r="R361">
        <v>6</v>
      </c>
      <c r="S361" s="5">
        <f>R361/R384</f>
        <v>3.0303030303030304E-2</v>
      </c>
      <c r="T361" s="5">
        <f>6/$T$1</f>
        <v>3.0303030303030304E-2</v>
      </c>
      <c r="V361">
        <v>7</v>
      </c>
      <c r="W361" s="5">
        <f>V361/V384</f>
        <v>2.9045643153526972E-2</v>
      </c>
      <c r="X361" s="5">
        <f>7/$X$1</f>
        <v>2.9045643153526972E-2</v>
      </c>
      <c r="Z361">
        <v>15</v>
      </c>
      <c r="AA361" s="5">
        <f>Z361/Z384</f>
        <v>7.575757575757576E-2</v>
      </c>
      <c r="AB361" s="5">
        <f>15/$AB$1</f>
        <v>7.575757575757576E-2</v>
      </c>
      <c r="AD361">
        <v>5</v>
      </c>
      <c r="AE361" s="5">
        <f>AD361/AD384</f>
        <v>3.2467532467532464E-2</v>
      </c>
      <c r="AF361" s="5">
        <f>5/$AF$1</f>
        <v>3.2467532467532464E-2</v>
      </c>
      <c r="AH361">
        <v>4</v>
      </c>
      <c r="AI361" s="5">
        <f>AH361/AH384</f>
        <v>3.3333333333333333E-2</v>
      </c>
      <c r="AJ361" s="5">
        <f>4/$AJ$1</f>
        <v>3.3333333333333333E-2</v>
      </c>
      <c r="AL361">
        <v>25</v>
      </c>
      <c r="AM361" s="5">
        <f>AL361/AL384</f>
        <v>6.7567567567567571E-2</v>
      </c>
      <c r="AN361" s="5">
        <f>25/$AN$1</f>
        <v>6.7567567567567571E-2</v>
      </c>
      <c r="AP361">
        <v>13</v>
      </c>
      <c r="AQ361" s="5">
        <f>AP361/AP384</f>
        <v>3.439153439153439E-2</v>
      </c>
      <c r="AR361" s="5">
        <f>13/$AR$1</f>
        <v>3.439153439153439E-2</v>
      </c>
      <c r="AT361">
        <v>6</v>
      </c>
      <c r="AU361" s="5">
        <f>AT361/AT384</f>
        <v>2.3809523809523808E-2</v>
      </c>
      <c r="AV361" s="5">
        <f>6/$AV$1</f>
        <v>2.3809523809523808E-2</v>
      </c>
      <c r="AX361">
        <v>8</v>
      </c>
      <c r="AY361" s="5">
        <f>AX361/AX384</f>
        <v>2.9304029304029304E-2</v>
      </c>
      <c r="AZ361" s="5">
        <f>8/$AZ$1</f>
        <v>2.9304029304029304E-2</v>
      </c>
      <c r="BA361" s="5"/>
      <c r="BB361">
        <v>14</v>
      </c>
      <c r="BC361" s="5">
        <f>BB361/BB384</f>
        <v>6.8965517241379309E-2</v>
      </c>
      <c r="BD361" s="5">
        <f>14/$BD$1</f>
        <v>6.8965517241379309E-2</v>
      </c>
      <c r="BF361">
        <v>11</v>
      </c>
      <c r="BG361" s="5">
        <f>BF361/BF384</f>
        <v>5.1162790697674418E-2</v>
      </c>
      <c r="BH361" s="5">
        <f>11/$BH$1</f>
        <v>5.1162790697674418E-2</v>
      </c>
      <c r="BJ361">
        <v>11</v>
      </c>
      <c r="BK361" s="5">
        <f>BJ361/BJ384</f>
        <v>3.5598705501618123E-2</v>
      </c>
      <c r="BL361" s="5">
        <f>11/$BL$1</f>
        <v>3.5598705501618123E-2</v>
      </c>
      <c r="BN361">
        <v>3</v>
      </c>
      <c r="BO361" s="5">
        <f>BN361/BN384</f>
        <v>6.3829787234042548E-2</v>
      </c>
      <c r="BP361" s="5">
        <f>3/$BP$1</f>
        <v>6.3829787234042548E-2</v>
      </c>
      <c r="BR361">
        <v>26</v>
      </c>
      <c r="BS361" s="5">
        <f>BR361/BR384</f>
        <v>8.2802547770700632E-2</v>
      </c>
      <c r="BT361" s="5">
        <f>26/$BT$1</f>
        <v>8.2802547770700632E-2</v>
      </c>
      <c r="BV361">
        <v>10</v>
      </c>
      <c r="BW361" s="5">
        <f>BV361/BV384</f>
        <v>2.5445292620865138E-2</v>
      </c>
      <c r="BX361" s="5">
        <f>10/$BX$1</f>
        <v>2.5445292620865138E-2</v>
      </c>
      <c r="BZ361">
        <v>5</v>
      </c>
      <c r="CA361" s="5">
        <f>BZ361/BZ384</f>
        <v>2.032520325203252E-2</v>
      </c>
      <c r="CB361" s="5">
        <f>5/$CB$1</f>
        <v>2.032520325203252E-2</v>
      </c>
      <c r="CD361">
        <v>11</v>
      </c>
      <c r="CE361" s="5">
        <f>CD361/CD384</f>
        <v>8.943089430894309E-2</v>
      </c>
      <c r="CF361" s="5">
        <f>11/$CF$1</f>
        <v>8.943089430894309E-2</v>
      </c>
      <c r="CH361">
        <v>24</v>
      </c>
      <c r="CI361" s="5">
        <f>CH361/CH384</f>
        <v>3.4883720930232558E-2</v>
      </c>
      <c r="CJ361" s="5">
        <f>24/$CJ$1</f>
        <v>3.4883720930232558E-2</v>
      </c>
      <c r="CL361">
        <v>31</v>
      </c>
      <c r="CM361" s="5">
        <f>CL361/CL384</f>
        <v>4.0897097625329816E-2</v>
      </c>
      <c r="CN361" s="5">
        <f>31/$CN$1</f>
        <v>4.0897097625329816E-2</v>
      </c>
      <c r="CP361">
        <v>13</v>
      </c>
      <c r="CQ361" s="5">
        <f>CP361/CP384</f>
        <v>5.3719008264462811E-2</v>
      </c>
      <c r="CR361" s="5">
        <f>13/$CR$1</f>
        <v>5.3719008264462811E-2</v>
      </c>
      <c r="CT361">
        <v>18</v>
      </c>
      <c r="CU361" s="5">
        <f>CT361/CT384</f>
        <v>5.4054054054054057E-2</v>
      </c>
      <c r="CV361" s="5">
        <f>18/$CV$1</f>
        <v>5.4054054054054057E-2</v>
      </c>
      <c r="CX361">
        <v>26</v>
      </c>
      <c r="CY361" s="5">
        <f>CX361/CX384</f>
        <v>3.8980509745127435E-2</v>
      </c>
      <c r="CZ361" s="5">
        <f>26/$CZ$1</f>
        <v>3.8980509745127435E-2</v>
      </c>
    </row>
    <row r="362" spans="1:104" x14ac:dyDescent="0.25">
      <c r="A362" s="1" t="s">
        <v>2981</v>
      </c>
      <c r="B362">
        <v>818</v>
      </c>
      <c r="C362" s="5">
        <f>B362/B384</f>
        <v>0.81799999999999995</v>
      </c>
      <c r="D362" s="5">
        <f>818/$D$1</f>
        <v>0.81799999999999995</v>
      </c>
      <c r="F362">
        <v>409</v>
      </c>
      <c r="G362" s="5">
        <f>F362/F384</f>
        <v>0.81636726546906191</v>
      </c>
      <c r="H362" s="5">
        <f>409/$H$1</f>
        <v>0.81636726546906191</v>
      </c>
      <c r="J362">
        <v>409</v>
      </c>
      <c r="K362" s="5">
        <f>J362/J384</f>
        <v>0.81963927855711427</v>
      </c>
      <c r="L362" s="5">
        <f>409/$L$1</f>
        <v>0.81963927855711427</v>
      </c>
      <c r="N362">
        <v>70</v>
      </c>
      <c r="O362" s="5">
        <f>N362/N384</f>
        <v>0.72164948453608246</v>
      </c>
      <c r="P362" s="5">
        <f>70/$P$1</f>
        <v>0.72164948453608246</v>
      </c>
      <c r="R362">
        <v>148</v>
      </c>
      <c r="S362" s="5">
        <f>R362/R384</f>
        <v>0.74747474747474751</v>
      </c>
      <c r="T362" s="5">
        <f>148/$T$1</f>
        <v>0.74747474747474751</v>
      </c>
      <c r="V362">
        <v>192</v>
      </c>
      <c r="W362" s="5">
        <f>V362/V384</f>
        <v>0.79668049792531115</v>
      </c>
      <c r="X362" s="5">
        <f>192/$X$1</f>
        <v>0.79668049792531115</v>
      </c>
      <c r="Z362">
        <v>170</v>
      </c>
      <c r="AA362" s="5">
        <f>Z362/Z384</f>
        <v>0.85858585858585856</v>
      </c>
      <c r="AB362" s="5">
        <f>170/$AB$1</f>
        <v>0.85858585858585856</v>
      </c>
      <c r="AD362">
        <v>136</v>
      </c>
      <c r="AE362" s="5">
        <f>AD362/AD384</f>
        <v>0.88311688311688308</v>
      </c>
      <c r="AF362" s="5">
        <f>136/$AF$1</f>
        <v>0.88311688311688308</v>
      </c>
      <c r="AH362">
        <v>109</v>
      </c>
      <c r="AI362" s="5">
        <f>AH362/AH384</f>
        <v>0.90833333333333333</v>
      </c>
      <c r="AJ362" s="5">
        <f>109/$AJ$1</f>
        <v>0.90833333333333333</v>
      </c>
      <c r="AL362">
        <v>291</v>
      </c>
      <c r="AM362" s="5">
        <f>AL362/AL384</f>
        <v>0.78648648648648645</v>
      </c>
      <c r="AN362" s="5">
        <f>291/$AN$1</f>
        <v>0.78648648648648645</v>
      </c>
      <c r="AP362">
        <v>316</v>
      </c>
      <c r="AQ362" s="5">
        <f>AP362/AP384</f>
        <v>0.83597883597883593</v>
      </c>
      <c r="AR362" s="5">
        <f>316/$AR$1</f>
        <v>0.83597883597883593</v>
      </c>
      <c r="AT362">
        <v>211</v>
      </c>
      <c r="AU362" s="5">
        <f>AT362/AT384</f>
        <v>0.83730158730158732</v>
      </c>
      <c r="AV362" s="5">
        <f>211/$AV$1</f>
        <v>0.83730158730158732</v>
      </c>
      <c r="AX362">
        <v>225</v>
      </c>
      <c r="AY362" s="5">
        <f>AX362/AX384</f>
        <v>0.82417582417582413</v>
      </c>
      <c r="AZ362" s="5">
        <f>225/$AZ$1</f>
        <v>0.82417582417582413</v>
      </c>
      <c r="BA362" s="5"/>
      <c r="BB362">
        <v>167</v>
      </c>
      <c r="BC362" s="5">
        <f>BB362/BB384</f>
        <v>0.82266009852216748</v>
      </c>
      <c r="BD362" s="5">
        <f>167/$BD$1</f>
        <v>0.82266009852216748</v>
      </c>
      <c r="BF362">
        <v>173</v>
      </c>
      <c r="BG362" s="5">
        <f>BF362/BF384</f>
        <v>0.8046511627906977</v>
      </c>
      <c r="BH362" s="5">
        <f>173/$BH$1</f>
        <v>0.8046511627906977</v>
      </c>
      <c r="BJ362">
        <v>253</v>
      </c>
      <c r="BK362" s="5">
        <f>BJ362/BJ384</f>
        <v>0.81877022653721687</v>
      </c>
      <c r="BL362" s="5">
        <f>253/$BL$1</f>
        <v>0.81877022653721687</v>
      </c>
      <c r="BN362">
        <v>36</v>
      </c>
      <c r="BO362" s="5">
        <f>BN362/BN384</f>
        <v>0.76595744680851063</v>
      </c>
      <c r="BP362" s="5">
        <f>36/$BP$1</f>
        <v>0.76595744680851063</v>
      </c>
      <c r="BR362">
        <v>257</v>
      </c>
      <c r="BS362" s="5">
        <f>BR362/BR384</f>
        <v>0.81847133757961787</v>
      </c>
      <c r="BT362" s="5">
        <f>257/$BT$1</f>
        <v>0.81847133757961787</v>
      </c>
      <c r="BV362">
        <v>324</v>
      </c>
      <c r="BW362" s="5">
        <f>BV362/BV384</f>
        <v>0.82442748091603058</v>
      </c>
      <c r="BX362" s="5">
        <f>324/$BX$1</f>
        <v>0.82442748091603058</v>
      </c>
      <c r="BZ362">
        <v>201</v>
      </c>
      <c r="CA362" s="5">
        <f>BZ362/BZ384</f>
        <v>0.81707317073170727</v>
      </c>
      <c r="CB362" s="5">
        <f>201/$CB$1</f>
        <v>0.81707317073170727</v>
      </c>
      <c r="CD362">
        <v>92</v>
      </c>
      <c r="CE362" s="5">
        <f>CD362/CD384</f>
        <v>0.74796747967479671</v>
      </c>
      <c r="CF362" s="5">
        <f>92/$CF$1</f>
        <v>0.74796747967479671</v>
      </c>
      <c r="CH362">
        <v>580</v>
      </c>
      <c r="CI362" s="5">
        <f>CH362/CH384</f>
        <v>0.84302325581395354</v>
      </c>
      <c r="CJ362" s="5">
        <f>580/$CJ$1</f>
        <v>0.84302325581395354</v>
      </c>
      <c r="CL362">
        <v>623</v>
      </c>
      <c r="CM362" s="5">
        <f>CL362/CL384</f>
        <v>0.82189973614775724</v>
      </c>
      <c r="CN362" s="5">
        <f>623/$CN$1</f>
        <v>0.82189973614775724</v>
      </c>
      <c r="CP362">
        <v>195</v>
      </c>
      <c r="CQ362" s="5">
        <f>CP362/CP384</f>
        <v>0.80578512396694213</v>
      </c>
      <c r="CR362" s="5">
        <f>195/$CR$1</f>
        <v>0.80578512396694213</v>
      </c>
      <c r="CT362">
        <v>278</v>
      </c>
      <c r="CU362" s="5">
        <f>CT362/CT384</f>
        <v>0.83483483483483478</v>
      </c>
      <c r="CV362" s="5">
        <f>278/$CV$1</f>
        <v>0.83483483483483478</v>
      </c>
      <c r="CX362">
        <v>540</v>
      </c>
      <c r="CY362" s="5">
        <f>CX362/CX384</f>
        <v>0.80959520239880056</v>
      </c>
      <c r="CZ362" s="5">
        <f>540/$CZ$1</f>
        <v>0.80959520239880056</v>
      </c>
    </row>
    <row r="363" spans="1:104" x14ac:dyDescent="0.25">
      <c r="A363" s="1" t="s">
        <v>2982</v>
      </c>
      <c r="B363">
        <v>568</v>
      </c>
      <c r="C363" s="5">
        <f>B363/B384</f>
        <v>0.56799999999999995</v>
      </c>
      <c r="D363" s="5">
        <f>568/$D$1</f>
        <v>0.56799999999999995</v>
      </c>
      <c r="F363">
        <v>247</v>
      </c>
      <c r="G363" s="5">
        <f>F363/F384</f>
        <v>0.49301397205588821</v>
      </c>
      <c r="H363" s="5">
        <f>247/$H$1</f>
        <v>0.49301397205588821</v>
      </c>
      <c r="J363">
        <v>321</v>
      </c>
      <c r="K363" s="5">
        <f>J363/J384</f>
        <v>0.64328657314629256</v>
      </c>
      <c r="L363" s="5">
        <f>321/$L$1</f>
        <v>0.64328657314629256</v>
      </c>
      <c r="N363">
        <v>56</v>
      </c>
      <c r="O363" s="5">
        <f>N363/N384</f>
        <v>0.57731958762886593</v>
      </c>
      <c r="P363" s="5">
        <f>56/$P$1</f>
        <v>0.57731958762886593</v>
      </c>
      <c r="R363">
        <v>124</v>
      </c>
      <c r="S363" s="5">
        <f>R363/R384</f>
        <v>0.6262626262626263</v>
      </c>
      <c r="T363" s="5">
        <f>124/$T$1</f>
        <v>0.6262626262626263</v>
      </c>
      <c r="V363">
        <v>144</v>
      </c>
      <c r="W363" s="5">
        <f>V363/V384</f>
        <v>0.59751037344398339</v>
      </c>
      <c r="X363" s="5">
        <f>144/$X$1</f>
        <v>0.59751037344398339</v>
      </c>
      <c r="Z363">
        <v>116</v>
      </c>
      <c r="AA363" s="5">
        <f>Z363/Z384</f>
        <v>0.58585858585858586</v>
      </c>
      <c r="AB363" s="5">
        <f>116/$AB$1</f>
        <v>0.58585858585858586</v>
      </c>
      <c r="AD363">
        <v>80</v>
      </c>
      <c r="AE363" s="5">
        <f>AD363/AD384</f>
        <v>0.51948051948051943</v>
      </c>
      <c r="AF363" s="5">
        <f>80/$AF$1</f>
        <v>0.51948051948051943</v>
      </c>
      <c r="AH363">
        <v>51</v>
      </c>
      <c r="AI363" s="5">
        <f>AH363/AH384</f>
        <v>0.42499999999999999</v>
      </c>
      <c r="AJ363" s="5">
        <f>51/$AJ$1</f>
        <v>0.42499999999999999</v>
      </c>
      <c r="AL363">
        <v>222</v>
      </c>
      <c r="AM363" s="5">
        <f>AL363/AL384</f>
        <v>0.6</v>
      </c>
      <c r="AN363" s="5">
        <f>222/$AN$1</f>
        <v>0.6</v>
      </c>
      <c r="AP363">
        <v>215</v>
      </c>
      <c r="AQ363" s="5">
        <f>AP363/AP384</f>
        <v>0.56878306878306883</v>
      </c>
      <c r="AR363" s="5">
        <f>215/$AR$1</f>
        <v>0.56878306878306883</v>
      </c>
      <c r="AT363">
        <v>131</v>
      </c>
      <c r="AU363" s="5">
        <f>AT363/AT384</f>
        <v>0.51984126984126988</v>
      </c>
      <c r="AV363" s="5">
        <f>131/$AV$1</f>
        <v>0.51984126984126988</v>
      </c>
      <c r="AX363">
        <v>161</v>
      </c>
      <c r="AY363" s="5">
        <f>AX363/AX384</f>
        <v>0.58974358974358976</v>
      </c>
      <c r="AZ363" s="5">
        <f>161/$AZ$1</f>
        <v>0.58974358974358976</v>
      </c>
      <c r="BA363" s="5"/>
      <c r="BB363">
        <v>118</v>
      </c>
      <c r="BC363" s="5">
        <f>BB363/BB384</f>
        <v>0.58128078817733986</v>
      </c>
      <c r="BD363" s="5">
        <f>118/$BD$1</f>
        <v>0.58128078817733986</v>
      </c>
      <c r="BF363">
        <v>114</v>
      </c>
      <c r="BG363" s="5">
        <f>BF363/BF384</f>
        <v>0.53023255813953485</v>
      </c>
      <c r="BH363" s="5">
        <f>114/$BH$1</f>
        <v>0.53023255813953485</v>
      </c>
      <c r="BJ363">
        <v>175</v>
      </c>
      <c r="BK363" s="5">
        <f>BJ363/BJ384</f>
        <v>0.56634304207119746</v>
      </c>
      <c r="BL363" s="5">
        <f>175/$BL$1</f>
        <v>0.56634304207119746</v>
      </c>
      <c r="BN363">
        <v>26</v>
      </c>
      <c r="BO363" s="5">
        <f>BN363/BN384</f>
        <v>0.55319148936170215</v>
      </c>
      <c r="BP363" s="5">
        <f>26/$BP$1</f>
        <v>0.55319148936170215</v>
      </c>
      <c r="BR363">
        <v>159</v>
      </c>
      <c r="BS363" s="5">
        <f>BR363/BR384</f>
        <v>0.50636942675159236</v>
      </c>
      <c r="BT363" s="5">
        <f>159/$BT$1</f>
        <v>0.50636942675159236</v>
      </c>
      <c r="BV363">
        <v>226</v>
      </c>
      <c r="BW363" s="5">
        <f>BV363/BV384</f>
        <v>0.5750636132315522</v>
      </c>
      <c r="BX363" s="5">
        <f>226/$BX$1</f>
        <v>0.5750636132315522</v>
      </c>
      <c r="BZ363">
        <v>157</v>
      </c>
      <c r="CA363" s="5">
        <f>BZ363/BZ384</f>
        <v>0.63821138211382111</v>
      </c>
      <c r="CB363" s="5">
        <f>157/$CB$1</f>
        <v>0.63821138211382111</v>
      </c>
      <c r="CD363">
        <v>73</v>
      </c>
      <c r="CE363" s="5">
        <f>CD363/CD384</f>
        <v>0.5934959349593496</v>
      </c>
      <c r="CF363" s="5">
        <f>73/$CF$1</f>
        <v>0.5934959349593496</v>
      </c>
      <c r="CH363">
        <v>399</v>
      </c>
      <c r="CI363" s="5">
        <f>CH363/CH384</f>
        <v>0.57994186046511631</v>
      </c>
      <c r="CJ363" s="5">
        <f>399/$CJ$1</f>
        <v>0.57994186046511631</v>
      </c>
      <c r="CL363">
        <v>443</v>
      </c>
      <c r="CM363" s="5">
        <f>CL363/CL384</f>
        <v>0.58443271767810023</v>
      </c>
      <c r="CN363" s="5">
        <f>443/$CN$1</f>
        <v>0.58443271767810023</v>
      </c>
      <c r="CP363">
        <v>125</v>
      </c>
      <c r="CQ363" s="5">
        <f>CP363/CP384</f>
        <v>0.51652892561983466</v>
      </c>
      <c r="CR363" s="5">
        <f>125/$CR$1</f>
        <v>0.51652892561983466</v>
      </c>
      <c r="CT363">
        <v>212</v>
      </c>
      <c r="CU363" s="5">
        <f>CT363/CT384</f>
        <v>0.63663663663663661</v>
      </c>
      <c r="CV363" s="5">
        <f>212/$CV$1</f>
        <v>0.63663663663663661</v>
      </c>
      <c r="CX363">
        <v>356</v>
      </c>
      <c r="CY363" s="5">
        <f>CX363/CX384</f>
        <v>0.53373313343328332</v>
      </c>
      <c r="CZ363" s="5">
        <f>356/$CZ$1</f>
        <v>0.53373313343328332</v>
      </c>
    </row>
    <row r="365" spans="1:104" x14ac:dyDescent="0.25">
      <c r="A365" s="1" t="s">
        <v>2983</v>
      </c>
      <c r="B365">
        <v>209</v>
      </c>
      <c r="C365" s="5">
        <f>B365/B384</f>
        <v>0.20899999999999999</v>
      </c>
      <c r="D365" s="5">
        <f>209/$D$1</f>
        <v>0.20899999999999999</v>
      </c>
      <c r="F365">
        <v>106</v>
      </c>
      <c r="G365" s="5">
        <f>F365/F384</f>
        <v>0.21157684630738524</v>
      </c>
      <c r="H365" s="5">
        <f>106/$H$1</f>
        <v>0.21157684630738524</v>
      </c>
      <c r="J365">
        <v>103</v>
      </c>
      <c r="K365" s="5">
        <f>J365/J384</f>
        <v>0.20641282565130262</v>
      </c>
      <c r="L365" s="5">
        <f>103/$L$1</f>
        <v>0.20641282565130262</v>
      </c>
      <c r="N365">
        <v>23</v>
      </c>
      <c r="O365" s="5">
        <f>N365/N384</f>
        <v>0.23711340206185566</v>
      </c>
      <c r="P365" s="5">
        <f>23/$P$1</f>
        <v>0.23711340206185566</v>
      </c>
      <c r="R365">
        <v>35</v>
      </c>
      <c r="S365" s="5">
        <f>R365/R384</f>
        <v>0.17676767676767677</v>
      </c>
      <c r="T365" s="5">
        <f>35/$T$1</f>
        <v>0.17676767676767677</v>
      </c>
      <c r="V365">
        <v>50</v>
      </c>
      <c r="W365" s="5">
        <f>V365/V384</f>
        <v>0.2074688796680498</v>
      </c>
      <c r="X365" s="5">
        <f>50/$X$1</f>
        <v>0.2074688796680498</v>
      </c>
      <c r="Z365">
        <v>51</v>
      </c>
      <c r="AA365" s="5">
        <f>Z365/Z384</f>
        <v>0.25757575757575757</v>
      </c>
      <c r="AB365" s="5">
        <f>51/$AB$1</f>
        <v>0.25757575757575757</v>
      </c>
      <c r="AD365">
        <v>28</v>
      </c>
      <c r="AE365" s="5">
        <f>AD365/AD384</f>
        <v>0.18181818181818182</v>
      </c>
      <c r="AF365" s="5">
        <f>28/$AF$1</f>
        <v>0.18181818181818182</v>
      </c>
      <c r="AH365">
        <v>24</v>
      </c>
      <c r="AI365" s="5">
        <f>AH365/AH384</f>
        <v>0.2</v>
      </c>
      <c r="AJ365" s="5">
        <f>24/$AJ$1</f>
        <v>0.2</v>
      </c>
      <c r="AL365">
        <v>84</v>
      </c>
      <c r="AM365" s="5">
        <f>AL365/AL384</f>
        <v>0.22702702702702704</v>
      </c>
      <c r="AN365" s="5">
        <f>84/$AN$1</f>
        <v>0.22702702702702704</v>
      </c>
      <c r="AP365">
        <v>86</v>
      </c>
      <c r="AQ365" s="5">
        <f>AP365/AP384</f>
        <v>0.2275132275132275</v>
      </c>
      <c r="AR365" s="5">
        <f>86/$AR$1</f>
        <v>0.2275132275132275</v>
      </c>
      <c r="AT365">
        <v>39</v>
      </c>
      <c r="AU365" s="5">
        <f>AT365/AT384</f>
        <v>0.15476190476190477</v>
      </c>
      <c r="AV365" s="5">
        <f>39/$AV$1</f>
        <v>0.15476190476190477</v>
      </c>
      <c r="AX365">
        <v>62</v>
      </c>
      <c r="AY365" s="5">
        <f>AX365/AX384</f>
        <v>0.2271062271062271</v>
      </c>
      <c r="AZ365" s="5">
        <f>62/$AZ$1</f>
        <v>0.2271062271062271</v>
      </c>
      <c r="BA365" s="5"/>
      <c r="BB365">
        <v>51</v>
      </c>
      <c r="BC365" s="5">
        <f>BB365/BB384</f>
        <v>0.25123152709359609</v>
      </c>
      <c r="BD365" s="5">
        <f>51/$BD$1</f>
        <v>0.25123152709359609</v>
      </c>
      <c r="BF365">
        <v>39</v>
      </c>
      <c r="BG365" s="5">
        <f>BF365/BF384</f>
        <v>0.18139534883720931</v>
      </c>
      <c r="BH365" s="5">
        <f>39/$BH$1</f>
        <v>0.18139534883720931</v>
      </c>
      <c r="BJ365">
        <v>57</v>
      </c>
      <c r="BK365" s="5">
        <f>BJ365/BJ384</f>
        <v>0.18446601941747573</v>
      </c>
      <c r="BL365" s="5">
        <f>57/$BL$1</f>
        <v>0.18446601941747573</v>
      </c>
      <c r="BN365">
        <v>10</v>
      </c>
      <c r="BO365" s="5">
        <f>BN365/BN384</f>
        <v>0.21276595744680851</v>
      </c>
      <c r="BP365" s="5">
        <f>10/$BP$1</f>
        <v>0.21276595744680851</v>
      </c>
      <c r="BR365">
        <v>90</v>
      </c>
      <c r="BS365" s="5">
        <f>BR365/BR384</f>
        <v>0.28662420382165604</v>
      </c>
      <c r="BT365" s="5">
        <f>90/$BT$1</f>
        <v>0.28662420382165604</v>
      </c>
      <c r="BV365">
        <v>73</v>
      </c>
      <c r="BW365" s="5">
        <f>BV365/BV384</f>
        <v>0.18575063613231552</v>
      </c>
      <c r="BX365" s="5">
        <f>73/$BX$1</f>
        <v>0.18575063613231552</v>
      </c>
      <c r="BZ365">
        <v>36</v>
      </c>
      <c r="CA365" s="5">
        <f>BZ365/BZ384</f>
        <v>0.14634146341463414</v>
      </c>
      <c r="CB365" s="5">
        <f>36/$CB$1</f>
        <v>0.14634146341463414</v>
      </c>
      <c r="CD365">
        <v>27</v>
      </c>
      <c r="CE365" s="5">
        <f>CD365/CD384</f>
        <v>0.21951219512195122</v>
      </c>
      <c r="CF365" s="5">
        <f>27/$CF$1</f>
        <v>0.21951219512195122</v>
      </c>
      <c r="CH365">
        <v>146</v>
      </c>
      <c r="CI365" s="5">
        <f>CH365/CH384</f>
        <v>0.21220930232558138</v>
      </c>
      <c r="CJ365" s="5">
        <f>146/$CJ$1</f>
        <v>0.21220930232558138</v>
      </c>
      <c r="CL365">
        <v>179</v>
      </c>
      <c r="CM365" s="5">
        <f>CL365/CL384</f>
        <v>0.23614775725593667</v>
      </c>
      <c r="CN365" s="5">
        <f>179/$CN$1</f>
        <v>0.23614775725593667</v>
      </c>
      <c r="CP365">
        <v>30</v>
      </c>
      <c r="CQ365" s="5">
        <f>CP365/CP384</f>
        <v>0.12396694214876033</v>
      </c>
      <c r="CR365" s="5">
        <f>30/$CR$1</f>
        <v>0.12396694214876033</v>
      </c>
      <c r="CT365">
        <v>66</v>
      </c>
      <c r="CU365" s="5">
        <f>CT365/CT384</f>
        <v>0.1981981981981982</v>
      </c>
      <c r="CV365" s="5">
        <f>66/$CV$1</f>
        <v>0.1981981981981982</v>
      </c>
      <c r="CX365">
        <v>143</v>
      </c>
      <c r="CY365" s="5">
        <f>CX365/CX384</f>
        <v>0.2143928035982009</v>
      </c>
      <c r="CZ365" s="5">
        <f>143/$CZ$1</f>
        <v>0.2143928035982009</v>
      </c>
    </row>
    <row r="366" spans="1:104" x14ac:dyDescent="0.25">
      <c r="A366" s="1" t="s">
        <v>2984</v>
      </c>
      <c r="B366">
        <v>228</v>
      </c>
      <c r="C366" s="5">
        <f>B366/B384</f>
        <v>0.22800000000000001</v>
      </c>
      <c r="D366" s="5">
        <f>228/$D$1</f>
        <v>0.22800000000000001</v>
      </c>
      <c r="F366">
        <v>124</v>
      </c>
      <c r="G366" s="5">
        <f>F366/F384</f>
        <v>0.24750499001996007</v>
      </c>
      <c r="H366" s="5">
        <f>124/$H$1</f>
        <v>0.24750499001996007</v>
      </c>
      <c r="J366">
        <v>104</v>
      </c>
      <c r="K366" s="5">
        <f>J366/J384</f>
        <v>0.20841683366733466</v>
      </c>
      <c r="L366" s="5">
        <f>104/$L$1</f>
        <v>0.20841683366733466</v>
      </c>
      <c r="N366">
        <v>26</v>
      </c>
      <c r="O366" s="5">
        <f>N366/N384</f>
        <v>0.26804123711340205</v>
      </c>
      <c r="P366" s="5">
        <f>26/$P$1</f>
        <v>0.26804123711340205</v>
      </c>
      <c r="R366">
        <v>38</v>
      </c>
      <c r="S366" s="5">
        <f>R366/R384</f>
        <v>0.19191919191919191</v>
      </c>
      <c r="T366" s="5">
        <f>38/$T$1</f>
        <v>0.19191919191919191</v>
      </c>
      <c r="V366">
        <v>59</v>
      </c>
      <c r="W366" s="5">
        <f>V366/V384</f>
        <v>0.24481327800829875</v>
      </c>
      <c r="X366" s="5">
        <f>59/$X$1</f>
        <v>0.24481327800829875</v>
      </c>
      <c r="Z366">
        <v>42</v>
      </c>
      <c r="AA366" s="5">
        <f>Z366/Z384</f>
        <v>0.21212121212121213</v>
      </c>
      <c r="AB366" s="5">
        <f>42/$AB$1</f>
        <v>0.21212121212121213</v>
      </c>
      <c r="AD366">
        <v>37</v>
      </c>
      <c r="AE366" s="5">
        <f>AD366/AD384</f>
        <v>0.24025974025974026</v>
      </c>
      <c r="AF366" s="5">
        <f>37/$AF$1</f>
        <v>0.24025974025974026</v>
      </c>
      <c r="AH366">
        <v>29</v>
      </c>
      <c r="AI366" s="5">
        <f>AH366/AH384</f>
        <v>0.24166666666666667</v>
      </c>
      <c r="AJ366" s="5">
        <f>29/$AJ$1</f>
        <v>0.24166666666666667</v>
      </c>
      <c r="AL366">
        <v>94</v>
      </c>
      <c r="AM366" s="5">
        <f>AL366/AL384</f>
        <v>0.25405405405405407</v>
      </c>
      <c r="AN366" s="5">
        <f>94/$AN$1</f>
        <v>0.25405405405405407</v>
      </c>
      <c r="AP366">
        <v>86</v>
      </c>
      <c r="AQ366" s="5">
        <f>AP366/AP384</f>
        <v>0.2275132275132275</v>
      </c>
      <c r="AR366" s="5">
        <f>86/$AR$1</f>
        <v>0.2275132275132275</v>
      </c>
      <c r="AT366">
        <v>48</v>
      </c>
      <c r="AU366" s="5">
        <f>AT366/AT384</f>
        <v>0.19047619047619047</v>
      </c>
      <c r="AV366" s="5">
        <f>48/$AV$1</f>
        <v>0.19047619047619047</v>
      </c>
      <c r="AX366">
        <v>55</v>
      </c>
      <c r="AY366" s="5">
        <f>AX366/AX384</f>
        <v>0.20146520146520147</v>
      </c>
      <c r="AZ366" s="5">
        <f>55/$AZ$1</f>
        <v>0.20146520146520147</v>
      </c>
      <c r="BA366" s="5"/>
      <c r="BB366">
        <v>52</v>
      </c>
      <c r="BC366" s="5">
        <f>BB366/BB384</f>
        <v>0.25615763546798032</v>
      </c>
      <c r="BD366" s="5">
        <f>52/$BD$1</f>
        <v>0.25615763546798032</v>
      </c>
      <c r="BF366">
        <v>45</v>
      </c>
      <c r="BG366" s="5">
        <f>BF366/BF384</f>
        <v>0.20930232558139536</v>
      </c>
      <c r="BH366" s="5">
        <f>45/$BH$1</f>
        <v>0.20930232558139536</v>
      </c>
      <c r="BJ366">
        <v>76</v>
      </c>
      <c r="BK366" s="5">
        <f>BJ366/BJ384</f>
        <v>0.2459546925566343</v>
      </c>
      <c r="BL366" s="5">
        <f>76/$BL$1</f>
        <v>0.2459546925566343</v>
      </c>
      <c r="BN366">
        <v>9</v>
      </c>
      <c r="BO366" s="5">
        <f>BN366/BN384</f>
        <v>0.19148936170212766</v>
      </c>
      <c r="BP366" s="5">
        <f>9/$BP$1</f>
        <v>0.19148936170212766</v>
      </c>
      <c r="BR366">
        <v>82</v>
      </c>
      <c r="BS366" s="5">
        <f>BR366/BR384</f>
        <v>0.26114649681528662</v>
      </c>
      <c r="BT366" s="5">
        <f>82/$BT$1</f>
        <v>0.26114649681528662</v>
      </c>
      <c r="BV366">
        <v>79</v>
      </c>
      <c r="BW366" s="5">
        <f>BV366/BV384</f>
        <v>0.2010178117048346</v>
      </c>
      <c r="BX366" s="5">
        <f>79/$BX$1</f>
        <v>0.2010178117048346</v>
      </c>
      <c r="BZ366">
        <v>58</v>
      </c>
      <c r="CA366" s="5">
        <f>BZ366/BZ384</f>
        <v>0.23577235772357724</v>
      </c>
      <c r="CB366" s="5">
        <f>58/$CB$1</f>
        <v>0.23577235772357724</v>
      </c>
      <c r="CD366">
        <v>23</v>
      </c>
      <c r="CE366" s="5">
        <f>CD366/CD384</f>
        <v>0.18699186991869918</v>
      </c>
      <c r="CF366" s="5">
        <f>23/$CF$1</f>
        <v>0.18699186991869918</v>
      </c>
      <c r="CH366">
        <v>167</v>
      </c>
      <c r="CI366" s="5">
        <f>CH366/CH384</f>
        <v>0.24273255813953487</v>
      </c>
      <c r="CJ366" s="5">
        <f>167/$CJ$1</f>
        <v>0.24273255813953487</v>
      </c>
      <c r="CL366">
        <v>187</v>
      </c>
      <c r="CM366" s="5">
        <f>CL366/CL384</f>
        <v>0.24670184696569922</v>
      </c>
      <c r="CN366" s="5">
        <f>187/$CN$1</f>
        <v>0.24670184696569922</v>
      </c>
      <c r="CP366">
        <v>41</v>
      </c>
      <c r="CQ366" s="5">
        <f>CP366/CP384</f>
        <v>0.16942148760330578</v>
      </c>
      <c r="CR366" s="5">
        <f>41/$CR$1</f>
        <v>0.16942148760330578</v>
      </c>
      <c r="CT366">
        <v>73</v>
      </c>
      <c r="CU366" s="5">
        <f>CT366/CT384</f>
        <v>0.21921921921921922</v>
      </c>
      <c r="CV366" s="5">
        <f>73/$CV$1</f>
        <v>0.21921921921921922</v>
      </c>
      <c r="CX366">
        <v>155</v>
      </c>
      <c r="CY366" s="5">
        <f>CX366/CX384</f>
        <v>0.23238380809595202</v>
      </c>
      <c r="CZ366" s="5">
        <f>155/$CZ$1</f>
        <v>0.23238380809595202</v>
      </c>
    </row>
    <row r="367" spans="1:104" x14ac:dyDescent="0.25">
      <c r="A367" s="1" t="s">
        <v>2985</v>
      </c>
      <c r="B367">
        <v>113</v>
      </c>
      <c r="C367" s="5">
        <f>B367/B384</f>
        <v>0.113</v>
      </c>
      <c r="D367" s="5">
        <f>113/$D$1</f>
        <v>0.113</v>
      </c>
      <c r="F367">
        <v>69</v>
      </c>
      <c r="G367" s="5">
        <f>F367/F384</f>
        <v>0.1377245508982036</v>
      </c>
      <c r="H367" s="5">
        <f>69/$H$1</f>
        <v>0.1377245508982036</v>
      </c>
      <c r="J367">
        <v>44</v>
      </c>
      <c r="K367" s="5">
        <f>J367/J384</f>
        <v>8.8176352705410826E-2</v>
      </c>
      <c r="L367" s="5">
        <f>44/$L$1</f>
        <v>8.8176352705410826E-2</v>
      </c>
      <c r="N367">
        <v>11</v>
      </c>
      <c r="O367" s="5">
        <f>N367/N384</f>
        <v>0.1134020618556701</v>
      </c>
      <c r="P367" s="5">
        <f>11/$P$1</f>
        <v>0.1134020618556701</v>
      </c>
      <c r="R367">
        <v>17</v>
      </c>
      <c r="S367" s="5">
        <f>R367/R384</f>
        <v>8.5858585858585856E-2</v>
      </c>
      <c r="T367" s="5">
        <f>17/$T$1</f>
        <v>8.5858585858585856E-2</v>
      </c>
      <c r="V367">
        <v>33</v>
      </c>
      <c r="W367" s="5">
        <f>V367/V384</f>
        <v>0.13692946058091288</v>
      </c>
      <c r="X367" s="5">
        <f>33/$X$1</f>
        <v>0.13692946058091288</v>
      </c>
      <c r="Z367">
        <v>21</v>
      </c>
      <c r="AA367" s="5">
        <f>Z367/Z384</f>
        <v>0.10606060606060606</v>
      </c>
      <c r="AB367" s="5">
        <f>21/$AB$1</f>
        <v>0.10606060606060606</v>
      </c>
      <c r="AD367">
        <v>13</v>
      </c>
      <c r="AE367" s="5">
        <f>AD367/AD384</f>
        <v>8.4415584415584416E-2</v>
      </c>
      <c r="AF367" s="5">
        <f>13/$AF$1</f>
        <v>8.4415584415584416E-2</v>
      </c>
      <c r="AH367">
        <v>19</v>
      </c>
      <c r="AI367" s="5">
        <f>AH367/AH384</f>
        <v>0.15833333333333333</v>
      </c>
      <c r="AJ367" s="5">
        <f>19/$AJ$1</f>
        <v>0.15833333333333333</v>
      </c>
      <c r="AL367">
        <v>49</v>
      </c>
      <c r="AM367" s="5">
        <f>AL367/AL384</f>
        <v>0.13243243243243244</v>
      </c>
      <c r="AN367" s="5">
        <f>49/$AN$1</f>
        <v>0.13243243243243244</v>
      </c>
      <c r="AP367">
        <v>44</v>
      </c>
      <c r="AQ367" s="5">
        <f>AP367/AP384</f>
        <v>0.1164021164021164</v>
      </c>
      <c r="AR367" s="5">
        <f>44/$AR$1</f>
        <v>0.1164021164021164</v>
      </c>
      <c r="AT367">
        <v>20</v>
      </c>
      <c r="AU367" s="5">
        <f>AT367/AT384</f>
        <v>7.9365079365079361E-2</v>
      </c>
      <c r="AV367" s="5">
        <f>20/$AV$1</f>
        <v>7.9365079365079361E-2</v>
      </c>
      <c r="AX367">
        <v>32</v>
      </c>
      <c r="AY367" s="5">
        <f>AX367/AX384</f>
        <v>0.11721611721611722</v>
      </c>
      <c r="AZ367" s="5">
        <f>32/$AZ$1</f>
        <v>0.11721611721611722</v>
      </c>
      <c r="BA367" s="5"/>
      <c r="BB367">
        <v>27</v>
      </c>
      <c r="BC367" s="5">
        <f>BB367/BB384</f>
        <v>0.13300492610837439</v>
      </c>
      <c r="BD367" s="5">
        <f>27/$BD$1</f>
        <v>0.13300492610837439</v>
      </c>
      <c r="BF367">
        <v>20</v>
      </c>
      <c r="BG367" s="5">
        <f>BF367/BF384</f>
        <v>9.3023255813953487E-2</v>
      </c>
      <c r="BH367" s="5">
        <f>20/$BH$1</f>
        <v>9.3023255813953487E-2</v>
      </c>
      <c r="BJ367">
        <v>34</v>
      </c>
      <c r="BK367" s="5">
        <f>BJ367/BJ384</f>
        <v>0.11003236245954692</v>
      </c>
      <c r="BL367" s="5">
        <f>34/$BL$1</f>
        <v>0.11003236245954692</v>
      </c>
      <c r="BN367">
        <v>5</v>
      </c>
      <c r="BO367" s="5">
        <f>BN367/BN384</f>
        <v>0.10638297872340426</v>
      </c>
      <c r="BP367" s="5">
        <f>5/$BP$1</f>
        <v>0.10638297872340426</v>
      </c>
      <c r="BR367">
        <v>45</v>
      </c>
      <c r="BS367" s="5">
        <f>BR367/BR384</f>
        <v>0.14331210191082802</v>
      </c>
      <c r="BT367" s="5">
        <f>45/$BT$1</f>
        <v>0.14331210191082802</v>
      </c>
      <c r="BV367">
        <v>43</v>
      </c>
      <c r="BW367" s="5">
        <f>BV367/BV384</f>
        <v>0.10941475826972011</v>
      </c>
      <c r="BX367" s="5">
        <f>43/$BX$1</f>
        <v>0.10941475826972011</v>
      </c>
      <c r="BZ367">
        <v>20</v>
      </c>
      <c r="CA367" s="5">
        <f>BZ367/BZ384</f>
        <v>8.1300813008130079E-2</v>
      </c>
      <c r="CB367" s="5">
        <f>20/$CB$1</f>
        <v>8.1300813008130079E-2</v>
      </c>
      <c r="CD367">
        <v>16</v>
      </c>
      <c r="CE367" s="5">
        <f>CD367/CD384</f>
        <v>0.13008130081300814</v>
      </c>
      <c r="CF367" s="5">
        <f>16/$CF$1</f>
        <v>0.13008130081300814</v>
      </c>
      <c r="CH367">
        <v>79</v>
      </c>
      <c r="CI367" s="5">
        <f>CH367/CH384</f>
        <v>0.11482558139534883</v>
      </c>
      <c r="CJ367" s="5">
        <f>79/$CJ$1</f>
        <v>0.11482558139534883</v>
      </c>
      <c r="CL367">
        <v>83</v>
      </c>
      <c r="CM367" s="5">
        <f>CL367/CL384</f>
        <v>0.10949868073878628</v>
      </c>
      <c r="CN367" s="5">
        <f>83/$CN$1</f>
        <v>0.10949868073878628</v>
      </c>
      <c r="CP367">
        <v>30</v>
      </c>
      <c r="CQ367" s="5">
        <f>CP367/CP384</f>
        <v>0.12396694214876033</v>
      </c>
      <c r="CR367" s="5">
        <f>30/$CR$1</f>
        <v>0.12396694214876033</v>
      </c>
      <c r="CT367">
        <v>30</v>
      </c>
      <c r="CU367" s="5">
        <f>CT367/CT384</f>
        <v>9.0090090090090086E-2</v>
      </c>
      <c r="CV367" s="5">
        <f>30/$CV$1</f>
        <v>9.0090090090090086E-2</v>
      </c>
      <c r="CX367">
        <v>83</v>
      </c>
      <c r="CY367" s="5">
        <f>CX367/CX384</f>
        <v>0.12443778110944528</v>
      </c>
      <c r="CZ367" s="5">
        <f>83/$CZ$1</f>
        <v>0.12443778110944528</v>
      </c>
    </row>
    <row r="368" spans="1:104" x14ac:dyDescent="0.25">
      <c r="A368" s="1" t="s">
        <v>2986</v>
      </c>
      <c r="B368">
        <v>169</v>
      </c>
      <c r="C368" s="5">
        <f>B368/B384</f>
        <v>0.16900000000000001</v>
      </c>
      <c r="D368" s="5">
        <f>169/$D$1</f>
        <v>0.16900000000000001</v>
      </c>
      <c r="F368">
        <v>94</v>
      </c>
      <c r="G368" s="5">
        <f>F368/F384</f>
        <v>0.18762475049900199</v>
      </c>
      <c r="H368" s="5">
        <f>94/$H$1</f>
        <v>0.18762475049900199</v>
      </c>
      <c r="J368">
        <v>75</v>
      </c>
      <c r="K368" s="5">
        <f>J368/J384</f>
        <v>0.15030060120240482</v>
      </c>
      <c r="L368" s="5">
        <f>75/$L$1</f>
        <v>0.15030060120240482</v>
      </c>
      <c r="N368">
        <v>14</v>
      </c>
      <c r="O368" s="5">
        <f>N368/N384</f>
        <v>0.14432989690721648</v>
      </c>
      <c r="P368" s="5">
        <f>14/$P$1</f>
        <v>0.14432989690721648</v>
      </c>
      <c r="R368">
        <v>27</v>
      </c>
      <c r="S368" s="5">
        <f>R368/R384</f>
        <v>0.13636363636363635</v>
      </c>
      <c r="T368" s="5">
        <f>27/$T$1</f>
        <v>0.13636363636363635</v>
      </c>
      <c r="V368">
        <v>39</v>
      </c>
      <c r="W368" s="5">
        <f>V368/V384</f>
        <v>0.16182572614107885</v>
      </c>
      <c r="X368" s="5">
        <f>39/$X$1</f>
        <v>0.16182572614107885</v>
      </c>
      <c r="Z368">
        <v>31</v>
      </c>
      <c r="AA368" s="5">
        <f>Z368/Z384</f>
        <v>0.15656565656565657</v>
      </c>
      <c r="AB368" s="5">
        <f>31/$AB$1</f>
        <v>0.15656565656565657</v>
      </c>
      <c r="AD368">
        <v>26</v>
      </c>
      <c r="AE368" s="5">
        <f>AD368/AD384</f>
        <v>0.16883116883116883</v>
      </c>
      <c r="AF368" s="5">
        <f>26/$AF$1</f>
        <v>0.16883116883116883</v>
      </c>
      <c r="AH368">
        <v>33</v>
      </c>
      <c r="AI368" s="5">
        <f>AH368/AH384</f>
        <v>0.27500000000000002</v>
      </c>
      <c r="AJ368" s="5">
        <f>33/$AJ$1</f>
        <v>0.27500000000000002</v>
      </c>
      <c r="AL368">
        <v>65</v>
      </c>
      <c r="AM368" s="5">
        <f>AL368/AL384</f>
        <v>0.17567567567567569</v>
      </c>
      <c r="AN368" s="5">
        <f>65/$AN$1</f>
        <v>0.17567567567567569</v>
      </c>
      <c r="AP368">
        <v>69</v>
      </c>
      <c r="AQ368" s="5">
        <f>AP368/AP384</f>
        <v>0.18253968253968253</v>
      </c>
      <c r="AR368" s="5">
        <f>69/$AR$1</f>
        <v>0.18253968253968253</v>
      </c>
      <c r="AT368">
        <v>35</v>
      </c>
      <c r="AU368" s="5">
        <f>AT368/AT384</f>
        <v>0.1388888888888889</v>
      </c>
      <c r="AV368" s="5">
        <f>35/$AV$1</f>
        <v>0.1388888888888889</v>
      </c>
      <c r="AX368">
        <v>52</v>
      </c>
      <c r="AY368" s="5">
        <f>AX368/AX384</f>
        <v>0.19047619047619047</v>
      </c>
      <c r="AZ368" s="5">
        <f>52/$AZ$1</f>
        <v>0.19047619047619047</v>
      </c>
      <c r="BA368" s="5"/>
      <c r="BB368">
        <v>31</v>
      </c>
      <c r="BC368" s="5">
        <f>BB368/BB384</f>
        <v>0.15270935960591134</v>
      </c>
      <c r="BD368" s="5">
        <f>31/$BD$1</f>
        <v>0.15270935960591134</v>
      </c>
      <c r="BF368">
        <v>36</v>
      </c>
      <c r="BG368" s="5">
        <f>BF368/BF384</f>
        <v>0.16744186046511628</v>
      </c>
      <c r="BH368" s="5">
        <f>36/$BH$1</f>
        <v>0.16744186046511628</v>
      </c>
      <c r="BJ368">
        <v>50</v>
      </c>
      <c r="BK368" s="5">
        <f>BJ368/BJ384</f>
        <v>0.16181229773462782</v>
      </c>
      <c r="BL368" s="5">
        <f>50/$BL$1</f>
        <v>0.16181229773462782</v>
      </c>
      <c r="BN368">
        <v>8</v>
      </c>
      <c r="BO368" s="5">
        <f>BN368/BN384</f>
        <v>0.1702127659574468</v>
      </c>
      <c r="BP368" s="5">
        <f>8/$BP$1</f>
        <v>0.1702127659574468</v>
      </c>
      <c r="BR368">
        <v>70</v>
      </c>
      <c r="BS368" s="5">
        <f>BR368/BR384</f>
        <v>0.22292993630573249</v>
      </c>
      <c r="BT368" s="5">
        <f>70/$BT$1</f>
        <v>0.22292993630573249</v>
      </c>
      <c r="BV368">
        <v>55</v>
      </c>
      <c r="BW368" s="5">
        <f>BV368/BV384</f>
        <v>0.13994910941475827</v>
      </c>
      <c r="BX368" s="5">
        <f>55/$BX$1</f>
        <v>0.13994910941475827</v>
      </c>
      <c r="BZ368">
        <v>36</v>
      </c>
      <c r="CA368" s="5">
        <f>BZ368/BZ384</f>
        <v>0.14634146341463414</v>
      </c>
      <c r="CB368" s="5">
        <f>36/$CB$1</f>
        <v>0.14634146341463414</v>
      </c>
      <c r="CD368">
        <v>15</v>
      </c>
      <c r="CE368" s="5">
        <f>CD368/CD384</f>
        <v>0.12195121951219512</v>
      </c>
      <c r="CF368" s="5">
        <f>15/$CF$1</f>
        <v>0.12195121951219512</v>
      </c>
      <c r="CH368">
        <v>122</v>
      </c>
      <c r="CI368" s="5">
        <f>CH368/CH384</f>
        <v>0.17732558139534885</v>
      </c>
      <c r="CJ368" s="5">
        <f>122/$CJ$1</f>
        <v>0.17732558139534885</v>
      </c>
      <c r="CL368">
        <v>130</v>
      </c>
      <c r="CM368" s="5">
        <f>CL368/CL384</f>
        <v>0.17150395778364116</v>
      </c>
      <c r="CN368" s="5">
        <f>130/$CN$1</f>
        <v>0.17150395778364116</v>
      </c>
      <c r="CP368">
        <v>39</v>
      </c>
      <c r="CQ368" s="5">
        <f>CP368/CP384</f>
        <v>0.16115702479338842</v>
      </c>
      <c r="CR368" s="5">
        <f>39/$CR$1</f>
        <v>0.16115702479338842</v>
      </c>
      <c r="CT368">
        <v>49</v>
      </c>
      <c r="CU368" s="5">
        <f>CT368/CT384</f>
        <v>0.14714714714714713</v>
      </c>
      <c r="CV368" s="5">
        <f>49/$CV$1</f>
        <v>0.14714714714714713</v>
      </c>
      <c r="CX368">
        <v>120</v>
      </c>
      <c r="CY368" s="5">
        <f>CX368/CX384</f>
        <v>0.17991004497751126</v>
      </c>
      <c r="CZ368" s="5">
        <f>120/$CZ$1</f>
        <v>0.17991004497751126</v>
      </c>
    </row>
    <row r="369" spans="1:104" x14ac:dyDescent="0.25">
      <c r="A369" s="1" t="s">
        <v>2987</v>
      </c>
      <c r="B369">
        <v>165</v>
      </c>
      <c r="C369" s="5">
        <f>B369/B384</f>
        <v>0.16500000000000001</v>
      </c>
      <c r="D369" s="5">
        <f>165/$D$1</f>
        <v>0.16500000000000001</v>
      </c>
      <c r="F369">
        <v>76</v>
      </c>
      <c r="G369" s="5">
        <f>F369/F384</f>
        <v>0.15169660678642716</v>
      </c>
      <c r="H369" s="5">
        <f>76/$H$1</f>
        <v>0.15169660678642716</v>
      </c>
      <c r="J369">
        <v>89</v>
      </c>
      <c r="K369" s="5">
        <f>J369/J384</f>
        <v>0.17835671342685372</v>
      </c>
      <c r="L369" s="5">
        <f>89/$L$1</f>
        <v>0.17835671342685372</v>
      </c>
      <c r="N369">
        <v>11</v>
      </c>
      <c r="O369" s="5">
        <f>N369/N384</f>
        <v>0.1134020618556701</v>
      </c>
      <c r="P369" s="5">
        <f>11/$P$1</f>
        <v>0.1134020618556701</v>
      </c>
      <c r="R369">
        <v>36</v>
      </c>
      <c r="S369" s="5">
        <f>R369/R384</f>
        <v>0.18181818181818182</v>
      </c>
      <c r="T369" s="5">
        <f>36/$T$1</f>
        <v>0.18181818181818182</v>
      </c>
      <c r="V369">
        <v>42</v>
      </c>
      <c r="W369" s="5">
        <f>V369/V384</f>
        <v>0.17427385892116182</v>
      </c>
      <c r="X369" s="5">
        <f>42/$X$1</f>
        <v>0.17427385892116182</v>
      </c>
      <c r="Z369">
        <v>28</v>
      </c>
      <c r="AA369" s="5">
        <f>Z369/Z384</f>
        <v>0.14141414141414141</v>
      </c>
      <c r="AB369" s="5">
        <f>28/$AB$1</f>
        <v>0.14141414141414141</v>
      </c>
      <c r="AD369">
        <v>32</v>
      </c>
      <c r="AE369" s="5">
        <f>AD369/AD384</f>
        <v>0.20779220779220781</v>
      </c>
      <c r="AF369" s="5">
        <f>32/$AF$1</f>
        <v>0.20779220779220781</v>
      </c>
      <c r="AH369">
        <v>19</v>
      </c>
      <c r="AI369" s="5">
        <f>AH369/AH384</f>
        <v>0.15833333333333333</v>
      </c>
      <c r="AJ369" s="5">
        <f>19/$AJ$1</f>
        <v>0.15833333333333333</v>
      </c>
      <c r="AL369">
        <v>57</v>
      </c>
      <c r="AM369" s="5">
        <f>AL369/AL384</f>
        <v>0.15405405405405406</v>
      </c>
      <c r="AN369" s="5">
        <f>57/$AN$1</f>
        <v>0.15405405405405406</v>
      </c>
      <c r="AP369">
        <v>64</v>
      </c>
      <c r="AQ369" s="5">
        <f>AP369/AP384</f>
        <v>0.1693121693121693</v>
      </c>
      <c r="AR369" s="5">
        <f>64/$AR$1</f>
        <v>0.1693121693121693</v>
      </c>
      <c r="AT369">
        <v>44</v>
      </c>
      <c r="AU369" s="5">
        <f>AT369/AT384</f>
        <v>0.17460317460317459</v>
      </c>
      <c r="AV369" s="5">
        <f>44/$AV$1</f>
        <v>0.17460317460317459</v>
      </c>
      <c r="AX369">
        <v>50</v>
      </c>
      <c r="AY369" s="5">
        <f>AX369/AX384</f>
        <v>0.18315018315018314</v>
      </c>
      <c r="AZ369" s="5">
        <f>50/$AZ$1</f>
        <v>0.18315018315018314</v>
      </c>
      <c r="BA369" s="5"/>
      <c r="BB369">
        <v>40</v>
      </c>
      <c r="BC369" s="5">
        <f>BB369/BB384</f>
        <v>0.19704433497536947</v>
      </c>
      <c r="BD369" s="5">
        <f>40/$BD$1</f>
        <v>0.19704433497536947</v>
      </c>
      <c r="BF369">
        <v>36</v>
      </c>
      <c r="BG369" s="5">
        <f>BF369/BF384</f>
        <v>0.16744186046511628</v>
      </c>
      <c r="BH369" s="5">
        <f>36/$BH$1</f>
        <v>0.16744186046511628</v>
      </c>
      <c r="BJ369">
        <v>39</v>
      </c>
      <c r="BK369" s="5">
        <f>BJ369/BJ384</f>
        <v>0.12621359223300971</v>
      </c>
      <c r="BL369" s="5">
        <f>39/$BL$1</f>
        <v>0.12621359223300971</v>
      </c>
      <c r="BN369">
        <v>3</v>
      </c>
      <c r="BO369" s="5">
        <f>BN369/BN384</f>
        <v>6.3829787234042548E-2</v>
      </c>
      <c r="BP369" s="5">
        <f>3/$BP$1</f>
        <v>6.3829787234042548E-2</v>
      </c>
      <c r="BR369">
        <v>59</v>
      </c>
      <c r="BS369" s="5">
        <f>BR369/BR384</f>
        <v>0.18789808917197454</v>
      </c>
      <c r="BT369" s="5">
        <f>59/$BT$1</f>
        <v>0.18789808917197454</v>
      </c>
      <c r="BV369">
        <v>67</v>
      </c>
      <c r="BW369" s="5">
        <f>BV369/BV384</f>
        <v>0.17048346055979643</v>
      </c>
      <c r="BX369" s="5">
        <f>67/$BX$1</f>
        <v>0.17048346055979643</v>
      </c>
      <c r="BZ369">
        <v>36</v>
      </c>
      <c r="CA369" s="5">
        <f>BZ369/BZ384</f>
        <v>0.14634146341463414</v>
      </c>
      <c r="CB369" s="5">
        <f>36/$CB$1</f>
        <v>0.14634146341463414</v>
      </c>
      <c r="CD369">
        <v>21</v>
      </c>
      <c r="CE369" s="5">
        <f>CD369/CD384</f>
        <v>0.17073170731707318</v>
      </c>
      <c r="CF369" s="5">
        <f>21/$CF$1</f>
        <v>0.17073170731707318</v>
      </c>
      <c r="CH369">
        <v>125</v>
      </c>
      <c r="CI369" s="5">
        <f>CH369/CH384</f>
        <v>0.1816860465116279</v>
      </c>
      <c r="CJ369" s="5">
        <f>125/$CJ$1</f>
        <v>0.1816860465116279</v>
      </c>
      <c r="CL369">
        <v>144</v>
      </c>
      <c r="CM369" s="5">
        <f>CL369/CL384</f>
        <v>0.18997361477572558</v>
      </c>
      <c r="CN369" s="5">
        <f>144/$CN$1</f>
        <v>0.18997361477572558</v>
      </c>
      <c r="CP369">
        <v>21</v>
      </c>
      <c r="CQ369" s="5">
        <f>CP369/CP384</f>
        <v>8.6776859504132234E-2</v>
      </c>
      <c r="CR369" s="5">
        <f>21/$CR$1</f>
        <v>8.6776859504132234E-2</v>
      </c>
      <c r="CT369">
        <v>69</v>
      </c>
      <c r="CU369" s="5">
        <f>CT369/CT384</f>
        <v>0.2072072072072072</v>
      </c>
      <c r="CV369" s="5">
        <f>69/$CV$1</f>
        <v>0.2072072072072072</v>
      </c>
      <c r="CX369">
        <v>96</v>
      </c>
      <c r="CY369" s="5">
        <f>CX369/CX384</f>
        <v>0.14392803598200898</v>
      </c>
      <c r="CZ369" s="5">
        <f>96/$CZ$1</f>
        <v>0.14392803598200898</v>
      </c>
    </row>
    <row r="370" spans="1:104" x14ac:dyDescent="0.25">
      <c r="A370" s="1" t="s">
        <v>2988</v>
      </c>
      <c r="B370">
        <v>141</v>
      </c>
      <c r="C370" s="5">
        <f>B370/B384</f>
        <v>0.14099999999999999</v>
      </c>
      <c r="D370" s="5">
        <f>141/$D$1</f>
        <v>0.14099999999999999</v>
      </c>
      <c r="F370">
        <v>60</v>
      </c>
      <c r="G370" s="5">
        <f>F370/F384</f>
        <v>0.11976047904191617</v>
      </c>
      <c r="H370" s="5">
        <f>60/$H$1</f>
        <v>0.11976047904191617</v>
      </c>
      <c r="J370">
        <v>81</v>
      </c>
      <c r="K370" s="5">
        <f>J370/J384</f>
        <v>0.16232464929859719</v>
      </c>
      <c r="L370" s="5">
        <f>81/$L$1</f>
        <v>0.16232464929859719</v>
      </c>
      <c r="N370">
        <v>17</v>
      </c>
      <c r="O370" s="5">
        <f>N370/N384</f>
        <v>0.17525773195876287</v>
      </c>
      <c r="P370" s="5">
        <f>17/$P$1</f>
        <v>0.17525773195876287</v>
      </c>
      <c r="R370">
        <v>32</v>
      </c>
      <c r="S370" s="5">
        <f>R370/R384</f>
        <v>0.16161616161616163</v>
      </c>
      <c r="T370" s="5">
        <f>32/$T$1</f>
        <v>0.16161616161616163</v>
      </c>
      <c r="V370">
        <v>33</v>
      </c>
      <c r="W370" s="5">
        <f>V370/V384</f>
        <v>0.13692946058091288</v>
      </c>
      <c r="X370" s="5">
        <f>33/$X$1</f>
        <v>0.13692946058091288</v>
      </c>
      <c r="Z370">
        <v>22</v>
      </c>
      <c r="AA370" s="5">
        <f>Z370/Z384</f>
        <v>0.1111111111111111</v>
      </c>
      <c r="AB370" s="5">
        <f>22/$AB$1</f>
        <v>0.1111111111111111</v>
      </c>
      <c r="AD370">
        <v>22</v>
      </c>
      <c r="AE370" s="5">
        <f>AD370/AD384</f>
        <v>0.14285714285714285</v>
      </c>
      <c r="AF370" s="5">
        <f>22/$AF$1</f>
        <v>0.14285714285714285</v>
      </c>
      <c r="AH370">
        <v>15</v>
      </c>
      <c r="AI370" s="5">
        <f>AH370/AH384</f>
        <v>0.125</v>
      </c>
      <c r="AJ370" s="5">
        <f>15/$AJ$1</f>
        <v>0.125</v>
      </c>
      <c r="AL370">
        <v>56</v>
      </c>
      <c r="AM370" s="5">
        <f>AL370/AL384</f>
        <v>0.15135135135135136</v>
      </c>
      <c r="AN370" s="5">
        <f>56/$AN$1</f>
        <v>0.15135135135135136</v>
      </c>
      <c r="AP370">
        <v>55</v>
      </c>
      <c r="AQ370" s="5">
        <f>AP370/AP384</f>
        <v>0.14550264550264549</v>
      </c>
      <c r="AR370" s="5">
        <f>55/$AR$1</f>
        <v>0.14550264550264549</v>
      </c>
      <c r="AT370">
        <v>30</v>
      </c>
      <c r="AU370" s="5">
        <f>AT370/AT384</f>
        <v>0.11904761904761904</v>
      </c>
      <c r="AV370" s="5">
        <f>30/$AV$1</f>
        <v>0.11904761904761904</v>
      </c>
      <c r="AX370">
        <v>39</v>
      </c>
      <c r="AY370" s="5">
        <f>AX370/AX384</f>
        <v>0.14285714285714285</v>
      </c>
      <c r="AZ370" s="5">
        <f>39/$AZ$1</f>
        <v>0.14285714285714285</v>
      </c>
      <c r="BA370" s="5"/>
      <c r="BB370">
        <v>37</v>
      </c>
      <c r="BC370" s="5">
        <f>BB370/BB384</f>
        <v>0.18226600985221675</v>
      </c>
      <c r="BD370" s="5">
        <f>37/$BD$1</f>
        <v>0.18226600985221675</v>
      </c>
      <c r="BF370">
        <v>24</v>
      </c>
      <c r="BG370" s="5">
        <f>BF370/BF384</f>
        <v>0.11162790697674418</v>
      </c>
      <c r="BH370" s="5">
        <f>24/$BH$1</f>
        <v>0.11162790697674418</v>
      </c>
      <c r="BJ370">
        <v>41</v>
      </c>
      <c r="BK370" s="5">
        <f>BJ370/BJ384</f>
        <v>0.13268608414239483</v>
      </c>
      <c r="BL370" s="5">
        <f>41/$BL$1</f>
        <v>0.13268608414239483</v>
      </c>
      <c r="BN370">
        <v>8</v>
      </c>
      <c r="BO370" s="5">
        <f>BN370/BN384</f>
        <v>0.1702127659574468</v>
      </c>
      <c r="BP370" s="5">
        <f>8/$BP$1</f>
        <v>0.1702127659574468</v>
      </c>
      <c r="BR370">
        <v>47</v>
      </c>
      <c r="BS370" s="5">
        <f>BR370/BR384</f>
        <v>0.14968152866242038</v>
      </c>
      <c r="BT370" s="5">
        <f>47/$BT$1</f>
        <v>0.14968152866242038</v>
      </c>
      <c r="BV370">
        <v>56</v>
      </c>
      <c r="BW370" s="5">
        <f>BV370/BV384</f>
        <v>0.14249363867684478</v>
      </c>
      <c r="BX370" s="5">
        <f>56/$BX$1</f>
        <v>0.14249363867684478</v>
      </c>
      <c r="BZ370">
        <v>30</v>
      </c>
      <c r="CA370" s="5">
        <f>BZ370/BZ384</f>
        <v>0.12195121951219512</v>
      </c>
      <c r="CB370" s="5">
        <f>30/$CB$1</f>
        <v>0.12195121951219512</v>
      </c>
      <c r="CD370">
        <v>17</v>
      </c>
      <c r="CE370" s="5">
        <f>CD370/CD384</f>
        <v>0.13821138211382114</v>
      </c>
      <c r="CF370" s="5">
        <f>17/$CF$1</f>
        <v>0.13821138211382114</v>
      </c>
      <c r="CH370">
        <v>106</v>
      </c>
      <c r="CI370" s="5">
        <f>CH370/CH384</f>
        <v>0.15406976744186046</v>
      </c>
      <c r="CJ370" s="5">
        <f>106/$CJ$1</f>
        <v>0.15406976744186046</v>
      </c>
      <c r="CL370">
        <v>128</v>
      </c>
      <c r="CM370" s="5">
        <f>CL370/CL384</f>
        <v>0.16886543535620052</v>
      </c>
      <c r="CN370" s="5">
        <f>128/$CN$1</f>
        <v>0.16886543535620052</v>
      </c>
      <c r="CP370">
        <v>13</v>
      </c>
      <c r="CQ370" s="5">
        <f>CP370/CP384</f>
        <v>5.3719008264462811E-2</v>
      </c>
      <c r="CR370" s="5">
        <f>13/$CR$1</f>
        <v>5.3719008264462811E-2</v>
      </c>
      <c r="CT370">
        <v>62</v>
      </c>
      <c r="CU370" s="5">
        <f>CT370/CT384</f>
        <v>0.18618618618618618</v>
      </c>
      <c r="CV370" s="5">
        <f>62/$CV$1</f>
        <v>0.18618618618618618</v>
      </c>
      <c r="CX370">
        <v>79</v>
      </c>
      <c r="CY370" s="5">
        <f>CX370/CX384</f>
        <v>0.1184407796101949</v>
      </c>
      <c r="CZ370" s="5">
        <f>79/$CZ$1</f>
        <v>0.1184407796101949</v>
      </c>
    </row>
    <row r="371" spans="1:104" x14ac:dyDescent="0.25">
      <c r="A371" s="1" t="s">
        <v>2989</v>
      </c>
      <c r="B371">
        <v>120</v>
      </c>
      <c r="C371" s="5">
        <f>B371/B384</f>
        <v>0.12</v>
      </c>
      <c r="D371" s="5">
        <f>120/$D$1</f>
        <v>0.12</v>
      </c>
      <c r="F371">
        <v>52</v>
      </c>
      <c r="G371" s="5">
        <f>F371/F384</f>
        <v>0.10379241516966067</v>
      </c>
      <c r="H371" s="5">
        <f>52/$H$1</f>
        <v>0.10379241516966067</v>
      </c>
      <c r="J371">
        <v>68</v>
      </c>
      <c r="K371" s="5">
        <f>J371/J384</f>
        <v>0.13627254509018036</v>
      </c>
      <c r="L371" s="5">
        <f>68/$L$1</f>
        <v>0.13627254509018036</v>
      </c>
      <c r="N371">
        <v>21</v>
      </c>
      <c r="O371" s="5">
        <f>N371/N384</f>
        <v>0.21649484536082475</v>
      </c>
      <c r="P371" s="5">
        <f>21/$P$1</f>
        <v>0.21649484536082475</v>
      </c>
      <c r="R371">
        <v>39</v>
      </c>
      <c r="S371" s="5">
        <f>R371/R384</f>
        <v>0.19696969696969696</v>
      </c>
      <c r="T371" s="5">
        <f>39/$T$1</f>
        <v>0.19696969696969696</v>
      </c>
      <c r="V371">
        <v>26</v>
      </c>
      <c r="W371" s="5">
        <f>V371/V384</f>
        <v>0.1078838174273859</v>
      </c>
      <c r="X371" s="5">
        <f>26/$X$1</f>
        <v>0.1078838174273859</v>
      </c>
      <c r="Z371">
        <v>18</v>
      </c>
      <c r="AA371" s="5">
        <f>Z371/Z384</f>
        <v>9.0909090909090912E-2</v>
      </c>
      <c r="AB371" s="5">
        <f>18/$AB$1</f>
        <v>9.0909090909090912E-2</v>
      </c>
      <c r="AD371">
        <v>8</v>
      </c>
      <c r="AE371" s="5">
        <f>AD371/AD384</f>
        <v>5.1948051948051951E-2</v>
      </c>
      <c r="AF371" s="5">
        <f>8/$AF$1</f>
        <v>5.1948051948051951E-2</v>
      </c>
      <c r="AH371">
        <v>8</v>
      </c>
      <c r="AI371" s="5">
        <f>AH371/AH384</f>
        <v>6.6666666666666666E-2</v>
      </c>
      <c r="AJ371" s="5">
        <f>8/$AJ$1</f>
        <v>6.6666666666666666E-2</v>
      </c>
      <c r="AL371">
        <v>49</v>
      </c>
      <c r="AM371" s="5">
        <f>AL371/AL384</f>
        <v>0.13243243243243244</v>
      </c>
      <c r="AN371" s="5">
        <f>49/$AN$1</f>
        <v>0.13243243243243244</v>
      </c>
      <c r="AP371">
        <v>48</v>
      </c>
      <c r="AQ371" s="5">
        <f>AP371/AP384</f>
        <v>0.12698412698412698</v>
      </c>
      <c r="AR371" s="5">
        <f>48/$AR$1</f>
        <v>0.12698412698412698</v>
      </c>
      <c r="AT371">
        <v>23</v>
      </c>
      <c r="AU371" s="5">
        <f>AT371/AT384</f>
        <v>9.1269841269841265E-2</v>
      </c>
      <c r="AV371" s="5">
        <f>23/$AV$1</f>
        <v>9.1269841269841265E-2</v>
      </c>
      <c r="AX371">
        <v>31</v>
      </c>
      <c r="AY371" s="5">
        <f>AX371/AX384</f>
        <v>0.11355311355311355</v>
      </c>
      <c r="AZ371" s="5">
        <f>31/$AZ$1</f>
        <v>0.11355311355311355</v>
      </c>
      <c r="BA371" s="5"/>
      <c r="BB371">
        <v>24</v>
      </c>
      <c r="BC371" s="5">
        <f>BB371/BB384</f>
        <v>0.11822660098522167</v>
      </c>
      <c r="BD371" s="5">
        <f>24/$BD$1</f>
        <v>0.11822660098522167</v>
      </c>
      <c r="BF371">
        <v>28</v>
      </c>
      <c r="BG371" s="5">
        <f>BF371/BF384</f>
        <v>0.13023255813953488</v>
      </c>
      <c r="BH371" s="5">
        <f>28/$BH$1</f>
        <v>0.13023255813953488</v>
      </c>
      <c r="BJ371">
        <v>37</v>
      </c>
      <c r="BK371" s="5">
        <f>BJ371/BJ384</f>
        <v>0.11974110032362459</v>
      </c>
      <c r="BL371" s="5">
        <f>37/$BL$1</f>
        <v>0.11974110032362459</v>
      </c>
      <c r="BN371">
        <v>7</v>
      </c>
      <c r="BO371" s="5">
        <f>BN371/BN384</f>
        <v>0.14893617021276595</v>
      </c>
      <c r="BP371" s="5">
        <f>7/$BP$1</f>
        <v>0.14893617021276595</v>
      </c>
      <c r="BR371">
        <v>38</v>
      </c>
      <c r="BS371" s="5">
        <f>BR371/BR384</f>
        <v>0.12101910828025478</v>
      </c>
      <c r="BT371" s="5">
        <f>38/$BT$1</f>
        <v>0.12101910828025478</v>
      </c>
      <c r="BV371">
        <v>45</v>
      </c>
      <c r="BW371" s="5">
        <f>BV371/BV384</f>
        <v>0.11450381679389313</v>
      </c>
      <c r="BX371" s="5">
        <f>45/$BX$1</f>
        <v>0.11450381679389313</v>
      </c>
      <c r="BZ371">
        <v>30</v>
      </c>
      <c r="CA371" s="5">
        <f>BZ371/BZ384</f>
        <v>0.12195121951219512</v>
      </c>
      <c r="CB371" s="5">
        <f>30/$CB$1</f>
        <v>0.12195121951219512</v>
      </c>
      <c r="CD371">
        <v>13</v>
      </c>
      <c r="CE371" s="5">
        <f>CD371/CD384</f>
        <v>0.10569105691056911</v>
      </c>
      <c r="CF371" s="5">
        <f>13/$CF$1</f>
        <v>0.10569105691056911</v>
      </c>
      <c r="CH371">
        <v>81</v>
      </c>
      <c r="CI371" s="5">
        <f>CH371/CH384</f>
        <v>0.11773255813953488</v>
      </c>
      <c r="CJ371" s="5">
        <f>81/$CJ$1</f>
        <v>0.11773255813953488</v>
      </c>
      <c r="CL371">
        <v>100</v>
      </c>
      <c r="CM371" s="5">
        <f>CL371/CL384</f>
        <v>0.13192612137203166</v>
      </c>
      <c r="CN371" s="5">
        <f>100/$CN$1</f>
        <v>0.13192612137203166</v>
      </c>
      <c r="CP371">
        <v>20</v>
      </c>
      <c r="CQ371" s="5">
        <f>CP371/CP384</f>
        <v>8.2644628099173556E-2</v>
      </c>
      <c r="CR371" s="5">
        <f>20/$CR$1</f>
        <v>8.2644628099173556E-2</v>
      </c>
      <c r="CT371">
        <v>40</v>
      </c>
      <c r="CU371" s="5">
        <f>CT371/CT384</f>
        <v>0.12012012012012012</v>
      </c>
      <c r="CV371" s="5">
        <f>40/$CV$1</f>
        <v>0.12012012012012012</v>
      </c>
      <c r="CX371">
        <v>80</v>
      </c>
      <c r="CY371" s="5">
        <f>CX371/CX384</f>
        <v>0.1199400299850075</v>
      </c>
      <c r="CZ371" s="5">
        <f>80/$CZ$1</f>
        <v>0.1199400299850075</v>
      </c>
    </row>
    <row r="372" spans="1:104" x14ac:dyDescent="0.25">
      <c r="A372" s="1" t="s">
        <v>2990</v>
      </c>
      <c r="B372">
        <v>140</v>
      </c>
      <c r="C372" s="5">
        <f>B372/B384</f>
        <v>0.14000000000000001</v>
      </c>
      <c r="D372" s="5">
        <f>140/$D$1</f>
        <v>0.14000000000000001</v>
      </c>
      <c r="F372">
        <v>82</v>
      </c>
      <c r="G372" s="5">
        <f>F372/F384</f>
        <v>0.16367265469061876</v>
      </c>
      <c r="H372" s="5">
        <f>82/$H$1</f>
        <v>0.16367265469061876</v>
      </c>
      <c r="J372">
        <v>58</v>
      </c>
      <c r="K372" s="5">
        <f>J372/J384</f>
        <v>0.11623246492985972</v>
      </c>
      <c r="L372" s="5">
        <f>58/$L$1</f>
        <v>0.11623246492985972</v>
      </c>
      <c r="N372">
        <v>15</v>
      </c>
      <c r="O372" s="5">
        <f>N372/N384</f>
        <v>0.15463917525773196</v>
      </c>
      <c r="P372" s="5">
        <f>15/$P$1</f>
        <v>0.15463917525773196</v>
      </c>
      <c r="R372">
        <v>23</v>
      </c>
      <c r="S372" s="5">
        <f>R372/R384</f>
        <v>0.11616161616161616</v>
      </c>
      <c r="T372" s="5">
        <f>23/$T$1</f>
        <v>0.11616161616161616</v>
      </c>
      <c r="V372">
        <v>33</v>
      </c>
      <c r="W372" s="5">
        <f>V372/V384</f>
        <v>0.13692946058091288</v>
      </c>
      <c r="X372" s="5">
        <f>33/$X$1</f>
        <v>0.13692946058091288</v>
      </c>
      <c r="Z372">
        <v>31</v>
      </c>
      <c r="AA372" s="5">
        <f>Z372/Z384</f>
        <v>0.15656565656565657</v>
      </c>
      <c r="AB372" s="5">
        <f>31/$AB$1</f>
        <v>0.15656565656565657</v>
      </c>
      <c r="AD372">
        <v>16</v>
      </c>
      <c r="AE372" s="5">
        <f>AD372/AD384</f>
        <v>0.1038961038961039</v>
      </c>
      <c r="AF372" s="5">
        <f>16/$AF$1</f>
        <v>0.1038961038961039</v>
      </c>
      <c r="AH372">
        <v>24</v>
      </c>
      <c r="AI372" s="5">
        <f>AH372/AH384</f>
        <v>0.2</v>
      </c>
      <c r="AJ372" s="5">
        <f>24/$AJ$1</f>
        <v>0.2</v>
      </c>
      <c r="AL372">
        <v>52</v>
      </c>
      <c r="AM372" s="5">
        <f>AL372/AL384</f>
        <v>0.14054054054054055</v>
      </c>
      <c r="AN372" s="5">
        <f>52/$AN$1</f>
        <v>0.14054054054054055</v>
      </c>
      <c r="AP372">
        <v>63</v>
      </c>
      <c r="AQ372" s="5">
        <f>AP372/AP384</f>
        <v>0.16666666666666666</v>
      </c>
      <c r="AR372" s="5">
        <f>63/$AR$1</f>
        <v>0.16666666666666666</v>
      </c>
      <c r="AT372">
        <v>25</v>
      </c>
      <c r="AU372" s="5">
        <f>AT372/AT384</f>
        <v>9.9206349206349201E-2</v>
      </c>
      <c r="AV372" s="5">
        <f>25/$AV$1</f>
        <v>9.9206349206349201E-2</v>
      </c>
      <c r="AX372">
        <v>35</v>
      </c>
      <c r="AY372" s="5">
        <f>AX372/AX384</f>
        <v>0.12820512820512819</v>
      </c>
      <c r="AZ372" s="5">
        <f>35/$AZ$1</f>
        <v>0.12820512820512819</v>
      </c>
      <c r="BA372" s="5"/>
      <c r="BB372">
        <v>29</v>
      </c>
      <c r="BC372" s="5">
        <f>BB372/BB384</f>
        <v>0.14285714285714285</v>
      </c>
      <c r="BD372" s="5">
        <f>29/$BD$1</f>
        <v>0.14285714285714285</v>
      </c>
      <c r="BF372">
        <v>32</v>
      </c>
      <c r="BG372" s="5">
        <f>BF372/BF384</f>
        <v>0.14883720930232558</v>
      </c>
      <c r="BH372" s="5">
        <f>32/$BH$1</f>
        <v>0.14883720930232558</v>
      </c>
      <c r="BJ372">
        <v>44</v>
      </c>
      <c r="BK372" s="5">
        <f>BJ372/BJ384</f>
        <v>0.14239482200647249</v>
      </c>
      <c r="BL372" s="5">
        <f>44/$BL$1</f>
        <v>0.14239482200647249</v>
      </c>
      <c r="BN372">
        <v>8</v>
      </c>
      <c r="BO372" s="5">
        <f>BN372/BN384</f>
        <v>0.1702127659574468</v>
      </c>
      <c r="BP372" s="5">
        <f>8/$BP$1</f>
        <v>0.1702127659574468</v>
      </c>
      <c r="BR372">
        <v>55</v>
      </c>
      <c r="BS372" s="5">
        <f>BR372/BR384</f>
        <v>0.1751592356687898</v>
      </c>
      <c r="BT372" s="5">
        <f>55/$BT$1</f>
        <v>0.1751592356687898</v>
      </c>
      <c r="BV372">
        <v>54</v>
      </c>
      <c r="BW372" s="5">
        <f>BV372/BV384</f>
        <v>0.13740458015267176</v>
      </c>
      <c r="BX372" s="5">
        <f>54/$BX$1</f>
        <v>0.13740458015267176</v>
      </c>
      <c r="BZ372">
        <v>23</v>
      </c>
      <c r="CA372" s="5">
        <f>BZ372/BZ384</f>
        <v>9.3495934959349589E-2</v>
      </c>
      <c r="CB372" s="5">
        <f>23/$CB$1</f>
        <v>9.3495934959349589E-2</v>
      </c>
      <c r="CD372">
        <v>16</v>
      </c>
      <c r="CE372" s="5">
        <f>CD372/CD384</f>
        <v>0.13008130081300814</v>
      </c>
      <c r="CF372" s="5">
        <f>16/$CF$1</f>
        <v>0.13008130081300814</v>
      </c>
      <c r="CH372">
        <v>100</v>
      </c>
      <c r="CI372" s="5">
        <f>CH372/CH384</f>
        <v>0.14534883720930233</v>
      </c>
      <c r="CJ372" s="5">
        <f>100/$CJ$1</f>
        <v>0.14534883720930233</v>
      </c>
      <c r="CL372">
        <v>109</v>
      </c>
      <c r="CM372" s="5">
        <f>CL372/CL384</f>
        <v>0.14379947229551451</v>
      </c>
      <c r="CN372" s="5">
        <f>109/$CN$1</f>
        <v>0.14379947229551451</v>
      </c>
      <c r="CP372">
        <v>31</v>
      </c>
      <c r="CQ372" s="5">
        <f>CP372/CP384</f>
        <v>0.128099173553719</v>
      </c>
      <c r="CR372" s="5">
        <f>31/$CR$1</f>
        <v>0.128099173553719</v>
      </c>
      <c r="CT372">
        <v>40</v>
      </c>
      <c r="CU372" s="5">
        <f>CT372/CT384</f>
        <v>0.12012012012012012</v>
      </c>
      <c r="CV372" s="5">
        <f>40/$CV$1</f>
        <v>0.12012012012012012</v>
      </c>
      <c r="CX372">
        <v>100</v>
      </c>
      <c r="CY372" s="5">
        <f>CX372/CX384</f>
        <v>0.14992503748125938</v>
      </c>
      <c r="CZ372" s="5">
        <f>100/$CZ$1</f>
        <v>0.14992503748125938</v>
      </c>
    </row>
    <row r="374" spans="1:104" x14ac:dyDescent="0.25">
      <c r="A374" s="1" t="s">
        <v>2991</v>
      </c>
      <c r="B374">
        <v>193</v>
      </c>
      <c r="C374" s="5">
        <f>B374/B384</f>
        <v>0.193</v>
      </c>
      <c r="D374" s="5">
        <f>193/$D$1</f>
        <v>0.193</v>
      </c>
      <c r="F374">
        <v>123</v>
      </c>
      <c r="G374" s="5">
        <f>F374/F384</f>
        <v>0.24550898203592814</v>
      </c>
      <c r="H374" s="5">
        <f>123/$H$1</f>
        <v>0.24550898203592814</v>
      </c>
      <c r="J374">
        <v>70</v>
      </c>
      <c r="K374" s="5">
        <f>J374/J384</f>
        <v>0.14028056112224449</v>
      </c>
      <c r="L374" s="5">
        <f>70/$L$1</f>
        <v>0.14028056112224449</v>
      </c>
      <c r="N374">
        <v>13</v>
      </c>
      <c r="O374" s="5">
        <f>N374/N384</f>
        <v>0.13402061855670103</v>
      </c>
      <c r="P374" s="5">
        <f>13/$P$1</f>
        <v>0.13402061855670103</v>
      </c>
      <c r="R374">
        <v>34</v>
      </c>
      <c r="S374" s="5">
        <f>R374/R384</f>
        <v>0.17171717171717171</v>
      </c>
      <c r="T374" s="5">
        <f>34/$T$1</f>
        <v>0.17171717171717171</v>
      </c>
      <c r="V374">
        <v>44</v>
      </c>
      <c r="W374" s="5">
        <f>V374/V384</f>
        <v>0.18257261410788381</v>
      </c>
      <c r="X374" s="5">
        <f>44/$X$1</f>
        <v>0.18257261410788381</v>
      </c>
      <c r="Z374">
        <v>39</v>
      </c>
      <c r="AA374" s="5">
        <f>Z374/Z384</f>
        <v>0.19696969696969696</v>
      </c>
      <c r="AB374" s="5">
        <f>39/$AB$1</f>
        <v>0.19696969696969696</v>
      </c>
      <c r="AD374">
        <v>39</v>
      </c>
      <c r="AE374" s="5">
        <f>AD374/AD384</f>
        <v>0.25324675324675322</v>
      </c>
      <c r="AF374" s="5">
        <f>39/$AF$1</f>
        <v>0.25324675324675322</v>
      </c>
      <c r="AH374">
        <v>26</v>
      </c>
      <c r="AI374" s="5">
        <f>AH374/AH384</f>
        <v>0.21666666666666667</v>
      </c>
      <c r="AJ374" s="5">
        <f>26/$AJ$1</f>
        <v>0.21666666666666667</v>
      </c>
      <c r="AL374">
        <v>75</v>
      </c>
      <c r="AM374" s="5">
        <f>AL374/AL384</f>
        <v>0.20270270270270271</v>
      </c>
      <c r="AN374" s="5">
        <f>75/$AN$1</f>
        <v>0.20270270270270271</v>
      </c>
      <c r="AP374">
        <v>72</v>
      </c>
      <c r="AQ374" s="5">
        <f>AP374/AP384</f>
        <v>0.19047619047619047</v>
      </c>
      <c r="AR374" s="5">
        <f>72/$AR$1</f>
        <v>0.19047619047619047</v>
      </c>
      <c r="AT374">
        <v>46</v>
      </c>
      <c r="AU374" s="5">
        <f>AT374/AT384</f>
        <v>0.18253968253968253</v>
      </c>
      <c r="AV374" s="5">
        <f>46/$AV$1</f>
        <v>0.18253968253968253</v>
      </c>
      <c r="AX374">
        <v>51</v>
      </c>
      <c r="AY374" s="5">
        <f>AX374/AX384</f>
        <v>0.18681318681318682</v>
      </c>
      <c r="AZ374" s="5">
        <f>51/$AZ$1</f>
        <v>0.18681318681318682</v>
      </c>
      <c r="BA374" s="5"/>
      <c r="BB374">
        <v>43</v>
      </c>
      <c r="BC374" s="5">
        <f>BB374/BB384</f>
        <v>0.21182266009852216</v>
      </c>
      <c r="BD374" s="5">
        <f>43/$BD$1</f>
        <v>0.21182266009852216</v>
      </c>
      <c r="BF374">
        <v>43</v>
      </c>
      <c r="BG374" s="5">
        <f>BF374/BF384</f>
        <v>0.2</v>
      </c>
      <c r="BH374" s="5">
        <f>43/$BH$1</f>
        <v>0.2</v>
      </c>
      <c r="BJ374">
        <v>56</v>
      </c>
      <c r="BK374" s="5">
        <f>BJ374/BJ384</f>
        <v>0.18122977346278318</v>
      </c>
      <c r="BL374" s="5">
        <f>56/$BL$1</f>
        <v>0.18122977346278318</v>
      </c>
      <c r="BN374">
        <v>17</v>
      </c>
      <c r="BO374" s="5">
        <f>BN374/BN384</f>
        <v>0.36170212765957449</v>
      </c>
      <c r="BP374" s="5">
        <f>17/$BP$1</f>
        <v>0.36170212765957449</v>
      </c>
      <c r="BR374">
        <v>66</v>
      </c>
      <c r="BS374" s="5">
        <f>BR374/BR384</f>
        <v>0.21019108280254778</v>
      </c>
      <c r="BT374" s="5">
        <f>66/$BT$1</f>
        <v>0.21019108280254778</v>
      </c>
      <c r="BV374">
        <v>77</v>
      </c>
      <c r="BW374" s="5">
        <f>BV374/BV384</f>
        <v>0.19592875318066158</v>
      </c>
      <c r="BX374" s="5">
        <f>77/$BX$1</f>
        <v>0.19592875318066158</v>
      </c>
      <c r="BZ374">
        <v>33</v>
      </c>
      <c r="CA374" s="5">
        <f>BZ374/BZ384</f>
        <v>0.13414634146341464</v>
      </c>
      <c r="CB374" s="5">
        <f>33/$CB$1</f>
        <v>0.13414634146341464</v>
      </c>
      <c r="CD374">
        <v>17</v>
      </c>
      <c r="CE374" s="5">
        <f>CD374/CD384</f>
        <v>0.13821138211382114</v>
      </c>
      <c r="CF374" s="5">
        <f>17/$CF$1</f>
        <v>0.13821138211382114</v>
      </c>
      <c r="CH374">
        <v>145</v>
      </c>
      <c r="CI374" s="5">
        <f>CH374/CH384</f>
        <v>0.21075581395348839</v>
      </c>
      <c r="CJ374" s="5">
        <f>145/$CJ$1</f>
        <v>0.21075581395348839</v>
      </c>
      <c r="CL374">
        <v>114</v>
      </c>
      <c r="CM374" s="5">
        <f>CL374/CL384</f>
        <v>0.15039577836411611</v>
      </c>
      <c r="CN374" s="5">
        <f>114/$CN$1</f>
        <v>0.15039577836411611</v>
      </c>
      <c r="CP374">
        <v>79</v>
      </c>
      <c r="CQ374" s="5">
        <f>CP374/CP384</f>
        <v>0.32644628099173556</v>
      </c>
      <c r="CR374" s="5">
        <f>79/$CR$1</f>
        <v>0.32644628099173556</v>
      </c>
      <c r="CT374">
        <v>38</v>
      </c>
      <c r="CU374" s="5">
        <f>CT374/CT384</f>
        <v>0.11411411411411411</v>
      </c>
      <c r="CV374" s="5">
        <f>38/$CV$1</f>
        <v>0.11411411411411411</v>
      </c>
      <c r="CX374">
        <v>155</v>
      </c>
      <c r="CY374" s="5">
        <f>CX374/CX384</f>
        <v>0.23238380809595202</v>
      </c>
      <c r="CZ374" s="5">
        <f>155/$CZ$1</f>
        <v>0.23238380809595202</v>
      </c>
    </row>
    <row r="375" spans="1:104" x14ac:dyDescent="0.25">
      <c r="A375" s="1" t="s">
        <v>2992</v>
      </c>
      <c r="B375">
        <v>305</v>
      </c>
      <c r="C375" s="5">
        <f>B375/B384</f>
        <v>0.30499999999999999</v>
      </c>
      <c r="D375" s="5">
        <f>305/$D$1</f>
        <v>0.30499999999999999</v>
      </c>
      <c r="F375">
        <v>204</v>
      </c>
      <c r="G375" s="5">
        <f>F375/F384</f>
        <v>0.40718562874251496</v>
      </c>
      <c r="H375" s="5">
        <f>204/$H$1</f>
        <v>0.40718562874251496</v>
      </c>
      <c r="J375">
        <v>101</v>
      </c>
      <c r="K375" s="5">
        <f>J375/J384</f>
        <v>0.20240480961923848</v>
      </c>
      <c r="L375" s="5">
        <f>101/$L$1</f>
        <v>0.20240480961923848</v>
      </c>
      <c r="N375">
        <v>38</v>
      </c>
      <c r="O375" s="5">
        <f>N375/N384</f>
        <v>0.39175257731958762</v>
      </c>
      <c r="P375" s="5">
        <f>38/$P$1</f>
        <v>0.39175257731958762</v>
      </c>
      <c r="R375">
        <v>74</v>
      </c>
      <c r="S375" s="5">
        <f>R375/R384</f>
        <v>0.37373737373737376</v>
      </c>
      <c r="T375" s="5">
        <f>74/$T$1</f>
        <v>0.37373737373737376</v>
      </c>
      <c r="V375">
        <v>72</v>
      </c>
      <c r="W375" s="5">
        <f>V375/V384</f>
        <v>0.29875518672199169</v>
      </c>
      <c r="X375" s="5">
        <f>72/$X$1</f>
        <v>0.29875518672199169</v>
      </c>
      <c r="Z375">
        <v>62</v>
      </c>
      <c r="AA375" s="5">
        <f>Z375/Z384</f>
        <v>0.31313131313131315</v>
      </c>
      <c r="AB375" s="5">
        <f>62/$AB$1</f>
        <v>0.31313131313131315</v>
      </c>
      <c r="AD375">
        <v>39</v>
      </c>
      <c r="AE375" s="5">
        <f>AD375/AD384</f>
        <v>0.25324675324675322</v>
      </c>
      <c r="AF375" s="5">
        <f>39/$AF$1</f>
        <v>0.25324675324675322</v>
      </c>
      <c r="AH375">
        <v>21</v>
      </c>
      <c r="AI375" s="5">
        <f>AH375/AH384</f>
        <v>0.17499999999999999</v>
      </c>
      <c r="AJ375" s="5">
        <f>21/$AJ$1</f>
        <v>0.17499999999999999</v>
      </c>
      <c r="AL375">
        <v>105</v>
      </c>
      <c r="AM375" s="5">
        <f>AL375/AL384</f>
        <v>0.28378378378378377</v>
      </c>
      <c r="AN375" s="5">
        <f>105/$AN$1</f>
        <v>0.28378378378378377</v>
      </c>
      <c r="AP375">
        <v>115</v>
      </c>
      <c r="AQ375" s="5">
        <f>AP375/AP384</f>
        <v>0.30423280423280424</v>
      </c>
      <c r="AR375" s="5">
        <f>115/$AR$1</f>
        <v>0.30423280423280424</v>
      </c>
      <c r="AT375">
        <v>85</v>
      </c>
      <c r="AU375" s="5">
        <f>AT375/AT384</f>
        <v>0.33730158730158732</v>
      </c>
      <c r="AV375" s="5">
        <f>85/$AV$1</f>
        <v>0.33730158730158732</v>
      </c>
      <c r="AX375">
        <v>79</v>
      </c>
      <c r="AY375" s="5">
        <f>AX375/AX384</f>
        <v>0.2893772893772894</v>
      </c>
      <c r="AZ375" s="5">
        <f>79/$AZ$1</f>
        <v>0.2893772893772894</v>
      </c>
      <c r="BA375" s="5"/>
      <c r="BB375">
        <v>52</v>
      </c>
      <c r="BC375" s="5">
        <f>BB375/BB384</f>
        <v>0.25615763546798032</v>
      </c>
      <c r="BD375" s="5">
        <f>52/$BD$1</f>
        <v>0.25615763546798032</v>
      </c>
      <c r="BF375">
        <v>67</v>
      </c>
      <c r="BG375" s="5">
        <f>BF375/BF384</f>
        <v>0.3116279069767442</v>
      </c>
      <c r="BH375" s="5">
        <f>67/$BH$1</f>
        <v>0.3116279069767442</v>
      </c>
      <c r="BJ375">
        <v>107</v>
      </c>
      <c r="BK375" s="5">
        <f>BJ375/BJ384</f>
        <v>0.34627831715210355</v>
      </c>
      <c r="BL375" s="5">
        <f>107/$BL$1</f>
        <v>0.34627831715210355</v>
      </c>
      <c r="BN375">
        <v>17</v>
      </c>
      <c r="BO375" s="5">
        <f>BN375/BN384</f>
        <v>0.36170212765957449</v>
      </c>
      <c r="BP375" s="5">
        <f>17/$BP$1</f>
        <v>0.36170212765957449</v>
      </c>
      <c r="BR375">
        <v>102</v>
      </c>
      <c r="BS375" s="5">
        <f>BR375/BR384</f>
        <v>0.32484076433121017</v>
      </c>
      <c r="BT375" s="5">
        <f>102/$BT$1</f>
        <v>0.32484076433121017</v>
      </c>
      <c r="BV375">
        <v>106</v>
      </c>
      <c r="BW375" s="5">
        <f>BV375/BV384</f>
        <v>0.26972010178117051</v>
      </c>
      <c r="BX375" s="5">
        <f>106/$BX$1</f>
        <v>0.26972010178117051</v>
      </c>
      <c r="BZ375">
        <v>80</v>
      </c>
      <c r="CA375" s="5">
        <f>BZ375/BZ384</f>
        <v>0.32520325203252032</v>
      </c>
      <c r="CB375" s="5">
        <f>80/$CB$1</f>
        <v>0.32520325203252032</v>
      </c>
      <c r="CD375">
        <v>38</v>
      </c>
      <c r="CE375" s="5">
        <f>CD375/CD384</f>
        <v>0.30894308943089432</v>
      </c>
      <c r="CF375" s="5">
        <f>38/$CF$1</f>
        <v>0.30894308943089432</v>
      </c>
      <c r="CH375">
        <v>184</v>
      </c>
      <c r="CI375" s="5">
        <f>CH375/CH384</f>
        <v>0.26744186046511625</v>
      </c>
      <c r="CJ375" s="5">
        <f>184/$CJ$1</f>
        <v>0.26744186046511625</v>
      </c>
      <c r="CL375">
        <v>196</v>
      </c>
      <c r="CM375" s="5">
        <f>CL375/CL384</f>
        <v>0.25857519788918204</v>
      </c>
      <c r="CN375" s="5">
        <f>196/$CN$1</f>
        <v>0.25857519788918204</v>
      </c>
      <c r="CP375">
        <v>109</v>
      </c>
      <c r="CQ375" s="5">
        <f>CP375/CP384</f>
        <v>0.45041322314049587</v>
      </c>
      <c r="CR375" s="5">
        <f>109/$CR$1</f>
        <v>0.45041322314049587</v>
      </c>
      <c r="CT375">
        <v>76</v>
      </c>
      <c r="CU375" s="5">
        <f>CT375/CT384</f>
        <v>0.22822822822822822</v>
      </c>
      <c r="CV375" s="5">
        <f>76/$CV$1</f>
        <v>0.22822822822822822</v>
      </c>
      <c r="CX375">
        <v>229</v>
      </c>
      <c r="CY375" s="5">
        <f>CX375/CX384</f>
        <v>0.34332833583208394</v>
      </c>
      <c r="CZ375" s="5">
        <f>229/$CZ$1</f>
        <v>0.34332833583208394</v>
      </c>
    </row>
    <row r="376" spans="1:104" x14ac:dyDescent="0.25">
      <c r="A376" s="1" t="s">
        <v>2993</v>
      </c>
      <c r="B376">
        <v>74</v>
      </c>
      <c r="C376" s="5">
        <f>B376/B384</f>
        <v>7.3999999999999996E-2</v>
      </c>
      <c r="D376" s="5">
        <f>74/$D$1</f>
        <v>7.3999999999999996E-2</v>
      </c>
      <c r="F376">
        <v>53</v>
      </c>
      <c r="G376" s="5">
        <f>F376/F384</f>
        <v>0.10578842315369262</v>
      </c>
      <c r="H376" s="5">
        <f>53/$H$1</f>
        <v>0.10578842315369262</v>
      </c>
      <c r="J376">
        <v>21</v>
      </c>
      <c r="K376" s="5">
        <f>J376/J384</f>
        <v>4.2084168336673347E-2</v>
      </c>
      <c r="L376" s="5">
        <f>21/$L$1</f>
        <v>4.2084168336673347E-2</v>
      </c>
      <c r="N376">
        <v>2</v>
      </c>
      <c r="O376" s="5">
        <f>N376/N384</f>
        <v>2.0618556701030927E-2</v>
      </c>
      <c r="P376" s="5">
        <f>2/$P$1</f>
        <v>2.0618556701030927E-2</v>
      </c>
      <c r="R376">
        <v>13</v>
      </c>
      <c r="S376" s="5">
        <f>R376/R384</f>
        <v>6.5656565656565663E-2</v>
      </c>
      <c r="T376" s="5">
        <f>13/$T$1</f>
        <v>6.5656565656565663E-2</v>
      </c>
      <c r="V376">
        <v>23</v>
      </c>
      <c r="W376" s="5">
        <f>V376/V384</f>
        <v>9.5435684647302899E-2</v>
      </c>
      <c r="X376" s="5">
        <f>23/$X$1</f>
        <v>9.5435684647302899E-2</v>
      </c>
      <c r="Z376">
        <v>12</v>
      </c>
      <c r="AA376" s="5">
        <f>Z376/Z384</f>
        <v>6.0606060606060608E-2</v>
      </c>
      <c r="AB376" s="5">
        <f>12/$AB$1</f>
        <v>6.0606060606060608E-2</v>
      </c>
      <c r="AD376">
        <v>16</v>
      </c>
      <c r="AE376" s="5">
        <f>AD376/AD384</f>
        <v>0.1038961038961039</v>
      </c>
      <c r="AF376" s="5">
        <f>16/$AF$1</f>
        <v>0.1038961038961039</v>
      </c>
      <c r="AH376">
        <v>10</v>
      </c>
      <c r="AI376" s="5">
        <f>AH376/AH384</f>
        <v>8.3333333333333329E-2</v>
      </c>
      <c r="AJ376" s="5">
        <f>10/$AJ$1</f>
        <v>8.3333333333333329E-2</v>
      </c>
      <c r="AL376">
        <v>22</v>
      </c>
      <c r="AM376" s="5">
        <f>AL376/AL384</f>
        <v>5.9459459459459463E-2</v>
      </c>
      <c r="AN376" s="5">
        <f>22/$AN$1</f>
        <v>5.9459459459459463E-2</v>
      </c>
      <c r="AP376">
        <v>31</v>
      </c>
      <c r="AQ376" s="5">
        <f>AP376/AP384</f>
        <v>8.2010582010582006E-2</v>
      </c>
      <c r="AR376" s="5">
        <f>31/$AR$1</f>
        <v>8.2010582010582006E-2</v>
      </c>
      <c r="AT376">
        <v>21</v>
      </c>
      <c r="AU376" s="5">
        <f>AT376/AT384</f>
        <v>8.3333333333333329E-2</v>
      </c>
      <c r="AV376" s="5">
        <f>21/$AV$1</f>
        <v>8.3333333333333329E-2</v>
      </c>
      <c r="AX376">
        <v>14</v>
      </c>
      <c r="AY376" s="5">
        <f>AX376/AX384</f>
        <v>5.128205128205128E-2</v>
      </c>
      <c r="AZ376" s="5">
        <f>14/$AZ$1</f>
        <v>5.128205128205128E-2</v>
      </c>
      <c r="BA376" s="5"/>
      <c r="BB376">
        <v>16</v>
      </c>
      <c r="BC376" s="5">
        <f>BB376/BB384</f>
        <v>7.8817733990147784E-2</v>
      </c>
      <c r="BD376" s="5">
        <f>16/$BD$1</f>
        <v>7.8817733990147784E-2</v>
      </c>
      <c r="BF376">
        <v>23</v>
      </c>
      <c r="BG376" s="5">
        <f>BF376/BF384</f>
        <v>0.10697674418604651</v>
      </c>
      <c r="BH376" s="5">
        <f>23/$BH$1</f>
        <v>0.10697674418604651</v>
      </c>
      <c r="BJ376">
        <v>21</v>
      </c>
      <c r="BK376" s="5">
        <f>BJ376/BJ384</f>
        <v>6.7961165048543687E-2</v>
      </c>
      <c r="BL376" s="5">
        <f>21/$BL$1</f>
        <v>6.7961165048543687E-2</v>
      </c>
      <c r="BN376">
        <v>4</v>
      </c>
      <c r="BO376" s="5">
        <f>BN376/BN384</f>
        <v>8.5106382978723402E-2</v>
      </c>
      <c r="BP376" s="5">
        <f>4/$BP$1</f>
        <v>8.5106382978723402E-2</v>
      </c>
      <c r="BR376">
        <v>29</v>
      </c>
      <c r="BS376" s="5">
        <f>BR376/BR384</f>
        <v>9.2356687898089165E-2</v>
      </c>
      <c r="BT376" s="5">
        <f>29/$BT$1</f>
        <v>9.2356687898089165E-2</v>
      </c>
      <c r="BV376">
        <v>29</v>
      </c>
      <c r="BW376" s="5">
        <f>BV376/BV384</f>
        <v>7.3791348600508899E-2</v>
      </c>
      <c r="BX376" s="5">
        <f>29/$BX$1</f>
        <v>7.3791348600508899E-2</v>
      </c>
      <c r="BZ376">
        <v>12</v>
      </c>
      <c r="CA376" s="5">
        <f>BZ376/BZ384</f>
        <v>4.878048780487805E-2</v>
      </c>
      <c r="CB376" s="5">
        <f>12/$CB$1</f>
        <v>4.878048780487805E-2</v>
      </c>
      <c r="CD376">
        <v>12</v>
      </c>
      <c r="CE376" s="5">
        <f>CD376/CD384</f>
        <v>9.7560975609756101E-2</v>
      </c>
      <c r="CF376" s="5">
        <f>12/$CF$1</f>
        <v>9.7560975609756101E-2</v>
      </c>
      <c r="CH376">
        <v>34</v>
      </c>
      <c r="CI376" s="5">
        <f>CH376/CH384</f>
        <v>4.9418604651162788E-2</v>
      </c>
      <c r="CJ376" s="5">
        <f>34/$CJ$1</f>
        <v>4.9418604651162788E-2</v>
      </c>
      <c r="CL376">
        <v>34</v>
      </c>
      <c r="CM376" s="5">
        <f>CL376/CL384</f>
        <v>4.4854881266490766E-2</v>
      </c>
      <c r="CN376" s="5">
        <f>34/$CN$1</f>
        <v>4.4854881266490766E-2</v>
      </c>
      <c r="CP376">
        <v>40</v>
      </c>
      <c r="CQ376" s="5">
        <f>CP376/CP384</f>
        <v>0.16528925619834711</v>
      </c>
      <c r="CR376" s="5">
        <f>40/$CR$1</f>
        <v>0.16528925619834711</v>
      </c>
      <c r="CT376">
        <v>12</v>
      </c>
      <c r="CU376" s="5">
        <f>CT376/CT384</f>
        <v>3.6036036036036036E-2</v>
      </c>
      <c r="CV376" s="5">
        <f>12/$CV$1</f>
        <v>3.6036036036036036E-2</v>
      </c>
      <c r="CX376">
        <v>62</v>
      </c>
      <c r="CY376" s="5">
        <f>CX376/CX384</f>
        <v>9.2953523238380811E-2</v>
      </c>
      <c r="CZ376" s="5">
        <f>62/$CZ$1</f>
        <v>9.2953523238380811E-2</v>
      </c>
    </row>
    <row r="377" spans="1:104" x14ac:dyDescent="0.25">
      <c r="A377" s="1" t="s">
        <v>2994</v>
      </c>
      <c r="B377">
        <v>190</v>
      </c>
      <c r="C377" s="5">
        <f>B377/B384</f>
        <v>0.19</v>
      </c>
      <c r="D377" s="5">
        <f>190/$D$1</f>
        <v>0.19</v>
      </c>
      <c r="F377">
        <v>117</v>
      </c>
      <c r="G377" s="5">
        <f>F377/F384</f>
        <v>0.23353293413173654</v>
      </c>
      <c r="H377" s="5">
        <f>117/$H$1</f>
        <v>0.23353293413173654</v>
      </c>
      <c r="J377">
        <v>73</v>
      </c>
      <c r="K377" s="5">
        <f>J377/J384</f>
        <v>0.14629258517034069</v>
      </c>
      <c r="L377" s="5">
        <f>73/$L$1</f>
        <v>0.14629258517034069</v>
      </c>
      <c r="N377">
        <v>5</v>
      </c>
      <c r="O377" s="5">
        <f>N377/N384</f>
        <v>5.1546391752577317E-2</v>
      </c>
      <c r="P377" s="5">
        <f>5/$P$1</f>
        <v>5.1546391752577317E-2</v>
      </c>
      <c r="R377">
        <v>29</v>
      </c>
      <c r="S377" s="5">
        <f>R377/R384</f>
        <v>0.14646464646464646</v>
      </c>
      <c r="T377" s="5">
        <f>29/$T$1</f>
        <v>0.14646464646464646</v>
      </c>
      <c r="V377">
        <v>46</v>
      </c>
      <c r="W377" s="5">
        <f>V377/V384</f>
        <v>0.1908713692946058</v>
      </c>
      <c r="X377" s="5">
        <f>46/$X$1</f>
        <v>0.1908713692946058</v>
      </c>
      <c r="Z377">
        <v>33</v>
      </c>
      <c r="AA377" s="5">
        <f>Z377/Z384</f>
        <v>0.16666666666666666</v>
      </c>
      <c r="AB377" s="5">
        <f>33/$AB$1</f>
        <v>0.16666666666666666</v>
      </c>
      <c r="AD377">
        <v>42</v>
      </c>
      <c r="AE377" s="5">
        <f>AD377/AD384</f>
        <v>0.27272727272727271</v>
      </c>
      <c r="AF377" s="5">
        <f>42/$AF$1</f>
        <v>0.27272727272727271</v>
      </c>
      <c r="AH377">
        <v>37</v>
      </c>
      <c r="AI377" s="5">
        <f>AH377/AH384</f>
        <v>0.30833333333333335</v>
      </c>
      <c r="AJ377" s="5">
        <f>37/$AJ$1</f>
        <v>0.30833333333333335</v>
      </c>
      <c r="AL377">
        <v>82</v>
      </c>
      <c r="AM377" s="5">
        <f>AL377/AL384</f>
        <v>0.22162162162162163</v>
      </c>
      <c r="AN377" s="5">
        <f>82/$AN$1</f>
        <v>0.22162162162162163</v>
      </c>
      <c r="AP377">
        <v>73</v>
      </c>
      <c r="AQ377" s="5">
        <f>AP377/AP384</f>
        <v>0.19312169312169311</v>
      </c>
      <c r="AR377" s="5">
        <f>73/$AR$1</f>
        <v>0.19312169312169311</v>
      </c>
      <c r="AT377">
        <v>35</v>
      </c>
      <c r="AU377" s="5">
        <f>AT377/AT384</f>
        <v>0.1388888888888889</v>
      </c>
      <c r="AV377" s="5">
        <f>35/$AV$1</f>
        <v>0.1388888888888889</v>
      </c>
      <c r="AX377">
        <v>50</v>
      </c>
      <c r="AY377" s="5">
        <f>AX377/AX384</f>
        <v>0.18315018315018314</v>
      </c>
      <c r="AZ377" s="5">
        <f>50/$AZ$1</f>
        <v>0.18315018315018314</v>
      </c>
      <c r="BA377" s="5"/>
      <c r="BB377">
        <v>41</v>
      </c>
      <c r="BC377" s="5">
        <f>BB377/BB384</f>
        <v>0.2019704433497537</v>
      </c>
      <c r="BD377" s="5">
        <f>41/$BD$1</f>
        <v>0.2019704433497537</v>
      </c>
      <c r="BF377">
        <v>43</v>
      </c>
      <c r="BG377" s="5">
        <f>BF377/BF384</f>
        <v>0.2</v>
      </c>
      <c r="BH377" s="5">
        <f>43/$BH$1</f>
        <v>0.2</v>
      </c>
      <c r="BJ377">
        <v>56</v>
      </c>
      <c r="BK377" s="5">
        <f>BJ377/BJ384</f>
        <v>0.18122977346278318</v>
      </c>
      <c r="BL377" s="5">
        <f>56/$BL$1</f>
        <v>0.18122977346278318</v>
      </c>
      <c r="BN377">
        <v>10</v>
      </c>
      <c r="BO377" s="5">
        <f>BN377/BN384</f>
        <v>0.21276595744680851</v>
      </c>
      <c r="BP377" s="5">
        <f>10/$BP$1</f>
        <v>0.21276595744680851</v>
      </c>
      <c r="BR377">
        <v>67</v>
      </c>
      <c r="BS377" s="5">
        <f>BR377/BR384</f>
        <v>0.21337579617834396</v>
      </c>
      <c r="BT377" s="5">
        <f>67/$BT$1</f>
        <v>0.21337579617834396</v>
      </c>
      <c r="BV377">
        <v>91</v>
      </c>
      <c r="BW377" s="5">
        <f>BV377/BV384</f>
        <v>0.23155216284987276</v>
      </c>
      <c r="BX377" s="5">
        <f>91/$BX$1</f>
        <v>0.23155216284987276</v>
      </c>
      <c r="BZ377">
        <v>22</v>
      </c>
      <c r="CA377" s="5">
        <f>BZ377/BZ384</f>
        <v>8.943089430894309E-2</v>
      </c>
      <c r="CB377" s="5">
        <f>22/$CB$1</f>
        <v>8.943089430894309E-2</v>
      </c>
      <c r="CD377">
        <v>21</v>
      </c>
      <c r="CE377" s="5">
        <f>CD377/CD384</f>
        <v>0.17073170731707318</v>
      </c>
      <c r="CF377" s="5">
        <f>21/$CF$1</f>
        <v>0.17073170731707318</v>
      </c>
      <c r="CH377">
        <v>124</v>
      </c>
      <c r="CI377" s="5">
        <f>CH377/CH384</f>
        <v>0.18023255813953487</v>
      </c>
      <c r="CJ377" s="5">
        <f>124/$CJ$1</f>
        <v>0.18023255813953487</v>
      </c>
      <c r="CL377">
        <v>115</v>
      </c>
      <c r="CM377" s="5">
        <f>CL377/CL384</f>
        <v>0.15171503957783641</v>
      </c>
      <c r="CN377" s="5">
        <f>115/$CN$1</f>
        <v>0.15171503957783641</v>
      </c>
      <c r="CP377">
        <v>75</v>
      </c>
      <c r="CQ377" s="5">
        <f>CP377/CP384</f>
        <v>0.30991735537190085</v>
      </c>
      <c r="CR377" s="5">
        <f>75/$CR$1</f>
        <v>0.30991735537190085</v>
      </c>
      <c r="CT377">
        <v>35</v>
      </c>
      <c r="CU377" s="5">
        <f>CT377/CT384</f>
        <v>0.10510510510510511</v>
      </c>
      <c r="CV377" s="5">
        <f>35/$CV$1</f>
        <v>0.10510510510510511</v>
      </c>
      <c r="CX377">
        <v>155</v>
      </c>
      <c r="CY377" s="5">
        <f>CX377/CX384</f>
        <v>0.23238380809595202</v>
      </c>
      <c r="CZ377" s="5">
        <f>155/$CZ$1</f>
        <v>0.23238380809595202</v>
      </c>
    </row>
    <row r="378" spans="1:104" x14ac:dyDescent="0.25">
      <c r="A378" s="1" t="s">
        <v>2995</v>
      </c>
      <c r="B378">
        <v>330</v>
      </c>
      <c r="C378" s="5">
        <f>B378/B384</f>
        <v>0.33</v>
      </c>
      <c r="D378" s="5">
        <f>330/$D$1</f>
        <v>0.33</v>
      </c>
      <c r="F378">
        <v>194</v>
      </c>
      <c r="G378" s="5">
        <f>F378/F384</f>
        <v>0.38722554890219563</v>
      </c>
      <c r="H378" s="5">
        <f>194/$H$1</f>
        <v>0.38722554890219563</v>
      </c>
      <c r="J378">
        <v>136</v>
      </c>
      <c r="K378" s="5">
        <f>J378/J384</f>
        <v>0.27254509018036072</v>
      </c>
      <c r="L378" s="5">
        <f>136/$L$1</f>
        <v>0.27254509018036072</v>
      </c>
      <c r="N378">
        <v>23</v>
      </c>
      <c r="O378" s="5">
        <f>N378/N384</f>
        <v>0.23711340206185566</v>
      </c>
      <c r="P378" s="5">
        <f>23/$P$1</f>
        <v>0.23711340206185566</v>
      </c>
      <c r="R378">
        <v>74</v>
      </c>
      <c r="S378" s="5">
        <f>R378/R384</f>
        <v>0.37373737373737376</v>
      </c>
      <c r="T378" s="5">
        <f>74/$T$1</f>
        <v>0.37373737373737376</v>
      </c>
      <c r="V378">
        <v>93</v>
      </c>
      <c r="W378" s="5">
        <f>V378/V384</f>
        <v>0.38589211618257263</v>
      </c>
      <c r="X378" s="5">
        <f>93/$X$1</f>
        <v>0.38589211618257263</v>
      </c>
      <c r="Z378">
        <v>73</v>
      </c>
      <c r="AA378" s="5">
        <f>Z378/Z384</f>
        <v>0.36868686868686867</v>
      </c>
      <c r="AB378" s="5">
        <f>73/$AB$1</f>
        <v>0.36868686868686867</v>
      </c>
      <c r="AD378">
        <v>49</v>
      </c>
      <c r="AE378" s="5">
        <f>AD378/AD384</f>
        <v>0.31818181818181818</v>
      </c>
      <c r="AF378" s="5">
        <f>49/$AF$1</f>
        <v>0.31818181818181818</v>
      </c>
      <c r="AH378">
        <v>21</v>
      </c>
      <c r="AI378" s="5">
        <f>AH378/AH384</f>
        <v>0.17499999999999999</v>
      </c>
      <c r="AJ378" s="5">
        <f>21/$AJ$1</f>
        <v>0.17499999999999999</v>
      </c>
      <c r="AL378">
        <v>120</v>
      </c>
      <c r="AM378" s="5">
        <f>AL378/AL384</f>
        <v>0.32432432432432434</v>
      </c>
      <c r="AN378" s="5">
        <f>120/$AN$1</f>
        <v>0.32432432432432434</v>
      </c>
      <c r="AP378">
        <v>120</v>
      </c>
      <c r="AQ378" s="5">
        <f>AP378/AP384</f>
        <v>0.31746031746031744</v>
      </c>
      <c r="AR378" s="5">
        <f>120/$AR$1</f>
        <v>0.31746031746031744</v>
      </c>
      <c r="AT378">
        <v>90</v>
      </c>
      <c r="AU378" s="5">
        <f>AT378/AT384</f>
        <v>0.35714285714285715</v>
      </c>
      <c r="AV378" s="5">
        <f>90/$AV$1</f>
        <v>0.35714285714285715</v>
      </c>
      <c r="AX378">
        <v>115</v>
      </c>
      <c r="AY378" s="5">
        <f>AX378/AX384</f>
        <v>0.42124542124542125</v>
      </c>
      <c r="AZ378" s="5">
        <f>115/$AZ$1</f>
        <v>0.42124542124542125</v>
      </c>
      <c r="BA378" s="5"/>
      <c r="BB378">
        <v>82</v>
      </c>
      <c r="BC378" s="5">
        <f>BB378/BB384</f>
        <v>0.4039408866995074</v>
      </c>
      <c r="BD378" s="5">
        <f>82/$BD$1</f>
        <v>0.4039408866995074</v>
      </c>
      <c r="BF378">
        <v>73</v>
      </c>
      <c r="BG378" s="5">
        <f>BF378/BF384</f>
        <v>0.33953488372093021</v>
      </c>
      <c r="BH378" s="5">
        <f>73/$BH$1</f>
        <v>0.33953488372093021</v>
      </c>
      <c r="BJ378">
        <v>60</v>
      </c>
      <c r="BK378" s="5">
        <f>BJ378/BJ384</f>
        <v>0.1941747572815534</v>
      </c>
      <c r="BL378" s="5">
        <f>60/$BL$1</f>
        <v>0.1941747572815534</v>
      </c>
      <c r="BN378">
        <v>18</v>
      </c>
      <c r="BO378" s="5">
        <f>BN378/BN384</f>
        <v>0.38297872340425532</v>
      </c>
      <c r="BP378" s="5">
        <f>18/$BP$1</f>
        <v>0.38297872340425532</v>
      </c>
      <c r="BR378">
        <v>99</v>
      </c>
      <c r="BS378" s="5">
        <f>BR378/BR384</f>
        <v>0.31528662420382164</v>
      </c>
      <c r="BT378" s="5">
        <f>99/$BT$1</f>
        <v>0.31528662420382164</v>
      </c>
      <c r="BV378">
        <v>133</v>
      </c>
      <c r="BW378" s="5">
        <f>BV378/BV384</f>
        <v>0.33842239185750639</v>
      </c>
      <c r="BX378" s="5">
        <f>133/$BX$1</f>
        <v>0.33842239185750639</v>
      </c>
      <c r="BZ378">
        <v>80</v>
      </c>
      <c r="CA378" s="5">
        <f>BZ378/BZ384</f>
        <v>0.32520325203252032</v>
      </c>
      <c r="CB378" s="5">
        <f>80/$CB$1</f>
        <v>0.32520325203252032</v>
      </c>
      <c r="CD378">
        <v>38</v>
      </c>
      <c r="CE378" s="5">
        <f>CD378/CD384</f>
        <v>0.30894308943089432</v>
      </c>
      <c r="CF378" s="5">
        <f>38/$CF$1</f>
        <v>0.30894308943089432</v>
      </c>
      <c r="CH378">
        <v>220</v>
      </c>
      <c r="CI378" s="5">
        <f>CH378/CH384</f>
        <v>0.31976744186046513</v>
      </c>
      <c r="CJ378" s="5">
        <f>220/$CJ$1</f>
        <v>0.31976744186046513</v>
      </c>
      <c r="CL378">
        <v>220</v>
      </c>
      <c r="CM378" s="5">
        <f>CL378/CL384</f>
        <v>0.29023746701846964</v>
      </c>
      <c r="CN378" s="5">
        <f>220/$CN$1</f>
        <v>0.29023746701846964</v>
      </c>
      <c r="CP378">
        <v>110</v>
      </c>
      <c r="CQ378" s="5">
        <f>CP378/CP384</f>
        <v>0.45454545454545453</v>
      </c>
      <c r="CR378" s="5">
        <f>110/$CR$1</f>
        <v>0.45454545454545453</v>
      </c>
      <c r="CT378">
        <v>92</v>
      </c>
      <c r="CU378" s="5">
        <f>CT378/CT384</f>
        <v>0.27627627627627627</v>
      </c>
      <c r="CV378" s="5">
        <f>92/$CV$1</f>
        <v>0.27627627627627627</v>
      </c>
      <c r="CX378">
        <v>238</v>
      </c>
      <c r="CY378" s="5">
        <f>CX378/CX384</f>
        <v>0.3568215892053973</v>
      </c>
      <c r="CZ378" s="5">
        <f>238/$CZ$1</f>
        <v>0.3568215892053973</v>
      </c>
    </row>
    <row r="379" spans="1:104" x14ac:dyDescent="0.25">
      <c r="A379" s="1" t="s">
        <v>2996</v>
      </c>
      <c r="B379">
        <v>815</v>
      </c>
      <c r="C379" s="5">
        <f>B379/B384</f>
        <v>0.81499999999999995</v>
      </c>
      <c r="D379" s="5">
        <f>815/$D$1</f>
        <v>0.81499999999999995</v>
      </c>
      <c r="F379">
        <v>414</v>
      </c>
      <c r="G379" s="5">
        <f>F379/F384</f>
        <v>0.82634730538922152</v>
      </c>
      <c r="H379" s="5">
        <f>414/$H$1</f>
        <v>0.82634730538922152</v>
      </c>
      <c r="J379">
        <v>401</v>
      </c>
      <c r="K379" s="5">
        <f>J379/J384</f>
        <v>0.80360721442885774</v>
      </c>
      <c r="L379" s="5">
        <f>401/$L$1</f>
        <v>0.80360721442885774</v>
      </c>
      <c r="N379">
        <v>73</v>
      </c>
      <c r="O379" s="5">
        <f>N379/N384</f>
        <v>0.75257731958762886</v>
      </c>
      <c r="P379" s="5">
        <f>73/$P$1</f>
        <v>0.75257731958762886</v>
      </c>
      <c r="R379">
        <v>160</v>
      </c>
      <c r="S379" s="5">
        <f>R379/R384</f>
        <v>0.80808080808080807</v>
      </c>
      <c r="T379" s="5">
        <f>160/$T$1</f>
        <v>0.80808080808080807</v>
      </c>
      <c r="V379">
        <v>201</v>
      </c>
      <c r="W379" s="5">
        <f>V379/V384</f>
        <v>0.8340248962655602</v>
      </c>
      <c r="X379" s="5">
        <f>201/$X$1</f>
        <v>0.8340248962655602</v>
      </c>
      <c r="Z379">
        <v>161</v>
      </c>
      <c r="AA379" s="5">
        <f>Z379/Z384</f>
        <v>0.81313131313131315</v>
      </c>
      <c r="AB379" s="5">
        <f>161/$AB$1</f>
        <v>0.81313131313131315</v>
      </c>
      <c r="AD379">
        <v>127</v>
      </c>
      <c r="AE379" s="5">
        <f>AD379/AD384</f>
        <v>0.82467532467532467</v>
      </c>
      <c r="AF379" s="5">
        <f>127/$AF$1</f>
        <v>0.82467532467532467</v>
      </c>
      <c r="AH379">
        <v>101</v>
      </c>
      <c r="AI379" s="5">
        <f>AH379/AH384</f>
        <v>0.84166666666666667</v>
      </c>
      <c r="AJ379" s="5">
        <f>101/$AJ$1</f>
        <v>0.84166666666666667</v>
      </c>
      <c r="AL379">
        <v>289</v>
      </c>
      <c r="AM379" s="5">
        <f>AL379/AL384</f>
        <v>0.7810810810810811</v>
      </c>
      <c r="AN379" s="5">
        <f>289/$AN$1</f>
        <v>0.7810810810810811</v>
      </c>
      <c r="AP379">
        <v>310</v>
      </c>
      <c r="AQ379" s="5">
        <f>AP379/AP384</f>
        <v>0.82010582010582012</v>
      </c>
      <c r="AR379" s="5">
        <f>310/$AR$1</f>
        <v>0.82010582010582012</v>
      </c>
      <c r="AT379">
        <v>216</v>
      </c>
      <c r="AU379" s="5">
        <f>AT379/AT384</f>
        <v>0.8571428571428571</v>
      </c>
      <c r="AV379" s="5">
        <f>216/$AV$1</f>
        <v>0.8571428571428571</v>
      </c>
      <c r="AX379">
        <v>226</v>
      </c>
      <c r="AY379" s="5">
        <f>AX379/AX384</f>
        <v>0.82783882783882778</v>
      </c>
      <c r="AZ379" s="5">
        <f>226/$AZ$1</f>
        <v>0.82783882783882778</v>
      </c>
      <c r="BA379" s="5"/>
      <c r="BB379">
        <v>152</v>
      </c>
      <c r="BC379" s="5">
        <f>BB379/BB384</f>
        <v>0.74876847290640391</v>
      </c>
      <c r="BD379" s="5">
        <f>152/$BD$1</f>
        <v>0.74876847290640391</v>
      </c>
      <c r="BF379">
        <v>180</v>
      </c>
      <c r="BG379" s="5">
        <f>BF379/BF384</f>
        <v>0.83720930232558144</v>
      </c>
      <c r="BH379" s="5">
        <f>180/$BH$1</f>
        <v>0.83720930232558144</v>
      </c>
      <c r="BJ379">
        <v>257</v>
      </c>
      <c r="BK379" s="5">
        <f>BJ379/BJ384</f>
        <v>0.83171521035598706</v>
      </c>
      <c r="BL379" s="5">
        <f>257/$BL$1</f>
        <v>0.83171521035598706</v>
      </c>
      <c r="BN379">
        <v>36</v>
      </c>
      <c r="BO379" s="5">
        <f>BN379/BN384</f>
        <v>0.76595744680851063</v>
      </c>
      <c r="BP379" s="5">
        <f>36/$BP$1</f>
        <v>0.76595744680851063</v>
      </c>
      <c r="BR379">
        <v>241</v>
      </c>
      <c r="BS379" s="5">
        <f>BR379/BR384</f>
        <v>0.76751592356687903</v>
      </c>
      <c r="BT379" s="5">
        <f>241/$BT$1</f>
        <v>0.76751592356687903</v>
      </c>
      <c r="BV379">
        <v>327</v>
      </c>
      <c r="BW379" s="5">
        <f>BV379/BV384</f>
        <v>0.83206106870229013</v>
      </c>
      <c r="BX379" s="5">
        <f>327/$BX$1</f>
        <v>0.83206106870229013</v>
      </c>
      <c r="BZ379">
        <v>211</v>
      </c>
      <c r="CA379" s="5">
        <f>BZ379/BZ384</f>
        <v>0.85772357723577231</v>
      </c>
      <c r="CB379" s="5">
        <f>211/$CB$1</f>
        <v>0.85772357723577231</v>
      </c>
      <c r="CD379">
        <v>95</v>
      </c>
      <c r="CE379" s="5">
        <f>CD379/CD384</f>
        <v>0.77235772357723576</v>
      </c>
      <c r="CF379" s="5">
        <f>95/$CF$1</f>
        <v>0.77235772357723576</v>
      </c>
      <c r="CH379">
        <v>558</v>
      </c>
      <c r="CI379" s="5">
        <f>CH379/CH384</f>
        <v>0.81104651162790697</v>
      </c>
      <c r="CJ379" s="5">
        <f>558/$CJ$1</f>
        <v>0.81104651162790697</v>
      </c>
      <c r="CL379">
        <v>599</v>
      </c>
      <c r="CM379" s="5">
        <f>CL379/CL384</f>
        <v>0.79023746701846964</v>
      </c>
      <c r="CN379" s="5">
        <f>599/$CN$1</f>
        <v>0.79023746701846964</v>
      </c>
      <c r="CP379">
        <v>216</v>
      </c>
      <c r="CQ379" s="5">
        <f>CP379/CP384</f>
        <v>0.8925619834710744</v>
      </c>
      <c r="CR379" s="5">
        <f>216/$CR$1</f>
        <v>0.8925619834710744</v>
      </c>
      <c r="CT379">
        <v>253</v>
      </c>
      <c r="CU379" s="5">
        <f>CT379/CT384</f>
        <v>0.75975975975975973</v>
      </c>
      <c r="CV379" s="5">
        <f>253/$CV$1</f>
        <v>0.75975975975975973</v>
      </c>
      <c r="CX379">
        <v>562</v>
      </c>
      <c r="CY379" s="5">
        <f>CX379/CX384</f>
        <v>0.84257871064467771</v>
      </c>
      <c r="CZ379" s="5">
        <f>562/$CZ$1</f>
        <v>0.84257871064467771</v>
      </c>
    </row>
    <row r="380" spans="1:104" x14ac:dyDescent="0.25">
      <c r="A380" s="1" t="s">
        <v>2997</v>
      </c>
      <c r="B380">
        <v>62</v>
      </c>
      <c r="C380" s="5">
        <f>B380/B384</f>
        <v>6.2E-2</v>
      </c>
      <c r="D380" s="5">
        <f>62/$D$1</f>
        <v>6.2E-2</v>
      </c>
      <c r="F380">
        <v>40</v>
      </c>
      <c r="G380" s="5">
        <f>F380/F384</f>
        <v>7.9840319361277445E-2</v>
      </c>
      <c r="H380" s="5">
        <f>40/$H$1</f>
        <v>7.9840319361277445E-2</v>
      </c>
      <c r="J380">
        <v>22</v>
      </c>
      <c r="K380" s="5">
        <f>J380/J384</f>
        <v>4.4088176352705413E-2</v>
      </c>
      <c r="L380" s="5">
        <f>22/$L$1</f>
        <v>4.4088176352705413E-2</v>
      </c>
      <c r="N380">
        <v>6</v>
      </c>
      <c r="O380" s="5">
        <f>N380/N384</f>
        <v>6.1855670103092786E-2</v>
      </c>
      <c r="P380" s="5">
        <f>6/$P$1</f>
        <v>6.1855670103092786E-2</v>
      </c>
      <c r="R380">
        <v>11</v>
      </c>
      <c r="S380" s="5">
        <f>R380/R384</f>
        <v>5.5555555555555552E-2</v>
      </c>
      <c r="T380" s="5">
        <f>11/$T$1</f>
        <v>5.5555555555555552E-2</v>
      </c>
      <c r="V380">
        <v>23</v>
      </c>
      <c r="W380" s="5">
        <f>V380/V384</f>
        <v>9.5435684647302899E-2</v>
      </c>
      <c r="X380" s="5">
        <f>23/$X$1</f>
        <v>9.5435684647302899E-2</v>
      </c>
      <c r="Z380">
        <v>10</v>
      </c>
      <c r="AA380" s="5">
        <f>Z380/Z384</f>
        <v>5.0505050505050504E-2</v>
      </c>
      <c r="AB380" s="5">
        <f>10/$AB$1</f>
        <v>5.0505050505050504E-2</v>
      </c>
      <c r="AD380">
        <v>10</v>
      </c>
      <c r="AE380" s="5">
        <f>AD380/AD384</f>
        <v>6.4935064935064929E-2</v>
      </c>
      <c r="AF380" s="5">
        <f>10/$AF$1</f>
        <v>6.4935064935064929E-2</v>
      </c>
      <c r="AH380">
        <v>3</v>
      </c>
      <c r="AI380" s="5">
        <f>AH380/AH384</f>
        <v>2.5000000000000001E-2</v>
      </c>
      <c r="AJ380" s="5">
        <f>3/$AJ$1</f>
        <v>2.5000000000000001E-2</v>
      </c>
      <c r="AL380">
        <v>30</v>
      </c>
      <c r="AM380" s="5">
        <f>AL380/AL384</f>
        <v>8.1081081081081086E-2</v>
      </c>
      <c r="AN380" s="5">
        <f>30/$AN$1</f>
        <v>8.1081081081081086E-2</v>
      </c>
      <c r="AP380">
        <v>14</v>
      </c>
      <c r="AQ380" s="5">
        <f>AP380/AP384</f>
        <v>3.7037037037037035E-2</v>
      </c>
      <c r="AR380" s="5">
        <f>14/$AR$1</f>
        <v>3.7037037037037035E-2</v>
      </c>
      <c r="AT380">
        <v>18</v>
      </c>
      <c r="AU380" s="5">
        <f>AT380/AT384</f>
        <v>7.1428571428571425E-2</v>
      </c>
      <c r="AV380" s="5">
        <f>18/$AV$1</f>
        <v>7.1428571428571425E-2</v>
      </c>
      <c r="AX380">
        <v>17</v>
      </c>
      <c r="AY380" s="5">
        <f>AX380/AX384</f>
        <v>6.2271062271062272E-2</v>
      </c>
      <c r="AZ380" s="5">
        <f>17/$AZ$1</f>
        <v>6.2271062271062272E-2</v>
      </c>
      <c r="BA380" s="5"/>
      <c r="BB380">
        <v>12</v>
      </c>
      <c r="BC380" s="5">
        <f>BB380/BB384</f>
        <v>5.9113300492610835E-2</v>
      </c>
      <c r="BD380" s="5">
        <f>12/$BD$1</f>
        <v>5.9113300492610835E-2</v>
      </c>
      <c r="BF380">
        <v>14</v>
      </c>
      <c r="BG380" s="5">
        <f>BF380/BF384</f>
        <v>6.5116279069767441E-2</v>
      </c>
      <c r="BH380" s="5">
        <f>14/$BH$1</f>
        <v>6.5116279069767441E-2</v>
      </c>
      <c r="BJ380">
        <v>19</v>
      </c>
      <c r="BK380" s="5">
        <f>BJ380/BJ384</f>
        <v>6.1488673139158574E-2</v>
      </c>
      <c r="BL380" s="5">
        <f>19/$BL$1</f>
        <v>6.1488673139158574E-2</v>
      </c>
      <c r="BN380">
        <v>4</v>
      </c>
      <c r="BO380" s="5">
        <f>BN380/BN384</f>
        <v>8.5106382978723402E-2</v>
      </c>
      <c r="BP380" s="5">
        <f>4/$BP$1</f>
        <v>8.5106382978723402E-2</v>
      </c>
      <c r="BR380">
        <v>19</v>
      </c>
      <c r="BS380" s="5">
        <f>BR380/BR384</f>
        <v>6.0509554140127389E-2</v>
      </c>
      <c r="BT380" s="5">
        <f>19/$BT$1</f>
        <v>6.0509554140127389E-2</v>
      </c>
      <c r="BV380">
        <v>24</v>
      </c>
      <c r="BW380" s="5">
        <f>BV380/BV384</f>
        <v>6.1068702290076333E-2</v>
      </c>
      <c r="BX380" s="5">
        <f>24/$BX$1</f>
        <v>6.1068702290076333E-2</v>
      </c>
      <c r="BZ380">
        <v>15</v>
      </c>
      <c r="CA380" s="5">
        <f>BZ380/BZ384</f>
        <v>6.097560975609756E-2</v>
      </c>
      <c r="CB380" s="5">
        <f>15/$CB$1</f>
        <v>6.097560975609756E-2</v>
      </c>
      <c r="CD380">
        <v>18</v>
      </c>
      <c r="CE380" s="5">
        <f>CD380/CD384</f>
        <v>0.14634146341463414</v>
      </c>
      <c r="CF380" s="5">
        <f>18/$CF$1</f>
        <v>0.14634146341463414</v>
      </c>
      <c r="CH380">
        <v>27</v>
      </c>
      <c r="CI380" s="5">
        <f>CH380/CH384</f>
        <v>3.9244186046511628E-2</v>
      </c>
      <c r="CJ380" s="5">
        <f>27/$CJ$1</f>
        <v>3.9244186046511628E-2</v>
      </c>
      <c r="CL380">
        <v>35</v>
      </c>
      <c r="CM380" s="5">
        <f>CL380/CL384</f>
        <v>4.6174142480211081E-2</v>
      </c>
      <c r="CN380" s="5">
        <f>35/$CN$1</f>
        <v>4.6174142480211081E-2</v>
      </c>
      <c r="CP380">
        <v>27</v>
      </c>
      <c r="CQ380" s="5">
        <f>CP380/CP384</f>
        <v>0.1115702479338843</v>
      </c>
      <c r="CR380" s="5">
        <f>27/$CR$1</f>
        <v>0.1115702479338843</v>
      </c>
      <c r="CT380">
        <v>15</v>
      </c>
      <c r="CU380" s="5">
        <f>CT380/CT384</f>
        <v>4.5045045045045043E-2</v>
      </c>
      <c r="CV380" s="5">
        <f>15/$CV$1</f>
        <v>4.5045045045045043E-2</v>
      </c>
      <c r="CX380">
        <v>47</v>
      </c>
      <c r="CY380" s="5">
        <f>CX380/CX384</f>
        <v>7.0464767616191901E-2</v>
      </c>
      <c r="CZ380" s="5">
        <f>47/$CZ$1</f>
        <v>7.0464767616191901E-2</v>
      </c>
    </row>
    <row r="381" spans="1:104" x14ac:dyDescent="0.25">
      <c r="A381" s="1" t="s">
        <v>2998</v>
      </c>
      <c r="B381">
        <v>292</v>
      </c>
      <c r="C381" s="5">
        <f>B381/B384</f>
        <v>0.29199999999999998</v>
      </c>
      <c r="D381" s="5">
        <f>292/$D$1</f>
        <v>0.29199999999999998</v>
      </c>
      <c r="F381">
        <v>172</v>
      </c>
      <c r="G381" s="5">
        <f>F381/F384</f>
        <v>0.34331337325349304</v>
      </c>
      <c r="H381" s="5">
        <f>172/$H$1</f>
        <v>0.34331337325349304</v>
      </c>
      <c r="J381">
        <v>120</v>
      </c>
      <c r="K381" s="5">
        <f>J381/J384</f>
        <v>0.24048096192384769</v>
      </c>
      <c r="L381" s="5">
        <f>120/$L$1</f>
        <v>0.24048096192384769</v>
      </c>
      <c r="N381">
        <v>26</v>
      </c>
      <c r="O381" s="5">
        <f>N381/N384</f>
        <v>0.26804123711340205</v>
      </c>
      <c r="P381" s="5">
        <f>26/$P$1</f>
        <v>0.26804123711340205</v>
      </c>
      <c r="R381">
        <v>51</v>
      </c>
      <c r="S381" s="5">
        <f>R381/R384</f>
        <v>0.25757575757575757</v>
      </c>
      <c r="T381" s="5">
        <f>51/$T$1</f>
        <v>0.25757575757575757</v>
      </c>
      <c r="V381">
        <v>64</v>
      </c>
      <c r="W381" s="5">
        <f>V381/V384</f>
        <v>0.26556016597510373</v>
      </c>
      <c r="X381" s="5">
        <f>64/$X$1</f>
        <v>0.26556016597510373</v>
      </c>
      <c r="Z381">
        <v>51</v>
      </c>
      <c r="AA381" s="5">
        <f>Z381/Z384</f>
        <v>0.25757575757575757</v>
      </c>
      <c r="AB381" s="5">
        <f>51/$AB$1</f>
        <v>0.25757575757575757</v>
      </c>
      <c r="AD381">
        <v>58</v>
      </c>
      <c r="AE381" s="5">
        <f>AD381/AD384</f>
        <v>0.37662337662337664</v>
      </c>
      <c r="AF381" s="5">
        <f>58/$AF$1</f>
        <v>0.37662337662337664</v>
      </c>
      <c r="AH381">
        <v>45</v>
      </c>
      <c r="AI381" s="5">
        <f>AH381/AH384</f>
        <v>0.375</v>
      </c>
      <c r="AJ381" s="5">
        <f>45/$AJ$1</f>
        <v>0.375</v>
      </c>
      <c r="AL381">
        <v>96</v>
      </c>
      <c r="AM381" s="5">
        <f>AL381/AL384</f>
        <v>0.25945945945945947</v>
      </c>
      <c r="AN381" s="5">
        <f>96/$AN$1</f>
        <v>0.25945945945945947</v>
      </c>
      <c r="AP381">
        <v>100</v>
      </c>
      <c r="AQ381" s="5">
        <f>AP381/AP384</f>
        <v>0.26455026455026454</v>
      </c>
      <c r="AR381" s="5">
        <f>100/$AR$1</f>
        <v>0.26455026455026454</v>
      </c>
      <c r="AT381">
        <v>96</v>
      </c>
      <c r="AU381" s="5">
        <f>AT381/AT384</f>
        <v>0.38095238095238093</v>
      </c>
      <c r="AV381" s="5">
        <f>96/$AV$1</f>
        <v>0.38095238095238093</v>
      </c>
      <c r="AX381">
        <v>77</v>
      </c>
      <c r="AY381" s="5">
        <f>AX381/AX384</f>
        <v>0.28205128205128205</v>
      </c>
      <c r="AZ381" s="5">
        <f>77/$AZ$1</f>
        <v>0.28205128205128205</v>
      </c>
      <c r="BA381" s="5"/>
      <c r="BB381">
        <v>56</v>
      </c>
      <c r="BC381" s="5">
        <f>BB381/BB384</f>
        <v>0.27586206896551724</v>
      </c>
      <c r="BD381" s="5">
        <f>56/$BD$1</f>
        <v>0.27586206896551724</v>
      </c>
      <c r="BF381">
        <v>69</v>
      </c>
      <c r="BG381" s="5">
        <f>BF381/BF384</f>
        <v>0.32093023255813952</v>
      </c>
      <c r="BH381" s="5">
        <f>69/$BH$1</f>
        <v>0.32093023255813952</v>
      </c>
      <c r="BJ381">
        <v>90</v>
      </c>
      <c r="BK381" s="5">
        <f>BJ381/BJ384</f>
        <v>0.29126213592233008</v>
      </c>
      <c r="BL381" s="5">
        <f>90/$BL$1</f>
        <v>0.29126213592233008</v>
      </c>
      <c r="BN381">
        <v>13</v>
      </c>
      <c r="BO381" s="5">
        <f>BN381/BN384</f>
        <v>0.27659574468085107</v>
      </c>
      <c r="BP381" s="5">
        <f>13/$BP$1</f>
        <v>0.27659574468085107</v>
      </c>
      <c r="BR381">
        <v>100</v>
      </c>
      <c r="BS381" s="5">
        <f>BR381/BR384</f>
        <v>0.31847133757961782</v>
      </c>
      <c r="BT381" s="5">
        <f>100/$BT$1</f>
        <v>0.31847133757961782</v>
      </c>
      <c r="BV381">
        <v>113</v>
      </c>
      <c r="BW381" s="5">
        <f>BV381/BV384</f>
        <v>0.2875318066157761</v>
      </c>
      <c r="BX381" s="5">
        <f>113/$BX$1</f>
        <v>0.2875318066157761</v>
      </c>
      <c r="BZ381">
        <v>66</v>
      </c>
      <c r="CA381" s="5">
        <f>BZ381/BZ384</f>
        <v>0.26829268292682928</v>
      </c>
      <c r="CB381" s="5">
        <f>66/$CB$1</f>
        <v>0.26829268292682928</v>
      </c>
      <c r="CD381">
        <v>34</v>
      </c>
      <c r="CE381" s="5">
        <f>CD381/CD384</f>
        <v>0.27642276422764228</v>
      </c>
      <c r="CF381" s="5">
        <f>34/$CF$1</f>
        <v>0.27642276422764228</v>
      </c>
      <c r="CH381">
        <v>189</v>
      </c>
      <c r="CI381" s="5">
        <f>CH381/CH384</f>
        <v>0.27470930232558138</v>
      </c>
      <c r="CJ381" s="5">
        <f>189/$CJ$1</f>
        <v>0.27470930232558138</v>
      </c>
      <c r="CL381">
        <v>206</v>
      </c>
      <c r="CM381" s="5">
        <f>CL381/CL384</f>
        <v>0.27176781002638523</v>
      </c>
      <c r="CN381" s="5">
        <f>206/$CN$1</f>
        <v>0.27176781002638523</v>
      </c>
      <c r="CP381">
        <v>86</v>
      </c>
      <c r="CQ381" s="5">
        <f>CP381/CP384</f>
        <v>0.35537190082644626</v>
      </c>
      <c r="CR381" s="5">
        <f>86/$CR$1</f>
        <v>0.35537190082644626</v>
      </c>
      <c r="CT381">
        <v>81</v>
      </c>
      <c r="CU381" s="5">
        <f>CT381/CT384</f>
        <v>0.24324324324324326</v>
      </c>
      <c r="CV381" s="5">
        <f>81/$CV$1</f>
        <v>0.24324324324324326</v>
      </c>
      <c r="CX381">
        <v>211</v>
      </c>
      <c r="CY381" s="5">
        <f>CX381/CX384</f>
        <v>0.31634182908545727</v>
      </c>
      <c r="CZ381" s="5">
        <f>211/$CZ$1</f>
        <v>0.31634182908545727</v>
      </c>
    </row>
    <row r="383" spans="1:104" x14ac:dyDescent="0.25">
      <c r="A383" s="1" t="s">
        <v>32</v>
      </c>
      <c r="B383">
        <v>0</v>
      </c>
      <c r="C383" s="5">
        <f>B383/B384</f>
        <v>0</v>
      </c>
      <c r="D383" s="5">
        <f>0/$D$1</f>
        <v>0</v>
      </c>
      <c r="F383">
        <v>0</v>
      </c>
      <c r="G383" s="5">
        <f>F383/F384</f>
        <v>0</v>
      </c>
      <c r="H383" s="5">
        <f>0/$H$1</f>
        <v>0</v>
      </c>
      <c r="J383">
        <v>0</v>
      </c>
      <c r="K383" s="5">
        <f>J383/J384</f>
        <v>0</v>
      </c>
      <c r="L383" s="5">
        <f>0/$L$1</f>
        <v>0</v>
      </c>
      <c r="N383">
        <v>0</v>
      </c>
      <c r="O383" s="5">
        <f>N383/N384</f>
        <v>0</v>
      </c>
      <c r="P383" s="5">
        <f>0/$P$1</f>
        <v>0</v>
      </c>
      <c r="R383">
        <v>0</v>
      </c>
      <c r="S383" s="5">
        <f>R383/R384</f>
        <v>0</v>
      </c>
      <c r="T383" s="5">
        <f>0/$T$1</f>
        <v>0</v>
      </c>
      <c r="V383">
        <v>0</v>
      </c>
      <c r="W383" s="5">
        <f>V383/V384</f>
        <v>0</v>
      </c>
      <c r="X383" s="5">
        <f>0/$X$1</f>
        <v>0</v>
      </c>
      <c r="Z383">
        <v>0</v>
      </c>
      <c r="AA383" s="5">
        <f>Z383/Z384</f>
        <v>0</v>
      </c>
      <c r="AB383" s="5">
        <f>0/$AB$1</f>
        <v>0</v>
      </c>
      <c r="AD383">
        <v>0</v>
      </c>
      <c r="AE383" s="5">
        <f>AD383/AD384</f>
        <v>0</v>
      </c>
      <c r="AF383" s="5">
        <f>0/$AF$1</f>
        <v>0</v>
      </c>
      <c r="AH383">
        <v>0</v>
      </c>
      <c r="AI383" s="5">
        <f>AH383/AH384</f>
        <v>0</v>
      </c>
      <c r="AJ383" s="5">
        <f>0/$AJ$1</f>
        <v>0</v>
      </c>
      <c r="AL383">
        <v>0</v>
      </c>
      <c r="AM383" s="5">
        <f>AL383/AL384</f>
        <v>0</v>
      </c>
      <c r="AN383" s="5">
        <f>0/$AN$1</f>
        <v>0</v>
      </c>
      <c r="AP383">
        <v>0</v>
      </c>
      <c r="AQ383" s="5">
        <f>AP383/AP384</f>
        <v>0</v>
      </c>
      <c r="AR383" s="5">
        <f>0/$AR$1</f>
        <v>0</v>
      </c>
      <c r="AT383">
        <v>0</v>
      </c>
      <c r="AU383" s="5">
        <f>AT383/AT384</f>
        <v>0</v>
      </c>
      <c r="AV383" s="5">
        <f>0/$AV$1</f>
        <v>0</v>
      </c>
      <c r="AX383">
        <v>0</v>
      </c>
      <c r="AY383" s="5">
        <f>AX383/AX384</f>
        <v>0</v>
      </c>
      <c r="AZ383" s="5">
        <f>0/$AZ$1</f>
        <v>0</v>
      </c>
      <c r="BA383" s="5"/>
      <c r="BB383">
        <v>0</v>
      </c>
      <c r="BC383" s="5">
        <f>BB383/BB384</f>
        <v>0</v>
      </c>
      <c r="BD383" s="5">
        <f>0/$BD$1</f>
        <v>0</v>
      </c>
      <c r="BF383">
        <v>0</v>
      </c>
      <c r="BG383" s="5">
        <f>BF383/BF384</f>
        <v>0</v>
      </c>
      <c r="BH383" s="5">
        <f>0/$BH$1</f>
        <v>0</v>
      </c>
      <c r="BJ383">
        <v>0</v>
      </c>
      <c r="BK383" s="5">
        <f>BJ383/BJ384</f>
        <v>0</v>
      </c>
      <c r="BL383" s="5">
        <f>0/$BL$1</f>
        <v>0</v>
      </c>
      <c r="BN383">
        <v>0</v>
      </c>
      <c r="BO383" s="5">
        <f>BN383/BN384</f>
        <v>0</v>
      </c>
      <c r="BP383" s="5">
        <f>0/$BP$1</f>
        <v>0</v>
      </c>
      <c r="BR383">
        <v>0</v>
      </c>
      <c r="BS383" s="5">
        <f>BR383/BR384</f>
        <v>0</v>
      </c>
      <c r="BT383" s="5">
        <f>0/$BT$1</f>
        <v>0</v>
      </c>
      <c r="BV383">
        <v>0</v>
      </c>
      <c r="BW383" s="5">
        <f>BV383/BV384</f>
        <v>0</v>
      </c>
      <c r="BX383" s="5">
        <f>0/$BX$1</f>
        <v>0</v>
      </c>
      <c r="BZ383">
        <v>0</v>
      </c>
      <c r="CA383" s="5">
        <f>BZ383/BZ384</f>
        <v>0</v>
      </c>
      <c r="CB383" s="5">
        <f>0/$CB$1</f>
        <v>0</v>
      </c>
      <c r="CD383">
        <v>0</v>
      </c>
      <c r="CE383" s="5">
        <f>CD383/CD384</f>
        <v>0</v>
      </c>
      <c r="CF383" s="5">
        <f>0/$CF$1</f>
        <v>0</v>
      </c>
      <c r="CH383">
        <v>0</v>
      </c>
      <c r="CI383" s="5">
        <f>CH383/CH384</f>
        <v>0</v>
      </c>
      <c r="CJ383" s="5">
        <f>0/$CJ$1</f>
        <v>0</v>
      </c>
      <c r="CL383">
        <v>0</v>
      </c>
      <c r="CM383" s="5">
        <f>CL383/CL384</f>
        <v>0</v>
      </c>
      <c r="CN383" s="5">
        <f>0/$CN$1</f>
        <v>0</v>
      </c>
      <c r="CP383">
        <v>0</v>
      </c>
      <c r="CQ383" s="5">
        <f>CP383/CP384</f>
        <v>0</v>
      </c>
      <c r="CR383" s="5">
        <f>0/$CR$1</f>
        <v>0</v>
      </c>
      <c r="CT383">
        <v>0</v>
      </c>
      <c r="CU383" s="5">
        <f>CT383/CT384</f>
        <v>0</v>
      </c>
      <c r="CV383" s="5">
        <f>0/$CV$1</f>
        <v>0</v>
      </c>
      <c r="CX383">
        <v>0</v>
      </c>
      <c r="CY383" s="5">
        <f>CX383/CX384</f>
        <v>0</v>
      </c>
      <c r="CZ383" s="5">
        <f>0/$CZ$1</f>
        <v>0</v>
      </c>
    </row>
    <row r="384" spans="1:104" s="6" customFormat="1" x14ac:dyDescent="0.25">
      <c r="A384" s="7" t="s">
        <v>33</v>
      </c>
      <c r="B384" s="6">
        <v>1000</v>
      </c>
      <c r="D384" s="8">
        <f>1000/$D$1</f>
        <v>1</v>
      </c>
      <c r="F384" s="6">
        <v>501</v>
      </c>
      <c r="H384" s="8">
        <f>501/$H$1</f>
        <v>1</v>
      </c>
      <c r="J384" s="6">
        <v>499</v>
      </c>
      <c r="L384" s="8">
        <f>499/$L$1</f>
        <v>1</v>
      </c>
      <c r="N384" s="6">
        <v>97</v>
      </c>
      <c r="P384" s="8">
        <f>97/$P$1</f>
        <v>1</v>
      </c>
      <c r="R384" s="6">
        <v>198</v>
      </c>
      <c r="T384" s="8">
        <f>198/$T$1</f>
        <v>1</v>
      </c>
      <c r="V384" s="6">
        <v>241</v>
      </c>
      <c r="X384" s="8">
        <f>241/$X$1</f>
        <v>1</v>
      </c>
      <c r="Z384" s="6">
        <v>198</v>
      </c>
      <c r="AB384" s="8">
        <f>198/$AB$1</f>
        <v>1</v>
      </c>
      <c r="AD384" s="6">
        <v>154</v>
      </c>
      <c r="AF384" s="8">
        <f>154/$AF$1</f>
        <v>1</v>
      </c>
      <c r="AH384" s="6">
        <v>120</v>
      </c>
      <c r="AJ384" s="8">
        <f>120/$AJ$1</f>
        <v>1</v>
      </c>
      <c r="AL384" s="6">
        <v>370</v>
      </c>
      <c r="AN384" s="8">
        <f>370/$AN$1</f>
        <v>1</v>
      </c>
      <c r="AP384" s="6">
        <v>378</v>
      </c>
      <c r="AR384" s="8">
        <f>378/$AR$1</f>
        <v>1</v>
      </c>
      <c r="AT384" s="6">
        <v>252</v>
      </c>
      <c r="AV384" s="8">
        <f>252/$AV$1</f>
        <v>1</v>
      </c>
      <c r="AX384" s="6">
        <v>273</v>
      </c>
      <c r="AZ384" s="8">
        <f>273/$AZ$1</f>
        <v>1</v>
      </c>
      <c r="BA384" s="8"/>
      <c r="BB384" s="6">
        <v>203</v>
      </c>
      <c r="BD384" s="8">
        <f>203/$BD$1</f>
        <v>1</v>
      </c>
      <c r="BF384" s="6">
        <v>215</v>
      </c>
      <c r="BH384" s="8">
        <f>215/$BH$1</f>
        <v>1</v>
      </c>
      <c r="BJ384" s="6">
        <v>309</v>
      </c>
      <c r="BL384" s="8">
        <f>309/$BL$1</f>
        <v>1</v>
      </c>
      <c r="BN384" s="6">
        <v>47</v>
      </c>
      <c r="BP384" s="8">
        <f>47/$BP$1</f>
        <v>1</v>
      </c>
      <c r="BR384" s="6">
        <v>314</v>
      </c>
      <c r="BT384" s="8">
        <f>314/$BT$1</f>
        <v>1</v>
      </c>
      <c r="BV384" s="6">
        <v>393</v>
      </c>
      <c r="BX384" s="8">
        <f>393/$BX$1</f>
        <v>1</v>
      </c>
      <c r="BZ384" s="6">
        <v>246</v>
      </c>
      <c r="CB384" s="8">
        <f>246/$CB$1</f>
        <v>1</v>
      </c>
      <c r="CD384" s="6">
        <v>123</v>
      </c>
      <c r="CF384" s="8">
        <f>123/$CF$1</f>
        <v>1</v>
      </c>
      <c r="CH384" s="6">
        <v>688</v>
      </c>
      <c r="CJ384" s="8">
        <f>688/$CJ$1</f>
        <v>1</v>
      </c>
      <c r="CL384" s="6">
        <v>758</v>
      </c>
      <c r="CN384" s="8">
        <f>758/$CN$1</f>
        <v>1</v>
      </c>
      <c r="CP384" s="6">
        <v>242</v>
      </c>
      <c r="CR384" s="8">
        <f>242/$CR$1</f>
        <v>1</v>
      </c>
      <c r="CT384" s="6">
        <v>333</v>
      </c>
      <c r="CV384" s="8">
        <f>333/$CV$1</f>
        <v>1</v>
      </c>
      <c r="CX384" s="6">
        <v>667</v>
      </c>
      <c r="CZ384" s="8">
        <f>667/$CZ$1</f>
        <v>1</v>
      </c>
    </row>
    <row r="385" spans="1:104" ht="15" hidden="1" customHeight="1" x14ac:dyDescent="0.25">
      <c r="A385" s="9" t="s">
        <v>34</v>
      </c>
      <c r="B385">
        <v>0</v>
      </c>
      <c r="D385" s="10">
        <f>0/$D$1</f>
        <v>0</v>
      </c>
      <c r="F385">
        <v>0</v>
      </c>
      <c r="H385" s="10">
        <f>0/$H$1</f>
        <v>0</v>
      </c>
      <c r="J385">
        <v>0</v>
      </c>
      <c r="L385" s="10">
        <f>0/$L$1</f>
        <v>0</v>
      </c>
      <c r="N385">
        <v>0</v>
      </c>
      <c r="P385" s="10">
        <f>0/$P$1</f>
        <v>0</v>
      </c>
      <c r="R385">
        <v>0</v>
      </c>
      <c r="T385" s="10">
        <f>0/$T$1</f>
        <v>0</v>
      </c>
      <c r="V385">
        <v>0</v>
      </c>
      <c r="X385" s="10">
        <f>0/$X$1</f>
        <v>0</v>
      </c>
      <c r="Z385">
        <v>0</v>
      </c>
      <c r="AB385" s="10">
        <f>0/$AB$1</f>
        <v>0</v>
      </c>
      <c r="AD385">
        <v>0</v>
      </c>
      <c r="AF385" s="10">
        <f>0/$AF$1</f>
        <v>0</v>
      </c>
      <c r="AH385">
        <v>0</v>
      </c>
      <c r="AJ385" s="10">
        <f>0/$AJ$1</f>
        <v>0</v>
      </c>
      <c r="AL385">
        <v>0</v>
      </c>
      <c r="AN385" s="10">
        <f>0/$AN$1</f>
        <v>0</v>
      </c>
      <c r="AP385">
        <v>0</v>
      </c>
      <c r="AR385" s="10">
        <f>0/$AR$1</f>
        <v>0</v>
      </c>
      <c r="AT385">
        <v>0</v>
      </c>
      <c r="AV385" s="10">
        <f>0/$AV$1</f>
        <v>0</v>
      </c>
      <c r="AX385">
        <v>0</v>
      </c>
      <c r="AZ385" s="10">
        <f>0/$AZ$1</f>
        <v>0</v>
      </c>
      <c r="BA385" s="10"/>
      <c r="BB385">
        <v>0</v>
      </c>
      <c r="BD385" s="10">
        <f>0/$BD$1</f>
        <v>0</v>
      </c>
      <c r="BF385">
        <v>0</v>
      </c>
      <c r="BH385" s="10">
        <f>0/$BH$1</f>
        <v>0</v>
      </c>
      <c r="BJ385">
        <v>0</v>
      </c>
      <c r="BL385" s="10">
        <f>0/$BL$1</f>
        <v>0</v>
      </c>
      <c r="BN385">
        <v>0</v>
      </c>
      <c r="BP385" s="10">
        <f>0/$BP$1</f>
        <v>0</v>
      </c>
      <c r="BR385">
        <v>0</v>
      </c>
      <c r="BT385" s="10">
        <f>0/$BT$1</f>
        <v>0</v>
      </c>
      <c r="BV385">
        <v>0</v>
      </c>
      <c r="BX385" s="10">
        <f>0/$BX$1</f>
        <v>0</v>
      </c>
      <c r="BZ385">
        <v>0</v>
      </c>
      <c r="CB385" s="10">
        <f>0/$CB$1</f>
        <v>0</v>
      </c>
      <c r="CD385">
        <v>0</v>
      </c>
      <c r="CF385" s="10">
        <f>0/$CF$1</f>
        <v>0</v>
      </c>
      <c r="CH385">
        <v>0</v>
      </c>
      <c r="CJ385" s="10">
        <f>0/$CJ$1</f>
        <v>0</v>
      </c>
      <c r="CL385">
        <v>0</v>
      </c>
      <c r="CN385" s="10">
        <f>0/$CN$1</f>
        <v>0</v>
      </c>
      <c r="CP385">
        <v>0</v>
      </c>
      <c r="CR385" s="10">
        <f>0/$CR$1</f>
        <v>0</v>
      </c>
      <c r="CT385">
        <v>0</v>
      </c>
      <c r="CV385" s="10">
        <f>0/$CV$1</f>
        <v>0</v>
      </c>
      <c r="CX385">
        <v>0</v>
      </c>
      <c r="CZ385" s="10">
        <f>0/$CZ$1</f>
        <v>0</v>
      </c>
    </row>
    <row r="386" spans="1:104" ht="15" hidden="1" customHeight="1" x14ac:dyDescent="0.25">
      <c r="A386" s="9" t="s">
        <v>35</v>
      </c>
      <c r="B386">
        <v>0</v>
      </c>
      <c r="D386" s="10">
        <f>0/$D$1</f>
        <v>0</v>
      </c>
      <c r="F386">
        <v>0</v>
      </c>
      <c r="H386" s="10">
        <f>0/$H$1</f>
        <v>0</v>
      </c>
      <c r="J386">
        <v>0</v>
      </c>
      <c r="L386" s="10">
        <f>0/$L$1</f>
        <v>0</v>
      </c>
      <c r="N386">
        <v>0</v>
      </c>
      <c r="P386" s="10">
        <f>0/$P$1</f>
        <v>0</v>
      </c>
      <c r="R386">
        <v>0</v>
      </c>
      <c r="T386" s="10">
        <f>0/$T$1</f>
        <v>0</v>
      </c>
      <c r="V386">
        <v>0</v>
      </c>
      <c r="X386" s="10">
        <f>0/$X$1</f>
        <v>0</v>
      </c>
      <c r="Z386">
        <v>0</v>
      </c>
      <c r="AB386" s="10">
        <f>0/$AB$1</f>
        <v>0</v>
      </c>
      <c r="AD386">
        <v>0</v>
      </c>
      <c r="AF386" s="10">
        <f>0/$AF$1</f>
        <v>0</v>
      </c>
      <c r="AH386">
        <v>0</v>
      </c>
      <c r="AJ386" s="10">
        <f>0/$AJ$1</f>
        <v>0</v>
      </c>
      <c r="AL386">
        <v>0</v>
      </c>
      <c r="AN386" s="10">
        <f>0/$AN$1</f>
        <v>0</v>
      </c>
      <c r="AP386">
        <v>0</v>
      </c>
      <c r="AR386" s="10">
        <f>0/$AR$1</f>
        <v>0</v>
      </c>
      <c r="AT386">
        <v>0</v>
      </c>
      <c r="AV386" s="10">
        <f>0/$AV$1</f>
        <v>0</v>
      </c>
      <c r="AX386">
        <v>0</v>
      </c>
      <c r="AZ386" s="10">
        <f>0/$AZ$1</f>
        <v>0</v>
      </c>
      <c r="BA386" s="10"/>
      <c r="BB386">
        <v>0</v>
      </c>
      <c r="BD386" s="10">
        <f>0/$BD$1</f>
        <v>0</v>
      </c>
      <c r="BF386">
        <v>0</v>
      </c>
      <c r="BH386" s="10">
        <f>0/$BH$1</f>
        <v>0</v>
      </c>
      <c r="BJ386">
        <v>0</v>
      </c>
      <c r="BL386" s="10">
        <f>0/$BL$1</f>
        <v>0</v>
      </c>
      <c r="BN386">
        <v>0</v>
      </c>
      <c r="BP386" s="10">
        <f>0/$BP$1</f>
        <v>0</v>
      </c>
      <c r="BR386">
        <v>0</v>
      </c>
      <c r="BT386" s="10">
        <f>0/$BT$1</f>
        <v>0</v>
      </c>
      <c r="BV386">
        <v>0</v>
      </c>
      <c r="BX386" s="10">
        <f>0/$BX$1</f>
        <v>0</v>
      </c>
      <c r="BZ386">
        <v>0</v>
      </c>
      <c r="CB386" s="10">
        <f>0/$CB$1</f>
        <v>0</v>
      </c>
      <c r="CD386">
        <v>0</v>
      </c>
      <c r="CF386" s="10">
        <f>0/$CF$1</f>
        <v>0</v>
      </c>
      <c r="CH386">
        <v>0</v>
      </c>
      <c r="CJ386" s="10">
        <f>0/$CJ$1</f>
        <v>0</v>
      </c>
      <c r="CL386">
        <v>0</v>
      </c>
      <c r="CN386" s="10">
        <f>0/$CN$1</f>
        <v>0</v>
      </c>
      <c r="CP386">
        <v>0</v>
      </c>
      <c r="CR386" s="10">
        <f>0/$CR$1</f>
        <v>0</v>
      </c>
      <c r="CT386">
        <v>0</v>
      </c>
      <c r="CV386" s="10">
        <f>0/$CV$1</f>
        <v>0</v>
      </c>
      <c r="CX386">
        <v>0</v>
      </c>
      <c r="CZ386" s="10">
        <f>0/$CZ$1</f>
        <v>0</v>
      </c>
    </row>
    <row r="388" spans="1:104" s="3" customFormat="1" x14ac:dyDescent="0.25">
      <c r="A388" s="11" t="str">
        <f>HYPERLINK("#recall!A1","A na závěr nás zajímá. &lt;br&gt;&lt;br&gt;Jaké **ekologické problémy** podle vás nevíce **zatěžují** naši krajinu?")</f>
        <v>A na závěr nás zajímá. &lt;br&gt;&lt;br&gt;Jaké **ekologické problémy** podle vás nevíce **zatěžují** naši krajinu?</v>
      </c>
      <c r="D388" s="4" t="s">
        <v>27</v>
      </c>
      <c r="H388" s="4" t="s">
        <v>27</v>
      </c>
      <c r="L388" s="4" t="s">
        <v>27</v>
      </c>
      <c r="P388" s="4" t="s">
        <v>27</v>
      </c>
      <c r="T388" s="4" t="s">
        <v>27</v>
      </c>
      <c r="X388" s="4" t="s">
        <v>27</v>
      </c>
      <c r="AB388" s="4" t="s">
        <v>27</v>
      </c>
      <c r="AF388" s="4" t="s">
        <v>27</v>
      </c>
      <c r="AJ388" s="4" t="s">
        <v>27</v>
      </c>
      <c r="AN388" s="4" t="s">
        <v>27</v>
      </c>
      <c r="AR388" s="4" t="s">
        <v>27</v>
      </c>
      <c r="AV388" s="4" t="s">
        <v>27</v>
      </c>
      <c r="AZ388" s="4" t="s">
        <v>27</v>
      </c>
      <c r="BA388" s="4"/>
      <c r="BD388" s="4" t="s">
        <v>27</v>
      </c>
      <c r="BH388" s="4" t="s">
        <v>27</v>
      </c>
      <c r="BL388" s="4" t="s">
        <v>27</v>
      </c>
      <c r="BP388" s="4" t="s">
        <v>27</v>
      </c>
      <c r="BT388" s="4" t="s">
        <v>27</v>
      </c>
      <c r="BX388" s="4" t="s">
        <v>27</v>
      </c>
      <c r="CB388" s="4" t="s">
        <v>27</v>
      </c>
      <c r="CF388" s="4" t="s">
        <v>27</v>
      </c>
      <c r="CJ388" s="4" t="s">
        <v>27</v>
      </c>
      <c r="CN388" s="4" t="s">
        <v>27</v>
      </c>
      <c r="CR388" s="4" t="s">
        <v>27</v>
      </c>
      <c r="CV388" s="4" t="s">
        <v>27</v>
      </c>
      <c r="CZ388" s="4" t="s">
        <v>27</v>
      </c>
    </row>
    <row r="389" spans="1:104" x14ac:dyDescent="0.25">
      <c r="A389" s="1" t="s">
        <v>909</v>
      </c>
      <c r="B389">
        <v>1433</v>
      </c>
      <c r="C389" s="5">
        <f>B389/B391</f>
        <v>1.4330000000000001</v>
      </c>
      <c r="D389" s="5">
        <f>1433/$D$1</f>
        <v>1.4330000000000001</v>
      </c>
      <c r="F389">
        <v>699</v>
      </c>
      <c r="G389" s="5">
        <f>F389/F391</f>
        <v>1.3952095808383234</v>
      </c>
      <c r="H389" s="5">
        <f>699/$H$1</f>
        <v>1.3952095808383234</v>
      </c>
      <c r="J389">
        <v>734</v>
      </c>
      <c r="K389" s="5">
        <f>J389/J391</f>
        <v>1.470941883767535</v>
      </c>
      <c r="L389" s="5">
        <f>734/$L$1</f>
        <v>1.470941883767535</v>
      </c>
      <c r="N389">
        <v>119</v>
      </c>
      <c r="O389" s="5">
        <f>N389/N391</f>
        <v>1.2268041237113403</v>
      </c>
      <c r="P389" s="5">
        <f>119/$P$1</f>
        <v>1.2268041237113403</v>
      </c>
      <c r="R389">
        <v>287</v>
      </c>
      <c r="S389" s="5">
        <f>R389/R391</f>
        <v>1.4494949494949494</v>
      </c>
      <c r="T389" s="5">
        <f>287/$T$1</f>
        <v>1.4494949494949494</v>
      </c>
      <c r="V389">
        <v>355</v>
      </c>
      <c r="W389" s="5">
        <f>V389/V391</f>
        <v>1.4730290456431536</v>
      </c>
      <c r="X389" s="5">
        <f>355/$X$1</f>
        <v>1.4730290456431536</v>
      </c>
      <c r="Z389">
        <v>265</v>
      </c>
      <c r="AA389" s="5">
        <f>Z389/Z391</f>
        <v>1.3383838383838385</v>
      </c>
      <c r="AB389" s="5">
        <f>265/$AB$1</f>
        <v>1.3383838383838385</v>
      </c>
      <c r="AD389">
        <v>215</v>
      </c>
      <c r="AE389" s="5">
        <f>AD389/AD391</f>
        <v>1.3961038961038961</v>
      </c>
      <c r="AF389" s="5">
        <f>215/$AF$1</f>
        <v>1.3961038961038961</v>
      </c>
      <c r="AH389">
        <v>203</v>
      </c>
      <c r="AI389" s="5">
        <f>AH389/AH391</f>
        <v>1.6916666666666667</v>
      </c>
      <c r="AJ389" s="5">
        <f>203/$AJ$1</f>
        <v>1.6916666666666667</v>
      </c>
      <c r="AL389">
        <v>484</v>
      </c>
      <c r="AM389" s="5">
        <f>AL389/AL391</f>
        <v>1.3081081081081081</v>
      </c>
      <c r="AN389" s="5">
        <f>484/$AN$1</f>
        <v>1.3081081081081081</v>
      </c>
      <c r="AP389">
        <v>567</v>
      </c>
      <c r="AQ389" s="5">
        <f>AP389/AP391</f>
        <v>1.5</v>
      </c>
      <c r="AR389" s="5">
        <f>567/$AR$1</f>
        <v>1.5</v>
      </c>
      <c r="AT389">
        <v>382</v>
      </c>
      <c r="AU389" s="5">
        <f>AT389/AT391</f>
        <v>1.5158730158730158</v>
      </c>
      <c r="AV389" s="5">
        <f>382/$AV$1</f>
        <v>1.5158730158730158</v>
      </c>
      <c r="AX389">
        <v>375</v>
      </c>
      <c r="AY389" s="5">
        <f>AX389/AX391</f>
        <v>1.3736263736263736</v>
      </c>
      <c r="AZ389" s="5">
        <f>375/$AZ$1</f>
        <v>1.3736263736263736</v>
      </c>
      <c r="BA389" s="5"/>
      <c r="BB389">
        <v>277</v>
      </c>
      <c r="BC389" s="5">
        <f>BB389/BB391</f>
        <v>1.3645320197044335</v>
      </c>
      <c r="BD389" s="5">
        <f>277/$BD$1</f>
        <v>1.3645320197044335</v>
      </c>
      <c r="BF389">
        <v>307</v>
      </c>
      <c r="BG389" s="5">
        <f>BF389/BF391</f>
        <v>1.4279069767441861</v>
      </c>
      <c r="BH389" s="5">
        <f>307/$BH$1</f>
        <v>1.4279069767441861</v>
      </c>
      <c r="BJ389">
        <v>474</v>
      </c>
      <c r="BK389" s="5">
        <f>BJ389/BJ391</f>
        <v>1.5339805825242718</v>
      </c>
      <c r="BL389" s="5">
        <f>474/$BL$1</f>
        <v>1.5339805825242718</v>
      </c>
      <c r="BN389">
        <v>44</v>
      </c>
      <c r="BO389" s="5">
        <f>BN389/BN391</f>
        <v>0.93617021276595747</v>
      </c>
      <c r="BP389" s="5">
        <f>44/$BP$1</f>
        <v>0.93617021276595747</v>
      </c>
      <c r="BR389">
        <v>359</v>
      </c>
      <c r="BS389" s="5">
        <f>BR389/BR391</f>
        <v>1.1433121019108281</v>
      </c>
      <c r="BT389" s="5">
        <f>359/$BT$1</f>
        <v>1.1433121019108281</v>
      </c>
      <c r="BV389">
        <v>551</v>
      </c>
      <c r="BW389" s="5">
        <f>BV389/BV391</f>
        <v>1.4020356234096691</v>
      </c>
      <c r="BX389" s="5">
        <f>551/$BX$1</f>
        <v>1.4020356234096691</v>
      </c>
      <c r="BZ389">
        <v>479</v>
      </c>
      <c r="CA389" s="5">
        <f>BZ389/BZ391</f>
        <v>1.9471544715447155</v>
      </c>
      <c r="CB389" s="5">
        <f>479/$CB$1</f>
        <v>1.9471544715447155</v>
      </c>
      <c r="CD389">
        <v>171</v>
      </c>
      <c r="CE389" s="5">
        <f>CD389/CD391</f>
        <v>1.3902439024390243</v>
      </c>
      <c r="CF389" s="5">
        <f>171/$CF$1</f>
        <v>1.3902439024390243</v>
      </c>
      <c r="CH389">
        <v>1012</v>
      </c>
      <c r="CI389" s="5">
        <f>CH389/CH391</f>
        <v>1.4709302325581395</v>
      </c>
      <c r="CJ389" s="5">
        <f>1012/$CJ$1</f>
        <v>1.4709302325581395</v>
      </c>
      <c r="CL389">
        <v>1091</v>
      </c>
      <c r="CM389" s="5">
        <f>CL389/CL391</f>
        <v>1.4393139841688654</v>
      </c>
      <c r="CN389" s="5">
        <f>1091/$CN$1</f>
        <v>1.4393139841688654</v>
      </c>
      <c r="CP389">
        <v>342</v>
      </c>
      <c r="CQ389" s="5">
        <f>CP389/CP391</f>
        <v>1.4132231404958677</v>
      </c>
      <c r="CR389" s="5">
        <f>342/$CR$1</f>
        <v>1.4132231404958677</v>
      </c>
      <c r="CT389">
        <v>565</v>
      </c>
      <c r="CU389" s="5">
        <f>CT389/CT391</f>
        <v>1.6966966966966968</v>
      </c>
      <c r="CV389" s="5">
        <f>565/$CV$1</f>
        <v>1.6966966966966968</v>
      </c>
      <c r="CX389">
        <v>868</v>
      </c>
      <c r="CY389" s="5">
        <f>CX389/CX391</f>
        <v>1.3013493253373314</v>
      </c>
      <c r="CZ389" s="5">
        <f>868/$CZ$1</f>
        <v>1.3013493253373314</v>
      </c>
    </row>
    <row r="390" spans="1:104" x14ac:dyDescent="0.25">
      <c r="A390" s="1" t="s">
        <v>32</v>
      </c>
      <c r="B390">
        <v>310</v>
      </c>
      <c r="C390" s="5">
        <f>B390/B391</f>
        <v>0.31</v>
      </c>
      <c r="D390" s="5">
        <f>310/$D$1</f>
        <v>0.31</v>
      </c>
      <c r="F390">
        <v>147</v>
      </c>
      <c r="G390" s="5">
        <f>F390/F391</f>
        <v>0.29341317365269459</v>
      </c>
      <c r="H390" s="5">
        <f>147/$H$1</f>
        <v>0.29341317365269459</v>
      </c>
      <c r="J390">
        <v>163</v>
      </c>
      <c r="K390" s="5">
        <f>J390/J391</f>
        <v>0.32665330661322645</v>
      </c>
      <c r="L390" s="5">
        <f>163/$L$1</f>
        <v>0.32665330661322645</v>
      </c>
      <c r="N390">
        <v>41</v>
      </c>
      <c r="O390" s="5">
        <f>N390/N391</f>
        <v>0.42268041237113402</v>
      </c>
      <c r="P390" s="5">
        <f>41/$P$1</f>
        <v>0.42268041237113402</v>
      </c>
      <c r="R390">
        <v>69</v>
      </c>
      <c r="S390" s="5">
        <f>R390/R391</f>
        <v>0.34848484848484851</v>
      </c>
      <c r="T390" s="5">
        <f>69/$T$1</f>
        <v>0.34848484848484851</v>
      </c>
      <c r="V390">
        <v>65</v>
      </c>
      <c r="W390" s="5">
        <f>V390/V391</f>
        <v>0.26970954356846472</v>
      </c>
      <c r="X390" s="5">
        <f>65/$X$1</f>
        <v>0.26970954356846472</v>
      </c>
      <c r="Z390">
        <v>66</v>
      </c>
      <c r="AA390" s="5">
        <f>Z390/Z391</f>
        <v>0.33333333333333331</v>
      </c>
      <c r="AB390" s="5">
        <f>66/$AB$1</f>
        <v>0.33333333333333331</v>
      </c>
      <c r="AD390">
        <v>44</v>
      </c>
      <c r="AE390" s="5">
        <f>AD390/AD391</f>
        <v>0.2857142857142857</v>
      </c>
      <c r="AF390" s="5">
        <f>44/$AF$1</f>
        <v>0.2857142857142857</v>
      </c>
      <c r="AH390">
        <v>26</v>
      </c>
      <c r="AI390" s="5">
        <f>AH390/AH391</f>
        <v>0.21666666666666667</v>
      </c>
      <c r="AJ390" s="5">
        <f>26/$AJ$1</f>
        <v>0.21666666666666667</v>
      </c>
      <c r="AL390">
        <v>133</v>
      </c>
      <c r="AM390" s="5">
        <f>AL390/AL391</f>
        <v>0.35945945945945945</v>
      </c>
      <c r="AN390" s="5">
        <f>133/$AN$1</f>
        <v>0.35945945945945945</v>
      </c>
      <c r="AP390">
        <v>100</v>
      </c>
      <c r="AQ390" s="5">
        <f>AP390/AP391</f>
        <v>0.26455026455026454</v>
      </c>
      <c r="AR390" s="5">
        <f>100/$AR$1</f>
        <v>0.26455026455026454</v>
      </c>
      <c r="AT390">
        <v>77</v>
      </c>
      <c r="AU390" s="5">
        <f>AT390/AT391</f>
        <v>0.30555555555555558</v>
      </c>
      <c r="AV390" s="5">
        <f>77/$AV$1</f>
        <v>0.30555555555555558</v>
      </c>
      <c r="AX390">
        <v>88</v>
      </c>
      <c r="AY390" s="5">
        <f>AX390/AX391</f>
        <v>0.32234432234432236</v>
      </c>
      <c r="AZ390" s="5">
        <f>88/$AZ$1</f>
        <v>0.32234432234432236</v>
      </c>
      <c r="BA390" s="5"/>
      <c r="BB390">
        <v>68</v>
      </c>
      <c r="BC390" s="5">
        <f>BB390/BB391</f>
        <v>0.33497536945812806</v>
      </c>
      <c r="BD390" s="5">
        <f>68/$BD$1</f>
        <v>0.33497536945812806</v>
      </c>
      <c r="BF390">
        <v>66</v>
      </c>
      <c r="BG390" s="5">
        <f>BF390/BF391</f>
        <v>0.30697674418604654</v>
      </c>
      <c r="BH390" s="5">
        <f>66/$BH$1</f>
        <v>0.30697674418604654</v>
      </c>
      <c r="BJ390">
        <v>88</v>
      </c>
      <c r="BK390" s="5">
        <f>BJ390/BJ391</f>
        <v>0.28478964401294499</v>
      </c>
      <c r="BL390" s="5">
        <f>88/$BL$1</f>
        <v>0.28478964401294499</v>
      </c>
      <c r="BN390">
        <v>23</v>
      </c>
      <c r="BO390" s="5">
        <f>BN390/BN391</f>
        <v>0.48936170212765956</v>
      </c>
      <c r="BP390" s="5">
        <f>23/$BP$1</f>
        <v>0.48936170212765956</v>
      </c>
      <c r="BR390">
        <v>117</v>
      </c>
      <c r="BS390" s="5">
        <f>BR390/BR391</f>
        <v>0.37261146496815284</v>
      </c>
      <c r="BT390" s="5">
        <f>117/$BT$1</f>
        <v>0.37261146496815284</v>
      </c>
      <c r="BV390">
        <v>130</v>
      </c>
      <c r="BW390" s="5">
        <f>BV390/BV391</f>
        <v>0.33078880407124683</v>
      </c>
      <c r="BX390" s="5">
        <f>130/$BX$1</f>
        <v>0.33078880407124683</v>
      </c>
      <c r="BZ390">
        <v>40</v>
      </c>
      <c r="CA390" s="5">
        <f>BZ390/BZ391</f>
        <v>0.16260162601626016</v>
      </c>
      <c r="CB390" s="5">
        <f>40/$CB$1</f>
        <v>0.16260162601626016</v>
      </c>
      <c r="CD390">
        <v>40</v>
      </c>
      <c r="CE390" s="5">
        <f>CD390/CD391</f>
        <v>0.32520325203252032</v>
      </c>
      <c r="CF390" s="5">
        <f>40/$CF$1</f>
        <v>0.32520325203252032</v>
      </c>
      <c r="CH390">
        <v>205</v>
      </c>
      <c r="CI390" s="5">
        <f>CH390/CH391</f>
        <v>0.29796511627906974</v>
      </c>
      <c r="CJ390" s="5">
        <f>205/$CJ$1</f>
        <v>0.29796511627906974</v>
      </c>
      <c r="CL390">
        <v>244</v>
      </c>
      <c r="CM390" s="5">
        <f>CL390/CL391</f>
        <v>0.32189973614775724</v>
      </c>
      <c r="CN390" s="5">
        <f>244/$CN$1</f>
        <v>0.32189973614775724</v>
      </c>
      <c r="CP390">
        <v>66</v>
      </c>
      <c r="CQ390" s="5">
        <f>CP390/CP391</f>
        <v>0.27272727272727271</v>
      </c>
      <c r="CR390" s="5">
        <f>66/$CR$1</f>
        <v>0.27272727272727271</v>
      </c>
      <c r="CT390">
        <v>78</v>
      </c>
      <c r="CU390" s="5">
        <f>CT390/CT391</f>
        <v>0.23423423423423423</v>
      </c>
      <c r="CV390" s="5">
        <f>78/$CV$1</f>
        <v>0.23423423423423423</v>
      </c>
      <c r="CX390">
        <v>232</v>
      </c>
      <c r="CY390" s="5">
        <f>CX390/CX391</f>
        <v>0.34782608695652173</v>
      </c>
      <c r="CZ390" s="5">
        <f>232/$CZ$1</f>
        <v>0.34782608695652173</v>
      </c>
    </row>
    <row r="391" spans="1:104" s="6" customFormat="1" x14ac:dyDescent="0.25">
      <c r="A391" s="7" t="s">
        <v>33</v>
      </c>
      <c r="B391" s="6">
        <v>1000</v>
      </c>
      <c r="D391" s="8">
        <f>1000/$D$1</f>
        <v>1</v>
      </c>
      <c r="F391" s="6">
        <v>501</v>
      </c>
      <c r="H391" s="8">
        <f>501/$H$1</f>
        <v>1</v>
      </c>
      <c r="J391" s="6">
        <v>499</v>
      </c>
      <c r="L391" s="8">
        <f>499/$L$1</f>
        <v>1</v>
      </c>
      <c r="N391" s="6">
        <v>97</v>
      </c>
      <c r="P391" s="8">
        <f>97/$P$1</f>
        <v>1</v>
      </c>
      <c r="R391" s="6">
        <v>198</v>
      </c>
      <c r="T391" s="8">
        <f>198/$T$1</f>
        <v>1</v>
      </c>
      <c r="V391" s="6">
        <v>241</v>
      </c>
      <c r="X391" s="8">
        <f>241/$X$1</f>
        <v>1</v>
      </c>
      <c r="Z391" s="6">
        <v>198</v>
      </c>
      <c r="AB391" s="8">
        <f>198/$AB$1</f>
        <v>1</v>
      </c>
      <c r="AD391" s="6">
        <v>154</v>
      </c>
      <c r="AF391" s="8">
        <f>154/$AF$1</f>
        <v>1</v>
      </c>
      <c r="AH391" s="6">
        <v>120</v>
      </c>
      <c r="AJ391" s="8">
        <f>120/$AJ$1</f>
        <v>1</v>
      </c>
      <c r="AL391" s="6">
        <v>370</v>
      </c>
      <c r="AN391" s="8">
        <f>370/$AN$1</f>
        <v>1</v>
      </c>
      <c r="AP391" s="6">
        <v>378</v>
      </c>
      <c r="AR391" s="8">
        <f>378/$AR$1</f>
        <v>1</v>
      </c>
      <c r="AT391" s="6">
        <v>252</v>
      </c>
      <c r="AV391" s="8">
        <f>252/$AV$1</f>
        <v>1</v>
      </c>
      <c r="AX391" s="6">
        <v>273</v>
      </c>
      <c r="AZ391" s="8">
        <f>273/$AZ$1</f>
        <v>1</v>
      </c>
      <c r="BA391" s="8"/>
      <c r="BB391" s="6">
        <v>203</v>
      </c>
      <c r="BD391" s="8">
        <f>203/$BD$1</f>
        <v>1</v>
      </c>
      <c r="BF391" s="6">
        <v>215</v>
      </c>
      <c r="BH391" s="8">
        <f>215/$BH$1</f>
        <v>1</v>
      </c>
      <c r="BJ391" s="6">
        <v>309</v>
      </c>
      <c r="BL391" s="8">
        <f>309/$BL$1</f>
        <v>1</v>
      </c>
      <c r="BN391" s="6">
        <v>47</v>
      </c>
      <c r="BP391" s="8">
        <f>47/$BP$1</f>
        <v>1</v>
      </c>
      <c r="BR391" s="6">
        <v>314</v>
      </c>
      <c r="BT391" s="8">
        <f>314/$BT$1</f>
        <v>1</v>
      </c>
      <c r="BV391" s="6">
        <v>393</v>
      </c>
      <c r="BX391" s="8">
        <f>393/$BX$1</f>
        <v>1</v>
      </c>
      <c r="BZ391" s="6">
        <v>246</v>
      </c>
      <c r="CB391" s="8">
        <f>246/$CB$1</f>
        <v>1</v>
      </c>
      <c r="CD391" s="6">
        <v>123</v>
      </c>
      <c r="CF391" s="8">
        <f>123/$CF$1</f>
        <v>1</v>
      </c>
      <c r="CH391" s="6">
        <v>688</v>
      </c>
      <c r="CJ391" s="8">
        <f>688/$CJ$1</f>
        <v>1</v>
      </c>
      <c r="CL391" s="6">
        <v>758</v>
      </c>
      <c r="CN391" s="8">
        <f>758/$CN$1</f>
        <v>1</v>
      </c>
      <c r="CP391" s="6">
        <v>242</v>
      </c>
      <c r="CR391" s="8">
        <f>242/$CR$1</f>
        <v>1</v>
      </c>
      <c r="CT391" s="6">
        <v>333</v>
      </c>
      <c r="CV391" s="8">
        <f>333/$CV$1</f>
        <v>1</v>
      </c>
      <c r="CX391" s="6">
        <v>667</v>
      </c>
      <c r="CZ391" s="8">
        <f>667/$CZ$1</f>
        <v>1</v>
      </c>
    </row>
    <row r="392" spans="1:104" ht="15" hidden="1" customHeight="1" x14ac:dyDescent="0.25">
      <c r="A392" s="9" t="s">
        <v>34</v>
      </c>
      <c r="B392">
        <v>0</v>
      </c>
      <c r="D392" s="10">
        <f>0/$D$1</f>
        <v>0</v>
      </c>
      <c r="F392">
        <v>0</v>
      </c>
      <c r="H392" s="10">
        <f>0/$H$1</f>
        <v>0</v>
      </c>
      <c r="J392">
        <v>0</v>
      </c>
      <c r="L392" s="10">
        <f>0/$L$1</f>
        <v>0</v>
      </c>
      <c r="N392">
        <v>0</v>
      </c>
      <c r="P392" s="10">
        <f>0/$P$1</f>
        <v>0</v>
      </c>
      <c r="R392">
        <v>0</v>
      </c>
      <c r="T392" s="10">
        <f>0/$T$1</f>
        <v>0</v>
      </c>
      <c r="V392">
        <v>0</v>
      </c>
      <c r="X392" s="10">
        <f>0/$X$1</f>
        <v>0</v>
      </c>
      <c r="Z392">
        <v>0</v>
      </c>
      <c r="AB392" s="10">
        <f>0/$AB$1</f>
        <v>0</v>
      </c>
      <c r="AD392">
        <v>0</v>
      </c>
      <c r="AF392" s="10">
        <f>0/$AF$1</f>
        <v>0</v>
      </c>
      <c r="AH392">
        <v>0</v>
      </c>
      <c r="AJ392" s="10">
        <f>0/$AJ$1</f>
        <v>0</v>
      </c>
      <c r="AL392">
        <v>0</v>
      </c>
      <c r="AN392" s="10">
        <f>0/$AN$1</f>
        <v>0</v>
      </c>
      <c r="AP392">
        <v>0</v>
      </c>
      <c r="AR392" s="10">
        <f>0/$AR$1</f>
        <v>0</v>
      </c>
      <c r="AT392">
        <v>0</v>
      </c>
      <c r="AV392" s="10">
        <f>0/$AV$1</f>
        <v>0</v>
      </c>
      <c r="AX392">
        <v>0</v>
      </c>
      <c r="AZ392" s="10">
        <f>0/$AZ$1</f>
        <v>0</v>
      </c>
      <c r="BA392" s="10"/>
      <c r="BB392">
        <v>0</v>
      </c>
      <c r="BD392" s="10">
        <f>0/$BD$1</f>
        <v>0</v>
      </c>
      <c r="BF392">
        <v>0</v>
      </c>
      <c r="BH392" s="10">
        <f>0/$BH$1</f>
        <v>0</v>
      </c>
      <c r="BJ392">
        <v>0</v>
      </c>
      <c r="BL392" s="10">
        <f>0/$BL$1</f>
        <v>0</v>
      </c>
      <c r="BN392">
        <v>0</v>
      </c>
      <c r="BP392" s="10">
        <f>0/$BP$1</f>
        <v>0</v>
      </c>
      <c r="BR392">
        <v>0</v>
      </c>
      <c r="BT392" s="10">
        <f>0/$BT$1</f>
        <v>0</v>
      </c>
      <c r="BV392">
        <v>0</v>
      </c>
      <c r="BX392" s="10">
        <f>0/$BX$1</f>
        <v>0</v>
      </c>
      <c r="BZ392">
        <v>0</v>
      </c>
      <c r="CB392" s="10">
        <f>0/$CB$1</f>
        <v>0</v>
      </c>
      <c r="CD392">
        <v>0</v>
      </c>
      <c r="CF392" s="10">
        <f>0/$CF$1</f>
        <v>0</v>
      </c>
      <c r="CH392">
        <v>0</v>
      </c>
      <c r="CJ392" s="10">
        <f>0/$CJ$1</f>
        <v>0</v>
      </c>
      <c r="CL392">
        <v>0</v>
      </c>
      <c r="CN392" s="10">
        <f>0/$CN$1</f>
        <v>0</v>
      </c>
      <c r="CP392">
        <v>0</v>
      </c>
      <c r="CR392" s="10">
        <f>0/$CR$1</f>
        <v>0</v>
      </c>
      <c r="CT392">
        <v>0</v>
      </c>
      <c r="CV392" s="10">
        <f>0/$CV$1</f>
        <v>0</v>
      </c>
      <c r="CX392">
        <v>0</v>
      </c>
      <c r="CZ392" s="10">
        <f>0/$CZ$1</f>
        <v>0</v>
      </c>
    </row>
    <row r="393" spans="1:104" ht="15" hidden="1" customHeight="1" x14ac:dyDescent="0.25">
      <c r="A393" s="9" t="s">
        <v>35</v>
      </c>
      <c r="B393">
        <v>0</v>
      </c>
      <c r="D393" s="10">
        <f>0/$D$1</f>
        <v>0</v>
      </c>
      <c r="F393">
        <v>0</v>
      </c>
      <c r="H393" s="10">
        <f>0/$H$1</f>
        <v>0</v>
      </c>
      <c r="J393">
        <v>0</v>
      </c>
      <c r="L393" s="10">
        <f>0/$L$1</f>
        <v>0</v>
      </c>
      <c r="N393">
        <v>0</v>
      </c>
      <c r="P393" s="10">
        <f>0/$P$1</f>
        <v>0</v>
      </c>
      <c r="R393">
        <v>0</v>
      </c>
      <c r="T393" s="10">
        <f>0/$T$1</f>
        <v>0</v>
      </c>
      <c r="V393">
        <v>0</v>
      </c>
      <c r="X393" s="10">
        <f>0/$X$1</f>
        <v>0</v>
      </c>
      <c r="Z393">
        <v>0</v>
      </c>
      <c r="AB393" s="10">
        <f>0/$AB$1</f>
        <v>0</v>
      </c>
      <c r="AD393">
        <v>0</v>
      </c>
      <c r="AF393" s="10">
        <f>0/$AF$1</f>
        <v>0</v>
      </c>
      <c r="AH393">
        <v>0</v>
      </c>
      <c r="AJ393" s="10">
        <f>0/$AJ$1</f>
        <v>0</v>
      </c>
      <c r="AL393">
        <v>0</v>
      </c>
      <c r="AN393" s="10">
        <f>0/$AN$1</f>
        <v>0</v>
      </c>
      <c r="AP393">
        <v>0</v>
      </c>
      <c r="AR393" s="10">
        <f>0/$AR$1</f>
        <v>0</v>
      </c>
      <c r="AT393">
        <v>0</v>
      </c>
      <c r="AV393" s="10">
        <f>0/$AV$1</f>
        <v>0</v>
      </c>
      <c r="AX393">
        <v>0</v>
      </c>
      <c r="AZ393" s="10">
        <f>0/$AZ$1</f>
        <v>0</v>
      </c>
      <c r="BA393" s="10"/>
      <c r="BB393">
        <v>0</v>
      </c>
      <c r="BD393" s="10">
        <f>0/$BD$1</f>
        <v>0</v>
      </c>
      <c r="BF393">
        <v>0</v>
      </c>
      <c r="BH393" s="10">
        <f>0/$BH$1</f>
        <v>0</v>
      </c>
      <c r="BJ393">
        <v>0</v>
      </c>
      <c r="BL393" s="10">
        <f>0/$BL$1</f>
        <v>0</v>
      </c>
      <c r="BN393">
        <v>0</v>
      </c>
      <c r="BP393" s="10">
        <f>0/$BP$1</f>
        <v>0</v>
      </c>
      <c r="BR393">
        <v>0</v>
      </c>
      <c r="BT393" s="10">
        <f>0/$BT$1</f>
        <v>0</v>
      </c>
      <c r="BV393">
        <v>0</v>
      </c>
      <c r="BX393" s="10">
        <f>0/$BX$1</f>
        <v>0</v>
      </c>
      <c r="BZ393">
        <v>0</v>
      </c>
      <c r="CB393" s="10">
        <f>0/$CB$1</f>
        <v>0</v>
      </c>
      <c r="CD393">
        <v>0</v>
      </c>
      <c r="CF393" s="10">
        <f>0/$CF$1</f>
        <v>0</v>
      </c>
      <c r="CH393">
        <v>0</v>
      </c>
      <c r="CJ393" s="10">
        <f>0/$CJ$1</f>
        <v>0</v>
      </c>
      <c r="CL393">
        <v>0</v>
      </c>
      <c r="CN393" s="10">
        <f>0/$CN$1</f>
        <v>0</v>
      </c>
      <c r="CP393">
        <v>0</v>
      </c>
      <c r="CR393" s="10">
        <f>0/$CR$1</f>
        <v>0</v>
      </c>
      <c r="CT393">
        <v>0</v>
      </c>
      <c r="CV393" s="10">
        <f>0/$CV$1</f>
        <v>0</v>
      </c>
      <c r="CX393">
        <v>0</v>
      </c>
      <c r="CZ393" s="10">
        <f>0/$CZ$1</f>
        <v>0</v>
      </c>
    </row>
  </sheetData>
  <mergeCells count="58">
    <mergeCell ref="F2:L2"/>
    <mergeCell ref="CT2:CZ2"/>
    <mergeCell ref="CL2:CR2"/>
    <mergeCell ref="CD2:CJ2"/>
    <mergeCell ref="AL2:AV2"/>
    <mergeCell ref="N2:AJ2"/>
    <mergeCell ref="AX2:BH2"/>
    <mergeCell ref="BI2:BL2"/>
    <mergeCell ref="BN2:BX2"/>
    <mergeCell ref="CX3:CZ3"/>
    <mergeCell ref="BY2:CB2"/>
    <mergeCell ref="CD3:CF3"/>
    <mergeCell ref="CH3:CJ3"/>
    <mergeCell ref="CL3:CN3"/>
    <mergeCell ref="CP3:CR3"/>
    <mergeCell ref="CT3:CV3"/>
    <mergeCell ref="BN3:BP3"/>
    <mergeCell ref="BR3:BT3"/>
    <mergeCell ref="BV3:BX3"/>
    <mergeCell ref="BZ3:CB3"/>
    <mergeCell ref="BJ3:BL3"/>
    <mergeCell ref="CX1:CY1"/>
    <mergeCell ref="B3:D3"/>
    <mergeCell ref="F3:H3"/>
    <mergeCell ref="J3:L3"/>
    <mergeCell ref="N3:P3"/>
    <mergeCell ref="R3:T3"/>
    <mergeCell ref="V3:X3"/>
    <mergeCell ref="Z3:AB3"/>
    <mergeCell ref="AD3:AF3"/>
    <mergeCell ref="AH3:AJ3"/>
    <mergeCell ref="AL3:AN3"/>
    <mergeCell ref="AP3:AR3"/>
    <mergeCell ref="AT3:AV3"/>
    <mergeCell ref="AX3:AZ3"/>
    <mergeCell ref="BF3:BH3"/>
    <mergeCell ref="BB3:BD3"/>
    <mergeCell ref="CD1:CE1"/>
    <mergeCell ref="CH1:CI1"/>
    <mergeCell ref="CL1:CM1"/>
    <mergeCell ref="CP1:CQ1"/>
    <mergeCell ref="CT1:CU1"/>
    <mergeCell ref="BN1:BO1"/>
    <mergeCell ref="BR1:BS1"/>
    <mergeCell ref="BV1:BW1"/>
    <mergeCell ref="BZ1:CA1"/>
    <mergeCell ref="AP1:AQ1"/>
    <mergeCell ref="AT1:AU1"/>
    <mergeCell ref="V1:W1"/>
    <mergeCell ref="Z1:AA1"/>
    <mergeCell ref="AD1:AE1"/>
    <mergeCell ref="AH1:AI1"/>
    <mergeCell ref="AL1:AM1"/>
    <mergeCell ref="B1:C1"/>
    <mergeCell ref="F1:G1"/>
    <mergeCell ref="J1:K1"/>
    <mergeCell ref="N1:O1"/>
    <mergeCell ref="R1:S1"/>
  </mergeCells>
  <conditionalFormatting sqref="AA16:AA21">
    <cfRule type="dataBar" priority="167">
      <dataBar>
        <cfvo type="min"/>
        <cfvo type="max"/>
        <color rgb="FFFFB628"/>
      </dataBar>
    </cfRule>
  </conditionalFormatting>
  <conditionalFormatting sqref="AA190:AA192">
    <cfRule type="dataBar" priority="911">
      <dataBar>
        <cfvo type="min"/>
        <cfvo type="max"/>
        <color rgb="FFFFB628"/>
      </dataBar>
    </cfRule>
  </conditionalFormatting>
  <conditionalFormatting sqref="AA197:AA202">
    <cfRule type="dataBar" priority="1004">
      <dataBar>
        <cfvo type="min"/>
        <cfvo type="max"/>
        <color rgb="FFFFB628"/>
      </dataBar>
    </cfRule>
  </conditionalFormatting>
  <conditionalFormatting sqref="AA207:AA209">
    <cfRule type="dataBar" priority="1097">
      <dataBar>
        <cfvo type="min"/>
        <cfvo type="max"/>
        <color rgb="FFFFB628"/>
      </dataBar>
    </cfRule>
  </conditionalFormatting>
  <conditionalFormatting sqref="AA214:AA219">
    <cfRule type="dataBar" priority="1190">
      <dataBar>
        <cfvo type="min"/>
        <cfvo type="max"/>
        <color rgb="FFFFB628"/>
      </dataBar>
    </cfRule>
  </conditionalFormatting>
  <conditionalFormatting sqref="AA224:AA226">
    <cfRule type="dataBar" priority="1283">
      <dataBar>
        <cfvo type="min"/>
        <cfvo type="max"/>
        <color rgb="FFFFB628"/>
      </dataBar>
    </cfRule>
  </conditionalFormatting>
  <conditionalFormatting sqref="AA231:AA235">
    <cfRule type="dataBar" priority="1376">
      <dataBar>
        <cfvo type="min"/>
        <cfvo type="max"/>
        <color rgb="FFFFB628"/>
      </dataBar>
    </cfRule>
  </conditionalFormatting>
  <conditionalFormatting sqref="AA240:AA244">
    <cfRule type="dataBar" priority="1469">
      <dataBar>
        <cfvo type="min"/>
        <cfvo type="max"/>
        <color rgb="FFFFB628"/>
      </dataBar>
    </cfRule>
  </conditionalFormatting>
  <conditionalFormatting sqref="AA249:AA253">
    <cfRule type="dataBar" priority="1562">
      <dataBar>
        <cfvo type="min"/>
        <cfvo type="max"/>
        <color rgb="FFFFB628"/>
      </dataBar>
    </cfRule>
  </conditionalFormatting>
  <conditionalFormatting sqref="AA258:AA318">
    <cfRule type="dataBar" priority="1655">
      <dataBar>
        <cfvo type="min"/>
        <cfvo type="max"/>
        <color rgb="FFFFB628"/>
      </dataBar>
    </cfRule>
  </conditionalFormatting>
  <conditionalFormatting sqref="AA26:AA28">
    <cfRule type="dataBar" priority="260">
      <dataBar>
        <cfvo type="min"/>
        <cfvo type="max"/>
        <color rgb="FFFFB628"/>
      </dataBar>
    </cfRule>
  </conditionalFormatting>
  <conditionalFormatting sqref="AA323:AA383">
    <cfRule type="dataBar" priority="1748">
      <dataBar>
        <cfvo type="min"/>
        <cfvo type="max"/>
        <color rgb="FFFFB628"/>
      </dataBar>
    </cfRule>
  </conditionalFormatting>
  <conditionalFormatting sqref="AA33:AA35">
    <cfRule type="dataBar" priority="353">
      <dataBar>
        <cfvo type="min"/>
        <cfvo type="max"/>
        <color rgb="FFFFB628"/>
      </dataBar>
    </cfRule>
  </conditionalFormatting>
  <conditionalFormatting sqref="AA388:AA390">
    <cfRule type="dataBar" priority="1841">
      <dataBar>
        <cfvo type="min"/>
        <cfvo type="max"/>
        <color rgb="FFFFB628"/>
      </dataBar>
    </cfRule>
  </conditionalFormatting>
  <conditionalFormatting sqref="AA40:AA43">
    <cfRule type="dataBar" priority="446">
      <dataBar>
        <cfvo type="min"/>
        <cfvo type="max"/>
        <color rgb="FFFFB628"/>
      </dataBar>
    </cfRule>
  </conditionalFormatting>
  <conditionalFormatting sqref="AA48:AA52">
    <cfRule type="dataBar" priority="539">
      <dataBar>
        <cfvo type="min"/>
        <cfvo type="max"/>
        <color rgb="FFFFB628"/>
      </dataBar>
    </cfRule>
  </conditionalFormatting>
  <conditionalFormatting sqref="AA57:AA61">
    <cfRule type="dataBar" priority="632">
      <dataBar>
        <cfvo type="min"/>
        <cfvo type="max"/>
        <color rgb="FFFFB628"/>
      </dataBar>
    </cfRule>
  </conditionalFormatting>
  <conditionalFormatting sqref="AA66:AA67">
    <cfRule type="dataBar" priority="725">
      <dataBar>
        <cfvo type="min"/>
        <cfvo type="max"/>
        <color rgb="FFFFB628"/>
      </dataBar>
    </cfRule>
  </conditionalFormatting>
  <conditionalFormatting sqref="AA72:AA185">
    <cfRule type="dataBar" priority="818">
      <dataBar>
        <cfvo type="min"/>
        <cfvo type="max"/>
        <color rgb="FFFFB628"/>
      </dataBar>
    </cfRule>
  </conditionalFormatting>
  <conditionalFormatting sqref="AB16:AB21">
    <cfRule type="dataBar" priority="168">
      <dataBar>
        <cfvo type="min"/>
        <cfvo type="max"/>
        <color rgb="FFF08D5B"/>
      </dataBar>
    </cfRule>
  </conditionalFormatting>
  <conditionalFormatting sqref="AB190:AB192">
    <cfRule type="dataBar" priority="912">
      <dataBar>
        <cfvo type="min"/>
        <cfvo type="max"/>
        <color rgb="FFF08D5B"/>
      </dataBar>
    </cfRule>
  </conditionalFormatting>
  <conditionalFormatting sqref="AB197:AB202">
    <cfRule type="dataBar" priority="1005">
      <dataBar>
        <cfvo type="min"/>
        <cfvo type="max"/>
        <color rgb="FFF08D5B"/>
      </dataBar>
    </cfRule>
  </conditionalFormatting>
  <conditionalFormatting sqref="AB207:AB209">
    <cfRule type="dataBar" priority="1098">
      <dataBar>
        <cfvo type="min"/>
        <cfvo type="max"/>
        <color rgb="FFF08D5B"/>
      </dataBar>
    </cfRule>
  </conditionalFormatting>
  <conditionalFormatting sqref="AB214:AB219">
    <cfRule type="dataBar" priority="1191">
      <dataBar>
        <cfvo type="min"/>
        <cfvo type="max"/>
        <color rgb="FFF08D5B"/>
      </dataBar>
    </cfRule>
  </conditionalFormatting>
  <conditionalFormatting sqref="AB224:AB226">
    <cfRule type="dataBar" priority="1284">
      <dataBar>
        <cfvo type="min"/>
        <cfvo type="max"/>
        <color rgb="FFF08D5B"/>
      </dataBar>
    </cfRule>
  </conditionalFormatting>
  <conditionalFormatting sqref="AB231:AB235">
    <cfRule type="dataBar" priority="1377">
      <dataBar>
        <cfvo type="min"/>
        <cfvo type="max"/>
        <color rgb="FFF08D5B"/>
      </dataBar>
    </cfRule>
  </conditionalFormatting>
  <conditionalFormatting sqref="AB240:AB244">
    <cfRule type="dataBar" priority="1470">
      <dataBar>
        <cfvo type="min"/>
        <cfvo type="max"/>
        <color rgb="FFF08D5B"/>
      </dataBar>
    </cfRule>
  </conditionalFormatting>
  <conditionalFormatting sqref="AB249:AB253">
    <cfRule type="dataBar" priority="1563">
      <dataBar>
        <cfvo type="min"/>
        <cfvo type="max"/>
        <color rgb="FFF08D5B"/>
      </dataBar>
    </cfRule>
  </conditionalFormatting>
  <conditionalFormatting sqref="AB258:AB318">
    <cfRule type="dataBar" priority="1656">
      <dataBar>
        <cfvo type="min"/>
        <cfvo type="max"/>
        <color rgb="FFF08D5B"/>
      </dataBar>
    </cfRule>
  </conditionalFormatting>
  <conditionalFormatting sqref="AB26:AB28">
    <cfRule type="dataBar" priority="261">
      <dataBar>
        <cfvo type="min"/>
        <cfvo type="max"/>
        <color rgb="FFF08D5B"/>
      </dataBar>
    </cfRule>
  </conditionalFormatting>
  <conditionalFormatting sqref="AB323:AB383">
    <cfRule type="dataBar" priority="1749">
      <dataBar>
        <cfvo type="min"/>
        <cfvo type="max"/>
        <color rgb="FFF08D5B"/>
      </dataBar>
    </cfRule>
  </conditionalFormatting>
  <conditionalFormatting sqref="AB33:AB35">
    <cfRule type="dataBar" priority="354">
      <dataBar>
        <cfvo type="min"/>
        <cfvo type="max"/>
        <color rgb="FFF08D5B"/>
      </dataBar>
    </cfRule>
  </conditionalFormatting>
  <conditionalFormatting sqref="AB388:AB390">
    <cfRule type="dataBar" priority="1842">
      <dataBar>
        <cfvo type="min"/>
        <cfvo type="max"/>
        <color rgb="FFF08D5B"/>
      </dataBar>
    </cfRule>
  </conditionalFormatting>
  <conditionalFormatting sqref="AB40:AB43">
    <cfRule type="dataBar" priority="447">
      <dataBar>
        <cfvo type="min"/>
        <cfvo type="max"/>
        <color rgb="FFF08D5B"/>
      </dataBar>
    </cfRule>
  </conditionalFormatting>
  <conditionalFormatting sqref="AB48:AB52">
    <cfRule type="dataBar" priority="540">
      <dataBar>
        <cfvo type="min"/>
        <cfvo type="max"/>
        <color rgb="FFF08D5B"/>
      </dataBar>
    </cfRule>
  </conditionalFormatting>
  <conditionalFormatting sqref="AB57:AB61">
    <cfRule type="dataBar" priority="633">
      <dataBar>
        <cfvo type="min"/>
        <cfvo type="max"/>
        <color rgb="FFF08D5B"/>
      </dataBar>
    </cfRule>
  </conditionalFormatting>
  <conditionalFormatting sqref="AB66:AB67">
    <cfRule type="dataBar" priority="726">
      <dataBar>
        <cfvo type="min"/>
        <cfvo type="max"/>
        <color rgb="FFF08D5B"/>
      </dataBar>
    </cfRule>
  </conditionalFormatting>
  <conditionalFormatting sqref="AB72:AB185">
    <cfRule type="dataBar" priority="819">
      <dataBar>
        <cfvo type="min"/>
        <cfvo type="max"/>
        <color rgb="FFF08D5B"/>
      </dataBar>
    </cfRule>
  </conditionalFormatting>
  <conditionalFormatting sqref="AD16:AD21">
    <cfRule type="dataBar" priority="169">
      <dataBar>
        <cfvo type="min"/>
        <cfvo type="max"/>
        <color rgb="FF628DC4"/>
      </dataBar>
    </cfRule>
  </conditionalFormatting>
  <conditionalFormatting sqref="AD190:AD192">
    <cfRule type="dataBar" priority="913">
      <dataBar>
        <cfvo type="min"/>
        <cfvo type="max"/>
        <color rgb="FF628DC4"/>
      </dataBar>
    </cfRule>
  </conditionalFormatting>
  <conditionalFormatting sqref="AD197:AD202">
    <cfRule type="dataBar" priority="1006">
      <dataBar>
        <cfvo type="min"/>
        <cfvo type="max"/>
        <color rgb="FF628DC4"/>
      </dataBar>
    </cfRule>
  </conditionalFormatting>
  <conditionalFormatting sqref="AD207:AD209">
    <cfRule type="dataBar" priority="1099">
      <dataBar>
        <cfvo type="min"/>
        <cfvo type="max"/>
        <color rgb="FF628DC4"/>
      </dataBar>
    </cfRule>
  </conditionalFormatting>
  <conditionalFormatting sqref="AD214:AD219">
    <cfRule type="dataBar" priority="1192">
      <dataBar>
        <cfvo type="min"/>
        <cfvo type="max"/>
        <color rgb="FF628DC4"/>
      </dataBar>
    </cfRule>
  </conditionalFormatting>
  <conditionalFormatting sqref="AD224:AD226">
    <cfRule type="dataBar" priority="1285">
      <dataBar>
        <cfvo type="min"/>
        <cfvo type="max"/>
        <color rgb="FF628DC4"/>
      </dataBar>
    </cfRule>
  </conditionalFormatting>
  <conditionalFormatting sqref="AD231:AD235">
    <cfRule type="dataBar" priority="1378">
      <dataBar>
        <cfvo type="min"/>
        <cfvo type="max"/>
        <color rgb="FF628DC4"/>
      </dataBar>
    </cfRule>
  </conditionalFormatting>
  <conditionalFormatting sqref="AD240:AD244">
    <cfRule type="dataBar" priority="1471">
      <dataBar>
        <cfvo type="min"/>
        <cfvo type="max"/>
        <color rgb="FF628DC4"/>
      </dataBar>
    </cfRule>
  </conditionalFormatting>
  <conditionalFormatting sqref="AD249:AD253">
    <cfRule type="dataBar" priority="1564">
      <dataBar>
        <cfvo type="min"/>
        <cfvo type="max"/>
        <color rgb="FF628DC4"/>
      </dataBar>
    </cfRule>
  </conditionalFormatting>
  <conditionalFormatting sqref="AD258:AD318">
    <cfRule type="dataBar" priority="1657">
      <dataBar>
        <cfvo type="min"/>
        <cfvo type="max"/>
        <color rgb="FF628DC4"/>
      </dataBar>
    </cfRule>
  </conditionalFormatting>
  <conditionalFormatting sqref="AD26:AD28">
    <cfRule type="dataBar" priority="262">
      <dataBar>
        <cfvo type="min"/>
        <cfvo type="max"/>
        <color rgb="FF628DC4"/>
      </dataBar>
    </cfRule>
  </conditionalFormatting>
  <conditionalFormatting sqref="AD323:AD383">
    <cfRule type="dataBar" priority="1750">
      <dataBar>
        <cfvo type="min"/>
        <cfvo type="max"/>
        <color rgb="FF628DC4"/>
      </dataBar>
    </cfRule>
  </conditionalFormatting>
  <conditionalFormatting sqref="AD33:AD35">
    <cfRule type="dataBar" priority="355">
      <dataBar>
        <cfvo type="min"/>
        <cfvo type="max"/>
        <color rgb="FF628DC4"/>
      </dataBar>
    </cfRule>
  </conditionalFormatting>
  <conditionalFormatting sqref="AD388:AD390">
    <cfRule type="dataBar" priority="1843">
      <dataBar>
        <cfvo type="min"/>
        <cfvo type="max"/>
        <color rgb="FF628DC4"/>
      </dataBar>
    </cfRule>
  </conditionalFormatting>
  <conditionalFormatting sqref="AD40:AD43">
    <cfRule type="dataBar" priority="448">
      <dataBar>
        <cfvo type="min"/>
        <cfvo type="max"/>
        <color rgb="FF628DC4"/>
      </dataBar>
    </cfRule>
  </conditionalFormatting>
  <conditionalFormatting sqref="AD48:AD52">
    <cfRule type="dataBar" priority="541">
      <dataBar>
        <cfvo type="min"/>
        <cfvo type="max"/>
        <color rgb="FF628DC4"/>
      </dataBar>
    </cfRule>
  </conditionalFormatting>
  <conditionalFormatting sqref="AD57:AD61">
    <cfRule type="dataBar" priority="634">
      <dataBar>
        <cfvo type="min"/>
        <cfvo type="max"/>
        <color rgb="FF628DC4"/>
      </dataBar>
    </cfRule>
  </conditionalFormatting>
  <conditionalFormatting sqref="AD66:AD67">
    <cfRule type="dataBar" priority="727">
      <dataBar>
        <cfvo type="min"/>
        <cfvo type="max"/>
        <color rgb="FF628DC4"/>
      </dataBar>
    </cfRule>
  </conditionalFormatting>
  <conditionalFormatting sqref="AD72:AD185">
    <cfRule type="dataBar" priority="820">
      <dataBar>
        <cfvo type="min"/>
        <cfvo type="max"/>
        <color rgb="FF628DC4"/>
      </dataBar>
    </cfRule>
  </conditionalFormatting>
  <conditionalFormatting sqref="AE16:AE21">
    <cfRule type="dataBar" priority="170">
      <dataBar>
        <cfvo type="min"/>
        <cfvo type="max"/>
        <color rgb="FFFFB628"/>
      </dataBar>
    </cfRule>
  </conditionalFormatting>
  <conditionalFormatting sqref="AE190:AE192">
    <cfRule type="dataBar" priority="914">
      <dataBar>
        <cfvo type="min"/>
        <cfvo type="max"/>
        <color rgb="FFFFB628"/>
      </dataBar>
    </cfRule>
  </conditionalFormatting>
  <conditionalFormatting sqref="AE197:AE202">
    <cfRule type="dataBar" priority="1007">
      <dataBar>
        <cfvo type="min"/>
        <cfvo type="max"/>
        <color rgb="FFFFB628"/>
      </dataBar>
    </cfRule>
  </conditionalFormatting>
  <conditionalFormatting sqref="AE207:AE209">
    <cfRule type="dataBar" priority="1100">
      <dataBar>
        <cfvo type="min"/>
        <cfvo type="max"/>
        <color rgb="FFFFB628"/>
      </dataBar>
    </cfRule>
  </conditionalFormatting>
  <conditionalFormatting sqref="AE214:AE219">
    <cfRule type="dataBar" priority="1193">
      <dataBar>
        <cfvo type="min"/>
        <cfvo type="max"/>
        <color rgb="FFFFB628"/>
      </dataBar>
    </cfRule>
  </conditionalFormatting>
  <conditionalFormatting sqref="AE224:AE226">
    <cfRule type="dataBar" priority="1286">
      <dataBar>
        <cfvo type="min"/>
        <cfvo type="max"/>
        <color rgb="FFFFB628"/>
      </dataBar>
    </cfRule>
  </conditionalFormatting>
  <conditionalFormatting sqref="AE231:AE235">
    <cfRule type="dataBar" priority="1379">
      <dataBar>
        <cfvo type="min"/>
        <cfvo type="max"/>
        <color rgb="FFFFB628"/>
      </dataBar>
    </cfRule>
  </conditionalFormatting>
  <conditionalFormatting sqref="AE240:AE244">
    <cfRule type="dataBar" priority="1472">
      <dataBar>
        <cfvo type="min"/>
        <cfvo type="max"/>
        <color rgb="FFFFB628"/>
      </dataBar>
    </cfRule>
  </conditionalFormatting>
  <conditionalFormatting sqref="AE249:AE253">
    <cfRule type="dataBar" priority="1565">
      <dataBar>
        <cfvo type="min"/>
        <cfvo type="max"/>
        <color rgb="FFFFB628"/>
      </dataBar>
    </cfRule>
  </conditionalFormatting>
  <conditionalFormatting sqref="AE258:AE318">
    <cfRule type="dataBar" priority="1658">
      <dataBar>
        <cfvo type="min"/>
        <cfvo type="max"/>
        <color rgb="FFFFB628"/>
      </dataBar>
    </cfRule>
  </conditionalFormatting>
  <conditionalFormatting sqref="AE26:AE28">
    <cfRule type="dataBar" priority="263">
      <dataBar>
        <cfvo type="min"/>
        <cfvo type="max"/>
        <color rgb="FFFFB628"/>
      </dataBar>
    </cfRule>
  </conditionalFormatting>
  <conditionalFormatting sqref="AE323:AE383">
    <cfRule type="dataBar" priority="1751">
      <dataBar>
        <cfvo type="min"/>
        <cfvo type="max"/>
        <color rgb="FFFFB628"/>
      </dataBar>
    </cfRule>
  </conditionalFormatting>
  <conditionalFormatting sqref="AE33:AE35">
    <cfRule type="dataBar" priority="356">
      <dataBar>
        <cfvo type="min"/>
        <cfvo type="max"/>
        <color rgb="FFFFB628"/>
      </dataBar>
    </cfRule>
  </conditionalFormatting>
  <conditionalFormatting sqref="AE388:AE390">
    <cfRule type="dataBar" priority="1844">
      <dataBar>
        <cfvo type="min"/>
        <cfvo type="max"/>
        <color rgb="FFFFB628"/>
      </dataBar>
    </cfRule>
  </conditionalFormatting>
  <conditionalFormatting sqref="AE40:AE43">
    <cfRule type="dataBar" priority="449">
      <dataBar>
        <cfvo type="min"/>
        <cfvo type="max"/>
        <color rgb="FFFFB628"/>
      </dataBar>
    </cfRule>
  </conditionalFormatting>
  <conditionalFormatting sqref="AE48:AE52">
    <cfRule type="dataBar" priority="542">
      <dataBar>
        <cfvo type="min"/>
        <cfvo type="max"/>
        <color rgb="FFFFB628"/>
      </dataBar>
    </cfRule>
  </conditionalFormatting>
  <conditionalFormatting sqref="AE57:AE61">
    <cfRule type="dataBar" priority="635">
      <dataBar>
        <cfvo type="min"/>
        <cfvo type="max"/>
        <color rgb="FFFFB628"/>
      </dataBar>
    </cfRule>
  </conditionalFormatting>
  <conditionalFormatting sqref="AE66:AE67">
    <cfRule type="dataBar" priority="728">
      <dataBar>
        <cfvo type="min"/>
        <cfvo type="max"/>
        <color rgb="FFFFB628"/>
      </dataBar>
    </cfRule>
  </conditionalFormatting>
  <conditionalFormatting sqref="AE72:AE185">
    <cfRule type="dataBar" priority="821">
      <dataBar>
        <cfvo type="min"/>
        <cfvo type="max"/>
        <color rgb="FFFFB628"/>
      </dataBar>
    </cfRule>
  </conditionalFormatting>
  <conditionalFormatting sqref="AF16:AF21">
    <cfRule type="dataBar" priority="171">
      <dataBar>
        <cfvo type="min"/>
        <cfvo type="max"/>
        <color rgb="FFF08D5B"/>
      </dataBar>
    </cfRule>
  </conditionalFormatting>
  <conditionalFormatting sqref="AF190:AF192">
    <cfRule type="dataBar" priority="915">
      <dataBar>
        <cfvo type="min"/>
        <cfvo type="max"/>
        <color rgb="FFF08D5B"/>
      </dataBar>
    </cfRule>
  </conditionalFormatting>
  <conditionalFormatting sqref="AF197:AF202">
    <cfRule type="dataBar" priority="1008">
      <dataBar>
        <cfvo type="min"/>
        <cfvo type="max"/>
        <color rgb="FFF08D5B"/>
      </dataBar>
    </cfRule>
  </conditionalFormatting>
  <conditionalFormatting sqref="AF207:AF209">
    <cfRule type="dataBar" priority="1101">
      <dataBar>
        <cfvo type="min"/>
        <cfvo type="max"/>
        <color rgb="FFF08D5B"/>
      </dataBar>
    </cfRule>
  </conditionalFormatting>
  <conditionalFormatting sqref="AF214:AF219">
    <cfRule type="dataBar" priority="1194">
      <dataBar>
        <cfvo type="min"/>
        <cfvo type="max"/>
        <color rgb="FFF08D5B"/>
      </dataBar>
    </cfRule>
  </conditionalFormatting>
  <conditionalFormatting sqref="AF224:AF226">
    <cfRule type="dataBar" priority="1287">
      <dataBar>
        <cfvo type="min"/>
        <cfvo type="max"/>
        <color rgb="FFF08D5B"/>
      </dataBar>
    </cfRule>
  </conditionalFormatting>
  <conditionalFormatting sqref="AF231:AF235">
    <cfRule type="dataBar" priority="1380">
      <dataBar>
        <cfvo type="min"/>
        <cfvo type="max"/>
        <color rgb="FFF08D5B"/>
      </dataBar>
    </cfRule>
  </conditionalFormatting>
  <conditionalFormatting sqref="AF240:AF244">
    <cfRule type="dataBar" priority="1473">
      <dataBar>
        <cfvo type="min"/>
        <cfvo type="max"/>
        <color rgb="FFF08D5B"/>
      </dataBar>
    </cfRule>
  </conditionalFormatting>
  <conditionalFormatting sqref="AF249:AF253">
    <cfRule type="dataBar" priority="1566">
      <dataBar>
        <cfvo type="min"/>
        <cfvo type="max"/>
        <color rgb="FFF08D5B"/>
      </dataBar>
    </cfRule>
  </conditionalFormatting>
  <conditionalFormatting sqref="AF258:AF318">
    <cfRule type="dataBar" priority="1659">
      <dataBar>
        <cfvo type="min"/>
        <cfvo type="max"/>
        <color rgb="FFF08D5B"/>
      </dataBar>
    </cfRule>
  </conditionalFormatting>
  <conditionalFormatting sqref="AF26:AF28">
    <cfRule type="dataBar" priority="264">
      <dataBar>
        <cfvo type="min"/>
        <cfvo type="max"/>
        <color rgb="FFF08D5B"/>
      </dataBar>
    </cfRule>
  </conditionalFormatting>
  <conditionalFormatting sqref="AF323:AF383">
    <cfRule type="dataBar" priority="1752">
      <dataBar>
        <cfvo type="min"/>
        <cfvo type="max"/>
        <color rgb="FFF08D5B"/>
      </dataBar>
    </cfRule>
  </conditionalFormatting>
  <conditionalFormatting sqref="AF33:AF35">
    <cfRule type="dataBar" priority="357">
      <dataBar>
        <cfvo type="min"/>
        <cfvo type="max"/>
        <color rgb="FFF08D5B"/>
      </dataBar>
    </cfRule>
  </conditionalFormatting>
  <conditionalFormatting sqref="AF388:AF390">
    <cfRule type="dataBar" priority="1845">
      <dataBar>
        <cfvo type="min"/>
        <cfvo type="max"/>
        <color rgb="FFF08D5B"/>
      </dataBar>
    </cfRule>
  </conditionalFormatting>
  <conditionalFormatting sqref="AF40:AF43">
    <cfRule type="dataBar" priority="450">
      <dataBar>
        <cfvo type="min"/>
        <cfvo type="max"/>
        <color rgb="FFF08D5B"/>
      </dataBar>
    </cfRule>
  </conditionalFormatting>
  <conditionalFormatting sqref="AF48:AF52">
    <cfRule type="dataBar" priority="543">
      <dataBar>
        <cfvo type="min"/>
        <cfvo type="max"/>
        <color rgb="FFF08D5B"/>
      </dataBar>
    </cfRule>
  </conditionalFormatting>
  <conditionalFormatting sqref="AF57:AF61">
    <cfRule type="dataBar" priority="636">
      <dataBar>
        <cfvo type="min"/>
        <cfvo type="max"/>
        <color rgb="FFF08D5B"/>
      </dataBar>
    </cfRule>
  </conditionalFormatting>
  <conditionalFormatting sqref="AF66:AF67">
    <cfRule type="dataBar" priority="729">
      <dataBar>
        <cfvo type="min"/>
        <cfvo type="max"/>
        <color rgb="FFF08D5B"/>
      </dataBar>
    </cfRule>
  </conditionalFormatting>
  <conditionalFormatting sqref="AF72:AF185">
    <cfRule type="dataBar" priority="822">
      <dataBar>
        <cfvo type="min"/>
        <cfvo type="max"/>
        <color rgb="FFF08D5B"/>
      </dataBar>
    </cfRule>
  </conditionalFormatting>
  <conditionalFormatting sqref="AH16:AH21">
    <cfRule type="dataBar" priority="172">
      <dataBar>
        <cfvo type="min"/>
        <cfvo type="max"/>
        <color rgb="FF628DC4"/>
      </dataBar>
    </cfRule>
  </conditionalFormatting>
  <conditionalFormatting sqref="AH190:AH192">
    <cfRule type="dataBar" priority="916">
      <dataBar>
        <cfvo type="min"/>
        <cfvo type="max"/>
        <color rgb="FF628DC4"/>
      </dataBar>
    </cfRule>
  </conditionalFormatting>
  <conditionalFormatting sqref="AH197:AH202">
    <cfRule type="dataBar" priority="1009">
      <dataBar>
        <cfvo type="min"/>
        <cfvo type="max"/>
        <color rgb="FF628DC4"/>
      </dataBar>
    </cfRule>
  </conditionalFormatting>
  <conditionalFormatting sqref="AH207:AH209">
    <cfRule type="dataBar" priority="1102">
      <dataBar>
        <cfvo type="min"/>
        <cfvo type="max"/>
        <color rgb="FF628DC4"/>
      </dataBar>
    </cfRule>
  </conditionalFormatting>
  <conditionalFormatting sqref="AH214:AH219">
    <cfRule type="dataBar" priority="1195">
      <dataBar>
        <cfvo type="min"/>
        <cfvo type="max"/>
        <color rgb="FF628DC4"/>
      </dataBar>
    </cfRule>
  </conditionalFormatting>
  <conditionalFormatting sqref="AH224:AH226">
    <cfRule type="dataBar" priority="1288">
      <dataBar>
        <cfvo type="min"/>
        <cfvo type="max"/>
        <color rgb="FF628DC4"/>
      </dataBar>
    </cfRule>
  </conditionalFormatting>
  <conditionalFormatting sqref="AH231:AH235">
    <cfRule type="dataBar" priority="1381">
      <dataBar>
        <cfvo type="min"/>
        <cfvo type="max"/>
        <color rgb="FF628DC4"/>
      </dataBar>
    </cfRule>
  </conditionalFormatting>
  <conditionalFormatting sqref="AH240:AH244">
    <cfRule type="dataBar" priority="1474">
      <dataBar>
        <cfvo type="min"/>
        <cfvo type="max"/>
        <color rgb="FF628DC4"/>
      </dataBar>
    </cfRule>
  </conditionalFormatting>
  <conditionalFormatting sqref="AH249:AH253">
    <cfRule type="dataBar" priority="1567">
      <dataBar>
        <cfvo type="min"/>
        <cfvo type="max"/>
        <color rgb="FF628DC4"/>
      </dataBar>
    </cfRule>
  </conditionalFormatting>
  <conditionalFormatting sqref="AH258:AH318">
    <cfRule type="dataBar" priority="1660">
      <dataBar>
        <cfvo type="min"/>
        <cfvo type="max"/>
        <color rgb="FF628DC4"/>
      </dataBar>
    </cfRule>
  </conditionalFormatting>
  <conditionalFormatting sqref="AH26:AH28">
    <cfRule type="dataBar" priority="265">
      <dataBar>
        <cfvo type="min"/>
        <cfvo type="max"/>
        <color rgb="FF628DC4"/>
      </dataBar>
    </cfRule>
  </conditionalFormatting>
  <conditionalFormatting sqref="AH323:AH383">
    <cfRule type="dataBar" priority="1753">
      <dataBar>
        <cfvo type="min"/>
        <cfvo type="max"/>
        <color rgb="FF628DC4"/>
      </dataBar>
    </cfRule>
  </conditionalFormatting>
  <conditionalFormatting sqref="AH33:AH35">
    <cfRule type="dataBar" priority="358">
      <dataBar>
        <cfvo type="min"/>
        <cfvo type="max"/>
        <color rgb="FF628DC4"/>
      </dataBar>
    </cfRule>
  </conditionalFormatting>
  <conditionalFormatting sqref="AH388:AH390">
    <cfRule type="dataBar" priority="1846">
      <dataBar>
        <cfvo type="min"/>
        <cfvo type="max"/>
        <color rgb="FF628DC4"/>
      </dataBar>
    </cfRule>
  </conditionalFormatting>
  <conditionalFormatting sqref="AH40:AH43">
    <cfRule type="dataBar" priority="451">
      <dataBar>
        <cfvo type="min"/>
        <cfvo type="max"/>
        <color rgb="FF628DC4"/>
      </dataBar>
    </cfRule>
  </conditionalFormatting>
  <conditionalFormatting sqref="AH48:AH52">
    <cfRule type="dataBar" priority="544">
      <dataBar>
        <cfvo type="min"/>
        <cfvo type="max"/>
        <color rgb="FF628DC4"/>
      </dataBar>
    </cfRule>
  </conditionalFormatting>
  <conditionalFormatting sqref="AH57:AH61">
    <cfRule type="dataBar" priority="637">
      <dataBar>
        <cfvo type="min"/>
        <cfvo type="max"/>
        <color rgb="FF628DC4"/>
      </dataBar>
    </cfRule>
  </conditionalFormatting>
  <conditionalFormatting sqref="AH66:AH67">
    <cfRule type="dataBar" priority="730">
      <dataBar>
        <cfvo type="min"/>
        <cfvo type="max"/>
        <color rgb="FF628DC4"/>
      </dataBar>
    </cfRule>
  </conditionalFormatting>
  <conditionalFormatting sqref="AH72:AH185">
    <cfRule type="dataBar" priority="823">
      <dataBar>
        <cfvo type="min"/>
        <cfvo type="max"/>
        <color rgb="FF628DC4"/>
      </dataBar>
    </cfRule>
  </conditionalFormatting>
  <conditionalFormatting sqref="AI16:AI21">
    <cfRule type="dataBar" priority="173">
      <dataBar>
        <cfvo type="min"/>
        <cfvo type="max"/>
        <color rgb="FFFFB628"/>
      </dataBar>
    </cfRule>
  </conditionalFormatting>
  <conditionalFormatting sqref="AI190:AI192">
    <cfRule type="dataBar" priority="917">
      <dataBar>
        <cfvo type="min"/>
        <cfvo type="max"/>
        <color rgb="FFFFB628"/>
      </dataBar>
    </cfRule>
  </conditionalFormatting>
  <conditionalFormatting sqref="AI197:AI202">
    <cfRule type="dataBar" priority="1010">
      <dataBar>
        <cfvo type="min"/>
        <cfvo type="max"/>
        <color rgb="FFFFB628"/>
      </dataBar>
    </cfRule>
  </conditionalFormatting>
  <conditionalFormatting sqref="AI207:AI209">
    <cfRule type="dataBar" priority="1103">
      <dataBar>
        <cfvo type="min"/>
        <cfvo type="max"/>
        <color rgb="FFFFB628"/>
      </dataBar>
    </cfRule>
  </conditionalFormatting>
  <conditionalFormatting sqref="AI214:AI219">
    <cfRule type="dataBar" priority="1196">
      <dataBar>
        <cfvo type="min"/>
        <cfvo type="max"/>
        <color rgb="FFFFB628"/>
      </dataBar>
    </cfRule>
  </conditionalFormatting>
  <conditionalFormatting sqref="AI224:AI226">
    <cfRule type="dataBar" priority="1289">
      <dataBar>
        <cfvo type="min"/>
        <cfvo type="max"/>
        <color rgb="FFFFB628"/>
      </dataBar>
    </cfRule>
  </conditionalFormatting>
  <conditionalFormatting sqref="AI231:AI235">
    <cfRule type="dataBar" priority="1382">
      <dataBar>
        <cfvo type="min"/>
        <cfvo type="max"/>
        <color rgb="FFFFB628"/>
      </dataBar>
    </cfRule>
  </conditionalFormatting>
  <conditionalFormatting sqref="AI240:AI244">
    <cfRule type="dataBar" priority="1475">
      <dataBar>
        <cfvo type="min"/>
        <cfvo type="max"/>
        <color rgb="FFFFB628"/>
      </dataBar>
    </cfRule>
  </conditionalFormatting>
  <conditionalFormatting sqref="AI249:AI253">
    <cfRule type="dataBar" priority="1568">
      <dataBar>
        <cfvo type="min"/>
        <cfvo type="max"/>
        <color rgb="FFFFB628"/>
      </dataBar>
    </cfRule>
  </conditionalFormatting>
  <conditionalFormatting sqref="AI258:AI318">
    <cfRule type="dataBar" priority="1661">
      <dataBar>
        <cfvo type="min"/>
        <cfvo type="max"/>
        <color rgb="FFFFB628"/>
      </dataBar>
    </cfRule>
  </conditionalFormatting>
  <conditionalFormatting sqref="AI26:AI28">
    <cfRule type="dataBar" priority="266">
      <dataBar>
        <cfvo type="min"/>
        <cfvo type="max"/>
        <color rgb="FFFFB628"/>
      </dataBar>
    </cfRule>
  </conditionalFormatting>
  <conditionalFormatting sqref="AI323:AI383">
    <cfRule type="dataBar" priority="1754">
      <dataBar>
        <cfvo type="min"/>
        <cfvo type="max"/>
        <color rgb="FFFFB628"/>
      </dataBar>
    </cfRule>
  </conditionalFormatting>
  <conditionalFormatting sqref="AI33:AI35">
    <cfRule type="dataBar" priority="359">
      <dataBar>
        <cfvo type="min"/>
        <cfvo type="max"/>
        <color rgb="FFFFB628"/>
      </dataBar>
    </cfRule>
  </conditionalFormatting>
  <conditionalFormatting sqref="AI388:AI390">
    <cfRule type="dataBar" priority="1847">
      <dataBar>
        <cfvo type="min"/>
        <cfvo type="max"/>
        <color rgb="FFFFB628"/>
      </dataBar>
    </cfRule>
  </conditionalFormatting>
  <conditionalFormatting sqref="AI40:AI43">
    <cfRule type="dataBar" priority="452">
      <dataBar>
        <cfvo type="min"/>
        <cfvo type="max"/>
        <color rgb="FFFFB628"/>
      </dataBar>
    </cfRule>
  </conditionalFormatting>
  <conditionalFormatting sqref="AI48:AI52">
    <cfRule type="dataBar" priority="545">
      <dataBar>
        <cfvo type="min"/>
        <cfvo type="max"/>
        <color rgb="FFFFB628"/>
      </dataBar>
    </cfRule>
  </conditionalFormatting>
  <conditionalFormatting sqref="AI57:AI61">
    <cfRule type="dataBar" priority="638">
      <dataBar>
        <cfvo type="min"/>
        <cfvo type="max"/>
        <color rgb="FFFFB628"/>
      </dataBar>
    </cfRule>
  </conditionalFormatting>
  <conditionalFormatting sqref="AI66:AI67">
    <cfRule type="dataBar" priority="731">
      <dataBar>
        <cfvo type="min"/>
        <cfvo type="max"/>
        <color rgb="FFFFB628"/>
      </dataBar>
    </cfRule>
  </conditionalFormatting>
  <conditionalFormatting sqref="AI72:AI185">
    <cfRule type="dataBar" priority="824">
      <dataBar>
        <cfvo type="min"/>
        <cfvo type="max"/>
        <color rgb="FFFFB628"/>
      </dataBar>
    </cfRule>
  </conditionalFormatting>
  <conditionalFormatting sqref="AJ16:AJ21">
    <cfRule type="dataBar" priority="174">
      <dataBar>
        <cfvo type="min"/>
        <cfvo type="max"/>
        <color rgb="FFF08D5B"/>
      </dataBar>
    </cfRule>
  </conditionalFormatting>
  <conditionalFormatting sqref="AJ190:AJ192">
    <cfRule type="dataBar" priority="918">
      <dataBar>
        <cfvo type="min"/>
        <cfvo type="max"/>
        <color rgb="FFF08D5B"/>
      </dataBar>
    </cfRule>
  </conditionalFormatting>
  <conditionalFormatting sqref="AJ197:AJ202">
    <cfRule type="dataBar" priority="1011">
      <dataBar>
        <cfvo type="min"/>
        <cfvo type="max"/>
        <color rgb="FFF08D5B"/>
      </dataBar>
    </cfRule>
  </conditionalFormatting>
  <conditionalFormatting sqref="AJ207:AJ209">
    <cfRule type="dataBar" priority="1104">
      <dataBar>
        <cfvo type="min"/>
        <cfvo type="max"/>
        <color rgb="FFF08D5B"/>
      </dataBar>
    </cfRule>
  </conditionalFormatting>
  <conditionalFormatting sqref="AJ214:AJ219">
    <cfRule type="dataBar" priority="1197">
      <dataBar>
        <cfvo type="min"/>
        <cfvo type="max"/>
        <color rgb="FFF08D5B"/>
      </dataBar>
    </cfRule>
  </conditionalFormatting>
  <conditionalFormatting sqref="AJ224:AJ226">
    <cfRule type="dataBar" priority="1290">
      <dataBar>
        <cfvo type="min"/>
        <cfvo type="max"/>
        <color rgb="FFF08D5B"/>
      </dataBar>
    </cfRule>
  </conditionalFormatting>
  <conditionalFormatting sqref="AJ231:AJ235">
    <cfRule type="dataBar" priority="1383">
      <dataBar>
        <cfvo type="min"/>
        <cfvo type="max"/>
        <color rgb="FFF08D5B"/>
      </dataBar>
    </cfRule>
  </conditionalFormatting>
  <conditionalFormatting sqref="AJ240:AJ244">
    <cfRule type="dataBar" priority="1476">
      <dataBar>
        <cfvo type="min"/>
        <cfvo type="max"/>
        <color rgb="FFF08D5B"/>
      </dataBar>
    </cfRule>
  </conditionalFormatting>
  <conditionalFormatting sqref="AJ249:AJ253">
    <cfRule type="dataBar" priority="1569">
      <dataBar>
        <cfvo type="min"/>
        <cfvo type="max"/>
        <color rgb="FFF08D5B"/>
      </dataBar>
    </cfRule>
  </conditionalFormatting>
  <conditionalFormatting sqref="AJ258:AJ318">
    <cfRule type="dataBar" priority="1662">
      <dataBar>
        <cfvo type="min"/>
        <cfvo type="max"/>
        <color rgb="FFF08D5B"/>
      </dataBar>
    </cfRule>
  </conditionalFormatting>
  <conditionalFormatting sqref="AJ26:AJ28">
    <cfRule type="dataBar" priority="267">
      <dataBar>
        <cfvo type="min"/>
        <cfvo type="max"/>
        <color rgb="FFF08D5B"/>
      </dataBar>
    </cfRule>
  </conditionalFormatting>
  <conditionalFormatting sqref="AJ323:AJ383">
    <cfRule type="dataBar" priority="1755">
      <dataBar>
        <cfvo type="min"/>
        <cfvo type="max"/>
        <color rgb="FFF08D5B"/>
      </dataBar>
    </cfRule>
  </conditionalFormatting>
  <conditionalFormatting sqref="AJ33:AJ35">
    <cfRule type="dataBar" priority="360">
      <dataBar>
        <cfvo type="min"/>
        <cfvo type="max"/>
        <color rgb="FFF08D5B"/>
      </dataBar>
    </cfRule>
  </conditionalFormatting>
  <conditionalFormatting sqref="AJ388:AJ390">
    <cfRule type="dataBar" priority="1848">
      <dataBar>
        <cfvo type="min"/>
        <cfvo type="max"/>
        <color rgb="FFF08D5B"/>
      </dataBar>
    </cfRule>
  </conditionalFormatting>
  <conditionalFormatting sqref="AJ40:AJ43">
    <cfRule type="dataBar" priority="453">
      <dataBar>
        <cfvo type="min"/>
        <cfvo type="max"/>
        <color rgb="FFF08D5B"/>
      </dataBar>
    </cfRule>
  </conditionalFormatting>
  <conditionalFormatting sqref="AJ48:AJ52">
    <cfRule type="dataBar" priority="546">
      <dataBar>
        <cfvo type="min"/>
        <cfvo type="max"/>
        <color rgb="FFF08D5B"/>
      </dataBar>
    </cfRule>
  </conditionalFormatting>
  <conditionalFormatting sqref="AJ57:AJ61">
    <cfRule type="dataBar" priority="639">
      <dataBar>
        <cfvo type="min"/>
        <cfvo type="max"/>
        <color rgb="FFF08D5B"/>
      </dataBar>
    </cfRule>
  </conditionalFormatting>
  <conditionalFormatting sqref="AJ66:AJ67">
    <cfRule type="dataBar" priority="732">
      <dataBar>
        <cfvo type="min"/>
        <cfvo type="max"/>
        <color rgb="FFF08D5B"/>
      </dataBar>
    </cfRule>
  </conditionalFormatting>
  <conditionalFormatting sqref="AJ72:AJ185">
    <cfRule type="dataBar" priority="825">
      <dataBar>
        <cfvo type="min"/>
        <cfvo type="max"/>
        <color rgb="FFF08D5B"/>
      </dataBar>
    </cfRule>
  </conditionalFormatting>
  <conditionalFormatting sqref="AL16:AL21">
    <cfRule type="dataBar" priority="175">
      <dataBar>
        <cfvo type="min"/>
        <cfvo type="max"/>
        <color rgb="FF628DC4"/>
      </dataBar>
    </cfRule>
  </conditionalFormatting>
  <conditionalFormatting sqref="AL190:AL192">
    <cfRule type="dataBar" priority="919">
      <dataBar>
        <cfvo type="min"/>
        <cfvo type="max"/>
        <color rgb="FF628DC4"/>
      </dataBar>
    </cfRule>
  </conditionalFormatting>
  <conditionalFormatting sqref="AL197:AL202">
    <cfRule type="dataBar" priority="1012">
      <dataBar>
        <cfvo type="min"/>
        <cfvo type="max"/>
        <color rgb="FF628DC4"/>
      </dataBar>
    </cfRule>
  </conditionalFormatting>
  <conditionalFormatting sqref="AL207:AL209">
    <cfRule type="dataBar" priority="1105">
      <dataBar>
        <cfvo type="min"/>
        <cfvo type="max"/>
        <color rgb="FF628DC4"/>
      </dataBar>
    </cfRule>
  </conditionalFormatting>
  <conditionalFormatting sqref="AL214:AL219">
    <cfRule type="dataBar" priority="1198">
      <dataBar>
        <cfvo type="min"/>
        <cfvo type="max"/>
        <color rgb="FF628DC4"/>
      </dataBar>
    </cfRule>
  </conditionalFormatting>
  <conditionalFormatting sqref="AL224:AL226">
    <cfRule type="dataBar" priority="1291">
      <dataBar>
        <cfvo type="min"/>
        <cfvo type="max"/>
        <color rgb="FF628DC4"/>
      </dataBar>
    </cfRule>
  </conditionalFormatting>
  <conditionalFormatting sqref="AL231:AL235">
    <cfRule type="dataBar" priority="1384">
      <dataBar>
        <cfvo type="min"/>
        <cfvo type="max"/>
        <color rgb="FF628DC4"/>
      </dataBar>
    </cfRule>
  </conditionalFormatting>
  <conditionalFormatting sqref="AL240:AL244">
    <cfRule type="dataBar" priority="1477">
      <dataBar>
        <cfvo type="min"/>
        <cfvo type="max"/>
        <color rgb="FF628DC4"/>
      </dataBar>
    </cfRule>
  </conditionalFormatting>
  <conditionalFormatting sqref="AL249:AL253">
    <cfRule type="dataBar" priority="1570">
      <dataBar>
        <cfvo type="min"/>
        <cfvo type="max"/>
        <color rgb="FF628DC4"/>
      </dataBar>
    </cfRule>
  </conditionalFormatting>
  <conditionalFormatting sqref="AL258:AL318">
    <cfRule type="dataBar" priority="1663">
      <dataBar>
        <cfvo type="min"/>
        <cfvo type="max"/>
        <color rgb="FF628DC4"/>
      </dataBar>
    </cfRule>
  </conditionalFormatting>
  <conditionalFormatting sqref="AL26:AL28">
    <cfRule type="dataBar" priority="268">
      <dataBar>
        <cfvo type="min"/>
        <cfvo type="max"/>
        <color rgb="FF628DC4"/>
      </dataBar>
    </cfRule>
  </conditionalFormatting>
  <conditionalFormatting sqref="AL323:AL383">
    <cfRule type="dataBar" priority="1756">
      <dataBar>
        <cfvo type="min"/>
        <cfvo type="max"/>
        <color rgb="FF628DC4"/>
      </dataBar>
    </cfRule>
  </conditionalFormatting>
  <conditionalFormatting sqref="AL33:AL35">
    <cfRule type="dataBar" priority="361">
      <dataBar>
        <cfvo type="min"/>
        <cfvo type="max"/>
        <color rgb="FF628DC4"/>
      </dataBar>
    </cfRule>
  </conditionalFormatting>
  <conditionalFormatting sqref="AL388:AL390">
    <cfRule type="dataBar" priority="1849">
      <dataBar>
        <cfvo type="min"/>
        <cfvo type="max"/>
        <color rgb="FF628DC4"/>
      </dataBar>
    </cfRule>
  </conditionalFormatting>
  <conditionalFormatting sqref="AL40:AL43">
    <cfRule type="dataBar" priority="454">
      <dataBar>
        <cfvo type="min"/>
        <cfvo type="max"/>
        <color rgb="FF628DC4"/>
      </dataBar>
    </cfRule>
  </conditionalFormatting>
  <conditionalFormatting sqref="AL48:AL52">
    <cfRule type="dataBar" priority="547">
      <dataBar>
        <cfvo type="min"/>
        <cfvo type="max"/>
        <color rgb="FF628DC4"/>
      </dataBar>
    </cfRule>
  </conditionalFormatting>
  <conditionalFormatting sqref="AL57:AL61">
    <cfRule type="dataBar" priority="640">
      <dataBar>
        <cfvo type="min"/>
        <cfvo type="max"/>
        <color rgb="FF628DC4"/>
      </dataBar>
    </cfRule>
  </conditionalFormatting>
  <conditionalFormatting sqref="AL66:AL67">
    <cfRule type="dataBar" priority="733">
      <dataBar>
        <cfvo type="min"/>
        <cfvo type="max"/>
        <color rgb="FF628DC4"/>
      </dataBar>
    </cfRule>
  </conditionalFormatting>
  <conditionalFormatting sqref="AL72:AL185">
    <cfRule type="dataBar" priority="826">
      <dataBar>
        <cfvo type="min"/>
        <cfvo type="max"/>
        <color rgb="FF628DC4"/>
      </dataBar>
    </cfRule>
  </conditionalFormatting>
  <conditionalFormatting sqref="AM16:AM21">
    <cfRule type="dataBar" priority="176">
      <dataBar>
        <cfvo type="min"/>
        <cfvo type="max"/>
        <color rgb="FFFFB628"/>
      </dataBar>
    </cfRule>
  </conditionalFormatting>
  <conditionalFormatting sqref="AM190:AM192">
    <cfRule type="dataBar" priority="920">
      <dataBar>
        <cfvo type="min"/>
        <cfvo type="max"/>
        <color rgb="FFFFB628"/>
      </dataBar>
    </cfRule>
  </conditionalFormatting>
  <conditionalFormatting sqref="AM197:AM202">
    <cfRule type="dataBar" priority="1013">
      <dataBar>
        <cfvo type="min"/>
        <cfvo type="max"/>
        <color rgb="FFFFB628"/>
      </dataBar>
    </cfRule>
  </conditionalFormatting>
  <conditionalFormatting sqref="AM207:AM209">
    <cfRule type="dataBar" priority="1106">
      <dataBar>
        <cfvo type="min"/>
        <cfvo type="max"/>
        <color rgb="FFFFB628"/>
      </dataBar>
    </cfRule>
  </conditionalFormatting>
  <conditionalFormatting sqref="AM214:AM219">
    <cfRule type="dataBar" priority="1199">
      <dataBar>
        <cfvo type="min"/>
        <cfvo type="max"/>
        <color rgb="FFFFB628"/>
      </dataBar>
    </cfRule>
  </conditionalFormatting>
  <conditionalFormatting sqref="AM224:AM226">
    <cfRule type="dataBar" priority="1292">
      <dataBar>
        <cfvo type="min"/>
        <cfvo type="max"/>
        <color rgb="FFFFB628"/>
      </dataBar>
    </cfRule>
  </conditionalFormatting>
  <conditionalFormatting sqref="AM231:AM235">
    <cfRule type="dataBar" priority="1385">
      <dataBar>
        <cfvo type="min"/>
        <cfvo type="max"/>
        <color rgb="FFFFB628"/>
      </dataBar>
    </cfRule>
  </conditionalFormatting>
  <conditionalFormatting sqref="AM240:AM244">
    <cfRule type="dataBar" priority="1478">
      <dataBar>
        <cfvo type="min"/>
        <cfvo type="max"/>
        <color rgb="FFFFB628"/>
      </dataBar>
    </cfRule>
  </conditionalFormatting>
  <conditionalFormatting sqref="AM249:AM253">
    <cfRule type="dataBar" priority="1571">
      <dataBar>
        <cfvo type="min"/>
        <cfvo type="max"/>
        <color rgb="FFFFB628"/>
      </dataBar>
    </cfRule>
  </conditionalFormatting>
  <conditionalFormatting sqref="AM258:AM318">
    <cfRule type="dataBar" priority="1664">
      <dataBar>
        <cfvo type="min"/>
        <cfvo type="max"/>
        <color rgb="FFFFB628"/>
      </dataBar>
    </cfRule>
  </conditionalFormatting>
  <conditionalFormatting sqref="AM26:AM28">
    <cfRule type="dataBar" priority="269">
      <dataBar>
        <cfvo type="min"/>
        <cfvo type="max"/>
        <color rgb="FFFFB628"/>
      </dataBar>
    </cfRule>
  </conditionalFormatting>
  <conditionalFormatting sqref="AM323:AM383">
    <cfRule type="dataBar" priority="1757">
      <dataBar>
        <cfvo type="min"/>
        <cfvo type="max"/>
        <color rgb="FFFFB628"/>
      </dataBar>
    </cfRule>
  </conditionalFormatting>
  <conditionalFormatting sqref="AM33:AM35">
    <cfRule type="dataBar" priority="362">
      <dataBar>
        <cfvo type="min"/>
        <cfvo type="max"/>
        <color rgb="FFFFB628"/>
      </dataBar>
    </cfRule>
  </conditionalFormatting>
  <conditionalFormatting sqref="AM388:AM390">
    <cfRule type="dataBar" priority="1850">
      <dataBar>
        <cfvo type="min"/>
        <cfvo type="max"/>
        <color rgb="FFFFB628"/>
      </dataBar>
    </cfRule>
  </conditionalFormatting>
  <conditionalFormatting sqref="AM40:AM43">
    <cfRule type="dataBar" priority="455">
      <dataBar>
        <cfvo type="min"/>
        <cfvo type="max"/>
        <color rgb="FFFFB628"/>
      </dataBar>
    </cfRule>
  </conditionalFormatting>
  <conditionalFormatting sqref="AM48:AM52">
    <cfRule type="dataBar" priority="548">
      <dataBar>
        <cfvo type="min"/>
        <cfvo type="max"/>
        <color rgb="FFFFB628"/>
      </dataBar>
    </cfRule>
  </conditionalFormatting>
  <conditionalFormatting sqref="AM57:AM61">
    <cfRule type="dataBar" priority="641">
      <dataBar>
        <cfvo type="min"/>
        <cfvo type="max"/>
        <color rgb="FFFFB628"/>
      </dataBar>
    </cfRule>
  </conditionalFormatting>
  <conditionalFormatting sqref="AM66:AM67">
    <cfRule type="dataBar" priority="734">
      <dataBar>
        <cfvo type="min"/>
        <cfvo type="max"/>
        <color rgb="FFFFB628"/>
      </dataBar>
    </cfRule>
  </conditionalFormatting>
  <conditionalFormatting sqref="AM72:AM185">
    <cfRule type="dataBar" priority="827">
      <dataBar>
        <cfvo type="min"/>
        <cfvo type="max"/>
        <color rgb="FFFFB628"/>
      </dataBar>
    </cfRule>
  </conditionalFormatting>
  <conditionalFormatting sqref="AN16:AN21">
    <cfRule type="dataBar" priority="177">
      <dataBar>
        <cfvo type="min"/>
        <cfvo type="max"/>
        <color rgb="FFF08D5B"/>
      </dataBar>
    </cfRule>
  </conditionalFormatting>
  <conditionalFormatting sqref="AN190:AN192">
    <cfRule type="dataBar" priority="921">
      <dataBar>
        <cfvo type="min"/>
        <cfvo type="max"/>
        <color rgb="FFF08D5B"/>
      </dataBar>
    </cfRule>
  </conditionalFormatting>
  <conditionalFormatting sqref="AN197:AN202">
    <cfRule type="dataBar" priority="1014">
      <dataBar>
        <cfvo type="min"/>
        <cfvo type="max"/>
        <color rgb="FFF08D5B"/>
      </dataBar>
    </cfRule>
  </conditionalFormatting>
  <conditionalFormatting sqref="AN207:AN209">
    <cfRule type="dataBar" priority="1107">
      <dataBar>
        <cfvo type="min"/>
        <cfvo type="max"/>
        <color rgb="FFF08D5B"/>
      </dataBar>
    </cfRule>
  </conditionalFormatting>
  <conditionalFormatting sqref="AN214:AN219">
    <cfRule type="dataBar" priority="1200">
      <dataBar>
        <cfvo type="min"/>
        <cfvo type="max"/>
        <color rgb="FFF08D5B"/>
      </dataBar>
    </cfRule>
  </conditionalFormatting>
  <conditionalFormatting sqref="AN224:AN226">
    <cfRule type="dataBar" priority="1293">
      <dataBar>
        <cfvo type="min"/>
        <cfvo type="max"/>
        <color rgb="FFF08D5B"/>
      </dataBar>
    </cfRule>
  </conditionalFormatting>
  <conditionalFormatting sqref="AN231:AN235">
    <cfRule type="dataBar" priority="1386">
      <dataBar>
        <cfvo type="min"/>
        <cfvo type="max"/>
        <color rgb="FFF08D5B"/>
      </dataBar>
    </cfRule>
  </conditionalFormatting>
  <conditionalFormatting sqref="AN240:AN244">
    <cfRule type="dataBar" priority="1479">
      <dataBar>
        <cfvo type="min"/>
        <cfvo type="max"/>
        <color rgb="FFF08D5B"/>
      </dataBar>
    </cfRule>
  </conditionalFormatting>
  <conditionalFormatting sqref="AN249:AN253">
    <cfRule type="dataBar" priority="1572">
      <dataBar>
        <cfvo type="min"/>
        <cfvo type="max"/>
        <color rgb="FFF08D5B"/>
      </dataBar>
    </cfRule>
  </conditionalFormatting>
  <conditionalFormatting sqref="AN258:AN318">
    <cfRule type="dataBar" priority="1665">
      <dataBar>
        <cfvo type="min"/>
        <cfvo type="max"/>
        <color rgb="FFF08D5B"/>
      </dataBar>
    </cfRule>
  </conditionalFormatting>
  <conditionalFormatting sqref="AN26:AN28">
    <cfRule type="dataBar" priority="270">
      <dataBar>
        <cfvo type="min"/>
        <cfvo type="max"/>
        <color rgb="FFF08D5B"/>
      </dataBar>
    </cfRule>
  </conditionalFormatting>
  <conditionalFormatting sqref="AN323:AN383">
    <cfRule type="dataBar" priority="1758">
      <dataBar>
        <cfvo type="min"/>
        <cfvo type="max"/>
        <color rgb="FFF08D5B"/>
      </dataBar>
    </cfRule>
  </conditionalFormatting>
  <conditionalFormatting sqref="AN33:AN35">
    <cfRule type="dataBar" priority="363">
      <dataBar>
        <cfvo type="min"/>
        <cfvo type="max"/>
        <color rgb="FFF08D5B"/>
      </dataBar>
    </cfRule>
  </conditionalFormatting>
  <conditionalFormatting sqref="AN388:AN390">
    <cfRule type="dataBar" priority="1851">
      <dataBar>
        <cfvo type="min"/>
        <cfvo type="max"/>
        <color rgb="FFF08D5B"/>
      </dataBar>
    </cfRule>
  </conditionalFormatting>
  <conditionalFormatting sqref="AN40:AN43">
    <cfRule type="dataBar" priority="456">
      <dataBar>
        <cfvo type="min"/>
        <cfvo type="max"/>
        <color rgb="FFF08D5B"/>
      </dataBar>
    </cfRule>
  </conditionalFormatting>
  <conditionalFormatting sqref="AN48:AN52">
    <cfRule type="dataBar" priority="549">
      <dataBar>
        <cfvo type="min"/>
        <cfvo type="max"/>
        <color rgb="FFF08D5B"/>
      </dataBar>
    </cfRule>
  </conditionalFormatting>
  <conditionalFormatting sqref="AN57:AN61">
    <cfRule type="dataBar" priority="642">
      <dataBar>
        <cfvo type="min"/>
        <cfvo type="max"/>
        <color rgb="FFF08D5B"/>
      </dataBar>
    </cfRule>
  </conditionalFormatting>
  <conditionalFormatting sqref="AN66:AN67">
    <cfRule type="dataBar" priority="735">
      <dataBar>
        <cfvo type="min"/>
        <cfvo type="max"/>
        <color rgb="FFF08D5B"/>
      </dataBar>
    </cfRule>
  </conditionalFormatting>
  <conditionalFormatting sqref="AN72:AN185">
    <cfRule type="dataBar" priority="828">
      <dataBar>
        <cfvo type="min"/>
        <cfvo type="max"/>
        <color rgb="FFF08D5B"/>
      </dataBar>
    </cfRule>
  </conditionalFormatting>
  <conditionalFormatting sqref="AP16:AP21">
    <cfRule type="dataBar" priority="178">
      <dataBar>
        <cfvo type="min"/>
        <cfvo type="max"/>
        <color rgb="FF628DC4"/>
      </dataBar>
    </cfRule>
  </conditionalFormatting>
  <conditionalFormatting sqref="AP190:AP192">
    <cfRule type="dataBar" priority="922">
      <dataBar>
        <cfvo type="min"/>
        <cfvo type="max"/>
        <color rgb="FF628DC4"/>
      </dataBar>
    </cfRule>
  </conditionalFormatting>
  <conditionalFormatting sqref="AP197:AP202">
    <cfRule type="dataBar" priority="1015">
      <dataBar>
        <cfvo type="min"/>
        <cfvo type="max"/>
        <color rgb="FF628DC4"/>
      </dataBar>
    </cfRule>
  </conditionalFormatting>
  <conditionalFormatting sqref="AP207:AP209">
    <cfRule type="dataBar" priority="1108">
      <dataBar>
        <cfvo type="min"/>
        <cfvo type="max"/>
        <color rgb="FF628DC4"/>
      </dataBar>
    </cfRule>
  </conditionalFormatting>
  <conditionalFormatting sqref="AP214:AP219">
    <cfRule type="dataBar" priority="1201">
      <dataBar>
        <cfvo type="min"/>
        <cfvo type="max"/>
        <color rgb="FF628DC4"/>
      </dataBar>
    </cfRule>
  </conditionalFormatting>
  <conditionalFormatting sqref="AP224:AP226">
    <cfRule type="dataBar" priority="1294">
      <dataBar>
        <cfvo type="min"/>
        <cfvo type="max"/>
        <color rgb="FF628DC4"/>
      </dataBar>
    </cfRule>
  </conditionalFormatting>
  <conditionalFormatting sqref="AP231:AP235">
    <cfRule type="dataBar" priority="1387">
      <dataBar>
        <cfvo type="min"/>
        <cfvo type="max"/>
        <color rgb="FF628DC4"/>
      </dataBar>
    </cfRule>
  </conditionalFormatting>
  <conditionalFormatting sqref="AP240:AP244">
    <cfRule type="dataBar" priority="1480">
      <dataBar>
        <cfvo type="min"/>
        <cfvo type="max"/>
        <color rgb="FF628DC4"/>
      </dataBar>
    </cfRule>
  </conditionalFormatting>
  <conditionalFormatting sqref="AP249:AP253">
    <cfRule type="dataBar" priority="1573">
      <dataBar>
        <cfvo type="min"/>
        <cfvo type="max"/>
        <color rgb="FF628DC4"/>
      </dataBar>
    </cfRule>
  </conditionalFormatting>
  <conditionalFormatting sqref="AP258:AP318">
    <cfRule type="dataBar" priority="1666">
      <dataBar>
        <cfvo type="min"/>
        <cfvo type="max"/>
        <color rgb="FF628DC4"/>
      </dataBar>
    </cfRule>
  </conditionalFormatting>
  <conditionalFormatting sqref="AP26:AP28">
    <cfRule type="dataBar" priority="271">
      <dataBar>
        <cfvo type="min"/>
        <cfvo type="max"/>
        <color rgb="FF628DC4"/>
      </dataBar>
    </cfRule>
  </conditionalFormatting>
  <conditionalFormatting sqref="AP323:AP383">
    <cfRule type="dataBar" priority="1759">
      <dataBar>
        <cfvo type="min"/>
        <cfvo type="max"/>
        <color rgb="FF628DC4"/>
      </dataBar>
    </cfRule>
  </conditionalFormatting>
  <conditionalFormatting sqref="AP33:AP35">
    <cfRule type="dataBar" priority="364">
      <dataBar>
        <cfvo type="min"/>
        <cfvo type="max"/>
        <color rgb="FF628DC4"/>
      </dataBar>
    </cfRule>
  </conditionalFormatting>
  <conditionalFormatting sqref="AP388:AP390">
    <cfRule type="dataBar" priority="1852">
      <dataBar>
        <cfvo type="min"/>
        <cfvo type="max"/>
        <color rgb="FF628DC4"/>
      </dataBar>
    </cfRule>
  </conditionalFormatting>
  <conditionalFormatting sqref="AP40:AP43">
    <cfRule type="dataBar" priority="457">
      <dataBar>
        <cfvo type="min"/>
        <cfvo type="max"/>
        <color rgb="FF628DC4"/>
      </dataBar>
    </cfRule>
  </conditionalFormatting>
  <conditionalFormatting sqref="AP48:AP52">
    <cfRule type="dataBar" priority="550">
      <dataBar>
        <cfvo type="min"/>
        <cfvo type="max"/>
        <color rgb="FF628DC4"/>
      </dataBar>
    </cfRule>
  </conditionalFormatting>
  <conditionalFormatting sqref="AP57:AP61">
    <cfRule type="dataBar" priority="643">
      <dataBar>
        <cfvo type="min"/>
        <cfvo type="max"/>
        <color rgb="FF628DC4"/>
      </dataBar>
    </cfRule>
  </conditionalFormatting>
  <conditionalFormatting sqref="AP66:AP67">
    <cfRule type="dataBar" priority="736">
      <dataBar>
        <cfvo type="min"/>
        <cfvo type="max"/>
        <color rgb="FF628DC4"/>
      </dataBar>
    </cfRule>
  </conditionalFormatting>
  <conditionalFormatting sqref="AP72:AP185">
    <cfRule type="dataBar" priority="829">
      <dataBar>
        <cfvo type="min"/>
        <cfvo type="max"/>
        <color rgb="FF628DC4"/>
      </dataBar>
    </cfRule>
  </conditionalFormatting>
  <conditionalFormatting sqref="AQ16:AQ21">
    <cfRule type="dataBar" priority="179">
      <dataBar>
        <cfvo type="min"/>
        <cfvo type="max"/>
        <color rgb="FFFFB628"/>
      </dataBar>
    </cfRule>
  </conditionalFormatting>
  <conditionalFormatting sqref="AQ190:AQ192">
    <cfRule type="dataBar" priority="923">
      <dataBar>
        <cfvo type="min"/>
        <cfvo type="max"/>
        <color rgb="FFFFB628"/>
      </dataBar>
    </cfRule>
  </conditionalFormatting>
  <conditionalFormatting sqref="AQ197:AQ202">
    <cfRule type="dataBar" priority="1016">
      <dataBar>
        <cfvo type="min"/>
        <cfvo type="max"/>
        <color rgb="FFFFB628"/>
      </dataBar>
    </cfRule>
  </conditionalFormatting>
  <conditionalFormatting sqref="AQ207:AQ209">
    <cfRule type="dataBar" priority="1109">
      <dataBar>
        <cfvo type="min"/>
        <cfvo type="max"/>
        <color rgb="FFFFB628"/>
      </dataBar>
    </cfRule>
  </conditionalFormatting>
  <conditionalFormatting sqref="AQ214:AQ219">
    <cfRule type="dataBar" priority="1202">
      <dataBar>
        <cfvo type="min"/>
        <cfvo type="max"/>
        <color rgb="FFFFB628"/>
      </dataBar>
    </cfRule>
  </conditionalFormatting>
  <conditionalFormatting sqref="AQ224:AQ226">
    <cfRule type="dataBar" priority="1295">
      <dataBar>
        <cfvo type="min"/>
        <cfvo type="max"/>
        <color rgb="FFFFB628"/>
      </dataBar>
    </cfRule>
  </conditionalFormatting>
  <conditionalFormatting sqref="AQ231:AQ235">
    <cfRule type="dataBar" priority="1388">
      <dataBar>
        <cfvo type="min"/>
        <cfvo type="max"/>
        <color rgb="FFFFB628"/>
      </dataBar>
    </cfRule>
  </conditionalFormatting>
  <conditionalFormatting sqref="AQ240:AQ244">
    <cfRule type="dataBar" priority="1481">
      <dataBar>
        <cfvo type="min"/>
        <cfvo type="max"/>
        <color rgb="FFFFB628"/>
      </dataBar>
    </cfRule>
  </conditionalFormatting>
  <conditionalFormatting sqref="AQ249:AQ253">
    <cfRule type="dataBar" priority="1574">
      <dataBar>
        <cfvo type="min"/>
        <cfvo type="max"/>
        <color rgb="FFFFB628"/>
      </dataBar>
    </cfRule>
  </conditionalFormatting>
  <conditionalFormatting sqref="AQ258:AQ318">
    <cfRule type="dataBar" priority="1667">
      <dataBar>
        <cfvo type="min"/>
        <cfvo type="max"/>
        <color rgb="FFFFB628"/>
      </dataBar>
    </cfRule>
  </conditionalFormatting>
  <conditionalFormatting sqref="AQ26:AQ28">
    <cfRule type="dataBar" priority="272">
      <dataBar>
        <cfvo type="min"/>
        <cfvo type="max"/>
        <color rgb="FFFFB628"/>
      </dataBar>
    </cfRule>
  </conditionalFormatting>
  <conditionalFormatting sqref="AQ323:AQ383">
    <cfRule type="dataBar" priority="1760">
      <dataBar>
        <cfvo type="min"/>
        <cfvo type="max"/>
        <color rgb="FFFFB628"/>
      </dataBar>
    </cfRule>
  </conditionalFormatting>
  <conditionalFormatting sqref="AQ33:AQ35">
    <cfRule type="dataBar" priority="365">
      <dataBar>
        <cfvo type="min"/>
        <cfvo type="max"/>
        <color rgb="FFFFB628"/>
      </dataBar>
    </cfRule>
  </conditionalFormatting>
  <conditionalFormatting sqref="AQ388:AQ390">
    <cfRule type="dataBar" priority="1853">
      <dataBar>
        <cfvo type="min"/>
        <cfvo type="max"/>
        <color rgb="FFFFB628"/>
      </dataBar>
    </cfRule>
  </conditionalFormatting>
  <conditionalFormatting sqref="AQ40:AQ43">
    <cfRule type="dataBar" priority="458">
      <dataBar>
        <cfvo type="min"/>
        <cfvo type="max"/>
        <color rgb="FFFFB628"/>
      </dataBar>
    </cfRule>
  </conditionalFormatting>
  <conditionalFormatting sqref="AQ48:AQ52">
    <cfRule type="dataBar" priority="551">
      <dataBar>
        <cfvo type="min"/>
        <cfvo type="max"/>
        <color rgb="FFFFB628"/>
      </dataBar>
    </cfRule>
  </conditionalFormatting>
  <conditionalFormatting sqref="AQ57:AQ61">
    <cfRule type="dataBar" priority="644">
      <dataBar>
        <cfvo type="min"/>
        <cfvo type="max"/>
        <color rgb="FFFFB628"/>
      </dataBar>
    </cfRule>
  </conditionalFormatting>
  <conditionalFormatting sqref="AQ66:AQ67">
    <cfRule type="dataBar" priority="737">
      <dataBar>
        <cfvo type="min"/>
        <cfvo type="max"/>
        <color rgb="FFFFB628"/>
      </dataBar>
    </cfRule>
  </conditionalFormatting>
  <conditionalFormatting sqref="AQ72:AQ185">
    <cfRule type="dataBar" priority="830">
      <dataBar>
        <cfvo type="min"/>
        <cfvo type="max"/>
        <color rgb="FFFFB628"/>
      </dataBar>
    </cfRule>
  </conditionalFormatting>
  <conditionalFormatting sqref="AR16:AR21">
    <cfRule type="dataBar" priority="180">
      <dataBar>
        <cfvo type="min"/>
        <cfvo type="max"/>
        <color rgb="FFF08D5B"/>
      </dataBar>
    </cfRule>
  </conditionalFormatting>
  <conditionalFormatting sqref="AR190:AR192">
    <cfRule type="dataBar" priority="924">
      <dataBar>
        <cfvo type="min"/>
        <cfvo type="max"/>
        <color rgb="FFF08D5B"/>
      </dataBar>
    </cfRule>
  </conditionalFormatting>
  <conditionalFormatting sqref="AR197:AR202">
    <cfRule type="dataBar" priority="1017">
      <dataBar>
        <cfvo type="min"/>
        <cfvo type="max"/>
        <color rgb="FFF08D5B"/>
      </dataBar>
    </cfRule>
  </conditionalFormatting>
  <conditionalFormatting sqref="AR207:AR209">
    <cfRule type="dataBar" priority="1110">
      <dataBar>
        <cfvo type="min"/>
        <cfvo type="max"/>
        <color rgb="FFF08D5B"/>
      </dataBar>
    </cfRule>
  </conditionalFormatting>
  <conditionalFormatting sqref="AR214:AR219">
    <cfRule type="dataBar" priority="1203">
      <dataBar>
        <cfvo type="min"/>
        <cfvo type="max"/>
        <color rgb="FFF08D5B"/>
      </dataBar>
    </cfRule>
  </conditionalFormatting>
  <conditionalFormatting sqref="AR224:AR226">
    <cfRule type="dataBar" priority="1296">
      <dataBar>
        <cfvo type="min"/>
        <cfvo type="max"/>
        <color rgb="FFF08D5B"/>
      </dataBar>
    </cfRule>
  </conditionalFormatting>
  <conditionalFormatting sqref="AR231:AR235">
    <cfRule type="dataBar" priority="1389">
      <dataBar>
        <cfvo type="min"/>
        <cfvo type="max"/>
        <color rgb="FFF08D5B"/>
      </dataBar>
    </cfRule>
  </conditionalFormatting>
  <conditionalFormatting sqref="AR240:AR244">
    <cfRule type="dataBar" priority="1482">
      <dataBar>
        <cfvo type="min"/>
        <cfvo type="max"/>
        <color rgb="FFF08D5B"/>
      </dataBar>
    </cfRule>
  </conditionalFormatting>
  <conditionalFormatting sqref="AR249:AR253">
    <cfRule type="dataBar" priority="1575">
      <dataBar>
        <cfvo type="min"/>
        <cfvo type="max"/>
        <color rgb="FFF08D5B"/>
      </dataBar>
    </cfRule>
  </conditionalFormatting>
  <conditionalFormatting sqref="AR258:AR318">
    <cfRule type="dataBar" priority="1668">
      <dataBar>
        <cfvo type="min"/>
        <cfvo type="max"/>
        <color rgb="FFF08D5B"/>
      </dataBar>
    </cfRule>
  </conditionalFormatting>
  <conditionalFormatting sqref="AR26:AR28">
    <cfRule type="dataBar" priority="273">
      <dataBar>
        <cfvo type="min"/>
        <cfvo type="max"/>
        <color rgb="FFF08D5B"/>
      </dataBar>
    </cfRule>
  </conditionalFormatting>
  <conditionalFormatting sqref="AR323:AR383">
    <cfRule type="dataBar" priority="1761">
      <dataBar>
        <cfvo type="min"/>
        <cfvo type="max"/>
        <color rgb="FFF08D5B"/>
      </dataBar>
    </cfRule>
  </conditionalFormatting>
  <conditionalFormatting sqref="AR33:AR35">
    <cfRule type="dataBar" priority="366">
      <dataBar>
        <cfvo type="min"/>
        <cfvo type="max"/>
        <color rgb="FFF08D5B"/>
      </dataBar>
    </cfRule>
  </conditionalFormatting>
  <conditionalFormatting sqref="AR388:AR390">
    <cfRule type="dataBar" priority="1854">
      <dataBar>
        <cfvo type="min"/>
        <cfvo type="max"/>
        <color rgb="FFF08D5B"/>
      </dataBar>
    </cfRule>
  </conditionalFormatting>
  <conditionalFormatting sqref="AR40:AR43">
    <cfRule type="dataBar" priority="459">
      <dataBar>
        <cfvo type="min"/>
        <cfvo type="max"/>
        <color rgb="FFF08D5B"/>
      </dataBar>
    </cfRule>
  </conditionalFormatting>
  <conditionalFormatting sqref="AR48:AR52">
    <cfRule type="dataBar" priority="552">
      <dataBar>
        <cfvo type="min"/>
        <cfvo type="max"/>
        <color rgb="FFF08D5B"/>
      </dataBar>
    </cfRule>
  </conditionalFormatting>
  <conditionalFormatting sqref="AR57:AR61">
    <cfRule type="dataBar" priority="645">
      <dataBar>
        <cfvo type="min"/>
        <cfvo type="max"/>
        <color rgb="FFF08D5B"/>
      </dataBar>
    </cfRule>
  </conditionalFormatting>
  <conditionalFormatting sqref="AR66:AR67">
    <cfRule type="dataBar" priority="738">
      <dataBar>
        <cfvo type="min"/>
        <cfvo type="max"/>
        <color rgb="FFF08D5B"/>
      </dataBar>
    </cfRule>
  </conditionalFormatting>
  <conditionalFormatting sqref="AR72:AR185">
    <cfRule type="dataBar" priority="831">
      <dataBar>
        <cfvo type="min"/>
        <cfvo type="max"/>
        <color rgb="FFF08D5B"/>
      </dataBar>
    </cfRule>
  </conditionalFormatting>
  <conditionalFormatting sqref="AT16:AT21">
    <cfRule type="dataBar" priority="181">
      <dataBar>
        <cfvo type="min"/>
        <cfvo type="max"/>
        <color rgb="FF628DC4"/>
      </dataBar>
    </cfRule>
  </conditionalFormatting>
  <conditionalFormatting sqref="AT190:AT192">
    <cfRule type="dataBar" priority="925">
      <dataBar>
        <cfvo type="min"/>
        <cfvo type="max"/>
        <color rgb="FF628DC4"/>
      </dataBar>
    </cfRule>
  </conditionalFormatting>
  <conditionalFormatting sqref="AT197:AT202">
    <cfRule type="dataBar" priority="1018">
      <dataBar>
        <cfvo type="min"/>
        <cfvo type="max"/>
        <color rgb="FF628DC4"/>
      </dataBar>
    </cfRule>
  </conditionalFormatting>
  <conditionalFormatting sqref="AT207:AT209">
    <cfRule type="dataBar" priority="1111">
      <dataBar>
        <cfvo type="min"/>
        <cfvo type="max"/>
        <color rgb="FF628DC4"/>
      </dataBar>
    </cfRule>
  </conditionalFormatting>
  <conditionalFormatting sqref="AT214:AT219">
    <cfRule type="dataBar" priority="1204">
      <dataBar>
        <cfvo type="min"/>
        <cfvo type="max"/>
        <color rgb="FF628DC4"/>
      </dataBar>
    </cfRule>
  </conditionalFormatting>
  <conditionalFormatting sqref="AT224:AT226">
    <cfRule type="dataBar" priority="1297">
      <dataBar>
        <cfvo type="min"/>
        <cfvo type="max"/>
        <color rgb="FF628DC4"/>
      </dataBar>
    </cfRule>
  </conditionalFormatting>
  <conditionalFormatting sqref="AT231:AT235">
    <cfRule type="dataBar" priority="1390">
      <dataBar>
        <cfvo type="min"/>
        <cfvo type="max"/>
        <color rgb="FF628DC4"/>
      </dataBar>
    </cfRule>
  </conditionalFormatting>
  <conditionalFormatting sqref="AT240:AT244">
    <cfRule type="dataBar" priority="1483">
      <dataBar>
        <cfvo type="min"/>
        <cfvo type="max"/>
        <color rgb="FF628DC4"/>
      </dataBar>
    </cfRule>
  </conditionalFormatting>
  <conditionalFormatting sqref="AT249:AT253">
    <cfRule type="dataBar" priority="1576">
      <dataBar>
        <cfvo type="min"/>
        <cfvo type="max"/>
        <color rgb="FF628DC4"/>
      </dataBar>
    </cfRule>
  </conditionalFormatting>
  <conditionalFormatting sqref="AT258:AT318">
    <cfRule type="dataBar" priority="1669">
      <dataBar>
        <cfvo type="min"/>
        <cfvo type="max"/>
        <color rgb="FF628DC4"/>
      </dataBar>
    </cfRule>
  </conditionalFormatting>
  <conditionalFormatting sqref="AT26:AT28">
    <cfRule type="dataBar" priority="274">
      <dataBar>
        <cfvo type="min"/>
        <cfvo type="max"/>
        <color rgb="FF628DC4"/>
      </dataBar>
    </cfRule>
  </conditionalFormatting>
  <conditionalFormatting sqref="AT323:AT383">
    <cfRule type="dataBar" priority="1762">
      <dataBar>
        <cfvo type="min"/>
        <cfvo type="max"/>
        <color rgb="FF628DC4"/>
      </dataBar>
    </cfRule>
  </conditionalFormatting>
  <conditionalFormatting sqref="AT33:AT35">
    <cfRule type="dataBar" priority="367">
      <dataBar>
        <cfvo type="min"/>
        <cfvo type="max"/>
        <color rgb="FF628DC4"/>
      </dataBar>
    </cfRule>
  </conditionalFormatting>
  <conditionalFormatting sqref="AT388:AT390">
    <cfRule type="dataBar" priority="1855">
      <dataBar>
        <cfvo type="min"/>
        <cfvo type="max"/>
        <color rgb="FF628DC4"/>
      </dataBar>
    </cfRule>
  </conditionalFormatting>
  <conditionalFormatting sqref="AT40:AT43">
    <cfRule type="dataBar" priority="460">
      <dataBar>
        <cfvo type="min"/>
        <cfvo type="max"/>
        <color rgb="FF628DC4"/>
      </dataBar>
    </cfRule>
  </conditionalFormatting>
  <conditionalFormatting sqref="AT48:AT52">
    <cfRule type="dataBar" priority="553">
      <dataBar>
        <cfvo type="min"/>
        <cfvo type="max"/>
        <color rgb="FF628DC4"/>
      </dataBar>
    </cfRule>
  </conditionalFormatting>
  <conditionalFormatting sqref="AT57:AT61">
    <cfRule type="dataBar" priority="646">
      <dataBar>
        <cfvo type="min"/>
        <cfvo type="max"/>
        <color rgb="FF628DC4"/>
      </dataBar>
    </cfRule>
  </conditionalFormatting>
  <conditionalFormatting sqref="AT66:AT67">
    <cfRule type="dataBar" priority="739">
      <dataBar>
        <cfvo type="min"/>
        <cfvo type="max"/>
        <color rgb="FF628DC4"/>
      </dataBar>
    </cfRule>
  </conditionalFormatting>
  <conditionalFormatting sqref="AT72:AT185">
    <cfRule type="dataBar" priority="832">
      <dataBar>
        <cfvo type="min"/>
        <cfvo type="max"/>
        <color rgb="FF628DC4"/>
      </dataBar>
    </cfRule>
  </conditionalFormatting>
  <conditionalFormatting sqref="AU16:AU21">
    <cfRule type="dataBar" priority="182">
      <dataBar>
        <cfvo type="min"/>
        <cfvo type="max"/>
        <color rgb="FFFFB628"/>
      </dataBar>
    </cfRule>
  </conditionalFormatting>
  <conditionalFormatting sqref="AU190:AU192">
    <cfRule type="dataBar" priority="926">
      <dataBar>
        <cfvo type="min"/>
        <cfvo type="max"/>
        <color rgb="FFFFB628"/>
      </dataBar>
    </cfRule>
  </conditionalFormatting>
  <conditionalFormatting sqref="AU197:AU202">
    <cfRule type="dataBar" priority="1019">
      <dataBar>
        <cfvo type="min"/>
        <cfvo type="max"/>
        <color rgb="FFFFB628"/>
      </dataBar>
    </cfRule>
  </conditionalFormatting>
  <conditionalFormatting sqref="AU207:AU209">
    <cfRule type="dataBar" priority="1112">
      <dataBar>
        <cfvo type="min"/>
        <cfvo type="max"/>
        <color rgb="FFFFB628"/>
      </dataBar>
    </cfRule>
  </conditionalFormatting>
  <conditionalFormatting sqref="AU214:AU219">
    <cfRule type="dataBar" priority="1205">
      <dataBar>
        <cfvo type="min"/>
        <cfvo type="max"/>
        <color rgb="FFFFB628"/>
      </dataBar>
    </cfRule>
  </conditionalFormatting>
  <conditionalFormatting sqref="AU224:AU226">
    <cfRule type="dataBar" priority="1298">
      <dataBar>
        <cfvo type="min"/>
        <cfvo type="max"/>
        <color rgb="FFFFB628"/>
      </dataBar>
    </cfRule>
  </conditionalFormatting>
  <conditionalFormatting sqref="AU231:AU235">
    <cfRule type="dataBar" priority="1391">
      <dataBar>
        <cfvo type="min"/>
        <cfvo type="max"/>
        <color rgb="FFFFB628"/>
      </dataBar>
    </cfRule>
  </conditionalFormatting>
  <conditionalFormatting sqref="AU240:AU244">
    <cfRule type="dataBar" priority="1484">
      <dataBar>
        <cfvo type="min"/>
        <cfvo type="max"/>
        <color rgb="FFFFB628"/>
      </dataBar>
    </cfRule>
  </conditionalFormatting>
  <conditionalFormatting sqref="AU249:AU253">
    <cfRule type="dataBar" priority="1577">
      <dataBar>
        <cfvo type="min"/>
        <cfvo type="max"/>
        <color rgb="FFFFB628"/>
      </dataBar>
    </cfRule>
  </conditionalFormatting>
  <conditionalFormatting sqref="AU258:AU318">
    <cfRule type="dataBar" priority="1670">
      <dataBar>
        <cfvo type="min"/>
        <cfvo type="max"/>
        <color rgb="FFFFB628"/>
      </dataBar>
    </cfRule>
  </conditionalFormatting>
  <conditionalFormatting sqref="AU26:AU28">
    <cfRule type="dataBar" priority="275">
      <dataBar>
        <cfvo type="min"/>
        <cfvo type="max"/>
        <color rgb="FFFFB628"/>
      </dataBar>
    </cfRule>
  </conditionalFormatting>
  <conditionalFormatting sqref="AU323:AU383">
    <cfRule type="dataBar" priority="1763">
      <dataBar>
        <cfvo type="min"/>
        <cfvo type="max"/>
        <color rgb="FFFFB628"/>
      </dataBar>
    </cfRule>
  </conditionalFormatting>
  <conditionalFormatting sqref="AU33:AU35">
    <cfRule type="dataBar" priority="368">
      <dataBar>
        <cfvo type="min"/>
        <cfvo type="max"/>
        <color rgb="FFFFB628"/>
      </dataBar>
    </cfRule>
  </conditionalFormatting>
  <conditionalFormatting sqref="AU388:AU390">
    <cfRule type="dataBar" priority="1856">
      <dataBar>
        <cfvo type="min"/>
        <cfvo type="max"/>
        <color rgb="FFFFB628"/>
      </dataBar>
    </cfRule>
  </conditionalFormatting>
  <conditionalFormatting sqref="AU40:AU43">
    <cfRule type="dataBar" priority="461">
      <dataBar>
        <cfvo type="min"/>
        <cfvo type="max"/>
        <color rgb="FFFFB628"/>
      </dataBar>
    </cfRule>
  </conditionalFormatting>
  <conditionalFormatting sqref="AU48:AU52">
    <cfRule type="dataBar" priority="554">
      <dataBar>
        <cfvo type="min"/>
        <cfvo type="max"/>
        <color rgb="FFFFB628"/>
      </dataBar>
    </cfRule>
  </conditionalFormatting>
  <conditionalFormatting sqref="AU57:AU61">
    <cfRule type="dataBar" priority="647">
      <dataBar>
        <cfvo type="min"/>
        <cfvo type="max"/>
        <color rgb="FFFFB628"/>
      </dataBar>
    </cfRule>
  </conditionalFormatting>
  <conditionalFormatting sqref="AU66:AU67">
    <cfRule type="dataBar" priority="740">
      <dataBar>
        <cfvo type="min"/>
        <cfvo type="max"/>
        <color rgb="FFFFB628"/>
      </dataBar>
    </cfRule>
  </conditionalFormatting>
  <conditionalFormatting sqref="AU72:AU185">
    <cfRule type="dataBar" priority="833">
      <dataBar>
        <cfvo type="min"/>
        <cfvo type="max"/>
        <color rgb="FFFFB628"/>
      </dataBar>
    </cfRule>
  </conditionalFormatting>
  <conditionalFormatting sqref="AV16:AV21">
    <cfRule type="dataBar" priority="183">
      <dataBar>
        <cfvo type="min"/>
        <cfvo type="max"/>
        <color rgb="FFF08D5B"/>
      </dataBar>
    </cfRule>
  </conditionalFormatting>
  <conditionalFormatting sqref="AV190:AV192">
    <cfRule type="dataBar" priority="927">
      <dataBar>
        <cfvo type="min"/>
        <cfvo type="max"/>
        <color rgb="FFF08D5B"/>
      </dataBar>
    </cfRule>
  </conditionalFormatting>
  <conditionalFormatting sqref="AV197:AV202">
    <cfRule type="dataBar" priority="1020">
      <dataBar>
        <cfvo type="min"/>
        <cfvo type="max"/>
        <color rgb="FFF08D5B"/>
      </dataBar>
    </cfRule>
  </conditionalFormatting>
  <conditionalFormatting sqref="AV207:AV209">
    <cfRule type="dataBar" priority="1113">
      <dataBar>
        <cfvo type="min"/>
        <cfvo type="max"/>
        <color rgb="FFF08D5B"/>
      </dataBar>
    </cfRule>
  </conditionalFormatting>
  <conditionalFormatting sqref="AV214:AV219">
    <cfRule type="dataBar" priority="1206">
      <dataBar>
        <cfvo type="min"/>
        <cfvo type="max"/>
        <color rgb="FFF08D5B"/>
      </dataBar>
    </cfRule>
  </conditionalFormatting>
  <conditionalFormatting sqref="AV224:AV226">
    <cfRule type="dataBar" priority="1299">
      <dataBar>
        <cfvo type="min"/>
        <cfvo type="max"/>
        <color rgb="FFF08D5B"/>
      </dataBar>
    </cfRule>
  </conditionalFormatting>
  <conditionalFormatting sqref="AV231:AV235">
    <cfRule type="dataBar" priority="1392">
      <dataBar>
        <cfvo type="min"/>
        <cfvo type="max"/>
        <color rgb="FFF08D5B"/>
      </dataBar>
    </cfRule>
  </conditionalFormatting>
  <conditionalFormatting sqref="AV240:AV244">
    <cfRule type="dataBar" priority="1485">
      <dataBar>
        <cfvo type="min"/>
        <cfvo type="max"/>
        <color rgb="FFF08D5B"/>
      </dataBar>
    </cfRule>
  </conditionalFormatting>
  <conditionalFormatting sqref="AV249:AV253">
    <cfRule type="dataBar" priority="1578">
      <dataBar>
        <cfvo type="min"/>
        <cfvo type="max"/>
        <color rgb="FFF08D5B"/>
      </dataBar>
    </cfRule>
  </conditionalFormatting>
  <conditionalFormatting sqref="AV258:AV318">
    <cfRule type="dataBar" priority="1671">
      <dataBar>
        <cfvo type="min"/>
        <cfvo type="max"/>
        <color rgb="FFF08D5B"/>
      </dataBar>
    </cfRule>
  </conditionalFormatting>
  <conditionalFormatting sqref="AV26:AV28">
    <cfRule type="dataBar" priority="276">
      <dataBar>
        <cfvo type="min"/>
        <cfvo type="max"/>
        <color rgb="FFF08D5B"/>
      </dataBar>
    </cfRule>
  </conditionalFormatting>
  <conditionalFormatting sqref="AV323:AV383">
    <cfRule type="dataBar" priority="1764">
      <dataBar>
        <cfvo type="min"/>
        <cfvo type="max"/>
        <color rgb="FFF08D5B"/>
      </dataBar>
    </cfRule>
  </conditionalFormatting>
  <conditionalFormatting sqref="AV33:AV35">
    <cfRule type="dataBar" priority="369">
      <dataBar>
        <cfvo type="min"/>
        <cfvo type="max"/>
        <color rgb="FFF08D5B"/>
      </dataBar>
    </cfRule>
  </conditionalFormatting>
  <conditionalFormatting sqref="AV388:AV390">
    <cfRule type="dataBar" priority="1857">
      <dataBar>
        <cfvo type="min"/>
        <cfvo type="max"/>
        <color rgb="FFF08D5B"/>
      </dataBar>
    </cfRule>
  </conditionalFormatting>
  <conditionalFormatting sqref="AV40:AV43">
    <cfRule type="dataBar" priority="462">
      <dataBar>
        <cfvo type="min"/>
        <cfvo type="max"/>
        <color rgb="FFF08D5B"/>
      </dataBar>
    </cfRule>
  </conditionalFormatting>
  <conditionalFormatting sqref="AV48:AV52">
    <cfRule type="dataBar" priority="555">
      <dataBar>
        <cfvo type="min"/>
        <cfvo type="max"/>
        <color rgb="FFF08D5B"/>
      </dataBar>
    </cfRule>
  </conditionalFormatting>
  <conditionalFormatting sqref="AV57:AV61">
    <cfRule type="dataBar" priority="648">
      <dataBar>
        <cfvo type="min"/>
        <cfvo type="max"/>
        <color rgb="FFF08D5B"/>
      </dataBar>
    </cfRule>
  </conditionalFormatting>
  <conditionalFormatting sqref="AV66:AV67">
    <cfRule type="dataBar" priority="741">
      <dataBar>
        <cfvo type="min"/>
        <cfvo type="max"/>
        <color rgb="FFF08D5B"/>
      </dataBar>
    </cfRule>
  </conditionalFormatting>
  <conditionalFormatting sqref="AV72:AV185">
    <cfRule type="dataBar" priority="834">
      <dataBar>
        <cfvo type="min"/>
        <cfvo type="max"/>
        <color rgb="FFF08D5B"/>
      </dataBar>
    </cfRule>
  </conditionalFormatting>
  <conditionalFormatting sqref="AX16:AX21">
    <cfRule type="dataBar" priority="184">
      <dataBar>
        <cfvo type="min"/>
        <cfvo type="max"/>
        <color rgb="FF628DC4"/>
      </dataBar>
    </cfRule>
  </conditionalFormatting>
  <conditionalFormatting sqref="AX190:AX192">
    <cfRule type="dataBar" priority="928">
      <dataBar>
        <cfvo type="min"/>
        <cfvo type="max"/>
        <color rgb="FF628DC4"/>
      </dataBar>
    </cfRule>
  </conditionalFormatting>
  <conditionalFormatting sqref="AX197:AX202">
    <cfRule type="dataBar" priority="1021">
      <dataBar>
        <cfvo type="min"/>
        <cfvo type="max"/>
        <color rgb="FF628DC4"/>
      </dataBar>
    </cfRule>
  </conditionalFormatting>
  <conditionalFormatting sqref="AX207:AX209">
    <cfRule type="dataBar" priority="1114">
      <dataBar>
        <cfvo type="min"/>
        <cfvo type="max"/>
        <color rgb="FF628DC4"/>
      </dataBar>
    </cfRule>
  </conditionalFormatting>
  <conditionalFormatting sqref="AX214:AX219">
    <cfRule type="dataBar" priority="1207">
      <dataBar>
        <cfvo type="min"/>
        <cfvo type="max"/>
        <color rgb="FF628DC4"/>
      </dataBar>
    </cfRule>
  </conditionalFormatting>
  <conditionalFormatting sqref="AX224:AX226">
    <cfRule type="dataBar" priority="1300">
      <dataBar>
        <cfvo type="min"/>
        <cfvo type="max"/>
        <color rgb="FF628DC4"/>
      </dataBar>
    </cfRule>
  </conditionalFormatting>
  <conditionalFormatting sqref="AX231:AX235">
    <cfRule type="dataBar" priority="1393">
      <dataBar>
        <cfvo type="min"/>
        <cfvo type="max"/>
        <color rgb="FF628DC4"/>
      </dataBar>
    </cfRule>
  </conditionalFormatting>
  <conditionalFormatting sqref="AX240:AX244">
    <cfRule type="dataBar" priority="1486">
      <dataBar>
        <cfvo type="min"/>
        <cfvo type="max"/>
        <color rgb="FF628DC4"/>
      </dataBar>
    </cfRule>
  </conditionalFormatting>
  <conditionalFormatting sqref="AX249:AX253">
    <cfRule type="dataBar" priority="1579">
      <dataBar>
        <cfvo type="min"/>
        <cfvo type="max"/>
        <color rgb="FF628DC4"/>
      </dataBar>
    </cfRule>
  </conditionalFormatting>
  <conditionalFormatting sqref="AX258:AX318">
    <cfRule type="dataBar" priority="1672">
      <dataBar>
        <cfvo type="min"/>
        <cfvo type="max"/>
        <color rgb="FF628DC4"/>
      </dataBar>
    </cfRule>
  </conditionalFormatting>
  <conditionalFormatting sqref="AX26:AX28">
    <cfRule type="dataBar" priority="277">
      <dataBar>
        <cfvo type="min"/>
        <cfvo type="max"/>
        <color rgb="FF628DC4"/>
      </dataBar>
    </cfRule>
  </conditionalFormatting>
  <conditionalFormatting sqref="AX323:AX383">
    <cfRule type="dataBar" priority="1765">
      <dataBar>
        <cfvo type="min"/>
        <cfvo type="max"/>
        <color rgb="FF628DC4"/>
      </dataBar>
    </cfRule>
  </conditionalFormatting>
  <conditionalFormatting sqref="AX33:AX35">
    <cfRule type="dataBar" priority="370">
      <dataBar>
        <cfvo type="min"/>
        <cfvo type="max"/>
        <color rgb="FF628DC4"/>
      </dataBar>
    </cfRule>
  </conditionalFormatting>
  <conditionalFormatting sqref="AX388:AX390">
    <cfRule type="dataBar" priority="1858">
      <dataBar>
        <cfvo type="min"/>
        <cfvo type="max"/>
        <color rgb="FF628DC4"/>
      </dataBar>
    </cfRule>
  </conditionalFormatting>
  <conditionalFormatting sqref="AX40:AX43">
    <cfRule type="dataBar" priority="463">
      <dataBar>
        <cfvo type="min"/>
        <cfvo type="max"/>
        <color rgb="FF628DC4"/>
      </dataBar>
    </cfRule>
  </conditionalFormatting>
  <conditionalFormatting sqref="AX48:AX52">
    <cfRule type="dataBar" priority="556">
      <dataBar>
        <cfvo type="min"/>
        <cfvo type="max"/>
        <color rgb="FF628DC4"/>
      </dataBar>
    </cfRule>
  </conditionalFormatting>
  <conditionalFormatting sqref="AX57:AX61">
    <cfRule type="dataBar" priority="649">
      <dataBar>
        <cfvo type="min"/>
        <cfvo type="max"/>
        <color rgb="FF628DC4"/>
      </dataBar>
    </cfRule>
  </conditionalFormatting>
  <conditionalFormatting sqref="AX66:AX67">
    <cfRule type="dataBar" priority="742">
      <dataBar>
        <cfvo type="min"/>
        <cfvo type="max"/>
        <color rgb="FF628DC4"/>
      </dataBar>
    </cfRule>
  </conditionalFormatting>
  <conditionalFormatting sqref="AX72:AX185">
    <cfRule type="dataBar" priority="835">
      <dataBar>
        <cfvo type="min"/>
        <cfvo type="max"/>
        <color rgb="FF628DC4"/>
      </dataBar>
    </cfRule>
  </conditionalFormatting>
  <conditionalFormatting sqref="AY16:AY21">
    <cfRule type="dataBar" priority="185">
      <dataBar>
        <cfvo type="min"/>
        <cfvo type="max"/>
        <color rgb="FFFFB628"/>
      </dataBar>
    </cfRule>
  </conditionalFormatting>
  <conditionalFormatting sqref="AY190:AY192">
    <cfRule type="dataBar" priority="929">
      <dataBar>
        <cfvo type="min"/>
        <cfvo type="max"/>
        <color rgb="FFFFB628"/>
      </dataBar>
    </cfRule>
  </conditionalFormatting>
  <conditionalFormatting sqref="AY197:AY202">
    <cfRule type="dataBar" priority="1022">
      <dataBar>
        <cfvo type="min"/>
        <cfvo type="max"/>
        <color rgb="FFFFB628"/>
      </dataBar>
    </cfRule>
  </conditionalFormatting>
  <conditionalFormatting sqref="AY207:AY209">
    <cfRule type="dataBar" priority="1115">
      <dataBar>
        <cfvo type="min"/>
        <cfvo type="max"/>
        <color rgb="FFFFB628"/>
      </dataBar>
    </cfRule>
  </conditionalFormatting>
  <conditionalFormatting sqref="AY214:AY219">
    <cfRule type="dataBar" priority="1208">
      <dataBar>
        <cfvo type="min"/>
        <cfvo type="max"/>
        <color rgb="FFFFB628"/>
      </dataBar>
    </cfRule>
  </conditionalFormatting>
  <conditionalFormatting sqref="AY224:AY226">
    <cfRule type="dataBar" priority="1301">
      <dataBar>
        <cfvo type="min"/>
        <cfvo type="max"/>
        <color rgb="FFFFB628"/>
      </dataBar>
    </cfRule>
  </conditionalFormatting>
  <conditionalFormatting sqref="AY231:AY235">
    <cfRule type="dataBar" priority="1394">
      <dataBar>
        <cfvo type="min"/>
        <cfvo type="max"/>
        <color rgb="FFFFB628"/>
      </dataBar>
    </cfRule>
  </conditionalFormatting>
  <conditionalFormatting sqref="AY240:AY244">
    <cfRule type="dataBar" priority="1487">
      <dataBar>
        <cfvo type="min"/>
        <cfvo type="max"/>
        <color rgb="FFFFB628"/>
      </dataBar>
    </cfRule>
  </conditionalFormatting>
  <conditionalFormatting sqref="AY249:AY253">
    <cfRule type="dataBar" priority="1580">
      <dataBar>
        <cfvo type="min"/>
        <cfvo type="max"/>
        <color rgb="FFFFB628"/>
      </dataBar>
    </cfRule>
  </conditionalFormatting>
  <conditionalFormatting sqref="AY258:AY318">
    <cfRule type="dataBar" priority="1673">
      <dataBar>
        <cfvo type="min"/>
        <cfvo type="max"/>
        <color rgb="FFFFB628"/>
      </dataBar>
    </cfRule>
  </conditionalFormatting>
  <conditionalFormatting sqref="AY26:AY28">
    <cfRule type="dataBar" priority="278">
      <dataBar>
        <cfvo type="min"/>
        <cfvo type="max"/>
        <color rgb="FFFFB628"/>
      </dataBar>
    </cfRule>
  </conditionalFormatting>
  <conditionalFormatting sqref="AY323:AY383">
    <cfRule type="dataBar" priority="1766">
      <dataBar>
        <cfvo type="min"/>
        <cfvo type="max"/>
        <color rgb="FFFFB628"/>
      </dataBar>
    </cfRule>
  </conditionalFormatting>
  <conditionalFormatting sqref="AY33:AY35">
    <cfRule type="dataBar" priority="371">
      <dataBar>
        <cfvo type="min"/>
        <cfvo type="max"/>
        <color rgb="FFFFB628"/>
      </dataBar>
    </cfRule>
  </conditionalFormatting>
  <conditionalFormatting sqref="AY388:AY390">
    <cfRule type="dataBar" priority="1859">
      <dataBar>
        <cfvo type="min"/>
        <cfvo type="max"/>
        <color rgb="FFFFB628"/>
      </dataBar>
    </cfRule>
  </conditionalFormatting>
  <conditionalFormatting sqref="AY40:AY43">
    <cfRule type="dataBar" priority="464">
      <dataBar>
        <cfvo type="min"/>
        <cfvo type="max"/>
        <color rgb="FFFFB628"/>
      </dataBar>
    </cfRule>
  </conditionalFormatting>
  <conditionalFormatting sqref="AY48:AY52">
    <cfRule type="dataBar" priority="557">
      <dataBar>
        <cfvo type="min"/>
        <cfvo type="max"/>
        <color rgb="FFFFB628"/>
      </dataBar>
    </cfRule>
  </conditionalFormatting>
  <conditionalFormatting sqref="AY57:AY61">
    <cfRule type="dataBar" priority="650">
      <dataBar>
        <cfvo type="min"/>
        <cfvo type="max"/>
        <color rgb="FFFFB628"/>
      </dataBar>
    </cfRule>
  </conditionalFormatting>
  <conditionalFormatting sqref="AY66:AY67">
    <cfRule type="dataBar" priority="743">
      <dataBar>
        <cfvo type="min"/>
        <cfvo type="max"/>
        <color rgb="FFFFB628"/>
      </dataBar>
    </cfRule>
  </conditionalFormatting>
  <conditionalFormatting sqref="AY72:AY185">
    <cfRule type="dataBar" priority="836">
      <dataBar>
        <cfvo type="min"/>
        <cfvo type="max"/>
        <color rgb="FFFFB628"/>
      </dataBar>
    </cfRule>
  </conditionalFormatting>
  <conditionalFormatting sqref="AZ16:BA21">
    <cfRule type="dataBar" priority="186">
      <dataBar>
        <cfvo type="min"/>
        <cfvo type="max"/>
        <color rgb="FFF08D5B"/>
      </dataBar>
    </cfRule>
  </conditionalFormatting>
  <conditionalFormatting sqref="AZ190:BA192">
    <cfRule type="dataBar" priority="930">
      <dataBar>
        <cfvo type="min"/>
        <cfvo type="max"/>
        <color rgb="FFF08D5B"/>
      </dataBar>
    </cfRule>
  </conditionalFormatting>
  <conditionalFormatting sqref="AZ197:BA202">
    <cfRule type="dataBar" priority="1023">
      <dataBar>
        <cfvo type="min"/>
        <cfvo type="max"/>
        <color rgb="FFF08D5B"/>
      </dataBar>
    </cfRule>
  </conditionalFormatting>
  <conditionalFormatting sqref="AZ207:BA209">
    <cfRule type="dataBar" priority="1116">
      <dataBar>
        <cfvo type="min"/>
        <cfvo type="max"/>
        <color rgb="FFF08D5B"/>
      </dataBar>
    </cfRule>
  </conditionalFormatting>
  <conditionalFormatting sqref="AZ214:BA219">
    <cfRule type="dataBar" priority="1209">
      <dataBar>
        <cfvo type="min"/>
        <cfvo type="max"/>
        <color rgb="FFF08D5B"/>
      </dataBar>
    </cfRule>
  </conditionalFormatting>
  <conditionalFormatting sqref="AZ224:BA226">
    <cfRule type="dataBar" priority="1302">
      <dataBar>
        <cfvo type="min"/>
        <cfvo type="max"/>
        <color rgb="FFF08D5B"/>
      </dataBar>
    </cfRule>
  </conditionalFormatting>
  <conditionalFormatting sqref="AZ231:BA235">
    <cfRule type="dataBar" priority="1395">
      <dataBar>
        <cfvo type="min"/>
        <cfvo type="max"/>
        <color rgb="FFF08D5B"/>
      </dataBar>
    </cfRule>
  </conditionalFormatting>
  <conditionalFormatting sqref="AZ240:BA244">
    <cfRule type="dataBar" priority="1488">
      <dataBar>
        <cfvo type="min"/>
        <cfvo type="max"/>
        <color rgb="FFF08D5B"/>
      </dataBar>
    </cfRule>
  </conditionalFormatting>
  <conditionalFormatting sqref="AZ249:BA253">
    <cfRule type="dataBar" priority="1581">
      <dataBar>
        <cfvo type="min"/>
        <cfvo type="max"/>
        <color rgb="FFF08D5B"/>
      </dataBar>
    </cfRule>
  </conditionalFormatting>
  <conditionalFormatting sqref="AZ258:BA318">
    <cfRule type="dataBar" priority="1674">
      <dataBar>
        <cfvo type="min"/>
        <cfvo type="max"/>
        <color rgb="FFF08D5B"/>
      </dataBar>
    </cfRule>
  </conditionalFormatting>
  <conditionalFormatting sqref="AZ26:BA28">
    <cfRule type="dataBar" priority="279">
      <dataBar>
        <cfvo type="min"/>
        <cfvo type="max"/>
        <color rgb="FFF08D5B"/>
      </dataBar>
    </cfRule>
  </conditionalFormatting>
  <conditionalFormatting sqref="AZ323:BA383">
    <cfRule type="dataBar" priority="1767">
      <dataBar>
        <cfvo type="min"/>
        <cfvo type="max"/>
        <color rgb="FFF08D5B"/>
      </dataBar>
    </cfRule>
  </conditionalFormatting>
  <conditionalFormatting sqref="AZ33:BA35">
    <cfRule type="dataBar" priority="372">
      <dataBar>
        <cfvo type="min"/>
        <cfvo type="max"/>
        <color rgb="FFF08D5B"/>
      </dataBar>
    </cfRule>
  </conditionalFormatting>
  <conditionalFormatting sqref="AZ388:BA390">
    <cfRule type="dataBar" priority="1860">
      <dataBar>
        <cfvo type="min"/>
        <cfvo type="max"/>
        <color rgb="FFF08D5B"/>
      </dataBar>
    </cfRule>
  </conditionalFormatting>
  <conditionalFormatting sqref="AZ40:BA43">
    <cfRule type="dataBar" priority="465">
      <dataBar>
        <cfvo type="min"/>
        <cfvo type="max"/>
        <color rgb="FFF08D5B"/>
      </dataBar>
    </cfRule>
  </conditionalFormatting>
  <conditionalFormatting sqref="AZ48:BA52">
    <cfRule type="dataBar" priority="558">
      <dataBar>
        <cfvo type="min"/>
        <cfvo type="max"/>
        <color rgb="FFF08D5B"/>
      </dataBar>
    </cfRule>
  </conditionalFormatting>
  <conditionalFormatting sqref="AZ57:BA61">
    <cfRule type="dataBar" priority="651">
      <dataBar>
        <cfvo type="min"/>
        <cfvo type="max"/>
        <color rgb="FFF08D5B"/>
      </dataBar>
    </cfRule>
  </conditionalFormatting>
  <conditionalFormatting sqref="AZ66:BA67">
    <cfRule type="dataBar" priority="744">
      <dataBar>
        <cfvo type="min"/>
        <cfvo type="max"/>
        <color rgb="FFF08D5B"/>
      </dataBar>
    </cfRule>
  </conditionalFormatting>
  <conditionalFormatting sqref="AZ72:BA185">
    <cfRule type="dataBar" priority="837">
      <dataBar>
        <cfvo type="min"/>
        <cfvo type="max"/>
        <color rgb="FFF08D5B"/>
      </dataBar>
    </cfRule>
  </conditionalFormatting>
  <conditionalFormatting sqref="B16:B21">
    <cfRule type="dataBar" priority="148">
      <dataBar>
        <cfvo type="min"/>
        <cfvo type="max"/>
        <color rgb="FF628DC4"/>
      </dataBar>
    </cfRule>
  </conditionalFormatting>
  <conditionalFormatting sqref="B190:B192">
    <cfRule type="dataBar" priority="892">
      <dataBar>
        <cfvo type="min"/>
        <cfvo type="max"/>
        <color rgb="FF628DC4"/>
      </dataBar>
    </cfRule>
  </conditionalFormatting>
  <conditionalFormatting sqref="B197:B202">
    <cfRule type="dataBar" priority="985">
      <dataBar>
        <cfvo type="min"/>
        <cfvo type="max"/>
        <color rgb="FF628DC4"/>
      </dataBar>
    </cfRule>
  </conditionalFormatting>
  <conditionalFormatting sqref="B207:B209">
    <cfRule type="dataBar" priority="1078">
      <dataBar>
        <cfvo type="min"/>
        <cfvo type="max"/>
        <color rgb="FF628DC4"/>
      </dataBar>
    </cfRule>
  </conditionalFormatting>
  <conditionalFormatting sqref="B214:B219">
    <cfRule type="dataBar" priority="1171">
      <dataBar>
        <cfvo type="min"/>
        <cfvo type="max"/>
        <color rgb="FF628DC4"/>
      </dataBar>
    </cfRule>
  </conditionalFormatting>
  <conditionalFormatting sqref="B224:B226">
    <cfRule type="dataBar" priority="1264">
      <dataBar>
        <cfvo type="min"/>
        <cfvo type="max"/>
        <color rgb="FF628DC4"/>
      </dataBar>
    </cfRule>
  </conditionalFormatting>
  <conditionalFormatting sqref="B231:B235">
    <cfRule type="dataBar" priority="1357">
      <dataBar>
        <cfvo type="min"/>
        <cfvo type="max"/>
        <color rgb="FF628DC4"/>
      </dataBar>
    </cfRule>
  </conditionalFormatting>
  <conditionalFormatting sqref="B240:B244">
    <cfRule type="dataBar" priority="1450">
      <dataBar>
        <cfvo type="min"/>
        <cfvo type="max"/>
        <color rgb="FF628DC4"/>
      </dataBar>
    </cfRule>
  </conditionalFormatting>
  <conditionalFormatting sqref="B249:B253">
    <cfRule type="dataBar" priority="1543">
      <dataBar>
        <cfvo type="min"/>
        <cfvo type="max"/>
        <color rgb="FF628DC4"/>
      </dataBar>
    </cfRule>
  </conditionalFormatting>
  <conditionalFormatting sqref="B258:B318">
    <cfRule type="dataBar" priority="1636">
      <dataBar>
        <cfvo type="min"/>
        <cfvo type="max"/>
        <color rgb="FF628DC4"/>
      </dataBar>
    </cfRule>
  </conditionalFormatting>
  <conditionalFormatting sqref="B26:B28">
    <cfRule type="dataBar" priority="241">
      <dataBar>
        <cfvo type="min"/>
        <cfvo type="max"/>
        <color rgb="FF628DC4"/>
      </dataBar>
    </cfRule>
  </conditionalFormatting>
  <conditionalFormatting sqref="B323:B383">
    <cfRule type="dataBar" priority="1729">
      <dataBar>
        <cfvo type="min"/>
        <cfvo type="max"/>
        <color rgb="FF628DC4"/>
      </dataBar>
    </cfRule>
  </conditionalFormatting>
  <conditionalFormatting sqref="B33:B35">
    <cfRule type="dataBar" priority="334">
      <dataBar>
        <cfvo type="min"/>
        <cfvo type="max"/>
        <color rgb="FF628DC4"/>
      </dataBar>
    </cfRule>
  </conditionalFormatting>
  <conditionalFormatting sqref="B388:B390">
    <cfRule type="dataBar" priority="1822">
      <dataBar>
        <cfvo type="min"/>
        <cfvo type="max"/>
        <color rgb="FF628DC4"/>
      </dataBar>
    </cfRule>
  </conditionalFormatting>
  <conditionalFormatting sqref="B40:B43">
    <cfRule type="dataBar" priority="427">
      <dataBar>
        <cfvo type="min"/>
        <cfvo type="max"/>
        <color rgb="FF628DC4"/>
      </dataBar>
    </cfRule>
  </conditionalFormatting>
  <conditionalFormatting sqref="B48:B52">
    <cfRule type="dataBar" priority="520">
      <dataBar>
        <cfvo type="min"/>
        <cfvo type="max"/>
        <color rgb="FF628DC4"/>
      </dataBar>
    </cfRule>
  </conditionalFormatting>
  <conditionalFormatting sqref="B57:B61">
    <cfRule type="dataBar" priority="613">
      <dataBar>
        <cfvo type="min"/>
        <cfvo type="max"/>
        <color rgb="FF628DC4"/>
      </dataBar>
    </cfRule>
  </conditionalFormatting>
  <conditionalFormatting sqref="B66:B67">
    <cfRule type="dataBar" priority="706">
      <dataBar>
        <cfvo type="min"/>
        <cfvo type="max"/>
        <color rgb="FF628DC4"/>
      </dataBar>
    </cfRule>
  </conditionalFormatting>
  <conditionalFormatting sqref="B72:B185">
    <cfRule type="dataBar" priority="799">
      <dataBar>
        <cfvo type="min"/>
        <cfvo type="max"/>
        <color rgb="FF628DC4"/>
      </dataBar>
    </cfRule>
  </conditionalFormatting>
  <conditionalFormatting sqref="BF16:BF21">
    <cfRule type="dataBar" priority="187">
      <dataBar>
        <cfvo type="min"/>
        <cfvo type="max"/>
        <color rgb="FF628DC4"/>
      </dataBar>
    </cfRule>
  </conditionalFormatting>
  <conditionalFormatting sqref="BF190:BF192">
    <cfRule type="dataBar" priority="931">
      <dataBar>
        <cfvo type="min"/>
        <cfvo type="max"/>
        <color rgb="FF628DC4"/>
      </dataBar>
    </cfRule>
  </conditionalFormatting>
  <conditionalFormatting sqref="BF197:BF202">
    <cfRule type="dataBar" priority="1024">
      <dataBar>
        <cfvo type="min"/>
        <cfvo type="max"/>
        <color rgb="FF628DC4"/>
      </dataBar>
    </cfRule>
  </conditionalFormatting>
  <conditionalFormatting sqref="BF207:BF209">
    <cfRule type="dataBar" priority="1117">
      <dataBar>
        <cfvo type="min"/>
        <cfvo type="max"/>
        <color rgb="FF628DC4"/>
      </dataBar>
    </cfRule>
  </conditionalFormatting>
  <conditionalFormatting sqref="BF214:BF219">
    <cfRule type="dataBar" priority="1210">
      <dataBar>
        <cfvo type="min"/>
        <cfvo type="max"/>
        <color rgb="FF628DC4"/>
      </dataBar>
    </cfRule>
  </conditionalFormatting>
  <conditionalFormatting sqref="BF224:BF226">
    <cfRule type="dataBar" priority="1303">
      <dataBar>
        <cfvo type="min"/>
        <cfvo type="max"/>
        <color rgb="FF628DC4"/>
      </dataBar>
    </cfRule>
  </conditionalFormatting>
  <conditionalFormatting sqref="BF231:BF235">
    <cfRule type="dataBar" priority="1396">
      <dataBar>
        <cfvo type="min"/>
        <cfvo type="max"/>
        <color rgb="FF628DC4"/>
      </dataBar>
    </cfRule>
  </conditionalFormatting>
  <conditionalFormatting sqref="BF240:BF244">
    <cfRule type="dataBar" priority="1489">
      <dataBar>
        <cfvo type="min"/>
        <cfvo type="max"/>
        <color rgb="FF628DC4"/>
      </dataBar>
    </cfRule>
  </conditionalFormatting>
  <conditionalFormatting sqref="BF249:BF253">
    <cfRule type="dataBar" priority="1582">
      <dataBar>
        <cfvo type="min"/>
        <cfvo type="max"/>
        <color rgb="FF628DC4"/>
      </dataBar>
    </cfRule>
  </conditionalFormatting>
  <conditionalFormatting sqref="BF258:BF318">
    <cfRule type="dataBar" priority="1675">
      <dataBar>
        <cfvo type="min"/>
        <cfvo type="max"/>
        <color rgb="FF628DC4"/>
      </dataBar>
    </cfRule>
  </conditionalFormatting>
  <conditionalFormatting sqref="BF26:BF28">
    <cfRule type="dataBar" priority="280">
      <dataBar>
        <cfvo type="min"/>
        <cfvo type="max"/>
        <color rgb="FF628DC4"/>
      </dataBar>
    </cfRule>
  </conditionalFormatting>
  <conditionalFormatting sqref="BF323:BF383">
    <cfRule type="dataBar" priority="1768">
      <dataBar>
        <cfvo type="min"/>
        <cfvo type="max"/>
        <color rgb="FF628DC4"/>
      </dataBar>
    </cfRule>
  </conditionalFormatting>
  <conditionalFormatting sqref="BF33:BF35">
    <cfRule type="dataBar" priority="373">
      <dataBar>
        <cfvo type="min"/>
        <cfvo type="max"/>
        <color rgb="FF628DC4"/>
      </dataBar>
    </cfRule>
  </conditionalFormatting>
  <conditionalFormatting sqref="BF388:BF390">
    <cfRule type="dataBar" priority="1861">
      <dataBar>
        <cfvo type="min"/>
        <cfvo type="max"/>
        <color rgb="FF628DC4"/>
      </dataBar>
    </cfRule>
  </conditionalFormatting>
  <conditionalFormatting sqref="BF40:BF43">
    <cfRule type="dataBar" priority="466">
      <dataBar>
        <cfvo type="min"/>
        <cfvo type="max"/>
        <color rgb="FF628DC4"/>
      </dataBar>
    </cfRule>
  </conditionalFormatting>
  <conditionalFormatting sqref="BF48:BF52">
    <cfRule type="dataBar" priority="559">
      <dataBar>
        <cfvo type="min"/>
        <cfvo type="max"/>
        <color rgb="FF628DC4"/>
      </dataBar>
    </cfRule>
  </conditionalFormatting>
  <conditionalFormatting sqref="BF57:BF61">
    <cfRule type="dataBar" priority="652">
      <dataBar>
        <cfvo type="min"/>
        <cfvo type="max"/>
        <color rgb="FF628DC4"/>
      </dataBar>
    </cfRule>
  </conditionalFormatting>
  <conditionalFormatting sqref="BF66:BF67">
    <cfRule type="dataBar" priority="745">
      <dataBar>
        <cfvo type="min"/>
        <cfvo type="max"/>
        <color rgb="FF628DC4"/>
      </dataBar>
    </cfRule>
  </conditionalFormatting>
  <conditionalFormatting sqref="BF72:BF185">
    <cfRule type="dataBar" priority="838">
      <dataBar>
        <cfvo type="min"/>
        <cfvo type="max"/>
        <color rgb="FF628DC4"/>
      </dataBar>
    </cfRule>
  </conditionalFormatting>
  <conditionalFormatting sqref="BG16:BG21">
    <cfRule type="dataBar" priority="188">
      <dataBar>
        <cfvo type="min"/>
        <cfvo type="max"/>
        <color rgb="FFFFB628"/>
      </dataBar>
    </cfRule>
  </conditionalFormatting>
  <conditionalFormatting sqref="BG190:BG192">
    <cfRule type="dataBar" priority="932">
      <dataBar>
        <cfvo type="min"/>
        <cfvo type="max"/>
        <color rgb="FFFFB628"/>
      </dataBar>
    </cfRule>
  </conditionalFormatting>
  <conditionalFormatting sqref="BG197:BG202">
    <cfRule type="dataBar" priority="1025">
      <dataBar>
        <cfvo type="min"/>
        <cfvo type="max"/>
        <color rgb="FFFFB628"/>
      </dataBar>
    </cfRule>
  </conditionalFormatting>
  <conditionalFormatting sqref="BG207:BG209">
    <cfRule type="dataBar" priority="1118">
      <dataBar>
        <cfvo type="min"/>
        <cfvo type="max"/>
        <color rgb="FFFFB628"/>
      </dataBar>
    </cfRule>
  </conditionalFormatting>
  <conditionalFormatting sqref="BG214:BG219">
    <cfRule type="dataBar" priority="1211">
      <dataBar>
        <cfvo type="min"/>
        <cfvo type="max"/>
        <color rgb="FFFFB628"/>
      </dataBar>
    </cfRule>
  </conditionalFormatting>
  <conditionalFormatting sqref="BG224:BG226">
    <cfRule type="dataBar" priority="1304">
      <dataBar>
        <cfvo type="min"/>
        <cfvo type="max"/>
        <color rgb="FFFFB628"/>
      </dataBar>
    </cfRule>
  </conditionalFormatting>
  <conditionalFormatting sqref="BG231:BG235">
    <cfRule type="dataBar" priority="1397">
      <dataBar>
        <cfvo type="min"/>
        <cfvo type="max"/>
        <color rgb="FFFFB628"/>
      </dataBar>
    </cfRule>
  </conditionalFormatting>
  <conditionalFormatting sqref="BG240:BG244">
    <cfRule type="dataBar" priority="1490">
      <dataBar>
        <cfvo type="min"/>
        <cfvo type="max"/>
        <color rgb="FFFFB628"/>
      </dataBar>
    </cfRule>
  </conditionalFormatting>
  <conditionalFormatting sqref="BG249:BG253">
    <cfRule type="dataBar" priority="1583">
      <dataBar>
        <cfvo type="min"/>
        <cfvo type="max"/>
        <color rgb="FFFFB628"/>
      </dataBar>
    </cfRule>
  </conditionalFormatting>
  <conditionalFormatting sqref="BG258:BG318">
    <cfRule type="dataBar" priority="1676">
      <dataBar>
        <cfvo type="min"/>
        <cfvo type="max"/>
        <color rgb="FFFFB628"/>
      </dataBar>
    </cfRule>
  </conditionalFormatting>
  <conditionalFormatting sqref="BG26:BG28">
    <cfRule type="dataBar" priority="281">
      <dataBar>
        <cfvo type="min"/>
        <cfvo type="max"/>
        <color rgb="FFFFB628"/>
      </dataBar>
    </cfRule>
  </conditionalFormatting>
  <conditionalFormatting sqref="BG323:BG383">
    <cfRule type="dataBar" priority="1769">
      <dataBar>
        <cfvo type="min"/>
        <cfvo type="max"/>
        <color rgb="FFFFB628"/>
      </dataBar>
    </cfRule>
  </conditionalFormatting>
  <conditionalFormatting sqref="BG33:BG35">
    <cfRule type="dataBar" priority="374">
      <dataBar>
        <cfvo type="min"/>
        <cfvo type="max"/>
        <color rgb="FFFFB628"/>
      </dataBar>
    </cfRule>
  </conditionalFormatting>
  <conditionalFormatting sqref="BG388:BG390">
    <cfRule type="dataBar" priority="1862">
      <dataBar>
        <cfvo type="min"/>
        <cfvo type="max"/>
        <color rgb="FFFFB628"/>
      </dataBar>
    </cfRule>
  </conditionalFormatting>
  <conditionalFormatting sqref="BG40:BG43">
    <cfRule type="dataBar" priority="467">
      <dataBar>
        <cfvo type="min"/>
        <cfvo type="max"/>
        <color rgb="FFFFB628"/>
      </dataBar>
    </cfRule>
  </conditionalFormatting>
  <conditionalFormatting sqref="BG48:BG52">
    <cfRule type="dataBar" priority="560">
      <dataBar>
        <cfvo type="min"/>
        <cfvo type="max"/>
        <color rgb="FFFFB628"/>
      </dataBar>
    </cfRule>
  </conditionalFormatting>
  <conditionalFormatting sqref="BG57:BG61">
    <cfRule type="dataBar" priority="653">
      <dataBar>
        <cfvo type="min"/>
        <cfvo type="max"/>
        <color rgb="FFFFB628"/>
      </dataBar>
    </cfRule>
  </conditionalFormatting>
  <conditionalFormatting sqref="BG66:BG67">
    <cfRule type="dataBar" priority="746">
      <dataBar>
        <cfvo type="min"/>
        <cfvo type="max"/>
        <color rgb="FFFFB628"/>
      </dataBar>
    </cfRule>
  </conditionalFormatting>
  <conditionalFormatting sqref="BG72:BG185">
    <cfRule type="dataBar" priority="839">
      <dataBar>
        <cfvo type="min"/>
        <cfvo type="max"/>
        <color rgb="FFFFB628"/>
      </dataBar>
    </cfRule>
  </conditionalFormatting>
  <conditionalFormatting sqref="BH16:BH21">
    <cfRule type="dataBar" priority="189">
      <dataBar>
        <cfvo type="min"/>
        <cfvo type="max"/>
        <color rgb="FFF08D5B"/>
      </dataBar>
    </cfRule>
  </conditionalFormatting>
  <conditionalFormatting sqref="BH190:BH192">
    <cfRule type="dataBar" priority="933">
      <dataBar>
        <cfvo type="min"/>
        <cfvo type="max"/>
        <color rgb="FFF08D5B"/>
      </dataBar>
    </cfRule>
  </conditionalFormatting>
  <conditionalFormatting sqref="BH197:BH202">
    <cfRule type="dataBar" priority="1026">
      <dataBar>
        <cfvo type="min"/>
        <cfvo type="max"/>
        <color rgb="FFF08D5B"/>
      </dataBar>
    </cfRule>
  </conditionalFormatting>
  <conditionalFormatting sqref="BH207:BH209">
    <cfRule type="dataBar" priority="1119">
      <dataBar>
        <cfvo type="min"/>
        <cfvo type="max"/>
        <color rgb="FFF08D5B"/>
      </dataBar>
    </cfRule>
  </conditionalFormatting>
  <conditionalFormatting sqref="BH214:BH219">
    <cfRule type="dataBar" priority="1212">
      <dataBar>
        <cfvo type="min"/>
        <cfvo type="max"/>
        <color rgb="FFF08D5B"/>
      </dataBar>
    </cfRule>
  </conditionalFormatting>
  <conditionalFormatting sqref="BH224:BH226">
    <cfRule type="dataBar" priority="1305">
      <dataBar>
        <cfvo type="min"/>
        <cfvo type="max"/>
        <color rgb="FFF08D5B"/>
      </dataBar>
    </cfRule>
  </conditionalFormatting>
  <conditionalFormatting sqref="BH231:BH235">
    <cfRule type="dataBar" priority="1398">
      <dataBar>
        <cfvo type="min"/>
        <cfvo type="max"/>
        <color rgb="FFF08D5B"/>
      </dataBar>
    </cfRule>
  </conditionalFormatting>
  <conditionalFormatting sqref="BH240:BH244">
    <cfRule type="dataBar" priority="1491">
      <dataBar>
        <cfvo type="min"/>
        <cfvo type="max"/>
        <color rgb="FFF08D5B"/>
      </dataBar>
    </cfRule>
  </conditionalFormatting>
  <conditionalFormatting sqref="BH249:BH253">
    <cfRule type="dataBar" priority="1584">
      <dataBar>
        <cfvo type="min"/>
        <cfvo type="max"/>
        <color rgb="FFF08D5B"/>
      </dataBar>
    </cfRule>
  </conditionalFormatting>
  <conditionalFormatting sqref="BH258:BH318">
    <cfRule type="dataBar" priority="1677">
      <dataBar>
        <cfvo type="min"/>
        <cfvo type="max"/>
        <color rgb="FFF08D5B"/>
      </dataBar>
    </cfRule>
  </conditionalFormatting>
  <conditionalFormatting sqref="BH26:BH28">
    <cfRule type="dataBar" priority="282">
      <dataBar>
        <cfvo type="min"/>
        <cfvo type="max"/>
        <color rgb="FFF08D5B"/>
      </dataBar>
    </cfRule>
  </conditionalFormatting>
  <conditionalFormatting sqref="BH323:BH383">
    <cfRule type="dataBar" priority="1770">
      <dataBar>
        <cfvo type="min"/>
        <cfvo type="max"/>
        <color rgb="FFF08D5B"/>
      </dataBar>
    </cfRule>
  </conditionalFormatting>
  <conditionalFormatting sqref="BH33:BH35">
    <cfRule type="dataBar" priority="375">
      <dataBar>
        <cfvo type="min"/>
        <cfvo type="max"/>
        <color rgb="FFF08D5B"/>
      </dataBar>
    </cfRule>
  </conditionalFormatting>
  <conditionalFormatting sqref="BH388:BH390">
    <cfRule type="dataBar" priority="1863">
      <dataBar>
        <cfvo type="min"/>
        <cfvo type="max"/>
        <color rgb="FFF08D5B"/>
      </dataBar>
    </cfRule>
  </conditionalFormatting>
  <conditionalFormatting sqref="BH40:BH43">
    <cfRule type="dataBar" priority="468">
      <dataBar>
        <cfvo type="min"/>
        <cfvo type="max"/>
        <color rgb="FFF08D5B"/>
      </dataBar>
    </cfRule>
  </conditionalFormatting>
  <conditionalFormatting sqref="BH48:BH52">
    <cfRule type="dataBar" priority="561">
      <dataBar>
        <cfvo type="min"/>
        <cfvo type="max"/>
        <color rgb="FFF08D5B"/>
      </dataBar>
    </cfRule>
  </conditionalFormatting>
  <conditionalFormatting sqref="BH57:BH61">
    <cfRule type="dataBar" priority="654">
      <dataBar>
        <cfvo type="min"/>
        <cfvo type="max"/>
        <color rgb="FFF08D5B"/>
      </dataBar>
    </cfRule>
  </conditionalFormatting>
  <conditionalFormatting sqref="BH66:BH67">
    <cfRule type="dataBar" priority="747">
      <dataBar>
        <cfvo type="min"/>
        <cfvo type="max"/>
        <color rgb="FFF08D5B"/>
      </dataBar>
    </cfRule>
  </conditionalFormatting>
  <conditionalFormatting sqref="BH72:BH185">
    <cfRule type="dataBar" priority="840">
      <dataBar>
        <cfvo type="min"/>
        <cfvo type="max"/>
        <color rgb="FFF08D5B"/>
      </dataBar>
    </cfRule>
  </conditionalFormatting>
  <conditionalFormatting sqref="BB16:BB21">
    <cfRule type="dataBar" priority="190">
      <dataBar>
        <cfvo type="min"/>
        <cfvo type="max"/>
        <color rgb="FF628DC4"/>
      </dataBar>
    </cfRule>
  </conditionalFormatting>
  <conditionalFormatting sqref="BB190:BB192">
    <cfRule type="dataBar" priority="934">
      <dataBar>
        <cfvo type="min"/>
        <cfvo type="max"/>
        <color rgb="FF628DC4"/>
      </dataBar>
    </cfRule>
  </conditionalFormatting>
  <conditionalFormatting sqref="BB197:BB202">
    <cfRule type="dataBar" priority="1027">
      <dataBar>
        <cfvo type="min"/>
        <cfvo type="max"/>
        <color rgb="FF628DC4"/>
      </dataBar>
    </cfRule>
  </conditionalFormatting>
  <conditionalFormatting sqref="BB207:BB209">
    <cfRule type="dataBar" priority="1120">
      <dataBar>
        <cfvo type="min"/>
        <cfvo type="max"/>
        <color rgb="FF628DC4"/>
      </dataBar>
    </cfRule>
  </conditionalFormatting>
  <conditionalFormatting sqref="BB214:BB219">
    <cfRule type="dataBar" priority="1213">
      <dataBar>
        <cfvo type="min"/>
        <cfvo type="max"/>
        <color rgb="FF628DC4"/>
      </dataBar>
    </cfRule>
  </conditionalFormatting>
  <conditionalFormatting sqref="BB224:BB226">
    <cfRule type="dataBar" priority="1306">
      <dataBar>
        <cfvo type="min"/>
        <cfvo type="max"/>
        <color rgb="FF628DC4"/>
      </dataBar>
    </cfRule>
  </conditionalFormatting>
  <conditionalFormatting sqref="BB231:BB235">
    <cfRule type="dataBar" priority="1399">
      <dataBar>
        <cfvo type="min"/>
        <cfvo type="max"/>
        <color rgb="FF628DC4"/>
      </dataBar>
    </cfRule>
  </conditionalFormatting>
  <conditionalFormatting sqref="BB240:BB244">
    <cfRule type="dataBar" priority="1492">
      <dataBar>
        <cfvo type="min"/>
        <cfvo type="max"/>
        <color rgb="FF628DC4"/>
      </dataBar>
    </cfRule>
  </conditionalFormatting>
  <conditionalFormatting sqref="BB249:BB253">
    <cfRule type="dataBar" priority="1585">
      <dataBar>
        <cfvo type="min"/>
        <cfvo type="max"/>
        <color rgb="FF628DC4"/>
      </dataBar>
    </cfRule>
  </conditionalFormatting>
  <conditionalFormatting sqref="BB258:BB318">
    <cfRule type="dataBar" priority="1678">
      <dataBar>
        <cfvo type="min"/>
        <cfvo type="max"/>
        <color rgb="FF628DC4"/>
      </dataBar>
    </cfRule>
  </conditionalFormatting>
  <conditionalFormatting sqref="BB26:BB28">
    <cfRule type="dataBar" priority="283">
      <dataBar>
        <cfvo type="min"/>
        <cfvo type="max"/>
        <color rgb="FF628DC4"/>
      </dataBar>
    </cfRule>
  </conditionalFormatting>
  <conditionalFormatting sqref="BB323:BB383">
    <cfRule type="dataBar" priority="1771">
      <dataBar>
        <cfvo type="min"/>
        <cfvo type="max"/>
        <color rgb="FF628DC4"/>
      </dataBar>
    </cfRule>
  </conditionalFormatting>
  <conditionalFormatting sqref="BB33:BB35">
    <cfRule type="dataBar" priority="376">
      <dataBar>
        <cfvo type="min"/>
        <cfvo type="max"/>
        <color rgb="FF628DC4"/>
      </dataBar>
    </cfRule>
  </conditionalFormatting>
  <conditionalFormatting sqref="BB388:BB390">
    <cfRule type="dataBar" priority="1864">
      <dataBar>
        <cfvo type="min"/>
        <cfvo type="max"/>
        <color rgb="FF628DC4"/>
      </dataBar>
    </cfRule>
  </conditionalFormatting>
  <conditionalFormatting sqref="BB40:BB43">
    <cfRule type="dataBar" priority="469">
      <dataBar>
        <cfvo type="min"/>
        <cfvo type="max"/>
        <color rgb="FF628DC4"/>
      </dataBar>
    </cfRule>
  </conditionalFormatting>
  <conditionalFormatting sqref="BB48:BB52">
    <cfRule type="dataBar" priority="562">
      <dataBar>
        <cfvo type="min"/>
        <cfvo type="max"/>
        <color rgb="FF628DC4"/>
      </dataBar>
    </cfRule>
  </conditionalFormatting>
  <conditionalFormatting sqref="BB57:BB61">
    <cfRule type="dataBar" priority="655">
      <dataBar>
        <cfvo type="min"/>
        <cfvo type="max"/>
        <color rgb="FF628DC4"/>
      </dataBar>
    </cfRule>
  </conditionalFormatting>
  <conditionalFormatting sqref="BB66:BB67">
    <cfRule type="dataBar" priority="748">
      <dataBar>
        <cfvo type="min"/>
        <cfvo type="max"/>
        <color rgb="FF628DC4"/>
      </dataBar>
    </cfRule>
  </conditionalFormatting>
  <conditionalFormatting sqref="BB72:BB185">
    <cfRule type="dataBar" priority="841">
      <dataBar>
        <cfvo type="min"/>
        <cfvo type="max"/>
        <color rgb="FF628DC4"/>
      </dataBar>
    </cfRule>
  </conditionalFormatting>
  <conditionalFormatting sqref="BC16:BC21">
    <cfRule type="dataBar" priority="191">
      <dataBar>
        <cfvo type="min"/>
        <cfvo type="max"/>
        <color rgb="FFFFB628"/>
      </dataBar>
    </cfRule>
  </conditionalFormatting>
  <conditionalFormatting sqref="BC190:BC192">
    <cfRule type="dataBar" priority="935">
      <dataBar>
        <cfvo type="min"/>
        <cfvo type="max"/>
        <color rgb="FFFFB628"/>
      </dataBar>
    </cfRule>
  </conditionalFormatting>
  <conditionalFormatting sqref="BC197:BC202">
    <cfRule type="dataBar" priority="1028">
      <dataBar>
        <cfvo type="min"/>
        <cfvo type="max"/>
        <color rgb="FFFFB628"/>
      </dataBar>
    </cfRule>
  </conditionalFormatting>
  <conditionalFormatting sqref="BC207:BC209">
    <cfRule type="dataBar" priority="1121">
      <dataBar>
        <cfvo type="min"/>
        <cfvo type="max"/>
        <color rgb="FFFFB628"/>
      </dataBar>
    </cfRule>
  </conditionalFormatting>
  <conditionalFormatting sqref="BC214:BC219">
    <cfRule type="dataBar" priority="1214">
      <dataBar>
        <cfvo type="min"/>
        <cfvo type="max"/>
        <color rgb="FFFFB628"/>
      </dataBar>
    </cfRule>
  </conditionalFormatting>
  <conditionalFormatting sqref="BC224:BC226">
    <cfRule type="dataBar" priority="1307">
      <dataBar>
        <cfvo type="min"/>
        <cfvo type="max"/>
        <color rgb="FFFFB628"/>
      </dataBar>
    </cfRule>
  </conditionalFormatting>
  <conditionalFormatting sqref="BC231:BC235">
    <cfRule type="dataBar" priority="1400">
      <dataBar>
        <cfvo type="min"/>
        <cfvo type="max"/>
        <color rgb="FFFFB628"/>
      </dataBar>
    </cfRule>
  </conditionalFormatting>
  <conditionalFormatting sqref="BC240:BC244">
    <cfRule type="dataBar" priority="1493">
      <dataBar>
        <cfvo type="min"/>
        <cfvo type="max"/>
        <color rgb="FFFFB628"/>
      </dataBar>
    </cfRule>
  </conditionalFormatting>
  <conditionalFormatting sqref="BC249:BC253">
    <cfRule type="dataBar" priority="1586">
      <dataBar>
        <cfvo type="min"/>
        <cfvo type="max"/>
        <color rgb="FFFFB628"/>
      </dataBar>
    </cfRule>
  </conditionalFormatting>
  <conditionalFormatting sqref="BC258:BC318">
    <cfRule type="dataBar" priority="1679">
      <dataBar>
        <cfvo type="min"/>
        <cfvo type="max"/>
        <color rgb="FFFFB628"/>
      </dataBar>
    </cfRule>
  </conditionalFormatting>
  <conditionalFormatting sqref="BC26:BC28">
    <cfRule type="dataBar" priority="284">
      <dataBar>
        <cfvo type="min"/>
        <cfvo type="max"/>
        <color rgb="FFFFB628"/>
      </dataBar>
    </cfRule>
  </conditionalFormatting>
  <conditionalFormatting sqref="BC323:BC383">
    <cfRule type="dataBar" priority="1772">
      <dataBar>
        <cfvo type="min"/>
        <cfvo type="max"/>
        <color rgb="FFFFB628"/>
      </dataBar>
    </cfRule>
  </conditionalFormatting>
  <conditionalFormatting sqref="BC33:BC35">
    <cfRule type="dataBar" priority="377">
      <dataBar>
        <cfvo type="min"/>
        <cfvo type="max"/>
        <color rgb="FFFFB628"/>
      </dataBar>
    </cfRule>
  </conditionalFormatting>
  <conditionalFormatting sqref="BC388:BC390">
    <cfRule type="dataBar" priority="1865">
      <dataBar>
        <cfvo type="min"/>
        <cfvo type="max"/>
        <color rgb="FFFFB628"/>
      </dataBar>
    </cfRule>
  </conditionalFormatting>
  <conditionalFormatting sqref="BC40:BC43">
    <cfRule type="dataBar" priority="470">
      <dataBar>
        <cfvo type="min"/>
        <cfvo type="max"/>
        <color rgb="FFFFB628"/>
      </dataBar>
    </cfRule>
  </conditionalFormatting>
  <conditionalFormatting sqref="BC48:BC52">
    <cfRule type="dataBar" priority="563">
      <dataBar>
        <cfvo type="min"/>
        <cfvo type="max"/>
        <color rgb="FFFFB628"/>
      </dataBar>
    </cfRule>
  </conditionalFormatting>
  <conditionalFormatting sqref="BC57:BC61">
    <cfRule type="dataBar" priority="656">
      <dataBar>
        <cfvo type="min"/>
        <cfvo type="max"/>
        <color rgb="FFFFB628"/>
      </dataBar>
    </cfRule>
  </conditionalFormatting>
  <conditionalFormatting sqref="BC66:BC67">
    <cfRule type="dataBar" priority="749">
      <dataBar>
        <cfvo type="min"/>
        <cfvo type="max"/>
        <color rgb="FFFFB628"/>
      </dataBar>
    </cfRule>
  </conditionalFormatting>
  <conditionalFormatting sqref="BC72:BC185">
    <cfRule type="dataBar" priority="842">
      <dataBar>
        <cfvo type="min"/>
        <cfvo type="max"/>
        <color rgb="FFFFB628"/>
      </dataBar>
    </cfRule>
  </conditionalFormatting>
  <conditionalFormatting sqref="BD16:BD21">
    <cfRule type="dataBar" priority="192">
      <dataBar>
        <cfvo type="min"/>
        <cfvo type="max"/>
        <color rgb="FFF08D5B"/>
      </dataBar>
    </cfRule>
  </conditionalFormatting>
  <conditionalFormatting sqref="BD190:BD192">
    <cfRule type="dataBar" priority="936">
      <dataBar>
        <cfvo type="min"/>
        <cfvo type="max"/>
        <color rgb="FFF08D5B"/>
      </dataBar>
    </cfRule>
  </conditionalFormatting>
  <conditionalFormatting sqref="BD197:BD202">
    <cfRule type="dataBar" priority="1029">
      <dataBar>
        <cfvo type="min"/>
        <cfvo type="max"/>
        <color rgb="FFF08D5B"/>
      </dataBar>
    </cfRule>
  </conditionalFormatting>
  <conditionalFormatting sqref="BD207:BD209">
    <cfRule type="dataBar" priority="1122">
      <dataBar>
        <cfvo type="min"/>
        <cfvo type="max"/>
        <color rgb="FFF08D5B"/>
      </dataBar>
    </cfRule>
  </conditionalFormatting>
  <conditionalFormatting sqref="BD214:BD219">
    <cfRule type="dataBar" priority="1215">
      <dataBar>
        <cfvo type="min"/>
        <cfvo type="max"/>
        <color rgb="FFF08D5B"/>
      </dataBar>
    </cfRule>
  </conditionalFormatting>
  <conditionalFormatting sqref="BD224:BD226">
    <cfRule type="dataBar" priority="1308">
      <dataBar>
        <cfvo type="min"/>
        <cfvo type="max"/>
        <color rgb="FFF08D5B"/>
      </dataBar>
    </cfRule>
  </conditionalFormatting>
  <conditionalFormatting sqref="BD231:BD235">
    <cfRule type="dataBar" priority="1401">
      <dataBar>
        <cfvo type="min"/>
        <cfvo type="max"/>
        <color rgb="FFF08D5B"/>
      </dataBar>
    </cfRule>
  </conditionalFormatting>
  <conditionalFormatting sqref="BD240:BD244">
    <cfRule type="dataBar" priority="1494">
      <dataBar>
        <cfvo type="min"/>
        <cfvo type="max"/>
        <color rgb="FFF08D5B"/>
      </dataBar>
    </cfRule>
  </conditionalFormatting>
  <conditionalFormatting sqref="BD249:BD253">
    <cfRule type="dataBar" priority="1587">
      <dataBar>
        <cfvo type="min"/>
        <cfvo type="max"/>
        <color rgb="FFF08D5B"/>
      </dataBar>
    </cfRule>
  </conditionalFormatting>
  <conditionalFormatting sqref="BD258:BD318">
    <cfRule type="dataBar" priority="1680">
      <dataBar>
        <cfvo type="min"/>
        <cfvo type="max"/>
        <color rgb="FFF08D5B"/>
      </dataBar>
    </cfRule>
  </conditionalFormatting>
  <conditionalFormatting sqref="BD26:BD28">
    <cfRule type="dataBar" priority="285">
      <dataBar>
        <cfvo type="min"/>
        <cfvo type="max"/>
        <color rgb="FFF08D5B"/>
      </dataBar>
    </cfRule>
  </conditionalFormatting>
  <conditionalFormatting sqref="BD323:BD383">
    <cfRule type="dataBar" priority="1773">
      <dataBar>
        <cfvo type="min"/>
        <cfvo type="max"/>
        <color rgb="FFF08D5B"/>
      </dataBar>
    </cfRule>
  </conditionalFormatting>
  <conditionalFormatting sqref="BD33:BD35">
    <cfRule type="dataBar" priority="378">
      <dataBar>
        <cfvo type="min"/>
        <cfvo type="max"/>
        <color rgb="FFF08D5B"/>
      </dataBar>
    </cfRule>
  </conditionalFormatting>
  <conditionalFormatting sqref="BD388:BD390">
    <cfRule type="dataBar" priority="1866">
      <dataBar>
        <cfvo type="min"/>
        <cfvo type="max"/>
        <color rgb="FFF08D5B"/>
      </dataBar>
    </cfRule>
  </conditionalFormatting>
  <conditionalFormatting sqref="BD40:BD43">
    <cfRule type="dataBar" priority="471">
      <dataBar>
        <cfvo type="min"/>
        <cfvo type="max"/>
        <color rgb="FFF08D5B"/>
      </dataBar>
    </cfRule>
  </conditionalFormatting>
  <conditionalFormatting sqref="BD48:BD52">
    <cfRule type="dataBar" priority="564">
      <dataBar>
        <cfvo type="min"/>
        <cfvo type="max"/>
        <color rgb="FFF08D5B"/>
      </dataBar>
    </cfRule>
  </conditionalFormatting>
  <conditionalFormatting sqref="BD57:BD61">
    <cfRule type="dataBar" priority="657">
      <dataBar>
        <cfvo type="min"/>
        <cfvo type="max"/>
        <color rgb="FFF08D5B"/>
      </dataBar>
    </cfRule>
  </conditionalFormatting>
  <conditionalFormatting sqref="BD66:BD67">
    <cfRule type="dataBar" priority="750">
      <dataBar>
        <cfvo type="min"/>
        <cfvo type="max"/>
        <color rgb="FFF08D5B"/>
      </dataBar>
    </cfRule>
  </conditionalFormatting>
  <conditionalFormatting sqref="BD72:BD185">
    <cfRule type="dataBar" priority="843">
      <dataBar>
        <cfvo type="min"/>
        <cfvo type="max"/>
        <color rgb="FFF08D5B"/>
      </dataBar>
    </cfRule>
  </conditionalFormatting>
  <conditionalFormatting sqref="BJ16:BJ21">
    <cfRule type="dataBar" priority="193">
      <dataBar>
        <cfvo type="min"/>
        <cfvo type="max"/>
        <color rgb="FF628DC4"/>
      </dataBar>
    </cfRule>
  </conditionalFormatting>
  <conditionalFormatting sqref="BJ190:BJ192">
    <cfRule type="dataBar" priority="937">
      <dataBar>
        <cfvo type="min"/>
        <cfvo type="max"/>
        <color rgb="FF628DC4"/>
      </dataBar>
    </cfRule>
  </conditionalFormatting>
  <conditionalFormatting sqref="BJ197:BJ202">
    <cfRule type="dataBar" priority="1030">
      <dataBar>
        <cfvo type="min"/>
        <cfvo type="max"/>
        <color rgb="FF628DC4"/>
      </dataBar>
    </cfRule>
  </conditionalFormatting>
  <conditionalFormatting sqref="BJ207:BJ209">
    <cfRule type="dataBar" priority="1123">
      <dataBar>
        <cfvo type="min"/>
        <cfvo type="max"/>
        <color rgb="FF628DC4"/>
      </dataBar>
    </cfRule>
  </conditionalFormatting>
  <conditionalFormatting sqref="BJ214:BJ219">
    <cfRule type="dataBar" priority="1216">
      <dataBar>
        <cfvo type="min"/>
        <cfvo type="max"/>
        <color rgb="FF628DC4"/>
      </dataBar>
    </cfRule>
  </conditionalFormatting>
  <conditionalFormatting sqref="BJ224:BJ226">
    <cfRule type="dataBar" priority="1309">
      <dataBar>
        <cfvo type="min"/>
        <cfvo type="max"/>
        <color rgb="FF628DC4"/>
      </dataBar>
    </cfRule>
  </conditionalFormatting>
  <conditionalFormatting sqref="BJ231:BJ235">
    <cfRule type="dataBar" priority="1402">
      <dataBar>
        <cfvo type="min"/>
        <cfvo type="max"/>
        <color rgb="FF628DC4"/>
      </dataBar>
    </cfRule>
  </conditionalFormatting>
  <conditionalFormatting sqref="BJ240:BJ244">
    <cfRule type="dataBar" priority="1495">
      <dataBar>
        <cfvo type="min"/>
        <cfvo type="max"/>
        <color rgb="FF628DC4"/>
      </dataBar>
    </cfRule>
  </conditionalFormatting>
  <conditionalFormatting sqref="BJ249:BJ253">
    <cfRule type="dataBar" priority="1588">
      <dataBar>
        <cfvo type="min"/>
        <cfvo type="max"/>
        <color rgb="FF628DC4"/>
      </dataBar>
    </cfRule>
  </conditionalFormatting>
  <conditionalFormatting sqref="BJ258:BJ318">
    <cfRule type="dataBar" priority="1681">
      <dataBar>
        <cfvo type="min"/>
        <cfvo type="max"/>
        <color rgb="FF628DC4"/>
      </dataBar>
    </cfRule>
  </conditionalFormatting>
  <conditionalFormatting sqref="BJ26:BJ28">
    <cfRule type="dataBar" priority="286">
      <dataBar>
        <cfvo type="min"/>
        <cfvo type="max"/>
        <color rgb="FF628DC4"/>
      </dataBar>
    </cfRule>
  </conditionalFormatting>
  <conditionalFormatting sqref="BJ323:BJ383">
    <cfRule type="dataBar" priority="1774">
      <dataBar>
        <cfvo type="min"/>
        <cfvo type="max"/>
        <color rgb="FF628DC4"/>
      </dataBar>
    </cfRule>
  </conditionalFormatting>
  <conditionalFormatting sqref="BJ33:BJ35">
    <cfRule type="dataBar" priority="379">
      <dataBar>
        <cfvo type="min"/>
        <cfvo type="max"/>
        <color rgb="FF628DC4"/>
      </dataBar>
    </cfRule>
  </conditionalFormatting>
  <conditionalFormatting sqref="BJ388:BJ390">
    <cfRule type="dataBar" priority="1867">
      <dataBar>
        <cfvo type="min"/>
        <cfvo type="max"/>
        <color rgb="FF628DC4"/>
      </dataBar>
    </cfRule>
  </conditionalFormatting>
  <conditionalFormatting sqref="BJ40:BJ43">
    <cfRule type="dataBar" priority="472">
      <dataBar>
        <cfvo type="min"/>
        <cfvo type="max"/>
        <color rgb="FF628DC4"/>
      </dataBar>
    </cfRule>
  </conditionalFormatting>
  <conditionalFormatting sqref="BJ48:BJ52">
    <cfRule type="dataBar" priority="565">
      <dataBar>
        <cfvo type="min"/>
        <cfvo type="max"/>
        <color rgb="FF628DC4"/>
      </dataBar>
    </cfRule>
  </conditionalFormatting>
  <conditionalFormatting sqref="BJ57:BJ61">
    <cfRule type="dataBar" priority="658">
      <dataBar>
        <cfvo type="min"/>
        <cfvo type="max"/>
        <color rgb="FF628DC4"/>
      </dataBar>
    </cfRule>
  </conditionalFormatting>
  <conditionalFormatting sqref="BJ66:BJ67">
    <cfRule type="dataBar" priority="751">
      <dataBar>
        <cfvo type="min"/>
        <cfvo type="max"/>
        <color rgb="FF628DC4"/>
      </dataBar>
    </cfRule>
  </conditionalFormatting>
  <conditionalFormatting sqref="BJ72:BJ185">
    <cfRule type="dataBar" priority="844">
      <dataBar>
        <cfvo type="min"/>
        <cfvo type="max"/>
        <color rgb="FF628DC4"/>
      </dataBar>
    </cfRule>
  </conditionalFormatting>
  <conditionalFormatting sqref="BK16:BK21">
    <cfRule type="dataBar" priority="194">
      <dataBar>
        <cfvo type="min"/>
        <cfvo type="max"/>
        <color rgb="FFFFB628"/>
      </dataBar>
    </cfRule>
  </conditionalFormatting>
  <conditionalFormatting sqref="BK190:BK192">
    <cfRule type="dataBar" priority="938">
      <dataBar>
        <cfvo type="min"/>
        <cfvo type="max"/>
        <color rgb="FFFFB628"/>
      </dataBar>
    </cfRule>
  </conditionalFormatting>
  <conditionalFormatting sqref="BK197:BK202">
    <cfRule type="dataBar" priority="1031">
      <dataBar>
        <cfvo type="min"/>
        <cfvo type="max"/>
        <color rgb="FFFFB628"/>
      </dataBar>
    </cfRule>
  </conditionalFormatting>
  <conditionalFormatting sqref="BK207:BK209">
    <cfRule type="dataBar" priority="1124">
      <dataBar>
        <cfvo type="min"/>
        <cfvo type="max"/>
        <color rgb="FFFFB628"/>
      </dataBar>
    </cfRule>
  </conditionalFormatting>
  <conditionalFormatting sqref="BK214:BK219">
    <cfRule type="dataBar" priority="1217">
      <dataBar>
        <cfvo type="min"/>
        <cfvo type="max"/>
        <color rgb="FFFFB628"/>
      </dataBar>
    </cfRule>
  </conditionalFormatting>
  <conditionalFormatting sqref="BK224:BK226">
    <cfRule type="dataBar" priority="1310">
      <dataBar>
        <cfvo type="min"/>
        <cfvo type="max"/>
        <color rgb="FFFFB628"/>
      </dataBar>
    </cfRule>
  </conditionalFormatting>
  <conditionalFormatting sqref="BK231:BK235">
    <cfRule type="dataBar" priority="1403">
      <dataBar>
        <cfvo type="min"/>
        <cfvo type="max"/>
        <color rgb="FFFFB628"/>
      </dataBar>
    </cfRule>
  </conditionalFormatting>
  <conditionalFormatting sqref="BK240:BK244">
    <cfRule type="dataBar" priority="1496">
      <dataBar>
        <cfvo type="min"/>
        <cfvo type="max"/>
        <color rgb="FFFFB628"/>
      </dataBar>
    </cfRule>
  </conditionalFormatting>
  <conditionalFormatting sqref="BK249:BK253">
    <cfRule type="dataBar" priority="1589">
      <dataBar>
        <cfvo type="min"/>
        <cfvo type="max"/>
        <color rgb="FFFFB628"/>
      </dataBar>
    </cfRule>
  </conditionalFormatting>
  <conditionalFormatting sqref="BK258:BK318">
    <cfRule type="dataBar" priority="1682">
      <dataBar>
        <cfvo type="min"/>
        <cfvo type="max"/>
        <color rgb="FFFFB628"/>
      </dataBar>
    </cfRule>
  </conditionalFormatting>
  <conditionalFormatting sqref="BK26:BK28">
    <cfRule type="dataBar" priority="287">
      <dataBar>
        <cfvo type="min"/>
        <cfvo type="max"/>
        <color rgb="FFFFB628"/>
      </dataBar>
    </cfRule>
  </conditionalFormatting>
  <conditionalFormatting sqref="BK323:BK383">
    <cfRule type="dataBar" priority="1775">
      <dataBar>
        <cfvo type="min"/>
        <cfvo type="max"/>
        <color rgb="FFFFB628"/>
      </dataBar>
    </cfRule>
  </conditionalFormatting>
  <conditionalFormatting sqref="BK33:BK35">
    <cfRule type="dataBar" priority="380">
      <dataBar>
        <cfvo type="min"/>
        <cfvo type="max"/>
        <color rgb="FFFFB628"/>
      </dataBar>
    </cfRule>
  </conditionalFormatting>
  <conditionalFormatting sqref="BK388:BK390">
    <cfRule type="dataBar" priority="1868">
      <dataBar>
        <cfvo type="min"/>
        <cfvo type="max"/>
        <color rgb="FFFFB628"/>
      </dataBar>
    </cfRule>
  </conditionalFormatting>
  <conditionalFormatting sqref="BK40:BK43">
    <cfRule type="dataBar" priority="473">
      <dataBar>
        <cfvo type="min"/>
        <cfvo type="max"/>
        <color rgb="FFFFB628"/>
      </dataBar>
    </cfRule>
  </conditionalFormatting>
  <conditionalFormatting sqref="BK48:BK52">
    <cfRule type="dataBar" priority="566">
      <dataBar>
        <cfvo type="min"/>
        <cfvo type="max"/>
        <color rgb="FFFFB628"/>
      </dataBar>
    </cfRule>
  </conditionalFormatting>
  <conditionalFormatting sqref="BK57:BK61">
    <cfRule type="dataBar" priority="659">
      <dataBar>
        <cfvo type="min"/>
        <cfvo type="max"/>
        <color rgb="FFFFB628"/>
      </dataBar>
    </cfRule>
  </conditionalFormatting>
  <conditionalFormatting sqref="BK66:BK67">
    <cfRule type="dataBar" priority="752">
      <dataBar>
        <cfvo type="min"/>
        <cfvo type="max"/>
        <color rgb="FFFFB628"/>
      </dataBar>
    </cfRule>
  </conditionalFormatting>
  <conditionalFormatting sqref="BK72:BK185">
    <cfRule type="dataBar" priority="845">
      <dataBar>
        <cfvo type="min"/>
        <cfvo type="max"/>
        <color rgb="FFFFB628"/>
      </dataBar>
    </cfRule>
  </conditionalFormatting>
  <conditionalFormatting sqref="BL16:BL21">
    <cfRule type="dataBar" priority="195">
      <dataBar>
        <cfvo type="min"/>
        <cfvo type="max"/>
        <color rgb="FFF08D5B"/>
      </dataBar>
    </cfRule>
  </conditionalFormatting>
  <conditionalFormatting sqref="BL190:BL192">
    <cfRule type="dataBar" priority="939">
      <dataBar>
        <cfvo type="min"/>
        <cfvo type="max"/>
        <color rgb="FFF08D5B"/>
      </dataBar>
    </cfRule>
  </conditionalFormatting>
  <conditionalFormatting sqref="BL197:BL202">
    <cfRule type="dataBar" priority="1032">
      <dataBar>
        <cfvo type="min"/>
        <cfvo type="max"/>
        <color rgb="FFF08D5B"/>
      </dataBar>
    </cfRule>
  </conditionalFormatting>
  <conditionalFormatting sqref="BL207:BL209">
    <cfRule type="dataBar" priority="1125">
      <dataBar>
        <cfvo type="min"/>
        <cfvo type="max"/>
        <color rgb="FFF08D5B"/>
      </dataBar>
    </cfRule>
  </conditionalFormatting>
  <conditionalFormatting sqref="BL214:BL219">
    <cfRule type="dataBar" priority="1218">
      <dataBar>
        <cfvo type="min"/>
        <cfvo type="max"/>
        <color rgb="FFF08D5B"/>
      </dataBar>
    </cfRule>
  </conditionalFormatting>
  <conditionalFormatting sqref="BL224:BL226">
    <cfRule type="dataBar" priority="1311">
      <dataBar>
        <cfvo type="min"/>
        <cfvo type="max"/>
        <color rgb="FFF08D5B"/>
      </dataBar>
    </cfRule>
  </conditionalFormatting>
  <conditionalFormatting sqref="BL231:BL235">
    <cfRule type="dataBar" priority="1404">
      <dataBar>
        <cfvo type="min"/>
        <cfvo type="max"/>
        <color rgb="FFF08D5B"/>
      </dataBar>
    </cfRule>
  </conditionalFormatting>
  <conditionalFormatting sqref="BL240:BL244">
    <cfRule type="dataBar" priority="1497">
      <dataBar>
        <cfvo type="min"/>
        <cfvo type="max"/>
        <color rgb="FFF08D5B"/>
      </dataBar>
    </cfRule>
  </conditionalFormatting>
  <conditionalFormatting sqref="BL249:BL253">
    <cfRule type="dataBar" priority="1590">
      <dataBar>
        <cfvo type="min"/>
        <cfvo type="max"/>
        <color rgb="FFF08D5B"/>
      </dataBar>
    </cfRule>
  </conditionalFormatting>
  <conditionalFormatting sqref="BL258:BL318">
    <cfRule type="dataBar" priority="1683">
      <dataBar>
        <cfvo type="min"/>
        <cfvo type="max"/>
        <color rgb="FFF08D5B"/>
      </dataBar>
    </cfRule>
  </conditionalFormatting>
  <conditionalFormatting sqref="BL26:BL28">
    <cfRule type="dataBar" priority="288">
      <dataBar>
        <cfvo type="min"/>
        <cfvo type="max"/>
        <color rgb="FFF08D5B"/>
      </dataBar>
    </cfRule>
  </conditionalFormatting>
  <conditionalFormatting sqref="BL323:BL383">
    <cfRule type="dataBar" priority="1776">
      <dataBar>
        <cfvo type="min"/>
        <cfvo type="max"/>
        <color rgb="FFF08D5B"/>
      </dataBar>
    </cfRule>
  </conditionalFormatting>
  <conditionalFormatting sqref="BL33:BL35">
    <cfRule type="dataBar" priority="381">
      <dataBar>
        <cfvo type="min"/>
        <cfvo type="max"/>
        <color rgb="FFF08D5B"/>
      </dataBar>
    </cfRule>
  </conditionalFormatting>
  <conditionalFormatting sqref="BL388:BL390">
    <cfRule type="dataBar" priority="1869">
      <dataBar>
        <cfvo type="min"/>
        <cfvo type="max"/>
        <color rgb="FFF08D5B"/>
      </dataBar>
    </cfRule>
  </conditionalFormatting>
  <conditionalFormatting sqref="BL40:BL43">
    <cfRule type="dataBar" priority="474">
      <dataBar>
        <cfvo type="min"/>
        <cfvo type="max"/>
        <color rgb="FFF08D5B"/>
      </dataBar>
    </cfRule>
  </conditionalFormatting>
  <conditionalFormatting sqref="BL48:BL52">
    <cfRule type="dataBar" priority="567">
      <dataBar>
        <cfvo type="min"/>
        <cfvo type="max"/>
        <color rgb="FFF08D5B"/>
      </dataBar>
    </cfRule>
  </conditionalFormatting>
  <conditionalFormatting sqref="BL57:BL61">
    <cfRule type="dataBar" priority="660">
      <dataBar>
        <cfvo type="min"/>
        <cfvo type="max"/>
        <color rgb="FFF08D5B"/>
      </dataBar>
    </cfRule>
  </conditionalFormatting>
  <conditionalFormatting sqref="BL66:BL67">
    <cfRule type="dataBar" priority="753">
      <dataBar>
        <cfvo type="min"/>
        <cfvo type="max"/>
        <color rgb="FFF08D5B"/>
      </dataBar>
    </cfRule>
  </conditionalFormatting>
  <conditionalFormatting sqref="BL72:BL185">
    <cfRule type="dataBar" priority="846">
      <dataBar>
        <cfvo type="min"/>
        <cfvo type="max"/>
        <color rgb="FFF08D5B"/>
      </dataBar>
    </cfRule>
  </conditionalFormatting>
  <conditionalFormatting sqref="C16:C21">
    <cfRule type="dataBar" priority="149">
      <dataBar>
        <cfvo type="min"/>
        <cfvo type="max"/>
        <color rgb="FFFFB628"/>
      </dataBar>
    </cfRule>
  </conditionalFormatting>
  <conditionalFormatting sqref="C190:C192">
    <cfRule type="dataBar" priority="893">
      <dataBar>
        <cfvo type="min"/>
        <cfvo type="max"/>
        <color rgb="FFFFB628"/>
      </dataBar>
    </cfRule>
  </conditionalFormatting>
  <conditionalFormatting sqref="C197:C202">
    <cfRule type="dataBar" priority="986">
      <dataBar>
        <cfvo type="min"/>
        <cfvo type="max"/>
        <color rgb="FFFFB628"/>
      </dataBar>
    </cfRule>
  </conditionalFormatting>
  <conditionalFormatting sqref="C207:C209">
    <cfRule type="dataBar" priority="1079">
      <dataBar>
        <cfvo type="min"/>
        <cfvo type="max"/>
        <color rgb="FFFFB628"/>
      </dataBar>
    </cfRule>
  </conditionalFormatting>
  <conditionalFormatting sqref="C214:C219">
    <cfRule type="dataBar" priority="1172">
      <dataBar>
        <cfvo type="min"/>
        <cfvo type="max"/>
        <color rgb="FFFFB628"/>
      </dataBar>
    </cfRule>
  </conditionalFormatting>
  <conditionalFormatting sqref="C224:C226">
    <cfRule type="dataBar" priority="1265">
      <dataBar>
        <cfvo type="min"/>
        <cfvo type="max"/>
        <color rgb="FFFFB628"/>
      </dataBar>
    </cfRule>
  </conditionalFormatting>
  <conditionalFormatting sqref="C231:C235">
    <cfRule type="dataBar" priority="1358">
      <dataBar>
        <cfvo type="min"/>
        <cfvo type="max"/>
        <color rgb="FFFFB628"/>
      </dataBar>
    </cfRule>
  </conditionalFormatting>
  <conditionalFormatting sqref="C240:C244">
    <cfRule type="dataBar" priority="1451">
      <dataBar>
        <cfvo type="min"/>
        <cfvo type="max"/>
        <color rgb="FFFFB628"/>
      </dataBar>
    </cfRule>
  </conditionalFormatting>
  <conditionalFormatting sqref="C249:C253">
    <cfRule type="dataBar" priority="1544">
      <dataBar>
        <cfvo type="min"/>
        <cfvo type="max"/>
        <color rgb="FFFFB628"/>
      </dataBar>
    </cfRule>
  </conditionalFormatting>
  <conditionalFormatting sqref="C258:C318">
    <cfRule type="dataBar" priority="1637">
      <dataBar>
        <cfvo type="min"/>
        <cfvo type="max"/>
        <color rgb="FFFFB628"/>
      </dataBar>
    </cfRule>
  </conditionalFormatting>
  <conditionalFormatting sqref="C26:C28">
    <cfRule type="dataBar" priority="242">
      <dataBar>
        <cfvo type="min"/>
        <cfvo type="max"/>
        <color rgb="FFFFB628"/>
      </dataBar>
    </cfRule>
  </conditionalFormatting>
  <conditionalFormatting sqref="C323:C383">
    <cfRule type="dataBar" priority="1730">
      <dataBar>
        <cfvo type="min"/>
        <cfvo type="max"/>
        <color rgb="FFFFB628"/>
      </dataBar>
    </cfRule>
  </conditionalFormatting>
  <conditionalFormatting sqref="C33:C35">
    <cfRule type="dataBar" priority="335">
      <dataBar>
        <cfvo type="min"/>
        <cfvo type="max"/>
        <color rgb="FFFFB628"/>
      </dataBar>
    </cfRule>
  </conditionalFormatting>
  <conditionalFormatting sqref="C388:C390">
    <cfRule type="dataBar" priority="1823">
      <dataBar>
        <cfvo type="min"/>
        <cfvo type="max"/>
        <color rgb="FFFFB628"/>
      </dataBar>
    </cfRule>
  </conditionalFormatting>
  <conditionalFormatting sqref="C40:C43">
    <cfRule type="dataBar" priority="428">
      <dataBar>
        <cfvo type="min"/>
        <cfvo type="max"/>
        <color rgb="FFFFB628"/>
      </dataBar>
    </cfRule>
  </conditionalFormatting>
  <conditionalFormatting sqref="C48:C52">
    <cfRule type="dataBar" priority="521">
      <dataBar>
        <cfvo type="min"/>
        <cfvo type="max"/>
        <color rgb="FFFFB628"/>
      </dataBar>
    </cfRule>
  </conditionalFormatting>
  <conditionalFormatting sqref="C57:C61">
    <cfRule type="dataBar" priority="614">
      <dataBar>
        <cfvo type="min"/>
        <cfvo type="max"/>
        <color rgb="FFFFB628"/>
      </dataBar>
    </cfRule>
  </conditionalFormatting>
  <conditionalFormatting sqref="C66:C67">
    <cfRule type="dataBar" priority="707">
      <dataBar>
        <cfvo type="min"/>
        <cfvo type="max"/>
        <color rgb="FFFFB628"/>
      </dataBar>
    </cfRule>
  </conditionalFormatting>
  <conditionalFormatting sqref="C72:C185">
    <cfRule type="dataBar" priority="800">
      <dataBar>
        <cfvo type="min"/>
        <cfvo type="max"/>
        <color rgb="FFFFB628"/>
      </dataBar>
    </cfRule>
  </conditionalFormatting>
  <conditionalFormatting sqref="BN16:BN21">
    <cfRule type="dataBar" priority="211">
      <dataBar>
        <cfvo type="min"/>
        <cfvo type="max"/>
        <color rgb="FF628DC4"/>
      </dataBar>
    </cfRule>
  </conditionalFormatting>
  <conditionalFormatting sqref="BN190:BN192">
    <cfRule type="dataBar" priority="955">
      <dataBar>
        <cfvo type="min"/>
        <cfvo type="max"/>
        <color rgb="FF628DC4"/>
      </dataBar>
    </cfRule>
  </conditionalFormatting>
  <conditionalFormatting sqref="BN197:BN202">
    <cfRule type="dataBar" priority="1048">
      <dataBar>
        <cfvo type="min"/>
        <cfvo type="max"/>
        <color rgb="FF628DC4"/>
      </dataBar>
    </cfRule>
  </conditionalFormatting>
  <conditionalFormatting sqref="BN207:BN209">
    <cfRule type="dataBar" priority="1141">
      <dataBar>
        <cfvo type="min"/>
        <cfvo type="max"/>
        <color rgb="FF628DC4"/>
      </dataBar>
    </cfRule>
  </conditionalFormatting>
  <conditionalFormatting sqref="BN214:BN219">
    <cfRule type="dataBar" priority="1234">
      <dataBar>
        <cfvo type="min"/>
        <cfvo type="max"/>
        <color rgb="FF628DC4"/>
      </dataBar>
    </cfRule>
  </conditionalFormatting>
  <conditionalFormatting sqref="BN224:BN226">
    <cfRule type="dataBar" priority="1327">
      <dataBar>
        <cfvo type="min"/>
        <cfvo type="max"/>
        <color rgb="FF628DC4"/>
      </dataBar>
    </cfRule>
  </conditionalFormatting>
  <conditionalFormatting sqref="BN231:BN235">
    <cfRule type="dataBar" priority="1420">
      <dataBar>
        <cfvo type="min"/>
        <cfvo type="max"/>
        <color rgb="FF628DC4"/>
      </dataBar>
    </cfRule>
  </conditionalFormatting>
  <conditionalFormatting sqref="BN240:BN244">
    <cfRule type="dataBar" priority="1513">
      <dataBar>
        <cfvo type="min"/>
        <cfvo type="max"/>
        <color rgb="FF628DC4"/>
      </dataBar>
    </cfRule>
  </conditionalFormatting>
  <conditionalFormatting sqref="BN249:BN253">
    <cfRule type="dataBar" priority="1606">
      <dataBar>
        <cfvo type="min"/>
        <cfvo type="max"/>
        <color rgb="FF628DC4"/>
      </dataBar>
    </cfRule>
  </conditionalFormatting>
  <conditionalFormatting sqref="BN258:BN318">
    <cfRule type="dataBar" priority="1699">
      <dataBar>
        <cfvo type="min"/>
        <cfvo type="max"/>
        <color rgb="FF628DC4"/>
      </dataBar>
    </cfRule>
  </conditionalFormatting>
  <conditionalFormatting sqref="BN26:BN28">
    <cfRule type="dataBar" priority="304">
      <dataBar>
        <cfvo type="min"/>
        <cfvo type="max"/>
        <color rgb="FF628DC4"/>
      </dataBar>
    </cfRule>
  </conditionalFormatting>
  <conditionalFormatting sqref="BN323:BN383">
    <cfRule type="dataBar" priority="1792">
      <dataBar>
        <cfvo type="min"/>
        <cfvo type="max"/>
        <color rgb="FF628DC4"/>
      </dataBar>
    </cfRule>
  </conditionalFormatting>
  <conditionalFormatting sqref="BN33:BN35">
    <cfRule type="dataBar" priority="397">
      <dataBar>
        <cfvo type="min"/>
        <cfvo type="max"/>
        <color rgb="FF628DC4"/>
      </dataBar>
    </cfRule>
  </conditionalFormatting>
  <conditionalFormatting sqref="BN388:BN390">
    <cfRule type="dataBar" priority="1885">
      <dataBar>
        <cfvo type="min"/>
        <cfvo type="max"/>
        <color rgb="FF628DC4"/>
      </dataBar>
    </cfRule>
  </conditionalFormatting>
  <conditionalFormatting sqref="BN40:BN43">
    <cfRule type="dataBar" priority="490">
      <dataBar>
        <cfvo type="min"/>
        <cfvo type="max"/>
        <color rgb="FF628DC4"/>
      </dataBar>
    </cfRule>
  </conditionalFormatting>
  <conditionalFormatting sqref="BN48:BN52">
    <cfRule type="dataBar" priority="583">
      <dataBar>
        <cfvo type="min"/>
        <cfvo type="max"/>
        <color rgb="FF628DC4"/>
      </dataBar>
    </cfRule>
  </conditionalFormatting>
  <conditionalFormatting sqref="BN57:BN61">
    <cfRule type="dataBar" priority="676">
      <dataBar>
        <cfvo type="min"/>
        <cfvo type="max"/>
        <color rgb="FF628DC4"/>
      </dataBar>
    </cfRule>
  </conditionalFormatting>
  <conditionalFormatting sqref="BN66:BN67">
    <cfRule type="dataBar" priority="769">
      <dataBar>
        <cfvo type="min"/>
        <cfvo type="max"/>
        <color rgb="FF628DC4"/>
      </dataBar>
    </cfRule>
  </conditionalFormatting>
  <conditionalFormatting sqref="BN72:BN185">
    <cfRule type="dataBar" priority="862">
      <dataBar>
        <cfvo type="min"/>
        <cfvo type="max"/>
        <color rgb="FF628DC4"/>
      </dataBar>
    </cfRule>
  </conditionalFormatting>
  <conditionalFormatting sqref="BO16:BO21">
    <cfRule type="dataBar" priority="212">
      <dataBar>
        <cfvo type="min"/>
        <cfvo type="max"/>
        <color rgb="FFFFB628"/>
      </dataBar>
    </cfRule>
  </conditionalFormatting>
  <conditionalFormatting sqref="BO190:BO192">
    <cfRule type="dataBar" priority="956">
      <dataBar>
        <cfvo type="min"/>
        <cfvo type="max"/>
        <color rgb="FFFFB628"/>
      </dataBar>
    </cfRule>
  </conditionalFormatting>
  <conditionalFormatting sqref="BO197:BO202">
    <cfRule type="dataBar" priority="1049">
      <dataBar>
        <cfvo type="min"/>
        <cfvo type="max"/>
        <color rgb="FFFFB628"/>
      </dataBar>
    </cfRule>
  </conditionalFormatting>
  <conditionalFormatting sqref="BO207:BO209">
    <cfRule type="dataBar" priority="1142">
      <dataBar>
        <cfvo type="min"/>
        <cfvo type="max"/>
        <color rgb="FFFFB628"/>
      </dataBar>
    </cfRule>
  </conditionalFormatting>
  <conditionalFormatting sqref="BO214:BO219">
    <cfRule type="dataBar" priority="1235">
      <dataBar>
        <cfvo type="min"/>
        <cfvo type="max"/>
        <color rgb="FFFFB628"/>
      </dataBar>
    </cfRule>
  </conditionalFormatting>
  <conditionalFormatting sqref="BO224:BO226">
    <cfRule type="dataBar" priority="1328">
      <dataBar>
        <cfvo type="min"/>
        <cfvo type="max"/>
        <color rgb="FFFFB628"/>
      </dataBar>
    </cfRule>
  </conditionalFormatting>
  <conditionalFormatting sqref="BO231:BO235">
    <cfRule type="dataBar" priority="1421">
      <dataBar>
        <cfvo type="min"/>
        <cfvo type="max"/>
        <color rgb="FFFFB628"/>
      </dataBar>
    </cfRule>
  </conditionalFormatting>
  <conditionalFormatting sqref="BO240:BO244">
    <cfRule type="dataBar" priority="1514">
      <dataBar>
        <cfvo type="min"/>
        <cfvo type="max"/>
        <color rgb="FFFFB628"/>
      </dataBar>
    </cfRule>
  </conditionalFormatting>
  <conditionalFormatting sqref="BO249:BO253">
    <cfRule type="dataBar" priority="1607">
      <dataBar>
        <cfvo type="min"/>
        <cfvo type="max"/>
        <color rgb="FFFFB628"/>
      </dataBar>
    </cfRule>
  </conditionalFormatting>
  <conditionalFormatting sqref="BO258:BO318">
    <cfRule type="dataBar" priority="1700">
      <dataBar>
        <cfvo type="min"/>
        <cfvo type="max"/>
        <color rgb="FFFFB628"/>
      </dataBar>
    </cfRule>
  </conditionalFormatting>
  <conditionalFormatting sqref="BO26:BO28">
    <cfRule type="dataBar" priority="305">
      <dataBar>
        <cfvo type="min"/>
        <cfvo type="max"/>
        <color rgb="FFFFB628"/>
      </dataBar>
    </cfRule>
  </conditionalFormatting>
  <conditionalFormatting sqref="BO323:BO383">
    <cfRule type="dataBar" priority="1793">
      <dataBar>
        <cfvo type="min"/>
        <cfvo type="max"/>
        <color rgb="FFFFB628"/>
      </dataBar>
    </cfRule>
  </conditionalFormatting>
  <conditionalFormatting sqref="BO33:BO35">
    <cfRule type="dataBar" priority="398">
      <dataBar>
        <cfvo type="min"/>
        <cfvo type="max"/>
        <color rgb="FFFFB628"/>
      </dataBar>
    </cfRule>
  </conditionalFormatting>
  <conditionalFormatting sqref="BO388:BO390">
    <cfRule type="dataBar" priority="1886">
      <dataBar>
        <cfvo type="min"/>
        <cfvo type="max"/>
        <color rgb="FFFFB628"/>
      </dataBar>
    </cfRule>
  </conditionalFormatting>
  <conditionalFormatting sqref="BO40:BO43">
    <cfRule type="dataBar" priority="491">
      <dataBar>
        <cfvo type="min"/>
        <cfvo type="max"/>
        <color rgb="FFFFB628"/>
      </dataBar>
    </cfRule>
  </conditionalFormatting>
  <conditionalFormatting sqref="BO48:BO52">
    <cfRule type="dataBar" priority="584">
      <dataBar>
        <cfvo type="min"/>
        <cfvo type="max"/>
        <color rgb="FFFFB628"/>
      </dataBar>
    </cfRule>
  </conditionalFormatting>
  <conditionalFormatting sqref="BO57:BO61">
    <cfRule type="dataBar" priority="677">
      <dataBar>
        <cfvo type="min"/>
        <cfvo type="max"/>
        <color rgb="FFFFB628"/>
      </dataBar>
    </cfRule>
  </conditionalFormatting>
  <conditionalFormatting sqref="BO66:BO67">
    <cfRule type="dataBar" priority="770">
      <dataBar>
        <cfvo type="min"/>
        <cfvo type="max"/>
        <color rgb="FFFFB628"/>
      </dataBar>
    </cfRule>
  </conditionalFormatting>
  <conditionalFormatting sqref="BO72:BO185">
    <cfRule type="dataBar" priority="863">
      <dataBar>
        <cfvo type="min"/>
        <cfvo type="max"/>
        <color rgb="FFFFB628"/>
      </dataBar>
    </cfRule>
  </conditionalFormatting>
  <conditionalFormatting sqref="BP16:BP21">
    <cfRule type="dataBar" priority="213">
      <dataBar>
        <cfvo type="min"/>
        <cfvo type="max"/>
        <color rgb="FFF08D5B"/>
      </dataBar>
    </cfRule>
  </conditionalFormatting>
  <conditionalFormatting sqref="BP190:BP192">
    <cfRule type="dataBar" priority="957">
      <dataBar>
        <cfvo type="min"/>
        <cfvo type="max"/>
        <color rgb="FFF08D5B"/>
      </dataBar>
    </cfRule>
  </conditionalFormatting>
  <conditionalFormatting sqref="BP197:BP202">
    <cfRule type="dataBar" priority="1050">
      <dataBar>
        <cfvo type="min"/>
        <cfvo type="max"/>
        <color rgb="FFF08D5B"/>
      </dataBar>
    </cfRule>
  </conditionalFormatting>
  <conditionalFormatting sqref="BP207:BP209">
    <cfRule type="dataBar" priority="1143">
      <dataBar>
        <cfvo type="min"/>
        <cfvo type="max"/>
        <color rgb="FFF08D5B"/>
      </dataBar>
    </cfRule>
  </conditionalFormatting>
  <conditionalFormatting sqref="BP214:BP219">
    <cfRule type="dataBar" priority="1236">
      <dataBar>
        <cfvo type="min"/>
        <cfvo type="max"/>
        <color rgb="FFF08D5B"/>
      </dataBar>
    </cfRule>
  </conditionalFormatting>
  <conditionalFormatting sqref="BP224:BP226">
    <cfRule type="dataBar" priority="1329">
      <dataBar>
        <cfvo type="min"/>
        <cfvo type="max"/>
        <color rgb="FFF08D5B"/>
      </dataBar>
    </cfRule>
  </conditionalFormatting>
  <conditionalFormatting sqref="BP231:BP235">
    <cfRule type="dataBar" priority="1422">
      <dataBar>
        <cfvo type="min"/>
        <cfvo type="max"/>
        <color rgb="FFF08D5B"/>
      </dataBar>
    </cfRule>
  </conditionalFormatting>
  <conditionalFormatting sqref="BP240:BP244">
    <cfRule type="dataBar" priority="1515">
      <dataBar>
        <cfvo type="min"/>
        <cfvo type="max"/>
        <color rgb="FFF08D5B"/>
      </dataBar>
    </cfRule>
  </conditionalFormatting>
  <conditionalFormatting sqref="BP249:BP253">
    <cfRule type="dataBar" priority="1608">
      <dataBar>
        <cfvo type="min"/>
        <cfvo type="max"/>
        <color rgb="FFF08D5B"/>
      </dataBar>
    </cfRule>
  </conditionalFormatting>
  <conditionalFormatting sqref="BP258:BP318">
    <cfRule type="dataBar" priority="1701">
      <dataBar>
        <cfvo type="min"/>
        <cfvo type="max"/>
        <color rgb="FFF08D5B"/>
      </dataBar>
    </cfRule>
  </conditionalFormatting>
  <conditionalFormatting sqref="BP26:BP28">
    <cfRule type="dataBar" priority="306">
      <dataBar>
        <cfvo type="min"/>
        <cfvo type="max"/>
        <color rgb="FFF08D5B"/>
      </dataBar>
    </cfRule>
  </conditionalFormatting>
  <conditionalFormatting sqref="BP323:BP383">
    <cfRule type="dataBar" priority="1794">
      <dataBar>
        <cfvo type="min"/>
        <cfvo type="max"/>
        <color rgb="FFF08D5B"/>
      </dataBar>
    </cfRule>
  </conditionalFormatting>
  <conditionalFormatting sqref="BP33:BP35">
    <cfRule type="dataBar" priority="399">
      <dataBar>
        <cfvo type="min"/>
        <cfvo type="max"/>
        <color rgb="FFF08D5B"/>
      </dataBar>
    </cfRule>
  </conditionalFormatting>
  <conditionalFormatting sqref="BP388:BP390">
    <cfRule type="dataBar" priority="1887">
      <dataBar>
        <cfvo type="min"/>
        <cfvo type="max"/>
        <color rgb="FFF08D5B"/>
      </dataBar>
    </cfRule>
  </conditionalFormatting>
  <conditionalFormatting sqref="BP40:BP43">
    <cfRule type="dataBar" priority="492">
      <dataBar>
        <cfvo type="min"/>
        <cfvo type="max"/>
        <color rgb="FFF08D5B"/>
      </dataBar>
    </cfRule>
  </conditionalFormatting>
  <conditionalFormatting sqref="BP48:BP52">
    <cfRule type="dataBar" priority="585">
      <dataBar>
        <cfvo type="min"/>
        <cfvo type="max"/>
        <color rgb="FFF08D5B"/>
      </dataBar>
    </cfRule>
  </conditionalFormatting>
  <conditionalFormatting sqref="BP57:BP61">
    <cfRule type="dataBar" priority="678">
      <dataBar>
        <cfvo type="min"/>
        <cfvo type="max"/>
        <color rgb="FFF08D5B"/>
      </dataBar>
    </cfRule>
  </conditionalFormatting>
  <conditionalFormatting sqref="BP66:BP67">
    <cfRule type="dataBar" priority="771">
      <dataBar>
        <cfvo type="min"/>
        <cfvo type="max"/>
        <color rgb="FFF08D5B"/>
      </dataBar>
    </cfRule>
  </conditionalFormatting>
  <conditionalFormatting sqref="BP72:BP185">
    <cfRule type="dataBar" priority="864">
      <dataBar>
        <cfvo type="min"/>
        <cfvo type="max"/>
        <color rgb="FFF08D5B"/>
      </dataBar>
    </cfRule>
  </conditionalFormatting>
  <conditionalFormatting sqref="BR16:BR21">
    <cfRule type="dataBar" priority="214">
      <dataBar>
        <cfvo type="min"/>
        <cfvo type="max"/>
        <color rgb="FF628DC4"/>
      </dataBar>
    </cfRule>
  </conditionalFormatting>
  <conditionalFormatting sqref="BR190:BR192">
    <cfRule type="dataBar" priority="958">
      <dataBar>
        <cfvo type="min"/>
        <cfvo type="max"/>
        <color rgb="FF628DC4"/>
      </dataBar>
    </cfRule>
  </conditionalFormatting>
  <conditionalFormatting sqref="BR197:BR202">
    <cfRule type="dataBar" priority="1051">
      <dataBar>
        <cfvo type="min"/>
        <cfvo type="max"/>
        <color rgb="FF628DC4"/>
      </dataBar>
    </cfRule>
  </conditionalFormatting>
  <conditionalFormatting sqref="BR207:BR209">
    <cfRule type="dataBar" priority="1144">
      <dataBar>
        <cfvo type="min"/>
        <cfvo type="max"/>
        <color rgb="FF628DC4"/>
      </dataBar>
    </cfRule>
  </conditionalFormatting>
  <conditionalFormatting sqref="BR214:BR219">
    <cfRule type="dataBar" priority="1237">
      <dataBar>
        <cfvo type="min"/>
        <cfvo type="max"/>
        <color rgb="FF628DC4"/>
      </dataBar>
    </cfRule>
  </conditionalFormatting>
  <conditionalFormatting sqref="BR224:BR226">
    <cfRule type="dataBar" priority="1330">
      <dataBar>
        <cfvo type="min"/>
        <cfvo type="max"/>
        <color rgb="FF628DC4"/>
      </dataBar>
    </cfRule>
  </conditionalFormatting>
  <conditionalFormatting sqref="BR231:BR235">
    <cfRule type="dataBar" priority="1423">
      <dataBar>
        <cfvo type="min"/>
        <cfvo type="max"/>
        <color rgb="FF628DC4"/>
      </dataBar>
    </cfRule>
  </conditionalFormatting>
  <conditionalFormatting sqref="BR240:BR244">
    <cfRule type="dataBar" priority="1516">
      <dataBar>
        <cfvo type="min"/>
        <cfvo type="max"/>
        <color rgb="FF628DC4"/>
      </dataBar>
    </cfRule>
  </conditionalFormatting>
  <conditionalFormatting sqref="BR249:BR253">
    <cfRule type="dataBar" priority="1609">
      <dataBar>
        <cfvo type="min"/>
        <cfvo type="max"/>
        <color rgb="FF628DC4"/>
      </dataBar>
    </cfRule>
  </conditionalFormatting>
  <conditionalFormatting sqref="BR258:BR318">
    <cfRule type="dataBar" priority="1702">
      <dataBar>
        <cfvo type="min"/>
        <cfvo type="max"/>
        <color rgb="FF628DC4"/>
      </dataBar>
    </cfRule>
  </conditionalFormatting>
  <conditionalFormatting sqref="BR26:BR28">
    <cfRule type="dataBar" priority="307">
      <dataBar>
        <cfvo type="min"/>
        <cfvo type="max"/>
        <color rgb="FF628DC4"/>
      </dataBar>
    </cfRule>
  </conditionalFormatting>
  <conditionalFormatting sqref="BR323:BR383">
    <cfRule type="dataBar" priority="1795">
      <dataBar>
        <cfvo type="min"/>
        <cfvo type="max"/>
        <color rgb="FF628DC4"/>
      </dataBar>
    </cfRule>
  </conditionalFormatting>
  <conditionalFormatting sqref="BR33:BR35">
    <cfRule type="dataBar" priority="400">
      <dataBar>
        <cfvo type="min"/>
        <cfvo type="max"/>
        <color rgb="FF628DC4"/>
      </dataBar>
    </cfRule>
  </conditionalFormatting>
  <conditionalFormatting sqref="BR388:BR390">
    <cfRule type="dataBar" priority="1888">
      <dataBar>
        <cfvo type="min"/>
        <cfvo type="max"/>
        <color rgb="FF628DC4"/>
      </dataBar>
    </cfRule>
  </conditionalFormatting>
  <conditionalFormatting sqref="BR40:BR43">
    <cfRule type="dataBar" priority="493">
      <dataBar>
        <cfvo type="min"/>
        <cfvo type="max"/>
        <color rgb="FF628DC4"/>
      </dataBar>
    </cfRule>
  </conditionalFormatting>
  <conditionalFormatting sqref="BR48:BR52">
    <cfRule type="dataBar" priority="586">
      <dataBar>
        <cfvo type="min"/>
        <cfvo type="max"/>
        <color rgb="FF628DC4"/>
      </dataBar>
    </cfRule>
  </conditionalFormatting>
  <conditionalFormatting sqref="BR57:BR61">
    <cfRule type="dataBar" priority="679">
      <dataBar>
        <cfvo type="min"/>
        <cfvo type="max"/>
        <color rgb="FF628DC4"/>
      </dataBar>
    </cfRule>
  </conditionalFormatting>
  <conditionalFormatting sqref="BR66:BR67">
    <cfRule type="dataBar" priority="772">
      <dataBar>
        <cfvo type="min"/>
        <cfvo type="max"/>
        <color rgb="FF628DC4"/>
      </dataBar>
    </cfRule>
  </conditionalFormatting>
  <conditionalFormatting sqref="BR72:BR185">
    <cfRule type="dataBar" priority="865">
      <dataBar>
        <cfvo type="min"/>
        <cfvo type="max"/>
        <color rgb="FF628DC4"/>
      </dataBar>
    </cfRule>
  </conditionalFormatting>
  <conditionalFormatting sqref="BS16:BS21">
    <cfRule type="dataBar" priority="215">
      <dataBar>
        <cfvo type="min"/>
        <cfvo type="max"/>
        <color rgb="FFFFB628"/>
      </dataBar>
    </cfRule>
  </conditionalFormatting>
  <conditionalFormatting sqref="BS190:BS192">
    <cfRule type="dataBar" priority="959">
      <dataBar>
        <cfvo type="min"/>
        <cfvo type="max"/>
        <color rgb="FFFFB628"/>
      </dataBar>
    </cfRule>
  </conditionalFormatting>
  <conditionalFormatting sqref="BS197:BS202">
    <cfRule type="dataBar" priority="1052">
      <dataBar>
        <cfvo type="min"/>
        <cfvo type="max"/>
        <color rgb="FFFFB628"/>
      </dataBar>
    </cfRule>
  </conditionalFormatting>
  <conditionalFormatting sqref="BS207:BS209">
    <cfRule type="dataBar" priority="1145">
      <dataBar>
        <cfvo type="min"/>
        <cfvo type="max"/>
        <color rgb="FFFFB628"/>
      </dataBar>
    </cfRule>
  </conditionalFormatting>
  <conditionalFormatting sqref="BS214:BS219">
    <cfRule type="dataBar" priority="1238">
      <dataBar>
        <cfvo type="min"/>
        <cfvo type="max"/>
        <color rgb="FFFFB628"/>
      </dataBar>
    </cfRule>
  </conditionalFormatting>
  <conditionalFormatting sqref="BS224:BS226">
    <cfRule type="dataBar" priority="1331">
      <dataBar>
        <cfvo type="min"/>
        <cfvo type="max"/>
        <color rgb="FFFFB628"/>
      </dataBar>
    </cfRule>
  </conditionalFormatting>
  <conditionalFormatting sqref="BS231:BS235">
    <cfRule type="dataBar" priority="1424">
      <dataBar>
        <cfvo type="min"/>
        <cfvo type="max"/>
        <color rgb="FFFFB628"/>
      </dataBar>
    </cfRule>
  </conditionalFormatting>
  <conditionalFormatting sqref="BS240:BS244">
    <cfRule type="dataBar" priority="1517">
      <dataBar>
        <cfvo type="min"/>
        <cfvo type="max"/>
        <color rgb="FFFFB628"/>
      </dataBar>
    </cfRule>
  </conditionalFormatting>
  <conditionalFormatting sqref="BS249:BS253">
    <cfRule type="dataBar" priority="1610">
      <dataBar>
        <cfvo type="min"/>
        <cfvo type="max"/>
        <color rgb="FFFFB628"/>
      </dataBar>
    </cfRule>
  </conditionalFormatting>
  <conditionalFormatting sqref="BS258:BS318">
    <cfRule type="dataBar" priority="1703">
      <dataBar>
        <cfvo type="min"/>
        <cfvo type="max"/>
        <color rgb="FFFFB628"/>
      </dataBar>
    </cfRule>
  </conditionalFormatting>
  <conditionalFormatting sqref="BS26:BS28">
    <cfRule type="dataBar" priority="308">
      <dataBar>
        <cfvo type="min"/>
        <cfvo type="max"/>
        <color rgb="FFFFB628"/>
      </dataBar>
    </cfRule>
  </conditionalFormatting>
  <conditionalFormatting sqref="BS323:BS383">
    <cfRule type="dataBar" priority="1796">
      <dataBar>
        <cfvo type="min"/>
        <cfvo type="max"/>
        <color rgb="FFFFB628"/>
      </dataBar>
    </cfRule>
  </conditionalFormatting>
  <conditionalFormatting sqref="BS33:BS35">
    <cfRule type="dataBar" priority="401">
      <dataBar>
        <cfvo type="min"/>
        <cfvo type="max"/>
        <color rgb="FFFFB628"/>
      </dataBar>
    </cfRule>
  </conditionalFormatting>
  <conditionalFormatting sqref="BS388:BS390">
    <cfRule type="dataBar" priority="1889">
      <dataBar>
        <cfvo type="min"/>
        <cfvo type="max"/>
        <color rgb="FFFFB628"/>
      </dataBar>
    </cfRule>
  </conditionalFormatting>
  <conditionalFormatting sqref="BS40:BS43">
    <cfRule type="dataBar" priority="494">
      <dataBar>
        <cfvo type="min"/>
        <cfvo type="max"/>
        <color rgb="FFFFB628"/>
      </dataBar>
    </cfRule>
  </conditionalFormatting>
  <conditionalFormatting sqref="BS48:BS52">
    <cfRule type="dataBar" priority="587">
      <dataBar>
        <cfvo type="min"/>
        <cfvo type="max"/>
        <color rgb="FFFFB628"/>
      </dataBar>
    </cfRule>
  </conditionalFormatting>
  <conditionalFormatting sqref="BS57:BS61">
    <cfRule type="dataBar" priority="680">
      <dataBar>
        <cfvo type="min"/>
        <cfvo type="max"/>
        <color rgb="FFFFB628"/>
      </dataBar>
    </cfRule>
  </conditionalFormatting>
  <conditionalFormatting sqref="BS66:BS67">
    <cfRule type="dataBar" priority="773">
      <dataBar>
        <cfvo type="min"/>
        <cfvo type="max"/>
        <color rgb="FFFFB628"/>
      </dataBar>
    </cfRule>
  </conditionalFormatting>
  <conditionalFormatting sqref="BS72:BS185">
    <cfRule type="dataBar" priority="866">
      <dataBar>
        <cfvo type="min"/>
        <cfvo type="max"/>
        <color rgb="FFFFB628"/>
      </dataBar>
    </cfRule>
  </conditionalFormatting>
  <conditionalFormatting sqref="BT16:BT21">
    <cfRule type="dataBar" priority="216">
      <dataBar>
        <cfvo type="min"/>
        <cfvo type="max"/>
        <color rgb="FFF08D5B"/>
      </dataBar>
    </cfRule>
  </conditionalFormatting>
  <conditionalFormatting sqref="BT190:BT192">
    <cfRule type="dataBar" priority="960">
      <dataBar>
        <cfvo type="min"/>
        <cfvo type="max"/>
        <color rgb="FFF08D5B"/>
      </dataBar>
    </cfRule>
  </conditionalFormatting>
  <conditionalFormatting sqref="BT197:BT202">
    <cfRule type="dataBar" priority="1053">
      <dataBar>
        <cfvo type="min"/>
        <cfvo type="max"/>
        <color rgb="FFF08D5B"/>
      </dataBar>
    </cfRule>
  </conditionalFormatting>
  <conditionalFormatting sqref="BT207:BT209">
    <cfRule type="dataBar" priority="1146">
      <dataBar>
        <cfvo type="min"/>
        <cfvo type="max"/>
        <color rgb="FFF08D5B"/>
      </dataBar>
    </cfRule>
  </conditionalFormatting>
  <conditionalFormatting sqref="BT214:BT219">
    <cfRule type="dataBar" priority="1239">
      <dataBar>
        <cfvo type="min"/>
        <cfvo type="max"/>
        <color rgb="FFF08D5B"/>
      </dataBar>
    </cfRule>
  </conditionalFormatting>
  <conditionalFormatting sqref="BT224:BT226">
    <cfRule type="dataBar" priority="1332">
      <dataBar>
        <cfvo type="min"/>
        <cfvo type="max"/>
        <color rgb="FFF08D5B"/>
      </dataBar>
    </cfRule>
  </conditionalFormatting>
  <conditionalFormatting sqref="BT231:BT235">
    <cfRule type="dataBar" priority="1425">
      <dataBar>
        <cfvo type="min"/>
        <cfvo type="max"/>
        <color rgb="FFF08D5B"/>
      </dataBar>
    </cfRule>
  </conditionalFormatting>
  <conditionalFormatting sqref="BT240:BT244">
    <cfRule type="dataBar" priority="1518">
      <dataBar>
        <cfvo type="min"/>
        <cfvo type="max"/>
        <color rgb="FFF08D5B"/>
      </dataBar>
    </cfRule>
  </conditionalFormatting>
  <conditionalFormatting sqref="BT249:BT253">
    <cfRule type="dataBar" priority="1611">
      <dataBar>
        <cfvo type="min"/>
        <cfvo type="max"/>
        <color rgb="FFF08D5B"/>
      </dataBar>
    </cfRule>
  </conditionalFormatting>
  <conditionalFormatting sqref="BT258:BT318">
    <cfRule type="dataBar" priority="1704">
      <dataBar>
        <cfvo type="min"/>
        <cfvo type="max"/>
        <color rgb="FFF08D5B"/>
      </dataBar>
    </cfRule>
  </conditionalFormatting>
  <conditionalFormatting sqref="BT26:BT28">
    <cfRule type="dataBar" priority="309">
      <dataBar>
        <cfvo type="min"/>
        <cfvo type="max"/>
        <color rgb="FFF08D5B"/>
      </dataBar>
    </cfRule>
  </conditionalFormatting>
  <conditionalFormatting sqref="BT323:BT383">
    <cfRule type="dataBar" priority="1797">
      <dataBar>
        <cfvo type="min"/>
        <cfvo type="max"/>
        <color rgb="FFF08D5B"/>
      </dataBar>
    </cfRule>
  </conditionalFormatting>
  <conditionalFormatting sqref="BT33:BT35">
    <cfRule type="dataBar" priority="402">
      <dataBar>
        <cfvo type="min"/>
        <cfvo type="max"/>
        <color rgb="FFF08D5B"/>
      </dataBar>
    </cfRule>
  </conditionalFormatting>
  <conditionalFormatting sqref="BT388:BT390">
    <cfRule type="dataBar" priority="1890">
      <dataBar>
        <cfvo type="min"/>
        <cfvo type="max"/>
        <color rgb="FFF08D5B"/>
      </dataBar>
    </cfRule>
  </conditionalFormatting>
  <conditionalFormatting sqref="BT40:BT43">
    <cfRule type="dataBar" priority="495">
      <dataBar>
        <cfvo type="min"/>
        <cfvo type="max"/>
        <color rgb="FFF08D5B"/>
      </dataBar>
    </cfRule>
  </conditionalFormatting>
  <conditionalFormatting sqref="BT48:BT52">
    <cfRule type="dataBar" priority="588">
      <dataBar>
        <cfvo type="min"/>
        <cfvo type="max"/>
        <color rgb="FFF08D5B"/>
      </dataBar>
    </cfRule>
  </conditionalFormatting>
  <conditionalFormatting sqref="BT57:BT61">
    <cfRule type="dataBar" priority="681">
      <dataBar>
        <cfvo type="min"/>
        <cfvo type="max"/>
        <color rgb="FFF08D5B"/>
      </dataBar>
    </cfRule>
  </conditionalFormatting>
  <conditionalFormatting sqref="BT66:BT67">
    <cfRule type="dataBar" priority="774">
      <dataBar>
        <cfvo type="min"/>
        <cfvo type="max"/>
        <color rgb="FFF08D5B"/>
      </dataBar>
    </cfRule>
  </conditionalFormatting>
  <conditionalFormatting sqref="BT72:BT185">
    <cfRule type="dataBar" priority="867">
      <dataBar>
        <cfvo type="min"/>
        <cfvo type="max"/>
        <color rgb="FFF08D5B"/>
      </dataBar>
    </cfRule>
  </conditionalFormatting>
  <conditionalFormatting sqref="BV16:BV21">
    <cfRule type="dataBar" priority="217">
      <dataBar>
        <cfvo type="min"/>
        <cfvo type="max"/>
        <color rgb="FF628DC4"/>
      </dataBar>
    </cfRule>
  </conditionalFormatting>
  <conditionalFormatting sqref="BV190:BV192">
    <cfRule type="dataBar" priority="961">
      <dataBar>
        <cfvo type="min"/>
        <cfvo type="max"/>
        <color rgb="FF628DC4"/>
      </dataBar>
    </cfRule>
  </conditionalFormatting>
  <conditionalFormatting sqref="BV197:BV202">
    <cfRule type="dataBar" priority="1054">
      <dataBar>
        <cfvo type="min"/>
        <cfvo type="max"/>
        <color rgb="FF628DC4"/>
      </dataBar>
    </cfRule>
  </conditionalFormatting>
  <conditionalFormatting sqref="BV207:BV209">
    <cfRule type="dataBar" priority="1147">
      <dataBar>
        <cfvo type="min"/>
        <cfvo type="max"/>
        <color rgb="FF628DC4"/>
      </dataBar>
    </cfRule>
  </conditionalFormatting>
  <conditionalFormatting sqref="BV214:BV219">
    <cfRule type="dataBar" priority="1240">
      <dataBar>
        <cfvo type="min"/>
        <cfvo type="max"/>
        <color rgb="FF628DC4"/>
      </dataBar>
    </cfRule>
  </conditionalFormatting>
  <conditionalFormatting sqref="BV224:BV226">
    <cfRule type="dataBar" priority="1333">
      <dataBar>
        <cfvo type="min"/>
        <cfvo type="max"/>
        <color rgb="FF628DC4"/>
      </dataBar>
    </cfRule>
  </conditionalFormatting>
  <conditionalFormatting sqref="BV231:BV235">
    <cfRule type="dataBar" priority="1426">
      <dataBar>
        <cfvo type="min"/>
        <cfvo type="max"/>
        <color rgb="FF628DC4"/>
      </dataBar>
    </cfRule>
  </conditionalFormatting>
  <conditionalFormatting sqref="BV240:BV244">
    <cfRule type="dataBar" priority="1519">
      <dataBar>
        <cfvo type="min"/>
        <cfvo type="max"/>
        <color rgb="FF628DC4"/>
      </dataBar>
    </cfRule>
  </conditionalFormatting>
  <conditionalFormatting sqref="BV249:BV253">
    <cfRule type="dataBar" priority="1612">
      <dataBar>
        <cfvo type="min"/>
        <cfvo type="max"/>
        <color rgb="FF628DC4"/>
      </dataBar>
    </cfRule>
  </conditionalFormatting>
  <conditionalFormatting sqref="BV258:BV318">
    <cfRule type="dataBar" priority="1705">
      <dataBar>
        <cfvo type="min"/>
        <cfvo type="max"/>
        <color rgb="FF628DC4"/>
      </dataBar>
    </cfRule>
  </conditionalFormatting>
  <conditionalFormatting sqref="BV26:BV28">
    <cfRule type="dataBar" priority="310">
      <dataBar>
        <cfvo type="min"/>
        <cfvo type="max"/>
        <color rgb="FF628DC4"/>
      </dataBar>
    </cfRule>
  </conditionalFormatting>
  <conditionalFormatting sqref="BV323:BV383">
    <cfRule type="dataBar" priority="1798">
      <dataBar>
        <cfvo type="min"/>
        <cfvo type="max"/>
        <color rgb="FF628DC4"/>
      </dataBar>
    </cfRule>
  </conditionalFormatting>
  <conditionalFormatting sqref="BV33:BV35">
    <cfRule type="dataBar" priority="403">
      <dataBar>
        <cfvo type="min"/>
        <cfvo type="max"/>
        <color rgb="FF628DC4"/>
      </dataBar>
    </cfRule>
  </conditionalFormatting>
  <conditionalFormatting sqref="BV388:BV390">
    <cfRule type="dataBar" priority="1891">
      <dataBar>
        <cfvo type="min"/>
        <cfvo type="max"/>
        <color rgb="FF628DC4"/>
      </dataBar>
    </cfRule>
  </conditionalFormatting>
  <conditionalFormatting sqref="BV40:BV43">
    <cfRule type="dataBar" priority="496">
      <dataBar>
        <cfvo type="min"/>
        <cfvo type="max"/>
        <color rgb="FF628DC4"/>
      </dataBar>
    </cfRule>
  </conditionalFormatting>
  <conditionalFormatting sqref="BV48:BV52">
    <cfRule type="dataBar" priority="589">
      <dataBar>
        <cfvo type="min"/>
        <cfvo type="max"/>
        <color rgb="FF628DC4"/>
      </dataBar>
    </cfRule>
  </conditionalFormatting>
  <conditionalFormatting sqref="BV57:BV61">
    <cfRule type="dataBar" priority="682">
      <dataBar>
        <cfvo type="min"/>
        <cfvo type="max"/>
        <color rgb="FF628DC4"/>
      </dataBar>
    </cfRule>
  </conditionalFormatting>
  <conditionalFormatting sqref="BV66:BV67">
    <cfRule type="dataBar" priority="775">
      <dataBar>
        <cfvo type="min"/>
        <cfvo type="max"/>
        <color rgb="FF628DC4"/>
      </dataBar>
    </cfRule>
  </conditionalFormatting>
  <conditionalFormatting sqref="BV72:BV185">
    <cfRule type="dataBar" priority="868">
      <dataBar>
        <cfvo type="min"/>
        <cfvo type="max"/>
        <color rgb="FF628DC4"/>
      </dataBar>
    </cfRule>
  </conditionalFormatting>
  <conditionalFormatting sqref="BW16:BW21">
    <cfRule type="dataBar" priority="218">
      <dataBar>
        <cfvo type="min"/>
        <cfvo type="max"/>
        <color rgb="FFFFB628"/>
      </dataBar>
    </cfRule>
  </conditionalFormatting>
  <conditionalFormatting sqref="BW190:BW192">
    <cfRule type="dataBar" priority="962">
      <dataBar>
        <cfvo type="min"/>
        <cfvo type="max"/>
        <color rgb="FFFFB628"/>
      </dataBar>
    </cfRule>
  </conditionalFormatting>
  <conditionalFormatting sqref="BW197:BW202">
    <cfRule type="dataBar" priority="1055">
      <dataBar>
        <cfvo type="min"/>
        <cfvo type="max"/>
        <color rgb="FFFFB628"/>
      </dataBar>
    </cfRule>
  </conditionalFormatting>
  <conditionalFormatting sqref="BW207:BW209">
    <cfRule type="dataBar" priority="1148">
      <dataBar>
        <cfvo type="min"/>
        <cfvo type="max"/>
        <color rgb="FFFFB628"/>
      </dataBar>
    </cfRule>
  </conditionalFormatting>
  <conditionalFormatting sqref="BW214:BW219">
    <cfRule type="dataBar" priority="1241">
      <dataBar>
        <cfvo type="min"/>
        <cfvo type="max"/>
        <color rgb="FFFFB628"/>
      </dataBar>
    </cfRule>
  </conditionalFormatting>
  <conditionalFormatting sqref="BW224:BW226">
    <cfRule type="dataBar" priority="1334">
      <dataBar>
        <cfvo type="min"/>
        <cfvo type="max"/>
        <color rgb="FFFFB628"/>
      </dataBar>
    </cfRule>
  </conditionalFormatting>
  <conditionalFormatting sqref="BW231:BW235">
    <cfRule type="dataBar" priority="1427">
      <dataBar>
        <cfvo type="min"/>
        <cfvo type="max"/>
        <color rgb="FFFFB628"/>
      </dataBar>
    </cfRule>
  </conditionalFormatting>
  <conditionalFormatting sqref="BW240:BW244">
    <cfRule type="dataBar" priority="1520">
      <dataBar>
        <cfvo type="min"/>
        <cfvo type="max"/>
        <color rgb="FFFFB628"/>
      </dataBar>
    </cfRule>
  </conditionalFormatting>
  <conditionalFormatting sqref="BW249:BW253">
    <cfRule type="dataBar" priority="1613">
      <dataBar>
        <cfvo type="min"/>
        <cfvo type="max"/>
        <color rgb="FFFFB628"/>
      </dataBar>
    </cfRule>
  </conditionalFormatting>
  <conditionalFormatting sqref="BW258:BW318">
    <cfRule type="dataBar" priority="1706">
      <dataBar>
        <cfvo type="min"/>
        <cfvo type="max"/>
        <color rgb="FFFFB628"/>
      </dataBar>
    </cfRule>
  </conditionalFormatting>
  <conditionalFormatting sqref="BW26:BW28">
    <cfRule type="dataBar" priority="311">
      <dataBar>
        <cfvo type="min"/>
        <cfvo type="max"/>
        <color rgb="FFFFB628"/>
      </dataBar>
    </cfRule>
  </conditionalFormatting>
  <conditionalFormatting sqref="BW323:BW383">
    <cfRule type="dataBar" priority="1799">
      <dataBar>
        <cfvo type="min"/>
        <cfvo type="max"/>
        <color rgb="FFFFB628"/>
      </dataBar>
    </cfRule>
  </conditionalFormatting>
  <conditionalFormatting sqref="BW33:BW35">
    <cfRule type="dataBar" priority="404">
      <dataBar>
        <cfvo type="min"/>
        <cfvo type="max"/>
        <color rgb="FFFFB628"/>
      </dataBar>
    </cfRule>
  </conditionalFormatting>
  <conditionalFormatting sqref="BW388:BW390">
    <cfRule type="dataBar" priority="1892">
      <dataBar>
        <cfvo type="min"/>
        <cfvo type="max"/>
        <color rgb="FFFFB628"/>
      </dataBar>
    </cfRule>
  </conditionalFormatting>
  <conditionalFormatting sqref="BW40:BW43">
    <cfRule type="dataBar" priority="497">
      <dataBar>
        <cfvo type="min"/>
        <cfvo type="max"/>
        <color rgb="FFFFB628"/>
      </dataBar>
    </cfRule>
  </conditionalFormatting>
  <conditionalFormatting sqref="BW48:BW52">
    <cfRule type="dataBar" priority="590">
      <dataBar>
        <cfvo type="min"/>
        <cfvo type="max"/>
        <color rgb="FFFFB628"/>
      </dataBar>
    </cfRule>
  </conditionalFormatting>
  <conditionalFormatting sqref="BW57:BW61">
    <cfRule type="dataBar" priority="683">
      <dataBar>
        <cfvo type="min"/>
        <cfvo type="max"/>
        <color rgb="FFFFB628"/>
      </dataBar>
    </cfRule>
  </conditionalFormatting>
  <conditionalFormatting sqref="BW66:BW67">
    <cfRule type="dataBar" priority="776">
      <dataBar>
        <cfvo type="min"/>
        <cfvo type="max"/>
        <color rgb="FFFFB628"/>
      </dataBar>
    </cfRule>
  </conditionalFormatting>
  <conditionalFormatting sqref="BW72:BW185">
    <cfRule type="dataBar" priority="869">
      <dataBar>
        <cfvo type="min"/>
        <cfvo type="max"/>
        <color rgb="FFFFB628"/>
      </dataBar>
    </cfRule>
  </conditionalFormatting>
  <conditionalFormatting sqref="BX16:BX21">
    <cfRule type="dataBar" priority="219">
      <dataBar>
        <cfvo type="min"/>
        <cfvo type="max"/>
        <color rgb="FFF08D5B"/>
      </dataBar>
    </cfRule>
  </conditionalFormatting>
  <conditionalFormatting sqref="BX190:BX192">
    <cfRule type="dataBar" priority="963">
      <dataBar>
        <cfvo type="min"/>
        <cfvo type="max"/>
        <color rgb="FFF08D5B"/>
      </dataBar>
    </cfRule>
  </conditionalFormatting>
  <conditionalFormatting sqref="BX197:BX202">
    <cfRule type="dataBar" priority="1056">
      <dataBar>
        <cfvo type="min"/>
        <cfvo type="max"/>
        <color rgb="FFF08D5B"/>
      </dataBar>
    </cfRule>
  </conditionalFormatting>
  <conditionalFormatting sqref="BX207:BX209">
    <cfRule type="dataBar" priority="1149">
      <dataBar>
        <cfvo type="min"/>
        <cfvo type="max"/>
        <color rgb="FFF08D5B"/>
      </dataBar>
    </cfRule>
  </conditionalFormatting>
  <conditionalFormatting sqref="BX214:BX219">
    <cfRule type="dataBar" priority="1242">
      <dataBar>
        <cfvo type="min"/>
        <cfvo type="max"/>
        <color rgb="FFF08D5B"/>
      </dataBar>
    </cfRule>
  </conditionalFormatting>
  <conditionalFormatting sqref="BX224:BX226">
    <cfRule type="dataBar" priority="1335">
      <dataBar>
        <cfvo type="min"/>
        <cfvo type="max"/>
        <color rgb="FFF08D5B"/>
      </dataBar>
    </cfRule>
  </conditionalFormatting>
  <conditionalFormatting sqref="BX231:BX235">
    <cfRule type="dataBar" priority="1428">
      <dataBar>
        <cfvo type="min"/>
        <cfvo type="max"/>
        <color rgb="FFF08D5B"/>
      </dataBar>
    </cfRule>
  </conditionalFormatting>
  <conditionalFormatting sqref="BX240:BX244">
    <cfRule type="dataBar" priority="1521">
      <dataBar>
        <cfvo type="min"/>
        <cfvo type="max"/>
        <color rgb="FFF08D5B"/>
      </dataBar>
    </cfRule>
  </conditionalFormatting>
  <conditionalFormatting sqref="BX249:BX253">
    <cfRule type="dataBar" priority="1614">
      <dataBar>
        <cfvo type="min"/>
        <cfvo type="max"/>
        <color rgb="FFF08D5B"/>
      </dataBar>
    </cfRule>
  </conditionalFormatting>
  <conditionalFormatting sqref="BX258:BX318">
    <cfRule type="dataBar" priority="1707">
      <dataBar>
        <cfvo type="min"/>
        <cfvo type="max"/>
        <color rgb="FFF08D5B"/>
      </dataBar>
    </cfRule>
  </conditionalFormatting>
  <conditionalFormatting sqref="BX26:BX28">
    <cfRule type="dataBar" priority="312">
      <dataBar>
        <cfvo type="min"/>
        <cfvo type="max"/>
        <color rgb="FFF08D5B"/>
      </dataBar>
    </cfRule>
  </conditionalFormatting>
  <conditionalFormatting sqref="BX323:BX383">
    <cfRule type="dataBar" priority="1800">
      <dataBar>
        <cfvo type="min"/>
        <cfvo type="max"/>
        <color rgb="FFF08D5B"/>
      </dataBar>
    </cfRule>
  </conditionalFormatting>
  <conditionalFormatting sqref="BX33:BX35">
    <cfRule type="dataBar" priority="405">
      <dataBar>
        <cfvo type="min"/>
        <cfvo type="max"/>
        <color rgb="FFF08D5B"/>
      </dataBar>
    </cfRule>
  </conditionalFormatting>
  <conditionalFormatting sqref="BX388:BX390">
    <cfRule type="dataBar" priority="1893">
      <dataBar>
        <cfvo type="min"/>
        <cfvo type="max"/>
        <color rgb="FFF08D5B"/>
      </dataBar>
    </cfRule>
  </conditionalFormatting>
  <conditionalFormatting sqref="BX40:BX43">
    <cfRule type="dataBar" priority="498">
      <dataBar>
        <cfvo type="min"/>
        <cfvo type="max"/>
        <color rgb="FFF08D5B"/>
      </dataBar>
    </cfRule>
  </conditionalFormatting>
  <conditionalFormatting sqref="BX48:BX52">
    <cfRule type="dataBar" priority="591">
      <dataBar>
        <cfvo type="min"/>
        <cfvo type="max"/>
        <color rgb="FFF08D5B"/>
      </dataBar>
    </cfRule>
  </conditionalFormatting>
  <conditionalFormatting sqref="BX57:BX61">
    <cfRule type="dataBar" priority="684">
      <dataBar>
        <cfvo type="min"/>
        <cfvo type="max"/>
        <color rgb="FFF08D5B"/>
      </dataBar>
    </cfRule>
  </conditionalFormatting>
  <conditionalFormatting sqref="BX66:BX67">
    <cfRule type="dataBar" priority="777">
      <dataBar>
        <cfvo type="min"/>
        <cfvo type="max"/>
        <color rgb="FFF08D5B"/>
      </dataBar>
    </cfRule>
  </conditionalFormatting>
  <conditionalFormatting sqref="BX72:BX185">
    <cfRule type="dataBar" priority="870">
      <dataBar>
        <cfvo type="min"/>
        <cfvo type="max"/>
        <color rgb="FFF08D5B"/>
      </dataBar>
    </cfRule>
  </conditionalFormatting>
  <conditionalFormatting sqref="BZ16:BZ21">
    <cfRule type="dataBar" priority="220">
      <dataBar>
        <cfvo type="min"/>
        <cfvo type="max"/>
        <color rgb="FF628DC4"/>
      </dataBar>
    </cfRule>
  </conditionalFormatting>
  <conditionalFormatting sqref="BZ190:BZ192">
    <cfRule type="dataBar" priority="964">
      <dataBar>
        <cfvo type="min"/>
        <cfvo type="max"/>
        <color rgb="FF628DC4"/>
      </dataBar>
    </cfRule>
  </conditionalFormatting>
  <conditionalFormatting sqref="BZ197:BZ202">
    <cfRule type="dataBar" priority="1057">
      <dataBar>
        <cfvo type="min"/>
        <cfvo type="max"/>
        <color rgb="FF628DC4"/>
      </dataBar>
    </cfRule>
  </conditionalFormatting>
  <conditionalFormatting sqref="BZ207:BZ209">
    <cfRule type="dataBar" priority="1150">
      <dataBar>
        <cfvo type="min"/>
        <cfvo type="max"/>
        <color rgb="FF628DC4"/>
      </dataBar>
    </cfRule>
  </conditionalFormatting>
  <conditionalFormatting sqref="BZ214:BZ219">
    <cfRule type="dataBar" priority="1243">
      <dataBar>
        <cfvo type="min"/>
        <cfvo type="max"/>
        <color rgb="FF628DC4"/>
      </dataBar>
    </cfRule>
  </conditionalFormatting>
  <conditionalFormatting sqref="BZ224:BZ226">
    <cfRule type="dataBar" priority="1336">
      <dataBar>
        <cfvo type="min"/>
        <cfvo type="max"/>
        <color rgb="FF628DC4"/>
      </dataBar>
    </cfRule>
  </conditionalFormatting>
  <conditionalFormatting sqref="BZ231:BZ235">
    <cfRule type="dataBar" priority="1429">
      <dataBar>
        <cfvo type="min"/>
        <cfvo type="max"/>
        <color rgb="FF628DC4"/>
      </dataBar>
    </cfRule>
  </conditionalFormatting>
  <conditionalFormatting sqref="BZ240:BZ244">
    <cfRule type="dataBar" priority="1522">
      <dataBar>
        <cfvo type="min"/>
        <cfvo type="max"/>
        <color rgb="FF628DC4"/>
      </dataBar>
    </cfRule>
  </conditionalFormatting>
  <conditionalFormatting sqref="BZ249:BZ253">
    <cfRule type="dataBar" priority="1615">
      <dataBar>
        <cfvo type="min"/>
        <cfvo type="max"/>
        <color rgb="FF628DC4"/>
      </dataBar>
    </cfRule>
  </conditionalFormatting>
  <conditionalFormatting sqref="BZ258:BZ318">
    <cfRule type="dataBar" priority="1708">
      <dataBar>
        <cfvo type="min"/>
        <cfvo type="max"/>
        <color rgb="FF628DC4"/>
      </dataBar>
    </cfRule>
  </conditionalFormatting>
  <conditionalFormatting sqref="BZ26:BZ28">
    <cfRule type="dataBar" priority="313">
      <dataBar>
        <cfvo type="min"/>
        <cfvo type="max"/>
        <color rgb="FF628DC4"/>
      </dataBar>
    </cfRule>
  </conditionalFormatting>
  <conditionalFormatting sqref="BZ323:BZ383">
    <cfRule type="dataBar" priority="1801">
      <dataBar>
        <cfvo type="min"/>
        <cfvo type="max"/>
        <color rgb="FF628DC4"/>
      </dataBar>
    </cfRule>
  </conditionalFormatting>
  <conditionalFormatting sqref="BZ33:BZ35">
    <cfRule type="dataBar" priority="406">
      <dataBar>
        <cfvo type="min"/>
        <cfvo type="max"/>
        <color rgb="FF628DC4"/>
      </dataBar>
    </cfRule>
  </conditionalFormatting>
  <conditionalFormatting sqref="BZ388:BZ390">
    <cfRule type="dataBar" priority="1894">
      <dataBar>
        <cfvo type="min"/>
        <cfvo type="max"/>
        <color rgb="FF628DC4"/>
      </dataBar>
    </cfRule>
  </conditionalFormatting>
  <conditionalFormatting sqref="BZ40:BZ43">
    <cfRule type="dataBar" priority="499">
      <dataBar>
        <cfvo type="min"/>
        <cfvo type="max"/>
        <color rgb="FF628DC4"/>
      </dataBar>
    </cfRule>
  </conditionalFormatting>
  <conditionalFormatting sqref="BZ48:BZ52">
    <cfRule type="dataBar" priority="592">
      <dataBar>
        <cfvo type="min"/>
        <cfvo type="max"/>
        <color rgb="FF628DC4"/>
      </dataBar>
    </cfRule>
  </conditionalFormatting>
  <conditionalFormatting sqref="BZ57:BZ61">
    <cfRule type="dataBar" priority="685">
      <dataBar>
        <cfvo type="min"/>
        <cfvo type="max"/>
        <color rgb="FF628DC4"/>
      </dataBar>
    </cfRule>
  </conditionalFormatting>
  <conditionalFormatting sqref="BZ66:BZ67">
    <cfRule type="dataBar" priority="778">
      <dataBar>
        <cfvo type="min"/>
        <cfvo type="max"/>
        <color rgb="FF628DC4"/>
      </dataBar>
    </cfRule>
  </conditionalFormatting>
  <conditionalFormatting sqref="BZ72:BZ185">
    <cfRule type="dataBar" priority="871">
      <dataBar>
        <cfvo type="min"/>
        <cfvo type="max"/>
        <color rgb="FF628DC4"/>
      </dataBar>
    </cfRule>
  </conditionalFormatting>
  <conditionalFormatting sqref="CA16:CA21">
    <cfRule type="dataBar" priority="221">
      <dataBar>
        <cfvo type="min"/>
        <cfvo type="max"/>
        <color rgb="FFFFB628"/>
      </dataBar>
    </cfRule>
  </conditionalFormatting>
  <conditionalFormatting sqref="CA190:CA192">
    <cfRule type="dataBar" priority="965">
      <dataBar>
        <cfvo type="min"/>
        <cfvo type="max"/>
        <color rgb="FFFFB628"/>
      </dataBar>
    </cfRule>
  </conditionalFormatting>
  <conditionalFormatting sqref="CA197:CA202">
    <cfRule type="dataBar" priority="1058">
      <dataBar>
        <cfvo type="min"/>
        <cfvo type="max"/>
        <color rgb="FFFFB628"/>
      </dataBar>
    </cfRule>
  </conditionalFormatting>
  <conditionalFormatting sqref="CA207:CA209">
    <cfRule type="dataBar" priority="1151">
      <dataBar>
        <cfvo type="min"/>
        <cfvo type="max"/>
        <color rgb="FFFFB628"/>
      </dataBar>
    </cfRule>
  </conditionalFormatting>
  <conditionalFormatting sqref="CA214:CA219">
    <cfRule type="dataBar" priority="1244">
      <dataBar>
        <cfvo type="min"/>
        <cfvo type="max"/>
        <color rgb="FFFFB628"/>
      </dataBar>
    </cfRule>
  </conditionalFormatting>
  <conditionalFormatting sqref="CA224:CA226">
    <cfRule type="dataBar" priority="1337">
      <dataBar>
        <cfvo type="min"/>
        <cfvo type="max"/>
        <color rgb="FFFFB628"/>
      </dataBar>
    </cfRule>
  </conditionalFormatting>
  <conditionalFormatting sqref="CA231:CA235">
    <cfRule type="dataBar" priority="1430">
      <dataBar>
        <cfvo type="min"/>
        <cfvo type="max"/>
        <color rgb="FFFFB628"/>
      </dataBar>
    </cfRule>
  </conditionalFormatting>
  <conditionalFormatting sqref="CA240:CA244">
    <cfRule type="dataBar" priority="1523">
      <dataBar>
        <cfvo type="min"/>
        <cfvo type="max"/>
        <color rgb="FFFFB628"/>
      </dataBar>
    </cfRule>
  </conditionalFormatting>
  <conditionalFormatting sqref="CA249:CA253">
    <cfRule type="dataBar" priority="1616">
      <dataBar>
        <cfvo type="min"/>
        <cfvo type="max"/>
        <color rgb="FFFFB628"/>
      </dataBar>
    </cfRule>
  </conditionalFormatting>
  <conditionalFormatting sqref="CA258:CA318">
    <cfRule type="dataBar" priority="1709">
      <dataBar>
        <cfvo type="min"/>
        <cfvo type="max"/>
        <color rgb="FFFFB628"/>
      </dataBar>
    </cfRule>
  </conditionalFormatting>
  <conditionalFormatting sqref="CA26:CA28">
    <cfRule type="dataBar" priority="314">
      <dataBar>
        <cfvo type="min"/>
        <cfvo type="max"/>
        <color rgb="FFFFB628"/>
      </dataBar>
    </cfRule>
  </conditionalFormatting>
  <conditionalFormatting sqref="CA323:CA383">
    <cfRule type="dataBar" priority="1802">
      <dataBar>
        <cfvo type="min"/>
        <cfvo type="max"/>
        <color rgb="FFFFB628"/>
      </dataBar>
    </cfRule>
  </conditionalFormatting>
  <conditionalFormatting sqref="CA33:CA35">
    <cfRule type="dataBar" priority="407">
      <dataBar>
        <cfvo type="min"/>
        <cfvo type="max"/>
        <color rgb="FFFFB628"/>
      </dataBar>
    </cfRule>
  </conditionalFormatting>
  <conditionalFormatting sqref="CA388:CA390">
    <cfRule type="dataBar" priority="1895">
      <dataBar>
        <cfvo type="min"/>
        <cfvo type="max"/>
        <color rgb="FFFFB628"/>
      </dataBar>
    </cfRule>
  </conditionalFormatting>
  <conditionalFormatting sqref="CA40:CA43">
    <cfRule type="dataBar" priority="500">
      <dataBar>
        <cfvo type="min"/>
        <cfvo type="max"/>
        <color rgb="FFFFB628"/>
      </dataBar>
    </cfRule>
  </conditionalFormatting>
  <conditionalFormatting sqref="CA48:CA52">
    <cfRule type="dataBar" priority="593">
      <dataBar>
        <cfvo type="min"/>
        <cfvo type="max"/>
        <color rgb="FFFFB628"/>
      </dataBar>
    </cfRule>
  </conditionalFormatting>
  <conditionalFormatting sqref="CA57:CA61">
    <cfRule type="dataBar" priority="686">
      <dataBar>
        <cfvo type="min"/>
        <cfvo type="max"/>
        <color rgb="FFFFB628"/>
      </dataBar>
    </cfRule>
  </conditionalFormatting>
  <conditionalFormatting sqref="CA66:CA67">
    <cfRule type="dataBar" priority="779">
      <dataBar>
        <cfvo type="min"/>
        <cfvo type="max"/>
        <color rgb="FFFFB628"/>
      </dataBar>
    </cfRule>
  </conditionalFormatting>
  <conditionalFormatting sqref="CA72:CA185">
    <cfRule type="dataBar" priority="872">
      <dataBar>
        <cfvo type="min"/>
        <cfvo type="max"/>
        <color rgb="FFFFB628"/>
      </dataBar>
    </cfRule>
  </conditionalFormatting>
  <conditionalFormatting sqref="CB16:CB21">
    <cfRule type="dataBar" priority="222">
      <dataBar>
        <cfvo type="min"/>
        <cfvo type="max"/>
        <color rgb="FFF08D5B"/>
      </dataBar>
    </cfRule>
  </conditionalFormatting>
  <conditionalFormatting sqref="CB190:CB192">
    <cfRule type="dataBar" priority="966">
      <dataBar>
        <cfvo type="min"/>
        <cfvo type="max"/>
        <color rgb="FFF08D5B"/>
      </dataBar>
    </cfRule>
  </conditionalFormatting>
  <conditionalFormatting sqref="CB197:CB202">
    <cfRule type="dataBar" priority="1059">
      <dataBar>
        <cfvo type="min"/>
        <cfvo type="max"/>
        <color rgb="FFF08D5B"/>
      </dataBar>
    </cfRule>
  </conditionalFormatting>
  <conditionalFormatting sqref="CB207:CB209">
    <cfRule type="dataBar" priority="1152">
      <dataBar>
        <cfvo type="min"/>
        <cfvo type="max"/>
        <color rgb="FFF08D5B"/>
      </dataBar>
    </cfRule>
  </conditionalFormatting>
  <conditionalFormatting sqref="CB214:CB219">
    <cfRule type="dataBar" priority="1245">
      <dataBar>
        <cfvo type="min"/>
        <cfvo type="max"/>
        <color rgb="FFF08D5B"/>
      </dataBar>
    </cfRule>
  </conditionalFormatting>
  <conditionalFormatting sqref="CB224:CB226">
    <cfRule type="dataBar" priority="1338">
      <dataBar>
        <cfvo type="min"/>
        <cfvo type="max"/>
        <color rgb="FFF08D5B"/>
      </dataBar>
    </cfRule>
  </conditionalFormatting>
  <conditionalFormatting sqref="CB231:CB235">
    <cfRule type="dataBar" priority="1431">
      <dataBar>
        <cfvo type="min"/>
        <cfvo type="max"/>
        <color rgb="FFF08D5B"/>
      </dataBar>
    </cfRule>
  </conditionalFormatting>
  <conditionalFormatting sqref="CB240:CB244">
    <cfRule type="dataBar" priority="1524">
      <dataBar>
        <cfvo type="min"/>
        <cfvo type="max"/>
        <color rgb="FFF08D5B"/>
      </dataBar>
    </cfRule>
  </conditionalFormatting>
  <conditionalFormatting sqref="CB249:CB253">
    <cfRule type="dataBar" priority="1617">
      <dataBar>
        <cfvo type="min"/>
        <cfvo type="max"/>
        <color rgb="FFF08D5B"/>
      </dataBar>
    </cfRule>
  </conditionalFormatting>
  <conditionalFormatting sqref="CB258:CB318">
    <cfRule type="dataBar" priority="1710">
      <dataBar>
        <cfvo type="min"/>
        <cfvo type="max"/>
        <color rgb="FFF08D5B"/>
      </dataBar>
    </cfRule>
  </conditionalFormatting>
  <conditionalFormatting sqref="CB26:CB28">
    <cfRule type="dataBar" priority="315">
      <dataBar>
        <cfvo type="min"/>
        <cfvo type="max"/>
        <color rgb="FFF08D5B"/>
      </dataBar>
    </cfRule>
  </conditionalFormatting>
  <conditionalFormatting sqref="CB323:CB383">
    <cfRule type="dataBar" priority="1803">
      <dataBar>
        <cfvo type="min"/>
        <cfvo type="max"/>
        <color rgb="FFF08D5B"/>
      </dataBar>
    </cfRule>
  </conditionalFormatting>
  <conditionalFormatting sqref="CB33:CB35">
    <cfRule type="dataBar" priority="408">
      <dataBar>
        <cfvo type="min"/>
        <cfvo type="max"/>
        <color rgb="FFF08D5B"/>
      </dataBar>
    </cfRule>
  </conditionalFormatting>
  <conditionalFormatting sqref="CB388:CB390">
    <cfRule type="dataBar" priority="1896">
      <dataBar>
        <cfvo type="min"/>
        <cfvo type="max"/>
        <color rgb="FFF08D5B"/>
      </dataBar>
    </cfRule>
  </conditionalFormatting>
  <conditionalFormatting sqref="CB40:CB43">
    <cfRule type="dataBar" priority="501">
      <dataBar>
        <cfvo type="min"/>
        <cfvo type="max"/>
        <color rgb="FFF08D5B"/>
      </dataBar>
    </cfRule>
  </conditionalFormatting>
  <conditionalFormatting sqref="CB48:CB52">
    <cfRule type="dataBar" priority="594">
      <dataBar>
        <cfvo type="min"/>
        <cfvo type="max"/>
        <color rgb="FFF08D5B"/>
      </dataBar>
    </cfRule>
  </conditionalFormatting>
  <conditionalFormatting sqref="CB57:CB61">
    <cfRule type="dataBar" priority="687">
      <dataBar>
        <cfvo type="min"/>
        <cfvo type="max"/>
        <color rgb="FFF08D5B"/>
      </dataBar>
    </cfRule>
  </conditionalFormatting>
  <conditionalFormatting sqref="CB66:CB67">
    <cfRule type="dataBar" priority="780">
      <dataBar>
        <cfvo type="min"/>
        <cfvo type="max"/>
        <color rgb="FFF08D5B"/>
      </dataBar>
    </cfRule>
  </conditionalFormatting>
  <conditionalFormatting sqref="CB72:CB185">
    <cfRule type="dataBar" priority="873">
      <dataBar>
        <cfvo type="min"/>
        <cfvo type="max"/>
        <color rgb="FFF08D5B"/>
      </dataBar>
    </cfRule>
  </conditionalFormatting>
  <conditionalFormatting sqref="CD16:CD21">
    <cfRule type="dataBar" priority="223">
      <dataBar>
        <cfvo type="min"/>
        <cfvo type="max"/>
        <color rgb="FF628DC4"/>
      </dataBar>
    </cfRule>
  </conditionalFormatting>
  <conditionalFormatting sqref="CD190:CD192">
    <cfRule type="dataBar" priority="967">
      <dataBar>
        <cfvo type="min"/>
        <cfvo type="max"/>
        <color rgb="FF628DC4"/>
      </dataBar>
    </cfRule>
  </conditionalFormatting>
  <conditionalFormatting sqref="CD197:CD202">
    <cfRule type="dataBar" priority="1060">
      <dataBar>
        <cfvo type="min"/>
        <cfvo type="max"/>
        <color rgb="FF628DC4"/>
      </dataBar>
    </cfRule>
  </conditionalFormatting>
  <conditionalFormatting sqref="CD207:CD209">
    <cfRule type="dataBar" priority="1153">
      <dataBar>
        <cfvo type="min"/>
        <cfvo type="max"/>
        <color rgb="FF628DC4"/>
      </dataBar>
    </cfRule>
  </conditionalFormatting>
  <conditionalFormatting sqref="CD214:CD219">
    <cfRule type="dataBar" priority="1246">
      <dataBar>
        <cfvo type="min"/>
        <cfvo type="max"/>
        <color rgb="FF628DC4"/>
      </dataBar>
    </cfRule>
  </conditionalFormatting>
  <conditionalFormatting sqref="CD224:CD226">
    <cfRule type="dataBar" priority="1339">
      <dataBar>
        <cfvo type="min"/>
        <cfvo type="max"/>
        <color rgb="FF628DC4"/>
      </dataBar>
    </cfRule>
  </conditionalFormatting>
  <conditionalFormatting sqref="CD231:CD235">
    <cfRule type="dataBar" priority="1432">
      <dataBar>
        <cfvo type="min"/>
        <cfvo type="max"/>
        <color rgb="FF628DC4"/>
      </dataBar>
    </cfRule>
  </conditionalFormatting>
  <conditionalFormatting sqref="CD240:CD244">
    <cfRule type="dataBar" priority="1525">
      <dataBar>
        <cfvo type="min"/>
        <cfvo type="max"/>
        <color rgb="FF628DC4"/>
      </dataBar>
    </cfRule>
  </conditionalFormatting>
  <conditionalFormatting sqref="CD249:CD253">
    <cfRule type="dataBar" priority="1618">
      <dataBar>
        <cfvo type="min"/>
        <cfvo type="max"/>
        <color rgb="FF628DC4"/>
      </dataBar>
    </cfRule>
  </conditionalFormatting>
  <conditionalFormatting sqref="CD258:CD318">
    <cfRule type="dataBar" priority="1711">
      <dataBar>
        <cfvo type="min"/>
        <cfvo type="max"/>
        <color rgb="FF628DC4"/>
      </dataBar>
    </cfRule>
  </conditionalFormatting>
  <conditionalFormatting sqref="CD26:CD28">
    <cfRule type="dataBar" priority="316">
      <dataBar>
        <cfvo type="min"/>
        <cfvo type="max"/>
        <color rgb="FF628DC4"/>
      </dataBar>
    </cfRule>
  </conditionalFormatting>
  <conditionalFormatting sqref="CD323:CD383">
    <cfRule type="dataBar" priority="1804">
      <dataBar>
        <cfvo type="min"/>
        <cfvo type="max"/>
        <color rgb="FF628DC4"/>
      </dataBar>
    </cfRule>
  </conditionalFormatting>
  <conditionalFormatting sqref="CD33:CD35">
    <cfRule type="dataBar" priority="409">
      <dataBar>
        <cfvo type="min"/>
        <cfvo type="max"/>
        <color rgb="FF628DC4"/>
      </dataBar>
    </cfRule>
  </conditionalFormatting>
  <conditionalFormatting sqref="CD388:CD390">
    <cfRule type="dataBar" priority="1897">
      <dataBar>
        <cfvo type="min"/>
        <cfvo type="max"/>
        <color rgb="FF628DC4"/>
      </dataBar>
    </cfRule>
  </conditionalFormatting>
  <conditionalFormatting sqref="CD40:CD43">
    <cfRule type="dataBar" priority="502">
      <dataBar>
        <cfvo type="min"/>
        <cfvo type="max"/>
        <color rgb="FF628DC4"/>
      </dataBar>
    </cfRule>
  </conditionalFormatting>
  <conditionalFormatting sqref="CD48:CD52">
    <cfRule type="dataBar" priority="595">
      <dataBar>
        <cfvo type="min"/>
        <cfvo type="max"/>
        <color rgb="FF628DC4"/>
      </dataBar>
    </cfRule>
  </conditionalFormatting>
  <conditionalFormatting sqref="CD57:CD61">
    <cfRule type="dataBar" priority="688">
      <dataBar>
        <cfvo type="min"/>
        <cfvo type="max"/>
        <color rgb="FF628DC4"/>
      </dataBar>
    </cfRule>
  </conditionalFormatting>
  <conditionalFormatting sqref="CD66:CD67">
    <cfRule type="dataBar" priority="781">
      <dataBar>
        <cfvo type="min"/>
        <cfvo type="max"/>
        <color rgb="FF628DC4"/>
      </dataBar>
    </cfRule>
  </conditionalFormatting>
  <conditionalFormatting sqref="CD72:CD185">
    <cfRule type="dataBar" priority="874">
      <dataBar>
        <cfvo type="min"/>
        <cfvo type="max"/>
        <color rgb="FF628DC4"/>
      </dataBar>
    </cfRule>
  </conditionalFormatting>
  <conditionalFormatting sqref="CE16:CE21">
    <cfRule type="dataBar" priority="224">
      <dataBar>
        <cfvo type="min"/>
        <cfvo type="max"/>
        <color rgb="FFFFB628"/>
      </dataBar>
    </cfRule>
  </conditionalFormatting>
  <conditionalFormatting sqref="CE190:CE192">
    <cfRule type="dataBar" priority="968">
      <dataBar>
        <cfvo type="min"/>
        <cfvo type="max"/>
        <color rgb="FFFFB628"/>
      </dataBar>
    </cfRule>
  </conditionalFormatting>
  <conditionalFormatting sqref="CE197:CE202">
    <cfRule type="dataBar" priority="1061">
      <dataBar>
        <cfvo type="min"/>
        <cfvo type="max"/>
        <color rgb="FFFFB628"/>
      </dataBar>
    </cfRule>
  </conditionalFormatting>
  <conditionalFormatting sqref="CE207:CE209">
    <cfRule type="dataBar" priority="1154">
      <dataBar>
        <cfvo type="min"/>
        <cfvo type="max"/>
        <color rgb="FFFFB628"/>
      </dataBar>
    </cfRule>
  </conditionalFormatting>
  <conditionalFormatting sqref="CE214:CE219">
    <cfRule type="dataBar" priority="1247">
      <dataBar>
        <cfvo type="min"/>
        <cfvo type="max"/>
        <color rgb="FFFFB628"/>
      </dataBar>
    </cfRule>
  </conditionalFormatting>
  <conditionalFormatting sqref="CE224:CE226">
    <cfRule type="dataBar" priority="1340">
      <dataBar>
        <cfvo type="min"/>
        <cfvo type="max"/>
        <color rgb="FFFFB628"/>
      </dataBar>
    </cfRule>
  </conditionalFormatting>
  <conditionalFormatting sqref="CE231:CE235">
    <cfRule type="dataBar" priority="1433">
      <dataBar>
        <cfvo type="min"/>
        <cfvo type="max"/>
        <color rgb="FFFFB628"/>
      </dataBar>
    </cfRule>
  </conditionalFormatting>
  <conditionalFormatting sqref="CE240:CE244">
    <cfRule type="dataBar" priority="1526">
      <dataBar>
        <cfvo type="min"/>
        <cfvo type="max"/>
        <color rgb="FFFFB628"/>
      </dataBar>
    </cfRule>
  </conditionalFormatting>
  <conditionalFormatting sqref="CE249:CE253">
    <cfRule type="dataBar" priority="1619">
      <dataBar>
        <cfvo type="min"/>
        <cfvo type="max"/>
        <color rgb="FFFFB628"/>
      </dataBar>
    </cfRule>
  </conditionalFormatting>
  <conditionalFormatting sqref="CE258:CE318">
    <cfRule type="dataBar" priority="1712">
      <dataBar>
        <cfvo type="min"/>
        <cfvo type="max"/>
        <color rgb="FFFFB628"/>
      </dataBar>
    </cfRule>
  </conditionalFormatting>
  <conditionalFormatting sqref="CE26:CE28">
    <cfRule type="dataBar" priority="317">
      <dataBar>
        <cfvo type="min"/>
        <cfvo type="max"/>
        <color rgb="FFFFB628"/>
      </dataBar>
    </cfRule>
  </conditionalFormatting>
  <conditionalFormatting sqref="CE323:CE383">
    <cfRule type="dataBar" priority="1805">
      <dataBar>
        <cfvo type="min"/>
        <cfvo type="max"/>
        <color rgb="FFFFB628"/>
      </dataBar>
    </cfRule>
  </conditionalFormatting>
  <conditionalFormatting sqref="CE33:CE35">
    <cfRule type="dataBar" priority="410">
      <dataBar>
        <cfvo type="min"/>
        <cfvo type="max"/>
        <color rgb="FFFFB628"/>
      </dataBar>
    </cfRule>
  </conditionalFormatting>
  <conditionalFormatting sqref="CE388:CE390">
    <cfRule type="dataBar" priority="1898">
      <dataBar>
        <cfvo type="min"/>
        <cfvo type="max"/>
        <color rgb="FFFFB628"/>
      </dataBar>
    </cfRule>
  </conditionalFormatting>
  <conditionalFormatting sqref="CE40:CE43">
    <cfRule type="dataBar" priority="503">
      <dataBar>
        <cfvo type="min"/>
        <cfvo type="max"/>
        <color rgb="FFFFB628"/>
      </dataBar>
    </cfRule>
  </conditionalFormatting>
  <conditionalFormatting sqref="CE48:CE52">
    <cfRule type="dataBar" priority="596">
      <dataBar>
        <cfvo type="min"/>
        <cfvo type="max"/>
        <color rgb="FFFFB628"/>
      </dataBar>
    </cfRule>
  </conditionalFormatting>
  <conditionalFormatting sqref="CE57:CE61">
    <cfRule type="dataBar" priority="689">
      <dataBar>
        <cfvo type="min"/>
        <cfvo type="max"/>
        <color rgb="FFFFB628"/>
      </dataBar>
    </cfRule>
  </conditionalFormatting>
  <conditionalFormatting sqref="CE66:CE67">
    <cfRule type="dataBar" priority="782">
      <dataBar>
        <cfvo type="min"/>
        <cfvo type="max"/>
        <color rgb="FFFFB628"/>
      </dataBar>
    </cfRule>
  </conditionalFormatting>
  <conditionalFormatting sqref="CE72:CE185">
    <cfRule type="dataBar" priority="875">
      <dataBar>
        <cfvo type="min"/>
        <cfvo type="max"/>
        <color rgb="FFFFB628"/>
      </dataBar>
    </cfRule>
  </conditionalFormatting>
  <conditionalFormatting sqref="CF16:CF21">
    <cfRule type="dataBar" priority="225">
      <dataBar>
        <cfvo type="min"/>
        <cfvo type="max"/>
        <color rgb="FFF08D5B"/>
      </dataBar>
    </cfRule>
  </conditionalFormatting>
  <conditionalFormatting sqref="CF190:CF192">
    <cfRule type="dataBar" priority="969">
      <dataBar>
        <cfvo type="min"/>
        <cfvo type="max"/>
        <color rgb="FFF08D5B"/>
      </dataBar>
    </cfRule>
  </conditionalFormatting>
  <conditionalFormatting sqref="CF197:CF202">
    <cfRule type="dataBar" priority="1062">
      <dataBar>
        <cfvo type="min"/>
        <cfvo type="max"/>
        <color rgb="FFF08D5B"/>
      </dataBar>
    </cfRule>
  </conditionalFormatting>
  <conditionalFormatting sqref="CF207:CF209">
    <cfRule type="dataBar" priority="1155">
      <dataBar>
        <cfvo type="min"/>
        <cfvo type="max"/>
        <color rgb="FFF08D5B"/>
      </dataBar>
    </cfRule>
  </conditionalFormatting>
  <conditionalFormatting sqref="CF214:CF219">
    <cfRule type="dataBar" priority="1248">
      <dataBar>
        <cfvo type="min"/>
        <cfvo type="max"/>
        <color rgb="FFF08D5B"/>
      </dataBar>
    </cfRule>
  </conditionalFormatting>
  <conditionalFormatting sqref="CF224:CF226">
    <cfRule type="dataBar" priority="1341">
      <dataBar>
        <cfvo type="min"/>
        <cfvo type="max"/>
        <color rgb="FFF08D5B"/>
      </dataBar>
    </cfRule>
  </conditionalFormatting>
  <conditionalFormatting sqref="CF231:CF235">
    <cfRule type="dataBar" priority="1434">
      <dataBar>
        <cfvo type="min"/>
        <cfvo type="max"/>
        <color rgb="FFF08D5B"/>
      </dataBar>
    </cfRule>
  </conditionalFormatting>
  <conditionalFormatting sqref="CF240:CF244">
    <cfRule type="dataBar" priority="1527">
      <dataBar>
        <cfvo type="min"/>
        <cfvo type="max"/>
        <color rgb="FFF08D5B"/>
      </dataBar>
    </cfRule>
  </conditionalFormatting>
  <conditionalFormatting sqref="CF249:CF253">
    <cfRule type="dataBar" priority="1620">
      <dataBar>
        <cfvo type="min"/>
        <cfvo type="max"/>
        <color rgb="FFF08D5B"/>
      </dataBar>
    </cfRule>
  </conditionalFormatting>
  <conditionalFormatting sqref="CF258:CF318">
    <cfRule type="dataBar" priority="1713">
      <dataBar>
        <cfvo type="min"/>
        <cfvo type="max"/>
        <color rgb="FFF08D5B"/>
      </dataBar>
    </cfRule>
  </conditionalFormatting>
  <conditionalFormatting sqref="CF26:CF28">
    <cfRule type="dataBar" priority="318">
      <dataBar>
        <cfvo type="min"/>
        <cfvo type="max"/>
        <color rgb="FFF08D5B"/>
      </dataBar>
    </cfRule>
  </conditionalFormatting>
  <conditionalFormatting sqref="CF323:CF383">
    <cfRule type="dataBar" priority="1806">
      <dataBar>
        <cfvo type="min"/>
        <cfvo type="max"/>
        <color rgb="FFF08D5B"/>
      </dataBar>
    </cfRule>
  </conditionalFormatting>
  <conditionalFormatting sqref="CF33:CF35">
    <cfRule type="dataBar" priority="411">
      <dataBar>
        <cfvo type="min"/>
        <cfvo type="max"/>
        <color rgb="FFF08D5B"/>
      </dataBar>
    </cfRule>
  </conditionalFormatting>
  <conditionalFormatting sqref="CF388:CF390">
    <cfRule type="dataBar" priority="1899">
      <dataBar>
        <cfvo type="min"/>
        <cfvo type="max"/>
        <color rgb="FFF08D5B"/>
      </dataBar>
    </cfRule>
  </conditionalFormatting>
  <conditionalFormatting sqref="CF40:CF43">
    <cfRule type="dataBar" priority="504">
      <dataBar>
        <cfvo type="min"/>
        <cfvo type="max"/>
        <color rgb="FFF08D5B"/>
      </dataBar>
    </cfRule>
  </conditionalFormatting>
  <conditionalFormatting sqref="CF48:CF52">
    <cfRule type="dataBar" priority="597">
      <dataBar>
        <cfvo type="min"/>
        <cfvo type="max"/>
        <color rgb="FFF08D5B"/>
      </dataBar>
    </cfRule>
  </conditionalFormatting>
  <conditionalFormatting sqref="CF57:CF61">
    <cfRule type="dataBar" priority="690">
      <dataBar>
        <cfvo type="min"/>
        <cfvo type="max"/>
        <color rgb="FFF08D5B"/>
      </dataBar>
    </cfRule>
  </conditionalFormatting>
  <conditionalFormatting sqref="CF66:CF67">
    <cfRule type="dataBar" priority="783">
      <dataBar>
        <cfvo type="min"/>
        <cfvo type="max"/>
        <color rgb="FFF08D5B"/>
      </dataBar>
    </cfRule>
  </conditionalFormatting>
  <conditionalFormatting sqref="CF72:CF185">
    <cfRule type="dataBar" priority="876">
      <dataBar>
        <cfvo type="min"/>
        <cfvo type="max"/>
        <color rgb="FFF08D5B"/>
      </dataBar>
    </cfRule>
  </conditionalFormatting>
  <conditionalFormatting sqref="D16:D21">
    <cfRule type="dataBar" priority="150">
      <dataBar>
        <cfvo type="min"/>
        <cfvo type="max"/>
        <color rgb="FFF08D5B"/>
      </dataBar>
    </cfRule>
  </conditionalFormatting>
  <conditionalFormatting sqref="D190:D192">
    <cfRule type="dataBar" priority="894">
      <dataBar>
        <cfvo type="min"/>
        <cfvo type="max"/>
        <color rgb="FFF08D5B"/>
      </dataBar>
    </cfRule>
  </conditionalFormatting>
  <conditionalFormatting sqref="D197:D202">
    <cfRule type="dataBar" priority="987">
      <dataBar>
        <cfvo type="min"/>
        <cfvo type="max"/>
        <color rgb="FFF08D5B"/>
      </dataBar>
    </cfRule>
  </conditionalFormatting>
  <conditionalFormatting sqref="D207:D209">
    <cfRule type="dataBar" priority="1080">
      <dataBar>
        <cfvo type="min"/>
        <cfvo type="max"/>
        <color rgb="FFF08D5B"/>
      </dataBar>
    </cfRule>
  </conditionalFormatting>
  <conditionalFormatting sqref="D214:D219">
    <cfRule type="dataBar" priority="1173">
      <dataBar>
        <cfvo type="min"/>
        <cfvo type="max"/>
        <color rgb="FFF08D5B"/>
      </dataBar>
    </cfRule>
  </conditionalFormatting>
  <conditionalFormatting sqref="D224:D226">
    <cfRule type="dataBar" priority="1266">
      <dataBar>
        <cfvo type="min"/>
        <cfvo type="max"/>
        <color rgb="FFF08D5B"/>
      </dataBar>
    </cfRule>
  </conditionalFormatting>
  <conditionalFormatting sqref="D231:D235">
    <cfRule type="dataBar" priority="1359">
      <dataBar>
        <cfvo type="min"/>
        <cfvo type="max"/>
        <color rgb="FFF08D5B"/>
      </dataBar>
    </cfRule>
  </conditionalFormatting>
  <conditionalFormatting sqref="D240:D244">
    <cfRule type="dataBar" priority="1452">
      <dataBar>
        <cfvo type="min"/>
        <cfvo type="max"/>
        <color rgb="FFF08D5B"/>
      </dataBar>
    </cfRule>
  </conditionalFormatting>
  <conditionalFormatting sqref="D249:D253">
    <cfRule type="dataBar" priority="1545">
      <dataBar>
        <cfvo type="min"/>
        <cfvo type="max"/>
        <color rgb="FFF08D5B"/>
      </dataBar>
    </cfRule>
  </conditionalFormatting>
  <conditionalFormatting sqref="D258:D318">
    <cfRule type="dataBar" priority="1638">
      <dataBar>
        <cfvo type="min"/>
        <cfvo type="max"/>
        <color rgb="FFF08D5B"/>
      </dataBar>
    </cfRule>
  </conditionalFormatting>
  <conditionalFormatting sqref="D26:D28">
    <cfRule type="dataBar" priority="243">
      <dataBar>
        <cfvo type="min"/>
        <cfvo type="max"/>
        <color rgb="FFF08D5B"/>
      </dataBar>
    </cfRule>
  </conditionalFormatting>
  <conditionalFormatting sqref="D323:D383">
    <cfRule type="dataBar" priority="1731">
      <dataBar>
        <cfvo type="min"/>
        <cfvo type="max"/>
        <color rgb="FFF08D5B"/>
      </dataBar>
    </cfRule>
  </conditionalFormatting>
  <conditionalFormatting sqref="D33:D35">
    <cfRule type="dataBar" priority="336">
      <dataBar>
        <cfvo type="min"/>
        <cfvo type="max"/>
        <color rgb="FFF08D5B"/>
      </dataBar>
    </cfRule>
  </conditionalFormatting>
  <conditionalFormatting sqref="D388:D390">
    <cfRule type="dataBar" priority="1824">
      <dataBar>
        <cfvo type="min"/>
        <cfvo type="max"/>
        <color rgb="FFF08D5B"/>
      </dataBar>
    </cfRule>
  </conditionalFormatting>
  <conditionalFormatting sqref="D40:D43">
    <cfRule type="dataBar" priority="429">
      <dataBar>
        <cfvo type="min"/>
        <cfvo type="max"/>
        <color rgb="FFF08D5B"/>
      </dataBar>
    </cfRule>
  </conditionalFormatting>
  <conditionalFormatting sqref="D48:D52">
    <cfRule type="dataBar" priority="522">
      <dataBar>
        <cfvo type="min"/>
        <cfvo type="max"/>
        <color rgb="FFF08D5B"/>
      </dataBar>
    </cfRule>
  </conditionalFormatting>
  <conditionalFormatting sqref="D57:D61">
    <cfRule type="dataBar" priority="615">
      <dataBar>
        <cfvo type="min"/>
        <cfvo type="max"/>
        <color rgb="FFF08D5B"/>
      </dataBar>
    </cfRule>
  </conditionalFormatting>
  <conditionalFormatting sqref="D66:D67">
    <cfRule type="dataBar" priority="708">
      <dataBar>
        <cfvo type="min"/>
        <cfvo type="max"/>
        <color rgb="FFF08D5B"/>
      </dataBar>
    </cfRule>
  </conditionalFormatting>
  <conditionalFormatting sqref="D72:D185">
    <cfRule type="dataBar" priority="801">
      <dataBar>
        <cfvo type="min"/>
        <cfvo type="max"/>
        <color rgb="FFF08D5B"/>
      </dataBar>
    </cfRule>
  </conditionalFormatting>
  <conditionalFormatting sqref="CH16:CH21">
    <cfRule type="dataBar" priority="226">
      <dataBar>
        <cfvo type="min"/>
        <cfvo type="max"/>
        <color rgb="FF628DC4"/>
      </dataBar>
    </cfRule>
  </conditionalFormatting>
  <conditionalFormatting sqref="CH190:CH192">
    <cfRule type="dataBar" priority="970">
      <dataBar>
        <cfvo type="min"/>
        <cfvo type="max"/>
        <color rgb="FF628DC4"/>
      </dataBar>
    </cfRule>
  </conditionalFormatting>
  <conditionalFormatting sqref="CH197:CH202">
    <cfRule type="dataBar" priority="1063">
      <dataBar>
        <cfvo type="min"/>
        <cfvo type="max"/>
        <color rgb="FF628DC4"/>
      </dataBar>
    </cfRule>
  </conditionalFormatting>
  <conditionalFormatting sqref="CH207:CH209">
    <cfRule type="dataBar" priority="1156">
      <dataBar>
        <cfvo type="min"/>
        <cfvo type="max"/>
        <color rgb="FF628DC4"/>
      </dataBar>
    </cfRule>
  </conditionalFormatting>
  <conditionalFormatting sqref="CH214:CH219">
    <cfRule type="dataBar" priority="1249">
      <dataBar>
        <cfvo type="min"/>
        <cfvo type="max"/>
        <color rgb="FF628DC4"/>
      </dataBar>
    </cfRule>
  </conditionalFormatting>
  <conditionalFormatting sqref="CH224:CH226">
    <cfRule type="dataBar" priority="1342">
      <dataBar>
        <cfvo type="min"/>
        <cfvo type="max"/>
        <color rgb="FF628DC4"/>
      </dataBar>
    </cfRule>
  </conditionalFormatting>
  <conditionalFormatting sqref="CH231:CH235">
    <cfRule type="dataBar" priority="1435">
      <dataBar>
        <cfvo type="min"/>
        <cfvo type="max"/>
        <color rgb="FF628DC4"/>
      </dataBar>
    </cfRule>
  </conditionalFormatting>
  <conditionalFormatting sqref="CH240:CH244">
    <cfRule type="dataBar" priority="1528">
      <dataBar>
        <cfvo type="min"/>
        <cfvo type="max"/>
        <color rgb="FF628DC4"/>
      </dataBar>
    </cfRule>
  </conditionalFormatting>
  <conditionalFormatting sqref="CH249:CH253">
    <cfRule type="dataBar" priority="1621">
      <dataBar>
        <cfvo type="min"/>
        <cfvo type="max"/>
        <color rgb="FF628DC4"/>
      </dataBar>
    </cfRule>
  </conditionalFormatting>
  <conditionalFormatting sqref="CH258:CH318">
    <cfRule type="dataBar" priority="1714">
      <dataBar>
        <cfvo type="min"/>
        <cfvo type="max"/>
        <color rgb="FF628DC4"/>
      </dataBar>
    </cfRule>
  </conditionalFormatting>
  <conditionalFormatting sqref="CH26:CH28">
    <cfRule type="dataBar" priority="319">
      <dataBar>
        <cfvo type="min"/>
        <cfvo type="max"/>
        <color rgb="FF628DC4"/>
      </dataBar>
    </cfRule>
  </conditionalFormatting>
  <conditionalFormatting sqref="CH323:CH383">
    <cfRule type="dataBar" priority="1807">
      <dataBar>
        <cfvo type="min"/>
        <cfvo type="max"/>
        <color rgb="FF628DC4"/>
      </dataBar>
    </cfRule>
  </conditionalFormatting>
  <conditionalFormatting sqref="CH33:CH35">
    <cfRule type="dataBar" priority="412">
      <dataBar>
        <cfvo type="min"/>
        <cfvo type="max"/>
        <color rgb="FF628DC4"/>
      </dataBar>
    </cfRule>
  </conditionalFormatting>
  <conditionalFormatting sqref="CH388:CH390">
    <cfRule type="dataBar" priority="1900">
      <dataBar>
        <cfvo type="min"/>
        <cfvo type="max"/>
        <color rgb="FF628DC4"/>
      </dataBar>
    </cfRule>
  </conditionalFormatting>
  <conditionalFormatting sqref="CH40:CH43">
    <cfRule type="dataBar" priority="505">
      <dataBar>
        <cfvo type="min"/>
        <cfvo type="max"/>
        <color rgb="FF628DC4"/>
      </dataBar>
    </cfRule>
  </conditionalFormatting>
  <conditionalFormatting sqref="CH48:CH52">
    <cfRule type="dataBar" priority="598">
      <dataBar>
        <cfvo type="min"/>
        <cfvo type="max"/>
        <color rgb="FF628DC4"/>
      </dataBar>
    </cfRule>
  </conditionalFormatting>
  <conditionalFormatting sqref="CH57:CH61">
    <cfRule type="dataBar" priority="691">
      <dataBar>
        <cfvo type="min"/>
        <cfvo type="max"/>
        <color rgb="FF628DC4"/>
      </dataBar>
    </cfRule>
  </conditionalFormatting>
  <conditionalFormatting sqref="CH66:CH67">
    <cfRule type="dataBar" priority="784">
      <dataBar>
        <cfvo type="min"/>
        <cfvo type="max"/>
        <color rgb="FF628DC4"/>
      </dataBar>
    </cfRule>
  </conditionalFormatting>
  <conditionalFormatting sqref="CH72:CH185">
    <cfRule type="dataBar" priority="877">
      <dataBar>
        <cfvo type="min"/>
        <cfvo type="max"/>
        <color rgb="FF628DC4"/>
      </dataBar>
    </cfRule>
  </conditionalFormatting>
  <conditionalFormatting sqref="CI16:CI21">
    <cfRule type="dataBar" priority="227">
      <dataBar>
        <cfvo type="min"/>
        <cfvo type="max"/>
        <color rgb="FFFFB628"/>
      </dataBar>
    </cfRule>
  </conditionalFormatting>
  <conditionalFormatting sqref="CI190:CI192">
    <cfRule type="dataBar" priority="971">
      <dataBar>
        <cfvo type="min"/>
        <cfvo type="max"/>
        <color rgb="FFFFB628"/>
      </dataBar>
    </cfRule>
  </conditionalFormatting>
  <conditionalFormatting sqref="CI197:CI202">
    <cfRule type="dataBar" priority="1064">
      <dataBar>
        <cfvo type="min"/>
        <cfvo type="max"/>
        <color rgb="FFFFB628"/>
      </dataBar>
    </cfRule>
  </conditionalFormatting>
  <conditionalFormatting sqref="CI207:CI209">
    <cfRule type="dataBar" priority="1157">
      <dataBar>
        <cfvo type="min"/>
        <cfvo type="max"/>
        <color rgb="FFFFB628"/>
      </dataBar>
    </cfRule>
  </conditionalFormatting>
  <conditionalFormatting sqref="CI214:CI219">
    <cfRule type="dataBar" priority="1250">
      <dataBar>
        <cfvo type="min"/>
        <cfvo type="max"/>
        <color rgb="FFFFB628"/>
      </dataBar>
    </cfRule>
  </conditionalFormatting>
  <conditionalFormatting sqref="CI224:CI226">
    <cfRule type="dataBar" priority="1343">
      <dataBar>
        <cfvo type="min"/>
        <cfvo type="max"/>
        <color rgb="FFFFB628"/>
      </dataBar>
    </cfRule>
  </conditionalFormatting>
  <conditionalFormatting sqref="CI231:CI235">
    <cfRule type="dataBar" priority="1436">
      <dataBar>
        <cfvo type="min"/>
        <cfvo type="max"/>
        <color rgb="FFFFB628"/>
      </dataBar>
    </cfRule>
  </conditionalFormatting>
  <conditionalFormatting sqref="CI240:CI244">
    <cfRule type="dataBar" priority="1529">
      <dataBar>
        <cfvo type="min"/>
        <cfvo type="max"/>
        <color rgb="FFFFB628"/>
      </dataBar>
    </cfRule>
  </conditionalFormatting>
  <conditionalFormatting sqref="CI249:CI253">
    <cfRule type="dataBar" priority="1622">
      <dataBar>
        <cfvo type="min"/>
        <cfvo type="max"/>
        <color rgb="FFFFB628"/>
      </dataBar>
    </cfRule>
  </conditionalFormatting>
  <conditionalFormatting sqref="CI258:CI318">
    <cfRule type="dataBar" priority="1715">
      <dataBar>
        <cfvo type="min"/>
        <cfvo type="max"/>
        <color rgb="FFFFB628"/>
      </dataBar>
    </cfRule>
  </conditionalFormatting>
  <conditionalFormatting sqref="CI26:CI28">
    <cfRule type="dataBar" priority="320">
      <dataBar>
        <cfvo type="min"/>
        <cfvo type="max"/>
        <color rgb="FFFFB628"/>
      </dataBar>
    </cfRule>
  </conditionalFormatting>
  <conditionalFormatting sqref="CI323:CI383">
    <cfRule type="dataBar" priority="1808">
      <dataBar>
        <cfvo type="min"/>
        <cfvo type="max"/>
        <color rgb="FFFFB628"/>
      </dataBar>
    </cfRule>
  </conditionalFormatting>
  <conditionalFormatting sqref="CI33:CI35">
    <cfRule type="dataBar" priority="413">
      <dataBar>
        <cfvo type="min"/>
        <cfvo type="max"/>
        <color rgb="FFFFB628"/>
      </dataBar>
    </cfRule>
  </conditionalFormatting>
  <conditionalFormatting sqref="CI388:CI390">
    <cfRule type="dataBar" priority="1901">
      <dataBar>
        <cfvo type="min"/>
        <cfvo type="max"/>
        <color rgb="FFFFB628"/>
      </dataBar>
    </cfRule>
  </conditionalFormatting>
  <conditionalFormatting sqref="CI40:CI43">
    <cfRule type="dataBar" priority="506">
      <dataBar>
        <cfvo type="min"/>
        <cfvo type="max"/>
        <color rgb="FFFFB628"/>
      </dataBar>
    </cfRule>
  </conditionalFormatting>
  <conditionalFormatting sqref="CI48:CI52">
    <cfRule type="dataBar" priority="599">
      <dataBar>
        <cfvo type="min"/>
        <cfvo type="max"/>
        <color rgb="FFFFB628"/>
      </dataBar>
    </cfRule>
  </conditionalFormatting>
  <conditionalFormatting sqref="CI57:CI61">
    <cfRule type="dataBar" priority="692">
      <dataBar>
        <cfvo type="min"/>
        <cfvo type="max"/>
        <color rgb="FFFFB628"/>
      </dataBar>
    </cfRule>
  </conditionalFormatting>
  <conditionalFormatting sqref="CI66:CI67">
    <cfRule type="dataBar" priority="785">
      <dataBar>
        <cfvo type="min"/>
        <cfvo type="max"/>
        <color rgb="FFFFB628"/>
      </dataBar>
    </cfRule>
  </conditionalFormatting>
  <conditionalFormatting sqref="CI72:CI185">
    <cfRule type="dataBar" priority="878">
      <dataBar>
        <cfvo type="min"/>
        <cfvo type="max"/>
        <color rgb="FFFFB628"/>
      </dataBar>
    </cfRule>
  </conditionalFormatting>
  <conditionalFormatting sqref="CJ16:CJ21">
    <cfRule type="dataBar" priority="228">
      <dataBar>
        <cfvo type="min"/>
        <cfvo type="max"/>
        <color rgb="FFF08D5B"/>
      </dataBar>
    </cfRule>
  </conditionalFormatting>
  <conditionalFormatting sqref="CJ190:CJ192">
    <cfRule type="dataBar" priority="972">
      <dataBar>
        <cfvo type="min"/>
        <cfvo type="max"/>
        <color rgb="FFF08D5B"/>
      </dataBar>
    </cfRule>
  </conditionalFormatting>
  <conditionalFormatting sqref="CJ197:CJ202">
    <cfRule type="dataBar" priority="1065">
      <dataBar>
        <cfvo type="min"/>
        <cfvo type="max"/>
        <color rgb="FFF08D5B"/>
      </dataBar>
    </cfRule>
  </conditionalFormatting>
  <conditionalFormatting sqref="CJ207:CJ209">
    <cfRule type="dataBar" priority="1158">
      <dataBar>
        <cfvo type="min"/>
        <cfvo type="max"/>
        <color rgb="FFF08D5B"/>
      </dataBar>
    </cfRule>
  </conditionalFormatting>
  <conditionalFormatting sqref="CJ214:CJ219">
    <cfRule type="dataBar" priority="1251">
      <dataBar>
        <cfvo type="min"/>
        <cfvo type="max"/>
        <color rgb="FFF08D5B"/>
      </dataBar>
    </cfRule>
  </conditionalFormatting>
  <conditionalFormatting sqref="CJ224:CJ226">
    <cfRule type="dataBar" priority="1344">
      <dataBar>
        <cfvo type="min"/>
        <cfvo type="max"/>
        <color rgb="FFF08D5B"/>
      </dataBar>
    </cfRule>
  </conditionalFormatting>
  <conditionalFormatting sqref="CJ231:CJ235">
    <cfRule type="dataBar" priority="1437">
      <dataBar>
        <cfvo type="min"/>
        <cfvo type="max"/>
        <color rgb="FFF08D5B"/>
      </dataBar>
    </cfRule>
  </conditionalFormatting>
  <conditionalFormatting sqref="CJ240:CJ244">
    <cfRule type="dataBar" priority="1530">
      <dataBar>
        <cfvo type="min"/>
        <cfvo type="max"/>
        <color rgb="FFF08D5B"/>
      </dataBar>
    </cfRule>
  </conditionalFormatting>
  <conditionalFormatting sqref="CJ249:CJ253">
    <cfRule type="dataBar" priority="1623">
      <dataBar>
        <cfvo type="min"/>
        <cfvo type="max"/>
        <color rgb="FFF08D5B"/>
      </dataBar>
    </cfRule>
  </conditionalFormatting>
  <conditionalFormatting sqref="CJ258:CJ318">
    <cfRule type="dataBar" priority="1716">
      <dataBar>
        <cfvo type="min"/>
        <cfvo type="max"/>
        <color rgb="FFF08D5B"/>
      </dataBar>
    </cfRule>
  </conditionalFormatting>
  <conditionalFormatting sqref="CJ26:CJ28">
    <cfRule type="dataBar" priority="321">
      <dataBar>
        <cfvo type="min"/>
        <cfvo type="max"/>
        <color rgb="FFF08D5B"/>
      </dataBar>
    </cfRule>
  </conditionalFormatting>
  <conditionalFormatting sqref="CJ323:CJ383">
    <cfRule type="dataBar" priority="1809">
      <dataBar>
        <cfvo type="min"/>
        <cfvo type="max"/>
        <color rgb="FFF08D5B"/>
      </dataBar>
    </cfRule>
  </conditionalFormatting>
  <conditionalFormatting sqref="CJ33:CJ35">
    <cfRule type="dataBar" priority="414">
      <dataBar>
        <cfvo type="min"/>
        <cfvo type="max"/>
        <color rgb="FFF08D5B"/>
      </dataBar>
    </cfRule>
  </conditionalFormatting>
  <conditionalFormatting sqref="CJ388:CJ390">
    <cfRule type="dataBar" priority="1902">
      <dataBar>
        <cfvo type="min"/>
        <cfvo type="max"/>
        <color rgb="FFF08D5B"/>
      </dataBar>
    </cfRule>
  </conditionalFormatting>
  <conditionalFormatting sqref="CJ40:CJ43">
    <cfRule type="dataBar" priority="507">
      <dataBar>
        <cfvo type="min"/>
        <cfvo type="max"/>
        <color rgb="FFF08D5B"/>
      </dataBar>
    </cfRule>
  </conditionalFormatting>
  <conditionalFormatting sqref="CJ48:CJ52">
    <cfRule type="dataBar" priority="600">
      <dataBar>
        <cfvo type="min"/>
        <cfvo type="max"/>
        <color rgb="FFF08D5B"/>
      </dataBar>
    </cfRule>
  </conditionalFormatting>
  <conditionalFormatting sqref="CJ57:CJ61">
    <cfRule type="dataBar" priority="693">
      <dataBar>
        <cfvo type="min"/>
        <cfvo type="max"/>
        <color rgb="FFF08D5B"/>
      </dataBar>
    </cfRule>
  </conditionalFormatting>
  <conditionalFormatting sqref="CJ66:CJ67">
    <cfRule type="dataBar" priority="786">
      <dataBar>
        <cfvo type="min"/>
        <cfvo type="max"/>
        <color rgb="FFF08D5B"/>
      </dataBar>
    </cfRule>
  </conditionalFormatting>
  <conditionalFormatting sqref="CJ72:CJ185">
    <cfRule type="dataBar" priority="879">
      <dataBar>
        <cfvo type="min"/>
        <cfvo type="max"/>
        <color rgb="FFF08D5B"/>
      </dataBar>
    </cfRule>
  </conditionalFormatting>
  <conditionalFormatting sqref="CL16:CL21">
    <cfRule type="dataBar" priority="229">
      <dataBar>
        <cfvo type="min"/>
        <cfvo type="max"/>
        <color rgb="FF628DC4"/>
      </dataBar>
    </cfRule>
  </conditionalFormatting>
  <conditionalFormatting sqref="CL190:CL192">
    <cfRule type="dataBar" priority="973">
      <dataBar>
        <cfvo type="min"/>
        <cfvo type="max"/>
        <color rgb="FF628DC4"/>
      </dataBar>
    </cfRule>
  </conditionalFormatting>
  <conditionalFormatting sqref="CL197:CL202">
    <cfRule type="dataBar" priority="1066">
      <dataBar>
        <cfvo type="min"/>
        <cfvo type="max"/>
        <color rgb="FF628DC4"/>
      </dataBar>
    </cfRule>
  </conditionalFormatting>
  <conditionalFormatting sqref="CL207:CL209">
    <cfRule type="dataBar" priority="1159">
      <dataBar>
        <cfvo type="min"/>
        <cfvo type="max"/>
        <color rgb="FF628DC4"/>
      </dataBar>
    </cfRule>
  </conditionalFormatting>
  <conditionalFormatting sqref="CL214:CL219">
    <cfRule type="dataBar" priority="1252">
      <dataBar>
        <cfvo type="min"/>
        <cfvo type="max"/>
        <color rgb="FF628DC4"/>
      </dataBar>
    </cfRule>
  </conditionalFormatting>
  <conditionalFormatting sqref="CL224:CL226">
    <cfRule type="dataBar" priority="1345">
      <dataBar>
        <cfvo type="min"/>
        <cfvo type="max"/>
        <color rgb="FF628DC4"/>
      </dataBar>
    </cfRule>
  </conditionalFormatting>
  <conditionalFormatting sqref="CL231:CL235">
    <cfRule type="dataBar" priority="1438">
      <dataBar>
        <cfvo type="min"/>
        <cfvo type="max"/>
        <color rgb="FF628DC4"/>
      </dataBar>
    </cfRule>
  </conditionalFormatting>
  <conditionalFormatting sqref="CL240:CL244">
    <cfRule type="dataBar" priority="1531">
      <dataBar>
        <cfvo type="min"/>
        <cfvo type="max"/>
        <color rgb="FF628DC4"/>
      </dataBar>
    </cfRule>
  </conditionalFormatting>
  <conditionalFormatting sqref="CL249:CL253">
    <cfRule type="dataBar" priority="1624">
      <dataBar>
        <cfvo type="min"/>
        <cfvo type="max"/>
        <color rgb="FF628DC4"/>
      </dataBar>
    </cfRule>
  </conditionalFormatting>
  <conditionalFormatting sqref="CL258:CL318">
    <cfRule type="dataBar" priority="1717">
      <dataBar>
        <cfvo type="min"/>
        <cfvo type="max"/>
        <color rgb="FF628DC4"/>
      </dataBar>
    </cfRule>
  </conditionalFormatting>
  <conditionalFormatting sqref="CL26:CL28">
    <cfRule type="dataBar" priority="322">
      <dataBar>
        <cfvo type="min"/>
        <cfvo type="max"/>
        <color rgb="FF628DC4"/>
      </dataBar>
    </cfRule>
  </conditionalFormatting>
  <conditionalFormatting sqref="CL323:CL383">
    <cfRule type="dataBar" priority="1810">
      <dataBar>
        <cfvo type="min"/>
        <cfvo type="max"/>
        <color rgb="FF628DC4"/>
      </dataBar>
    </cfRule>
  </conditionalFormatting>
  <conditionalFormatting sqref="CL33:CL35">
    <cfRule type="dataBar" priority="415">
      <dataBar>
        <cfvo type="min"/>
        <cfvo type="max"/>
        <color rgb="FF628DC4"/>
      </dataBar>
    </cfRule>
  </conditionalFormatting>
  <conditionalFormatting sqref="CL388:CL390">
    <cfRule type="dataBar" priority="1903">
      <dataBar>
        <cfvo type="min"/>
        <cfvo type="max"/>
        <color rgb="FF628DC4"/>
      </dataBar>
    </cfRule>
  </conditionalFormatting>
  <conditionalFormatting sqref="CL40:CL43">
    <cfRule type="dataBar" priority="508">
      <dataBar>
        <cfvo type="min"/>
        <cfvo type="max"/>
        <color rgb="FF628DC4"/>
      </dataBar>
    </cfRule>
  </conditionalFormatting>
  <conditionalFormatting sqref="CL48:CL52">
    <cfRule type="dataBar" priority="601">
      <dataBar>
        <cfvo type="min"/>
        <cfvo type="max"/>
        <color rgb="FF628DC4"/>
      </dataBar>
    </cfRule>
  </conditionalFormatting>
  <conditionalFormatting sqref="CL57:CL61">
    <cfRule type="dataBar" priority="694">
      <dataBar>
        <cfvo type="min"/>
        <cfvo type="max"/>
        <color rgb="FF628DC4"/>
      </dataBar>
    </cfRule>
  </conditionalFormatting>
  <conditionalFormatting sqref="CL66:CL67">
    <cfRule type="dataBar" priority="787">
      <dataBar>
        <cfvo type="min"/>
        <cfvo type="max"/>
        <color rgb="FF628DC4"/>
      </dataBar>
    </cfRule>
  </conditionalFormatting>
  <conditionalFormatting sqref="CL72:CL185">
    <cfRule type="dataBar" priority="880">
      <dataBar>
        <cfvo type="min"/>
        <cfvo type="max"/>
        <color rgb="FF628DC4"/>
      </dataBar>
    </cfRule>
  </conditionalFormatting>
  <conditionalFormatting sqref="CM16:CM21">
    <cfRule type="dataBar" priority="230">
      <dataBar>
        <cfvo type="min"/>
        <cfvo type="max"/>
        <color rgb="FFFFB628"/>
      </dataBar>
    </cfRule>
  </conditionalFormatting>
  <conditionalFormatting sqref="CM190:CM192">
    <cfRule type="dataBar" priority="974">
      <dataBar>
        <cfvo type="min"/>
        <cfvo type="max"/>
        <color rgb="FFFFB628"/>
      </dataBar>
    </cfRule>
  </conditionalFormatting>
  <conditionalFormatting sqref="CM197:CM202">
    <cfRule type="dataBar" priority="1067">
      <dataBar>
        <cfvo type="min"/>
        <cfvo type="max"/>
        <color rgb="FFFFB628"/>
      </dataBar>
    </cfRule>
  </conditionalFormatting>
  <conditionalFormatting sqref="CM207:CM209">
    <cfRule type="dataBar" priority="1160">
      <dataBar>
        <cfvo type="min"/>
        <cfvo type="max"/>
        <color rgb="FFFFB628"/>
      </dataBar>
    </cfRule>
  </conditionalFormatting>
  <conditionalFormatting sqref="CM214:CM219">
    <cfRule type="dataBar" priority="1253">
      <dataBar>
        <cfvo type="min"/>
        <cfvo type="max"/>
        <color rgb="FFFFB628"/>
      </dataBar>
    </cfRule>
  </conditionalFormatting>
  <conditionalFormatting sqref="CM224:CM226">
    <cfRule type="dataBar" priority="1346">
      <dataBar>
        <cfvo type="min"/>
        <cfvo type="max"/>
        <color rgb="FFFFB628"/>
      </dataBar>
    </cfRule>
  </conditionalFormatting>
  <conditionalFormatting sqref="CM231:CM235">
    <cfRule type="dataBar" priority="1439">
      <dataBar>
        <cfvo type="min"/>
        <cfvo type="max"/>
        <color rgb="FFFFB628"/>
      </dataBar>
    </cfRule>
  </conditionalFormatting>
  <conditionalFormatting sqref="CM240:CM244">
    <cfRule type="dataBar" priority="1532">
      <dataBar>
        <cfvo type="min"/>
        <cfvo type="max"/>
        <color rgb="FFFFB628"/>
      </dataBar>
    </cfRule>
  </conditionalFormatting>
  <conditionalFormatting sqref="CM249:CM253">
    <cfRule type="dataBar" priority="1625">
      <dataBar>
        <cfvo type="min"/>
        <cfvo type="max"/>
        <color rgb="FFFFB628"/>
      </dataBar>
    </cfRule>
  </conditionalFormatting>
  <conditionalFormatting sqref="CM258:CM318">
    <cfRule type="dataBar" priority="1718">
      <dataBar>
        <cfvo type="min"/>
        <cfvo type="max"/>
        <color rgb="FFFFB628"/>
      </dataBar>
    </cfRule>
  </conditionalFormatting>
  <conditionalFormatting sqref="CM26:CM28">
    <cfRule type="dataBar" priority="323">
      <dataBar>
        <cfvo type="min"/>
        <cfvo type="max"/>
        <color rgb="FFFFB628"/>
      </dataBar>
    </cfRule>
  </conditionalFormatting>
  <conditionalFormatting sqref="CM323:CM383">
    <cfRule type="dataBar" priority="1811">
      <dataBar>
        <cfvo type="min"/>
        <cfvo type="max"/>
        <color rgb="FFFFB628"/>
      </dataBar>
    </cfRule>
  </conditionalFormatting>
  <conditionalFormatting sqref="CM33:CM35">
    <cfRule type="dataBar" priority="416">
      <dataBar>
        <cfvo type="min"/>
        <cfvo type="max"/>
        <color rgb="FFFFB628"/>
      </dataBar>
    </cfRule>
  </conditionalFormatting>
  <conditionalFormatting sqref="CM388:CM390">
    <cfRule type="dataBar" priority="1904">
      <dataBar>
        <cfvo type="min"/>
        <cfvo type="max"/>
        <color rgb="FFFFB628"/>
      </dataBar>
    </cfRule>
  </conditionalFormatting>
  <conditionalFormatting sqref="CM40:CM43">
    <cfRule type="dataBar" priority="509">
      <dataBar>
        <cfvo type="min"/>
        <cfvo type="max"/>
        <color rgb="FFFFB628"/>
      </dataBar>
    </cfRule>
  </conditionalFormatting>
  <conditionalFormatting sqref="CM48:CM52">
    <cfRule type="dataBar" priority="602">
      <dataBar>
        <cfvo type="min"/>
        <cfvo type="max"/>
        <color rgb="FFFFB628"/>
      </dataBar>
    </cfRule>
  </conditionalFormatting>
  <conditionalFormatting sqref="CM57:CM61">
    <cfRule type="dataBar" priority="695">
      <dataBar>
        <cfvo type="min"/>
        <cfvo type="max"/>
        <color rgb="FFFFB628"/>
      </dataBar>
    </cfRule>
  </conditionalFormatting>
  <conditionalFormatting sqref="CM66:CM67">
    <cfRule type="dataBar" priority="788">
      <dataBar>
        <cfvo type="min"/>
        <cfvo type="max"/>
        <color rgb="FFFFB628"/>
      </dataBar>
    </cfRule>
  </conditionalFormatting>
  <conditionalFormatting sqref="CM72:CM185">
    <cfRule type="dataBar" priority="881">
      <dataBar>
        <cfvo type="min"/>
        <cfvo type="max"/>
        <color rgb="FFFFB628"/>
      </dataBar>
    </cfRule>
  </conditionalFormatting>
  <conditionalFormatting sqref="CN16:CN21">
    <cfRule type="dataBar" priority="231">
      <dataBar>
        <cfvo type="min"/>
        <cfvo type="max"/>
        <color rgb="FFF08D5B"/>
      </dataBar>
    </cfRule>
  </conditionalFormatting>
  <conditionalFormatting sqref="CN190:CN192">
    <cfRule type="dataBar" priority="975">
      <dataBar>
        <cfvo type="min"/>
        <cfvo type="max"/>
        <color rgb="FFF08D5B"/>
      </dataBar>
    </cfRule>
  </conditionalFormatting>
  <conditionalFormatting sqref="CN197:CN202">
    <cfRule type="dataBar" priority="1068">
      <dataBar>
        <cfvo type="min"/>
        <cfvo type="max"/>
        <color rgb="FFF08D5B"/>
      </dataBar>
    </cfRule>
  </conditionalFormatting>
  <conditionalFormatting sqref="CN207:CN209">
    <cfRule type="dataBar" priority="1161">
      <dataBar>
        <cfvo type="min"/>
        <cfvo type="max"/>
        <color rgb="FFF08D5B"/>
      </dataBar>
    </cfRule>
  </conditionalFormatting>
  <conditionalFormatting sqref="CN214:CN219">
    <cfRule type="dataBar" priority="1254">
      <dataBar>
        <cfvo type="min"/>
        <cfvo type="max"/>
        <color rgb="FFF08D5B"/>
      </dataBar>
    </cfRule>
  </conditionalFormatting>
  <conditionalFormatting sqref="CN224:CN226">
    <cfRule type="dataBar" priority="1347">
      <dataBar>
        <cfvo type="min"/>
        <cfvo type="max"/>
        <color rgb="FFF08D5B"/>
      </dataBar>
    </cfRule>
  </conditionalFormatting>
  <conditionalFormatting sqref="CN231:CN235">
    <cfRule type="dataBar" priority="1440">
      <dataBar>
        <cfvo type="min"/>
        <cfvo type="max"/>
        <color rgb="FFF08D5B"/>
      </dataBar>
    </cfRule>
  </conditionalFormatting>
  <conditionalFormatting sqref="CN240:CN244">
    <cfRule type="dataBar" priority="1533">
      <dataBar>
        <cfvo type="min"/>
        <cfvo type="max"/>
        <color rgb="FFF08D5B"/>
      </dataBar>
    </cfRule>
  </conditionalFormatting>
  <conditionalFormatting sqref="CN249:CN253">
    <cfRule type="dataBar" priority="1626">
      <dataBar>
        <cfvo type="min"/>
        <cfvo type="max"/>
        <color rgb="FFF08D5B"/>
      </dataBar>
    </cfRule>
  </conditionalFormatting>
  <conditionalFormatting sqref="CN258:CN318">
    <cfRule type="dataBar" priority="1719">
      <dataBar>
        <cfvo type="min"/>
        <cfvo type="max"/>
        <color rgb="FFF08D5B"/>
      </dataBar>
    </cfRule>
  </conditionalFormatting>
  <conditionalFormatting sqref="CN26:CN28">
    <cfRule type="dataBar" priority="324">
      <dataBar>
        <cfvo type="min"/>
        <cfvo type="max"/>
        <color rgb="FFF08D5B"/>
      </dataBar>
    </cfRule>
  </conditionalFormatting>
  <conditionalFormatting sqref="CN323:CN383">
    <cfRule type="dataBar" priority="1812">
      <dataBar>
        <cfvo type="min"/>
        <cfvo type="max"/>
        <color rgb="FFF08D5B"/>
      </dataBar>
    </cfRule>
  </conditionalFormatting>
  <conditionalFormatting sqref="CN33:CN35">
    <cfRule type="dataBar" priority="417">
      <dataBar>
        <cfvo type="min"/>
        <cfvo type="max"/>
        <color rgb="FFF08D5B"/>
      </dataBar>
    </cfRule>
  </conditionalFormatting>
  <conditionalFormatting sqref="CN388:CN390">
    <cfRule type="dataBar" priority="1905">
      <dataBar>
        <cfvo type="min"/>
        <cfvo type="max"/>
        <color rgb="FFF08D5B"/>
      </dataBar>
    </cfRule>
  </conditionalFormatting>
  <conditionalFormatting sqref="CN40:CN43">
    <cfRule type="dataBar" priority="510">
      <dataBar>
        <cfvo type="min"/>
        <cfvo type="max"/>
        <color rgb="FFF08D5B"/>
      </dataBar>
    </cfRule>
  </conditionalFormatting>
  <conditionalFormatting sqref="CN48:CN52">
    <cfRule type="dataBar" priority="603">
      <dataBar>
        <cfvo type="min"/>
        <cfvo type="max"/>
        <color rgb="FFF08D5B"/>
      </dataBar>
    </cfRule>
  </conditionalFormatting>
  <conditionalFormatting sqref="CN57:CN61">
    <cfRule type="dataBar" priority="696">
      <dataBar>
        <cfvo type="min"/>
        <cfvo type="max"/>
        <color rgb="FFF08D5B"/>
      </dataBar>
    </cfRule>
  </conditionalFormatting>
  <conditionalFormatting sqref="CN66:CN67">
    <cfRule type="dataBar" priority="789">
      <dataBar>
        <cfvo type="min"/>
        <cfvo type="max"/>
        <color rgb="FFF08D5B"/>
      </dataBar>
    </cfRule>
  </conditionalFormatting>
  <conditionalFormatting sqref="CN72:CN185">
    <cfRule type="dataBar" priority="882">
      <dataBar>
        <cfvo type="min"/>
        <cfvo type="max"/>
        <color rgb="FFF08D5B"/>
      </dataBar>
    </cfRule>
  </conditionalFormatting>
  <conditionalFormatting sqref="CP16:CP21">
    <cfRule type="dataBar" priority="232">
      <dataBar>
        <cfvo type="min"/>
        <cfvo type="max"/>
        <color rgb="FF628DC4"/>
      </dataBar>
    </cfRule>
  </conditionalFormatting>
  <conditionalFormatting sqref="CP190:CP192">
    <cfRule type="dataBar" priority="976">
      <dataBar>
        <cfvo type="min"/>
        <cfvo type="max"/>
        <color rgb="FF628DC4"/>
      </dataBar>
    </cfRule>
  </conditionalFormatting>
  <conditionalFormatting sqref="CP197:CP202">
    <cfRule type="dataBar" priority="1069">
      <dataBar>
        <cfvo type="min"/>
        <cfvo type="max"/>
        <color rgb="FF628DC4"/>
      </dataBar>
    </cfRule>
  </conditionalFormatting>
  <conditionalFormatting sqref="CP207:CP209">
    <cfRule type="dataBar" priority="1162">
      <dataBar>
        <cfvo type="min"/>
        <cfvo type="max"/>
        <color rgb="FF628DC4"/>
      </dataBar>
    </cfRule>
  </conditionalFormatting>
  <conditionalFormatting sqref="CP214:CP219">
    <cfRule type="dataBar" priority="1255">
      <dataBar>
        <cfvo type="min"/>
        <cfvo type="max"/>
        <color rgb="FF628DC4"/>
      </dataBar>
    </cfRule>
  </conditionalFormatting>
  <conditionalFormatting sqref="CP224:CP226">
    <cfRule type="dataBar" priority="1348">
      <dataBar>
        <cfvo type="min"/>
        <cfvo type="max"/>
        <color rgb="FF628DC4"/>
      </dataBar>
    </cfRule>
  </conditionalFormatting>
  <conditionalFormatting sqref="CP231:CP235">
    <cfRule type="dataBar" priority="1441">
      <dataBar>
        <cfvo type="min"/>
        <cfvo type="max"/>
        <color rgb="FF628DC4"/>
      </dataBar>
    </cfRule>
  </conditionalFormatting>
  <conditionalFormatting sqref="CP240:CP244">
    <cfRule type="dataBar" priority="1534">
      <dataBar>
        <cfvo type="min"/>
        <cfvo type="max"/>
        <color rgb="FF628DC4"/>
      </dataBar>
    </cfRule>
  </conditionalFormatting>
  <conditionalFormatting sqref="CP249:CP253">
    <cfRule type="dataBar" priority="1627">
      <dataBar>
        <cfvo type="min"/>
        <cfvo type="max"/>
        <color rgb="FF628DC4"/>
      </dataBar>
    </cfRule>
  </conditionalFormatting>
  <conditionalFormatting sqref="CP258:CP318">
    <cfRule type="dataBar" priority="1720">
      <dataBar>
        <cfvo type="min"/>
        <cfvo type="max"/>
        <color rgb="FF628DC4"/>
      </dataBar>
    </cfRule>
  </conditionalFormatting>
  <conditionalFormatting sqref="CP26:CP28">
    <cfRule type="dataBar" priority="325">
      <dataBar>
        <cfvo type="min"/>
        <cfvo type="max"/>
        <color rgb="FF628DC4"/>
      </dataBar>
    </cfRule>
  </conditionalFormatting>
  <conditionalFormatting sqref="CP323:CP383">
    <cfRule type="dataBar" priority="1813">
      <dataBar>
        <cfvo type="min"/>
        <cfvo type="max"/>
        <color rgb="FF628DC4"/>
      </dataBar>
    </cfRule>
  </conditionalFormatting>
  <conditionalFormatting sqref="CP33:CP35">
    <cfRule type="dataBar" priority="418">
      <dataBar>
        <cfvo type="min"/>
        <cfvo type="max"/>
        <color rgb="FF628DC4"/>
      </dataBar>
    </cfRule>
  </conditionalFormatting>
  <conditionalFormatting sqref="CP388:CP390">
    <cfRule type="dataBar" priority="1906">
      <dataBar>
        <cfvo type="min"/>
        <cfvo type="max"/>
        <color rgb="FF628DC4"/>
      </dataBar>
    </cfRule>
  </conditionalFormatting>
  <conditionalFormatting sqref="CP40:CP43">
    <cfRule type="dataBar" priority="511">
      <dataBar>
        <cfvo type="min"/>
        <cfvo type="max"/>
        <color rgb="FF628DC4"/>
      </dataBar>
    </cfRule>
  </conditionalFormatting>
  <conditionalFormatting sqref="CP48:CP52">
    <cfRule type="dataBar" priority="604">
      <dataBar>
        <cfvo type="min"/>
        <cfvo type="max"/>
        <color rgb="FF628DC4"/>
      </dataBar>
    </cfRule>
  </conditionalFormatting>
  <conditionalFormatting sqref="CP57:CP61">
    <cfRule type="dataBar" priority="697">
      <dataBar>
        <cfvo type="min"/>
        <cfvo type="max"/>
        <color rgb="FF628DC4"/>
      </dataBar>
    </cfRule>
  </conditionalFormatting>
  <conditionalFormatting sqref="CP66:CP67">
    <cfRule type="dataBar" priority="790">
      <dataBar>
        <cfvo type="min"/>
        <cfvo type="max"/>
        <color rgb="FF628DC4"/>
      </dataBar>
    </cfRule>
  </conditionalFormatting>
  <conditionalFormatting sqref="CP72:CP185">
    <cfRule type="dataBar" priority="883">
      <dataBar>
        <cfvo type="min"/>
        <cfvo type="max"/>
        <color rgb="FF628DC4"/>
      </dataBar>
    </cfRule>
  </conditionalFormatting>
  <conditionalFormatting sqref="CQ16:CQ21">
    <cfRule type="dataBar" priority="233">
      <dataBar>
        <cfvo type="min"/>
        <cfvo type="max"/>
        <color rgb="FFFFB628"/>
      </dataBar>
    </cfRule>
  </conditionalFormatting>
  <conditionalFormatting sqref="CQ190:CQ192">
    <cfRule type="dataBar" priority="977">
      <dataBar>
        <cfvo type="min"/>
        <cfvo type="max"/>
        <color rgb="FFFFB628"/>
      </dataBar>
    </cfRule>
  </conditionalFormatting>
  <conditionalFormatting sqref="CQ197:CQ202">
    <cfRule type="dataBar" priority="1070">
      <dataBar>
        <cfvo type="min"/>
        <cfvo type="max"/>
        <color rgb="FFFFB628"/>
      </dataBar>
    </cfRule>
  </conditionalFormatting>
  <conditionalFormatting sqref="CQ207:CQ209">
    <cfRule type="dataBar" priority="1163">
      <dataBar>
        <cfvo type="min"/>
        <cfvo type="max"/>
        <color rgb="FFFFB628"/>
      </dataBar>
    </cfRule>
  </conditionalFormatting>
  <conditionalFormatting sqref="CQ214:CQ219">
    <cfRule type="dataBar" priority="1256">
      <dataBar>
        <cfvo type="min"/>
        <cfvo type="max"/>
        <color rgb="FFFFB628"/>
      </dataBar>
    </cfRule>
  </conditionalFormatting>
  <conditionalFormatting sqref="CQ224:CQ226">
    <cfRule type="dataBar" priority="1349">
      <dataBar>
        <cfvo type="min"/>
        <cfvo type="max"/>
        <color rgb="FFFFB628"/>
      </dataBar>
    </cfRule>
  </conditionalFormatting>
  <conditionalFormatting sqref="CQ231:CQ235">
    <cfRule type="dataBar" priority="1442">
      <dataBar>
        <cfvo type="min"/>
        <cfvo type="max"/>
        <color rgb="FFFFB628"/>
      </dataBar>
    </cfRule>
  </conditionalFormatting>
  <conditionalFormatting sqref="CQ240:CQ244">
    <cfRule type="dataBar" priority="1535">
      <dataBar>
        <cfvo type="min"/>
        <cfvo type="max"/>
        <color rgb="FFFFB628"/>
      </dataBar>
    </cfRule>
  </conditionalFormatting>
  <conditionalFormatting sqref="CQ249:CQ253">
    <cfRule type="dataBar" priority="1628">
      <dataBar>
        <cfvo type="min"/>
        <cfvo type="max"/>
        <color rgb="FFFFB628"/>
      </dataBar>
    </cfRule>
  </conditionalFormatting>
  <conditionalFormatting sqref="CQ258:CQ318">
    <cfRule type="dataBar" priority="1721">
      <dataBar>
        <cfvo type="min"/>
        <cfvo type="max"/>
        <color rgb="FFFFB628"/>
      </dataBar>
    </cfRule>
  </conditionalFormatting>
  <conditionalFormatting sqref="CQ26:CQ28">
    <cfRule type="dataBar" priority="326">
      <dataBar>
        <cfvo type="min"/>
        <cfvo type="max"/>
        <color rgb="FFFFB628"/>
      </dataBar>
    </cfRule>
  </conditionalFormatting>
  <conditionalFormatting sqref="CQ323:CQ383">
    <cfRule type="dataBar" priority="1814">
      <dataBar>
        <cfvo type="min"/>
        <cfvo type="max"/>
        <color rgb="FFFFB628"/>
      </dataBar>
    </cfRule>
  </conditionalFormatting>
  <conditionalFormatting sqref="CQ33:CQ35">
    <cfRule type="dataBar" priority="419">
      <dataBar>
        <cfvo type="min"/>
        <cfvo type="max"/>
        <color rgb="FFFFB628"/>
      </dataBar>
    </cfRule>
  </conditionalFormatting>
  <conditionalFormatting sqref="CQ388:CQ390">
    <cfRule type="dataBar" priority="1907">
      <dataBar>
        <cfvo type="min"/>
        <cfvo type="max"/>
        <color rgb="FFFFB628"/>
      </dataBar>
    </cfRule>
  </conditionalFormatting>
  <conditionalFormatting sqref="CQ40:CQ43">
    <cfRule type="dataBar" priority="512">
      <dataBar>
        <cfvo type="min"/>
        <cfvo type="max"/>
        <color rgb="FFFFB628"/>
      </dataBar>
    </cfRule>
  </conditionalFormatting>
  <conditionalFormatting sqref="CQ48:CQ52">
    <cfRule type="dataBar" priority="605">
      <dataBar>
        <cfvo type="min"/>
        <cfvo type="max"/>
        <color rgb="FFFFB628"/>
      </dataBar>
    </cfRule>
  </conditionalFormatting>
  <conditionalFormatting sqref="CQ57:CQ61">
    <cfRule type="dataBar" priority="698">
      <dataBar>
        <cfvo type="min"/>
        <cfvo type="max"/>
        <color rgb="FFFFB628"/>
      </dataBar>
    </cfRule>
  </conditionalFormatting>
  <conditionalFormatting sqref="CQ66:CQ67">
    <cfRule type="dataBar" priority="791">
      <dataBar>
        <cfvo type="min"/>
        <cfvo type="max"/>
        <color rgb="FFFFB628"/>
      </dataBar>
    </cfRule>
  </conditionalFormatting>
  <conditionalFormatting sqref="CQ72:CQ185">
    <cfRule type="dataBar" priority="884">
      <dataBar>
        <cfvo type="min"/>
        <cfvo type="max"/>
        <color rgb="FFFFB628"/>
      </dataBar>
    </cfRule>
  </conditionalFormatting>
  <conditionalFormatting sqref="CR16:CR21">
    <cfRule type="dataBar" priority="234">
      <dataBar>
        <cfvo type="min"/>
        <cfvo type="max"/>
        <color rgb="FFF08D5B"/>
      </dataBar>
    </cfRule>
  </conditionalFormatting>
  <conditionalFormatting sqref="CR190:CR192">
    <cfRule type="dataBar" priority="978">
      <dataBar>
        <cfvo type="min"/>
        <cfvo type="max"/>
        <color rgb="FFF08D5B"/>
      </dataBar>
    </cfRule>
  </conditionalFormatting>
  <conditionalFormatting sqref="CR197:CR202">
    <cfRule type="dataBar" priority="1071">
      <dataBar>
        <cfvo type="min"/>
        <cfvo type="max"/>
        <color rgb="FFF08D5B"/>
      </dataBar>
    </cfRule>
  </conditionalFormatting>
  <conditionalFormatting sqref="CR207:CR209">
    <cfRule type="dataBar" priority="1164">
      <dataBar>
        <cfvo type="min"/>
        <cfvo type="max"/>
        <color rgb="FFF08D5B"/>
      </dataBar>
    </cfRule>
  </conditionalFormatting>
  <conditionalFormatting sqref="CR214:CR219">
    <cfRule type="dataBar" priority="1257">
      <dataBar>
        <cfvo type="min"/>
        <cfvo type="max"/>
        <color rgb="FFF08D5B"/>
      </dataBar>
    </cfRule>
  </conditionalFormatting>
  <conditionalFormatting sqref="CR224:CR226">
    <cfRule type="dataBar" priority="1350">
      <dataBar>
        <cfvo type="min"/>
        <cfvo type="max"/>
        <color rgb="FFF08D5B"/>
      </dataBar>
    </cfRule>
  </conditionalFormatting>
  <conditionalFormatting sqref="CR231:CR235">
    <cfRule type="dataBar" priority="1443">
      <dataBar>
        <cfvo type="min"/>
        <cfvo type="max"/>
        <color rgb="FFF08D5B"/>
      </dataBar>
    </cfRule>
  </conditionalFormatting>
  <conditionalFormatting sqref="CR240:CR244">
    <cfRule type="dataBar" priority="1536">
      <dataBar>
        <cfvo type="min"/>
        <cfvo type="max"/>
        <color rgb="FFF08D5B"/>
      </dataBar>
    </cfRule>
  </conditionalFormatting>
  <conditionalFormatting sqref="CR249:CR253">
    <cfRule type="dataBar" priority="1629">
      <dataBar>
        <cfvo type="min"/>
        <cfvo type="max"/>
        <color rgb="FFF08D5B"/>
      </dataBar>
    </cfRule>
  </conditionalFormatting>
  <conditionalFormatting sqref="CR258:CR318">
    <cfRule type="dataBar" priority="1722">
      <dataBar>
        <cfvo type="min"/>
        <cfvo type="max"/>
        <color rgb="FFF08D5B"/>
      </dataBar>
    </cfRule>
  </conditionalFormatting>
  <conditionalFormatting sqref="CR26:CR28">
    <cfRule type="dataBar" priority="327">
      <dataBar>
        <cfvo type="min"/>
        <cfvo type="max"/>
        <color rgb="FFF08D5B"/>
      </dataBar>
    </cfRule>
  </conditionalFormatting>
  <conditionalFormatting sqref="CR323:CR383">
    <cfRule type="dataBar" priority="1815">
      <dataBar>
        <cfvo type="min"/>
        <cfvo type="max"/>
        <color rgb="FFF08D5B"/>
      </dataBar>
    </cfRule>
  </conditionalFormatting>
  <conditionalFormatting sqref="CR33:CR35">
    <cfRule type="dataBar" priority="420">
      <dataBar>
        <cfvo type="min"/>
        <cfvo type="max"/>
        <color rgb="FFF08D5B"/>
      </dataBar>
    </cfRule>
  </conditionalFormatting>
  <conditionalFormatting sqref="CR388:CR390">
    <cfRule type="dataBar" priority="1908">
      <dataBar>
        <cfvo type="min"/>
        <cfvo type="max"/>
        <color rgb="FFF08D5B"/>
      </dataBar>
    </cfRule>
  </conditionalFormatting>
  <conditionalFormatting sqref="CR40:CR43">
    <cfRule type="dataBar" priority="513">
      <dataBar>
        <cfvo type="min"/>
        <cfvo type="max"/>
        <color rgb="FFF08D5B"/>
      </dataBar>
    </cfRule>
  </conditionalFormatting>
  <conditionalFormatting sqref="CR48:CR52">
    <cfRule type="dataBar" priority="606">
      <dataBar>
        <cfvo type="min"/>
        <cfvo type="max"/>
        <color rgb="FFF08D5B"/>
      </dataBar>
    </cfRule>
  </conditionalFormatting>
  <conditionalFormatting sqref="CR57:CR61">
    <cfRule type="dataBar" priority="699">
      <dataBar>
        <cfvo type="min"/>
        <cfvo type="max"/>
        <color rgb="FFF08D5B"/>
      </dataBar>
    </cfRule>
  </conditionalFormatting>
  <conditionalFormatting sqref="CR66:CR67">
    <cfRule type="dataBar" priority="792">
      <dataBar>
        <cfvo type="min"/>
        <cfvo type="max"/>
        <color rgb="FFF08D5B"/>
      </dataBar>
    </cfRule>
  </conditionalFormatting>
  <conditionalFormatting sqref="CR72:CR185">
    <cfRule type="dataBar" priority="885">
      <dataBar>
        <cfvo type="min"/>
        <cfvo type="max"/>
        <color rgb="FFF08D5B"/>
      </dataBar>
    </cfRule>
  </conditionalFormatting>
  <conditionalFormatting sqref="CT16:CT21">
    <cfRule type="dataBar" priority="235">
      <dataBar>
        <cfvo type="min"/>
        <cfvo type="max"/>
        <color rgb="FF628DC4"/>
      </dataBar>
    </cfRule>
  </conditionalFormatting>
  <conditionalFormatting sqref="CT190:CT192">
    <cfRule type="dataBar" priority="979">
      <dataBar>
        <cfvo type="min"/>
        <cfvo type="max"/>
        <color rgb="FF628DC4"/>
      </dataBar>
    </cfRule>
  </conditionalFormatting>
  <conditionalFormatting sqref="CT197:CT202">
    <cfRule type="dataBar" priority="1072">
      <dataBar>
        <cfvo type="min"/>
        <cfvo type="max"/>
        <color rgb="FF628DC4"/>
      </dataBar>
    </cfRule>
  </conditionalFormatting>
  <conditionalFormatting sqref="CT207:CT209">
    <cfRule type="dataBar" priority="1165">
      <dataBar>
        <cfvo type="min"/>
        <cfvo type="max"/>
        <color rgb="FF628DC4"/>
      </dataBar>
    </cfRule>
  </conditionalFormatting>
  <conditionalFormatting sqref="CT214:CT219">
    <cfRule type="dataBar" priority="1258">
      <dataBar>
        <cfvo type="min"/>
        <cfvo type="max"/>
        <color rgb="FF628DC4"/>
      </dataBar>
    </cfRule>
  </conditionalFormatting>
  <conditionalFormatting sqref="CT224:CT226">
    <cfRule type="dataBar" priority="1351">
      <dataBar>
        <cfvo type="min"/>
        <cfvo type="max"/>
        <color rgb="FF628DC4"/>
      </dataBar>
    </cfRule>
  </conditionalFormatting>
  <conditionalFormatting sqref="CT231:CT235">
    <cfRule type="dataBar" priority="1444">
      <dataBar>
        <cfvo type="min"/>
        <cfvo type="max"/>
        <color rgb="FF628DC4"/>
      </dataBar>
    </cfRule>
  </conditionalFormatting>
  <conditionalFormatting sqref="CT240:CT244">
    <cfRule type="dataBar" priority="1537">
      <dataBar>
        <cfvo type="min"/>
        <cfvo type="max"/>
        <color rgb="FF628DC4"/>
      </dataBar>
    </cfRule>
  </conditionalFormatting>
  <conditionalFormatting sqref="CT249:CT253">
    <cfRule type="dataBar" priority="1630">
      <dataBar>
        <cfvo type="min"/>
        <cfvo type="max"/>
        <color rgb="FF628DC4"/>
      </dataBar>
    </cfRule>
  </conditionalFormatting>
  <conditionalFormatting sqref="CT258:CT318">
    <cfRule type="dataBar" priority="1723">
      <dataBar>
        <cfvo type="min"/>
        <cfvo type="max"/>
        <color rgb="FF628DC4"/>
      </dataBar>
    </cfRule>
  </conditionalFormatting>
  <conditionalFormatting sqref="CT26:CT28">
    <cfRule type="dataBar" priority="328">
      <dataBar>
        <cfvo type="min"/>
        <cfvo type="max"/>
        <color rgb="FF628DC4"/>
      </dataBar>
    </cfRule>
  </conditionalFormatting>
  <conditionalFormatting sqref="CT323:CT383">
    <cfRule type="dataBar" priority="1816">
      <dataBar>
        <cfvo type="min"/>
        <cfvo type="max"/>
        <color rgb="FF628DC4"/>
      </dataBar>
    </cfRule>
  </conditionalFormatting>
  <conditionalFormatting sqref="CT33:CT35">
    <cfRule type="dataBar" priority="421">
      <dataBar>
        <cfvo type="min"/>
        <cfvo type="max"/>
        <color rgb="FF628DC4"/>
      </dataBar>
    </cfRule>
  </conditionalFormatting>
  <conditionalFormatting sqref="CT388:CT390">
    <cfRule type="dataBar" priority="1909">
      <dataBar>
        <cfvo type="min"/>
        <cfvo type="max"/>
        <color rgb="FF628DC4"/>
      </dataBar>
    </cfRule>
  </conditionalFormatting>
  <conditionalFormatting sqref="CT40:CT43">
    <cfRule type="dataBar" priority="514">
      <dataBar>
        <cfvo type="min"/>
        <cfvo type="max"/>
        <color rgb="FF628DC4"/>
      </dataBar>
    </cfRule>
  </conditionalFormatting>
  <conditionalFormatting sqref="CT48:CT52">
    <cfRule type="dataBar" priority="607">
      <dataBar>
        <cfvo type="min"/>
        <cfvo type="max"/>
        <color rgb="FF628DC4"/>
      </dataBar>
    </cfRule>
  </conditionalFormatting>
  <conditionalFormatting sqref="CT57:CT61">
    <cfRule type="dataBar" priority="700">
      <dataBar>
        <cfvo type="min"/>
        <cfvo type="max"/>
        <color rgb="FF628DC4"/>
      </dataBar>
    </cfRule>
  </conditionalFormatting>
  <conditionalFormatting sqref="CT66:CT67">
    <cfRule type="dataBar" priority="793">
      <dataBar>
        <cfvo type="min"/>
        <cfvo type="max"/>
        <color rgb="FF628DC4"/>
      </dataBar>
    </cfRule>
  </conditionalFormatting>
  <conditionalFormatting sqref="CT72:CT185">
    <cfRule type="dataBar" priority="886">
      <dataBar>
        <cfvo type="min"/>
        <cfvo type="max"/>
        <color rgb="FF628DC4"/>
      </dataBar>
    </cfRule>
  </conditionalFormatting>
  <conditionalFormatting sqref="CU16:CU21">
    <cfRule type="dataBar" priority="236">
      <dataBar>
        <cfvo type="min"/>
        <cfvo type="max"/>
        <color rgb="FFFFB628"/>
      </dataBar>
    </cfRule>
  </conditionalFormatting>
  <conditionalFormatting sqref="CU190:CU192">
    <cfRule type="dataBar" priority="980">
      <dataBar>
        <cfvo type="min"/>
        <cfvo type="max"/>
        <color rgb="FFFFB628"/>
      </dataBar>
    </cfRule>
  </conditionalFormatting>
  <conditionalFormatting sqref="CU197:CU202">
    <cfRule type="dataBar" priority="1073">
      <dataBar>
        <cfvo type="min"/>
        <cfvo type="max"/>
        <color rgb="FFFFB628"/>
      </dataBar>
    </cfRule>
  </conditionalFormatting>
  <conditionalFormatting sqref="CU207:CU209">
    <cfRule type="dataBar" priority="1166">
      <dataBar>
        <cfvo type="min"/>
        <cfvo type="max"/>
        <color rgb="FFFFB628"/>
      </dataBar>
    </cfRule>
  </conditionalFormatting>
  <conditionalFormatting sqref="CU214:CU219">
    <cfRule type="dataBar" priority="1259">
      <dataBar>
        <cfvo type="min"/>
        <cfvo type="max"/>
        <color rgb="FFFFB628"/>
      </dataBar>
    </cfRule>
  </conditionalFormatting>
  <conditionalFormatting sqref="CU224:CU226">
    <cfRule type="dataBar" priority="1352">
      <dataBar>
        <cfvo type="min"/>
        <cfvo type="max"/>
        <color rgb="FFFFB628"/>
      </dataBar>
    </cfRule>
  </conditionalFormatting>
  <conditionalFormatting sqref="CU231:CU235">
    <cfRule type="dataBar" priority="1445">
      <dataBar>
        <cfvo type="min"/>
        <cfvo type="max"/>
        <color rgb="FFFFB628"/>
      </dataBar>
    </cfRule>
  </conditionalFormatting>
  <conditionalFormatting sqref="CU240:CU244">
    <cfRule type="dataBar" priority="1538">
      <dataBar>
        <cfvo type="min"/>
        <cfvo type="max"/>
        <color rgb="FFFFB628"/>
      </dataBar>
    </cfRule>
  </conditionalFormatting>
  <conditionalFormatting sqref="CU249:CU253">
    <cfRule type="dataBar" priority="1631">
      <dataBar>
        <cfvo type="min"/>
        <cfvo type="max"/>
        <color rgb="FFFFB628"/>
      </dataBar>
    </cfRule>
  </conditionalFormatting>
  <conditionalFormatting sqref="CU258:CU318">
    <cfRule type="dataBar" priority="1724">
      <dataBar>
        <cfvo type="min"/>
        <cfvo type="max"/>
        <color rgb="FFFFB628"/>
      </dataBar>
    </cfRule>
  </conditionalFormatting>
  <conditionalFormatting sqref="CU26:CU28">
    <cfRule type="dataBar" priority="329">
      <dataBar>
        <cfvo type="min"/>
        <cfvo type="max"/>
        <color rgb="FFFFB628"/>
      </dataBar>
    </cfRule>
  </conditionalFormatting>
  <conditionalFormatting sqref="CU323:CU383">
    <cfRule type="dataBar" priority="1817">
      <dataBar>
        <cfvo type="min"/>
        <cfvo type="max"/>
        <color rgb="FFFFB628"/>
      </dataBar>
    </cfRule>
  </conditionalFormatting>
  <conditionalFormatting sqref="CU33:CU35">
    <cfRule type="dataBar" priority="422">
      <dataBar>
        <cfvo type="min"/>
        <cfvo type="max"/>
        <color rgb="FFFFB628"/>
      </dataBar>
    </cfRule>
  </conditionalFormatting>
  <conditionalFormatting sqref="CU388:CU390">
    <cfRule type="dataBar" priority="1910">
      <dataBar>
        <cfvo type="min"/>
        <cfvo type="max"/>
        <color rgb="FFFFB628"/>
      </dataBar>
    </cfRule>
  </conditionalFormatting>
  <conditionalFormatting sqref="CU40:CU43">
    <cfRule type="dataBar" priority="515">
      <dataBar>
        <cfvo type="min"/>
        <cfvo type="max"/>
        <color rgb="FFFFB628"/>
      </dataBar>
    </cfRule>
  </conditionalFormatting>
  <conditionalFormatting sqref="CU48:CU52">
    <cfRule type="dataBar" priority="608">
      <dataBar>
        <cfvo type="min"/>
        <cfvo type="max"/>
        <color rgb="FFFFB628"/>
      </dataBar>
    </cfRule>
  </conditionalFormatting>
  <conditionalFormatting sqref="CU57:CU61">
    <cfRule type="dataBar" priority="701">
      <dataBar>
        <cfvo type="min"/>
        <cfvo type="max"/>
        <color rgb="FFFFB628"/>
      </dataBar>
    </cfRule>
  </conditionalFormatting>
  <conditionalFormatting sqref="CU66:CU67">
    <cfRule type="dataBar" priority="794">
      <dataBar>
        <cfvo type="min"/>
        <cfvo type="max"/>
        <color rgb="FFFFB628"/>
      </dataBar>
    </cfRule>
  </conditionalFormatting>
  <conditionalFormatting sqref="CU72:CU185">
    <cfRule type="dataBar" priority="887">
      <dataBar>
        <cfvo type="min"/>
        <cfvo type="max"/>
        <color rgb="FFFFB628"/>
      </dataBar>
    </cfRule>
  </conditionalFormatting>
  <conditionalFormatting sqref="CV16:CV21">
    <cfRule type="dataBar" priority="237">
      <dataBar>
        <cfvo type="min"/>
        <cfvo type="max"/>
        <color rgb="FFF08D5B"/>
      </dataBar>
    </cfRule>
  </conditionalFormatting>
  <conditionalFormatting sqref="CV190:CV192">
    <cfRule type="dataBar" priority="981">
      <dataBar>
        <cfvo type="min"/>
        <cfvo type="max"/>
        <color rgb="FFF08D5B"/>
      </dataBar>
    </cfRule>
  </conditionalFormatting>
  <conditionalFormatting sqref="CV197:CV202">
    <cfRule type="dataBar" priority="1074">
      <dataBar>
        <cfvo type="min"/>
        <cfvo type="max"/>
        <color rgb="FFF08D5B"/>
      </dataBar>
    </cfRule>
  </conditionalFormatting>
  <conditionalFormatting sqref="CV207:CV209">
    <cfRule type="dataBar" priority="1167">
      <dataBar>
        <cfvo type="min"/>
        <cfvo type="max"/>
        <color rgb="FFF08D5B"/>
      </dataBar>
    </cfRule>
  </conditionalFormatting>
  <conditionalFormatting sqref="CV214:CV219">
    <cfRule type="dataBar" priority="1260">
      <dataBar>
        <cfvo type="min"/>
        <cfvo type="max"/>
        <color rgb="FFF08D5B"/>
      </dataBar>
    </cfRule>
  </conditionalFormatting>
  <conditionalFormatting sqref="CV224:CV226">
    <cfRule type="dataBar" priority="1353">
      <dataBar>
        <cfvo type="min"/>
        <cfvo type="max"/>
        <color rgb="FFF08D5B"/>
      </dataBar>
    </cfRule>
  </conditionalFormatting>
  <conditionalFormatting sqref="CV231:CV235">
    <cfRule type="dataBar" priority="1446">
      <dataBar>
        <cfvo type="min"/>
        <cfvo type="max"/>
        <color rgb="FFF08D5B"/>
      </dataBar>
    </cfRule>
  </conditionalFormatting>
  <conditionalFormatting sqref="CV240:CV244">
    <cfRule type="dataBar" priority="1539">
      <dataBar>
        <cfvo type="min"/>
        <cfvo type="max"/>
        <color rgb="FFF08D5B"/>
      </dataBar>
    </cfRule>
  </conditionalFormatting>
  <conditionalFormatting sqref="CV249:CV253">
    <cfRule type="dataBar" priority="1632">
      <dataBar>
        <cfvo type="min"/>
        <cfvo type="max"/>
        <color rgb="FFF08D5B"/>
      </dataBar>
    </cfRule>
  </conditionalFormatting>
  <conditionalFormatting sqref="CV258:CV318">
    <cfRule type="dataBar" priority="1725">
      <dataBar>
        <cfvo type="min"/>
        <cfvo type="max"/>
        <color rgb="FFF08D5B"/>
      </dataBar>
    </cfRule>
  </conditionalFormatting>
  <conditionalFormatting sqref="CV26:CV28">
    <cfRule type="dataBar" priority="330">
      <dataBar>
        <cfvo type="min"/>
        <cfvo type="max"/>
        <color rgb="FFF08D5B"/>
      </dataBar>
    </cfRule>
  </conditionalFormatting>
  <conditionalFormatting sqref="CV323:CV383">
    <cfRule type="dataBar" priority="1818">
      <dataBar>
        <cfvo type="min"/>
        <cfvo type="max"/>
        <color rgb="FFF08D5B"/>
      </dataBar>
    </cfRule>
  </conditionalFormatting>
  <conditionalFormatting sqref="CV33:CV35">
    <cfRule type="dataBar" priority="423">
      <dataBar>
        <cfvo type="min"/>
        <cfvo type="max"/>
        <color rgb="FFF08D5B"/>
      </dataBar>
    </cfRule>
  </conditionalFormatting>
  <conditionalFormatting sqref="CV388:CV390">
    <cfRule type="dataBar" priority="1911">
      <dataBar>
        <cfvo type="min"/>
        <cfvo type="max"/>
        <color rgb="FFF08D5B"/>
      </dataBar>
    </cfRule>
  </conditionalFormatting>
  <conditionalFormatting sqref="CV40:CV43">
    <cfRule type="dataBar" priority="516">
      <dataBar>
        <cfvo type="min"/>
        <cfvo type="max"/>
        <color rgb="FFF08D5B"/>
      </dataBar>
    </cfRule>
  </conditionalFormatting>
  <conditionalFormatting sqref="CV48:CV52">
    <cfRule type="dataBar" priority="609">
      <dataBar>
        <cfvo type="min"/>
        <cfvo type="max"/>
        <color rgb="FFF08D5B"/>
      </dataBar>
    </cfRule>
  </conditionalFormatting>
  <conditionalFormatting sqref="CV57:CV61">
    <cfRule type="dataBar" priority="702">
      <dataBar>
        <cfvo type="min"/>
        <cfvo type="max"/>
        <color rgb="FFF08D5B"/>
      </dataBar>
    </cfRule>
  </conditionalFormatting>
  <conditionalFormatting sqref="CV66:CV67">
    <cfRule type="dataBar" priority="795">
      <dataBar>
        <cfvo type="min"/>
        <cfvo type="max"/>
        <color rgb="FFF08D5B"/>
      </dataBar>
    </cfRule>
  </conditionalFormatting>
  <conditionalFormatting sqref="CV72:CV185">
    <cfRule type="dataBar" priority="888">
      <dataBar>
        <cfvo type="min"/>
        <cfvo type="max"/>
        <color rgb="FFF08D5B"/>
      </dataBar>
    </cfRule>
  </conditionalFormatting>
  <conditionalFormatting sqref="CX16:CX21">
    <cfRule type="dataBar" priority="238">
      <dataBar>
        <cfvo type="min"/>
        <cfvo type="max"/>
        <color rgb="FF628DC4"/>
      </dataBar>
    </cfRule>
  </conditionalFormatting>
  <conditionalFormatting sqref="CX190:CX192">
    <cfRule type="dataBar" priority="982">
      <dataBar>
        <cfvo type="min"/>
        <cfvo type="max"/>
        <color rgb="FF628DC4"/>
      </dataBar>
    </cfRule>
  </conditionalFormatting>
  <conditionalFormatting sqref="CX197:CX202">
    <cfRule type="dataBar" priority="1075">
      <dataBar>
        <cfvo type="min"/>
        <cfvo type="max"/>
        <color rgb="FF628DC4"/>
      </dataBar>
    </cfRule>
  </conditionalFormatting>
  <conditionalFormatting sqref="CX207:CX209">
    <cfRule type="dataBar" priority="1168">
      <dataBar>
        <cfvo type="min"/>
        <cfvo type="max"/>
        <color rgb="FF628DC4"/>
      </dataBar>
    </cfRule>
  </conditionalFormatting>
  <conditionalFormatting sqref="CX214:CX219">
    <cfRule type="dataBar" priority="1261">
      <dataBar>
        <cfvo type="min"/>
        <cfvo type="max"/>
        <color rgb="FF628DC4"/>
      </dataBar>
    </cfRule>
  </conditionalFormatting>
  <conditionalFormatting sqref="CX224:CX226">
    <cfRule type="dataBar" priority="1354">
      <dataBar>
        <cfvo type="min"/>
        <cfvo type="max"/>
        <color rgb="FF628DC4"/>
      </dataBar>
    </cfRule>
  </conditionalFormatting>
  <conditionalFormatting sqref="CX231:CX235">
    <cfRule type="dataBar" priority="1447">
      <dataBar>
        <cfvo type="min"/>
        <cfvo type="max"/>
        <color rgb="FF628DC4"/>
      </dataBar>
    </cfRule>
  </conditionalFormatting>
  <conditionalFormatting sqref="CX240:CX244">
    <cfRule type="dataBar" priority="1540">
      <dataBar>
        <cfvo type="min"/>
        <cfvo type="max"/>
        <color rgb="FF628DC4"/>
      </dataBar>
    </cfRule>
  </conditionalFormatting>
  <conditionalFormatting sqref="CX249:CX253">
    <cfRule type="dataBar" priority="1633">
      <dataBar>
        <cfvo type="min"/>
        <cfvo type="max"/>
        <color rgb="FF628DC4"/>
      </dataBar>
    </cfRule>
  </conditionalFormatting>
  <conditionalFormatting sqref="CX258:CX318">
    <cfRule type="dataBar" priority="1726">
      <dataBar>
        <cfvo type="min"/>
        <cfvo type="max"/>
        <color rgb="FF628DC4"/>
      </dataBar>
    </cfRule>
  </conditionalFormatting>
  <conditionalFormatting sqref="CX26:CX28">
    <cfRule type="dataBar" priority="331">
      <dataBar>
        <cfvo type="min"/>
        <cfvo type="max"/>
        <color rgb="FF628DC4"/>
      </dataBar>
    </cfRule>
  </conditionalFormatting>
  <conditionalFormatting sqref="CX323:CX383">
    <cfRule type="dataBar" priority="1819">
      <dataBar>
        <cfvo type="min"/>
        <cfvo type="max"/>
        <color rgb="FF628DC4"/>
      </dataBar>
    </cfRule>
  </conditionalFormatting>
  <conditionalFormatting sqref="CX33:CX35">
    <cfRule type="dataBar" priority="424">
      <dataBar>
        <cfvo type="min"/>
        <cfvo type="max"/>
        <color rgb="FF628DC4"/>
      </dataBar>
    </cfRule>
  </conditionalFormatting>
  <conditionalFormatting sqref="CX388:CX390">
    <cfRule type="dataBar" priority="1912">
      <dataBar>
        <cfvo type="min"/>
        <cfvo type="max"/>
        <color rgb="FF628DC4"/>
      </dataBar>
    </cfRule>
  </conditionalFormatting>
  <conditionalFormatting sqref="CX40:CX43">
    <cfRule type="dataBar" priority="517">
      <dataBar>
        <cfvo type="min"/>
        <cfvo type="max"/>
        <color rgb="FF628DC4"/>
      </dataBar>
    </cfRule>
  </conditionalFormatting>
  <conditionalFormatting sqref="CX48:CX52">
    <cfRule type="dataBar" priority="610">
      <dataBar>
        <cfvo type="min"/>
        <cfvo type="max"/>
        <color rgb="FF628DC4"/>
      </dataBar>
    </cfRule>
  </conditionalFormatting>
  <conditionalFormatting sqref="CX57:CX61">
    <cfRule type="dataBar" priority="703">
      <dataBar>
        <cfvo type="min"/>
        <cfvo type="max"/>
        <color rgb="FF628DC4"/>
      </dataBar>
    </cfRule>
  </conditionalFormatting>
  <conditionalFormatting sqref="CX66:CX67">
    <cfRule type="dataBar" priority="796">
      <dataBar>
        <cfvo type="min"/>
        <cfvo type="max"/>
        <color rgb="FF628DC4"/>
      </dataBar>
    </cfRule>
  </conditionalFormatting>
  <conditionalFormatting sqref="CX72:CX185">
    <cfRule type="dataBar" priority="889">
      <dataBar>
        <cfvo type="min"/>
        <cfvo type="max"/>
        <color rgb="FF628DC4"/>
      </dataBar>
    </cfRule>
  </conditionalFormatting>
  <conditionalFormatting sqref="CY16:CY21">
    <cfRule type="dataBar" priority="239">
      <dataBar>
        <cfvo type="min"/>
        <cfvo type="max"/>
        <color rgb="FFFFB628"/>
      </dataBar>
    </cfRule>
  </conditionalFormatting>
  <conditionalFormatting sqref="CY190:CY192">
    <cfRule type="dataBar" priority="983">
      <dataBar>
        <cfvo type="min"/>
        <cfvo type="max"/>
        <color rgb="FFFFB628"/>
      </dataBar>
    </cfRule>
  </conditionalFormatting>
  <conditionalFormatting sqref="CY197:CY202">
    <cfRule type="dataBar" priority="1076">
      <dataBar>
        <cfvo type="min"/>
        <cfvo type="max"/>
        <color rgb="FFFFB628"/>
      </dataBar>
    </cfRule>
  </conditionalFormatting>
  <conditionalFormatting sqref="CY207:CY209">
    <cfRule type="dataBar" priority="1169">
      <dataBar>
        <cfvo type="min"/>
        <cfvo type="max"/>
        <color rgb="FFFFB628"/>
      </dataBar>
    </cfRule>
  </conditionalFormatting>
  <conditionalFormatting sqref="CY214:CY219">
    <cfRule type="dataBar" priority="1262">
      <dataBar>
        <cfvo type="min"/>
        <cfvo type="max"/>
        <color rgb="FFFFB628"/>
      </dataBar>
    </cfRule>
  </conditionalFormatting>
  <conditionalFormatting sqref="CY224:CY226">
    <cfRule type="dataBar" priority="1355">
      <dataBar>
        <cfvo type="min"/>
        <cfvo type="max"/>
        <color rgb="FFFFB628"/>
      </dataBar>
    </cfRule>
  </conditionalFormatting>
  <conditionalFormatting sqref="CY231:CY235">
    <cfRule type="dataBar" priority="1448">
      <dataBar>
        <cfvo type="min"/>
        <cfvo type="max"/>
        <color rgb="FFFFB628"/>
      </dataBar>
    </cfRule>
  </conditionalFormatting>
  <conditionalFormatting sqref="CY240:CY244">
    <cfRule type="dataBar" priority="1541">
      <dataBar>
        <cfvo type="min"/>
        <cfvo type="max"/>
        <color rgb="FFFFB628"/>
      </dataBar>
    </cfRule>
  </conditionalFormatting>
  <conditionalFormatting sqref="CY249:CY253">
    <cfRule type="dataBar" priority="1634">
      <dataBar>
        <cfvo type="min"/>
        <cfvo type="max"/>
        <color rgb="FFFFB628"/>
      </dataBar>
    </cfRule>
  </conditionalFormatting>
  <conditionalFormatting sqref="CY258:CY318">
    <cfRule type="dataBar" priority="1727">
      <dataBar>
        <cfvo type="min"/>
        <cfvo type="max"/>
        <color rgb="FFFFB628"/>
      </dataBar>
    </cfRule>
  </conditionalFormatting>
  <conditionalFormatting sqref="CY26:CY28">
    <cfRule type="dataBar" priority="332">
      <dataBar>
        <cfvo type="min"/>
        <cfvo type="max"/>
        <color rgb="FFFFB628"/>
      </dataBar>
    </cfRule>
  </conditionalFormatting>
  <conditionalFormatting sqref="CY323:CY383">
    <cfRule type="dataBar" priority="1820">
      <dataBar>
        <cfvo type="min"/>
        <cfvo type="max"/>
        <color rgb="FFFFB628"/>
      </dataBar>
    </cfRule>
  </conditionalFormatting>
  <conditionalFormatting sqref="CY33:CY35">
    <cfRule type="dataBar" priority="425">
      <dataBar>
        <cfvo type="min"/>
        <cfvo type="max"/>
        <color rgb="FFFFB628"/>
      </dataBar>
    </cfRule>
  </conditionalFormatting>
  <conditionalFormatting sqref="CY388:CY390">
    <cfRule type="dataBar" priority="1913">
      <dataBar>
        <cfvo type="min"/>
        <cfvo type="max"/>
        <color rgb="FFFFB628"/>
      </dataBar>
    </cfRule>
  </conditionalFormatting>
  <conditionalFormatting sqref="CY40:CY43">
    <cfRule type="dataBar" priority="518">
      <dataBar>
        <cfvo type="min"/>
        <cfvo type="max"/>
        <color rgb="FFFFB628"/>
      </dataBar>
    </cfRule>
  </conditionalFormatting>
  <conditionalFormatting sqref="CY48:CY52">
    <cfRule type="dataBar" priority="611">
      <dataBar>
        <cfvo type="min"/>
        <cfvo type="max"/>
        <color rgb="FFFFB628"/>
      </dataBar>
    </cfRule>
  </conditionalFormatting>
  <conditionalFormatting sqref="CY57:CY61">
    <cfRule type="dataBar" priority="704">
      <dataBar>
        <cfvo type="min"/>
        <cfvo type="max"/>
        <color rgb="FFFFB628"/>
      </dataBar>
    </cfRule>
  </conditionalFormatting>
  <conditionalFormatting sqref="CY66:CY67">
    <cfRule type="dataBar" priority="797">
      <dataBar>
        <cfvo type="min"/>
        <cfvo type="max"/>
        <color rgb="FFFFB628"/>
      </dataBar>
    </cfRule>
  </conditionalFormatting>
  <conditionalFormatting sqref="CY72:CY185">
    <cfRule type="dataBar" priority="890">
      <dataBar>
        <cfvo type="min"/>
        <cfvo type="max"/>
        <color rgb="FFFFB628"/>
      </dataBar>
    </cfRule>
  </conditionalFormatting>
  <conditionalFormatting sqref="CZ16:CZ21">
    <cfRule type="dataBar" priority="240">
      <dataBar>
        <cfvo type="min"/>
        <cfvo type="max"/>
        <color rgb="FFF08D5B"/>
      </dataBar>
    </cfRule>
  </conditionalFormatting>
  <conditionalFormatting sqref="CZ190:CZ192">
    <cfRule type="dataBar" priority="984">
      <dataBar>
        <cfvo type="min"/>
        <cfvo type="max"/>
        <color rgb="FFF08D5B"/>
      </dataBar>
    </cfRule>
  </conditionalFormatting>
  <conditionalFormatting sqref="CZ197:CZ202">
    <cfRule type="dataBar" priority="1077">
      <dataBar>
        <cfvo type="min"/>
        <cfvo type="max"/>
        <color rgb="FFF08D5B"/>
      </dataBar>
    </cfRule>
  </conditionalFormatting>
  <conditionalFormatting sqref="CZ207:CZ209">
    <cfRule type="dataBar" priority="1170">
      <dataBar>
        <cfvo type="min"/>
        <cfvo type="max"/>
        <color rgb="FFF08D5B"/>
      </dataBar>
    </cfRule>
  </conditionalFormatting>
  <conditionalFormatting sqref="CZ214:CZ219">
    <cfRule type="dataBar" priority="1263">
      <dataBar>
        <cfvo type="min"/>
        <cfvo type="max"/>
        <color rgb="FFF08D5B"/>
      </dataBar>
    </cfRule>
  </conditionalFormatting>
  <conditionalFormatting sqref="CZ224:CZ226">
    <cfRule type="dataBar" priority="1356">
      <dataBar>
        <cfvo type="min"/>
        <cfvo type="max"/>
        <color rgb="FFF08D5B"/>
      </dataBar>
    </cfRule>
  </conditionalFormatting>
  <conditionalFormatting sqref="CZ231:CZ235">
    <cfRule type="dataBar" priority="1449">
      <dataBar>
        <cfvo type="min"/>
        <cfvo type="max"/>
        <color rgb="FFF08D5B"/>
      </dataBar>
    </cfRule>
  </conditionalFormatting>
  <conditionalFormatting sqref="CZ240:CZ244">
    <cfRule type="dataBar" priority="1542">
      <dataBar>
        <cfvo type="min"/>
        <cfvo type="max"/>
        <color rgb="FFF08D5B"/>
      </dataBar>
    </cfRule>
  </conditionalFormatting>
  <conditionalFormatting sqref="CZ249:CZ253">
    <cfRule type="dataBar" priority="1635">
      <dataBar>
        <cfvo type="min"/>
        <cfvo type="max"/>
        <color rgb="FFF08D5B"/>
      </dataBar>
    </cfRule>
  </conditionalFormatting>
  <conditionalFormatting sqref="CZ258:CZ318">
    <cfRule type="dataBar" priority="1728">
      <dataBar>
        <cfvo type="min"/>
        <cfvo type="max"/>
        <color rgb="FFF08D5B"/>
      </dataBar>
    </cfRule>
  </conditionalFormatting>
  <conditionalFormatting sqref="CZ26:CZ28">
    <cfRule type="dataBar" priority="333">
      <dataBar>
        <cfvo type="min"/>
        <cfvo type="max"/>
        <color rgb="FFF08D5B"/>
      </dataBar>
    </cfRule>
  </conditionalFormatting>
  <conditionalFormatting sqref="CZ323:CZ383">
    <cfRule type="dataBar" priority="1821">
      <dataBar>
        <cfvo type="min"/>
        <cfvo type="max"/>
        <color rgb="FFF08D5B"/>
      </dataBar>
    </cfRule>
  </conditionalFormatting>
  <conditionalFormatting sqref="CZ33:CZ35">
    <cfRule type="dataBar" priority="426">
      <dataBar>
        <cfvo type="min"/>
        <cfvo type="max"/>
        <color rgb="FFF08D5B"/>
      </dataBar>
    </cfRule>
  </conditionalFormatting>
  <conditionalFormatting sqref="CZ388:CZ390">
    <cfRule type="dataBar" priority="1914">
      <dataBar>
        <cfvo type="min"/>
        <cfvo type="max"/>
        <color rgb="FFF08D5B"/>
      </dataBar>
    </cfRule>
  </conditionalFormatting>
  <conditionalFormatting sqref="CZ40:CZ43">
    <cfRule type="dataBar" priority="519">
      <dataBar>
        <cfvo type="min"/>
        <cfvo type="max"/>
        <color rgb="FFF08D5B"/>
      </dataBar>
    </cfRule>
  </conditionalFormatting>
  <conditionalFormatting sqref="CZ48:CZ52">
    <cfRule type="dataBar" priority="612">
      <dataBar>
        <cfvo type="min"/>
        <cfvo type="max"/>
        <color rgb="FFF08D5B"/>
      </dataBar>
    </cfRule>
  </conditionalFormatting>
  <conditionalFormatting sqref="CZ57:CZ61">
    <cfRule type="dataBar" priority="705">
      <dataBar>
        <cfvo type="min"/>
        <cfvo type="max"/>
        <color rgb="FFF08D5B"/>
      </dataBar>
    </cfRule>
  </conditionalFormatting>
  <conditionalFormatting sqref="CZ66:CZ67">
    <cfRule type="dataBar" priority="798">
      <dataBar>
        <cfvo type="min"/>
        <cfvo type="max"/>
        <color rgb="FFF08D5B"/>
      </dataBar>
    </cfRule>
  </conditionalFormatting>
  <conditionalFormatting sqref="CZ72:CZ185">
    <cfRule type="dataBar" priority="891">
      <dataBar>
        <cfvo type="min"/>
        <cfvo type="max"/>
        <color rgb="FFF08D5B"/>
      </dataBar>
    </cfRule>
  </conditionalFormatting>
  <conditionalFormatting sqref="F16:F21">
    <cfRule type="dataBar" priority="151">
      <dataBar>
        <cfvo type="min"/>
        <cfvo type="max"/>
        <color rgb="FF628DC4"/>
      </dataBar>
    </cfRule>
  </conditionalFormatting>
  <conditionalFormatting sqref="F190:F192">
    <cfRule type="dataBar" priority="895">
      <dataBar>
        <cfvo type="min"/>
        <cfvo type="max"/>
        <color rgb="FF628DC4"/>
      </dataBar>
    </cfRule>
  </conditionalFormatting>
  <conditionalFormatting sqref="F197:F202">
    <cfRule type="dataBar" priority="988">
      <dataBar>
        <cfvo type="min"/>
        <cfvo type="max"/>
        <color rgb="FF628DC4"/>
      </dataBar>
    </cfRule>
  </conditionalFormatting>
  <conditionalFormatting sqref="F207:F209">
    <cfRule type="dataBar" priority="1081">
      <dataBar>
        <cfvo type="min"/>
        <cfvo type="max"/>
        <color rgb="FF628DC4"/>
      </dataBar>
    </cfRule>
  </conditionalFormatting>
  <conditionalFormatting sqref="F214:F219">
    <cfRule type="dataBar" priority="1174">
      <dataBar>
        <cfvo type="min"/>
        <cfvo type="max"/>
        <color rgb="FF628DC4"/>
      </dataBar>
    </cfRule>
  </conditionalFormatting>
  <conditionalFormatting sqref="F224:F226">
    <cfRule type="dataBar" priority="1267">
      <dataBar>
        <cfvo type="min"/>
        <cfvo type="max"/>
        <color rgb="FF628DC4"/>
      </dataBar>
    </cfRule>
  </conditionalFormatting>
  <conditionalFormatting sqref="F231:F235">
    <cfRule type="dataBar" priority="1360">
      <dataBar>
        <cfvo type="min"/>
        <cfvo type="max"/>
        <color rgb="FF628DC4"/>
      </dataBar>
    </cfRule>
  </conditionalFormatting>
  <conditionalFormatting sqref="F240:F244">
    <cfRule type="dataBar" priority="1453">
      <dataBar>
        <cfvo type="min"/>
        <cfvo type="max"/>
        <color rgb="FF628DC4"/>
      </dataBar>
    </cfRule>
  </conditionalFormatting>
  <conditionalFormatting sqref="F249:F253">
    <cfRule type="dataBar" priority="1546">
      <dataBar>
        <cfvo type="min"/>
        <cfvo type="max"/>
        <color rgb="FF628DC4"/>
      </dataBar>
    </cfRule>
  </conditionalFormatting>
  <conditionalFormatting sqref="F258:F318">
    <cfRule type="dataBar" priority="1639">
      <dataBar>
        <cfvo type="min"/>
        <cfvo type="max"/>
        <color rgb="FF628DC4"/>
      </dataBar>
    </cfRule>
  </conditionalFormatting>
  <conditionalFormatting sqref="F26:F28">
    <cfRule type="dataBar" priority="244">
      <dataBar>
        <cfvo type="min"/>
        <cfvo type="max"/>
        <color rgb="FF628DC4"/>
      </dataBar>
    </cfRule>
  </conditionalFormatting>
  <conditionalFormatting sqref="F323:F383">
    <cfRule type="dataBar" priority="1732">
      <dataBar>
        <cfvo type="min"/>
        <cfvo type="max"/>
        <color rgb="FF628DC4"/>
      </dataBar>
    </cfRule>
  </conditionalFormatting>
  <conditionalFormatting sqref="F33:F35">
    <cfRule type="dataBar" priority="337">
      <dataBar>
        <cfvo type="min"/>
        <cfvo type="max"/>
        <color rgb="FF628DC4"/>
      </dataBar>
    </cfRule>
  </conditionalFormatting>
  <conditionalFormatting sqref="F388:F390">
    <cfRule type="dataBar" priority="1825">
      <dataBar>
        <cfvo type="min"/>
        <cfvo type="max"/>
        <color rgb="FF628DC4"/>
      </dataBar>
    </cfRule>
  </conditionalFormatting>
  <conditionalFormatting sqref="F40:F43">
    <cfRule type="dataBar" priority="430">
      <dataBar>
        <cfvo type="min"/>
        <cfvo type="max"/>
        <color rgb="FF628DC4"/>
      </dataBar>
    </cfRule>
  </conditionalFormatting>
  <conditionalFormatting sqref="F48:F52">
    <cfRule type="dataBar" priority="523">
      <dataBar>
        <cfvo type="min"/>
        <cfvo type="max"/>
        <color rgb="FF628DC4"/>
      </dataBar>
    </cfRule>
  </conditionalFormatting>
  <conditionalFormatting sqref="F57:F61">
    <cfRule type="dataBar" priority="616">
      <dataBar>
        <cfvo type="min"/>
        <cfvo type="max"/>
        <color rgb="FF628DC4"/>
      </dataBar>
    </cfRule>
  </conditionalFormatting>
  <conditionalFormatting sqref="F66:F67">
    <cfRule type="dataBar" priority="709">
      <dataBar>
        <cfvo type="min"/>
        <cfvo type="max"/>
        <color rgb="FF628DC4"/>
      </dataBar>
    </cfRule>
  </conditionalFormatting>
  <conditionalFormatting sqref="F72:F185">
    <cfRule type="dataBar" priority="802">
      <dataBar>
        <cfvo type="min"/>
        <cfvo type="max"/>
        <color rgb="FF628DC4"/>
      </dataBar>
    </cfRule>
  </conditionalFormatting>
  <conditionalFormatting sqref="G16:G21">
    <cfRule type="dataBar" priority="152">
      <dataBar>
        <cfvo type="min"/>
        <cfvo type="max"/>
        <color rgb="FFFFB628"/>
      </dataBar>
    </cfRule>
  </conditionalFormatting>
  <conditionalFormatting sqref="G190:G192">
    <cfRule type="dataBar" priority="896">
      <dataBar>
        <cfvo type="min"/>
        <cfvo type="max"/>
        <color rgb="FFFFB628"/>
      </dataBar>
    </cfRule>
  </conditionalFormatting>
  <conditionalFormatting sqref="G197:G202">
    <cfRule type="dataBar" priority="989">
      <dataBar>
        <cfvo type="min"/>
        <cfvo type="max"/>
        <color rgb="FFFFB628"/>
      </dataBar>
    </cfRule>
  </conditionalFormatting>
  <conditionalFormatting sqref="G207:G209">
    <cfRule type="dataBar" priority="1082">
      <dataBar>
        <cfvo type="min"/>
        <cfvo type="max"/>
        <color rgb="FFFFB628"/>
      </dataBar>
    </cfRule>
  </conditionalFormatting>
  <conditionalFormatting sqref="G214:G219">
    <cfRule type="dataBar" priority="1175">
      <dataBar>
        <cfvo type="min"/>
        <cfvo type="max"/>
        <color rgb="FFFFB628"/>
      </dataBar>
    </cfRule>
  </conditionalFormatting>
  <conditionalFormatting sqref="G224:G226">
    <cfRule type="dataBar" priority="1268">
      <dataBar>
        <cfvo type="min"/>
        <cfvo type="max"/>
        <color rgb="FFFFB628"/>
      </dataBar>
    </cfRule>
  </conditionalFormatting>
  <conditionalFormatting sqref="G231:G235">
    <cfRule type="dataBar" priority="1361">
      <dataBar>
        <cfvo type="min"/>
        <cfvo type="max"/>
        <color rgb="FFFFB628"/>
      </dataBar>
    </cfRule>
  </conditionalFormatting>
  <conditionalFormatting sqref="G240:G244">
    <cfRule type="dataBar" priority="1454">
      <dataBar>
        <cfvo type="min"/>
        <cfvo type="max"/>
        <color rgb="FFFFB628"/>
      </dataBar>
    </cfRule>
  </conditionalFormatting>
  <conditionalFormatting sqref="G249:G253">
    <cfRule type="dataBar" priority="1547">
      <dataBar>
        <cfvo type="min"/>
        <cfvo type="max"/>
        <color rgb="FFFFB628"/>
      </dataBar>
    </cfRule>
  </conditionalFormatting>
  <conditionalFormatting sqref="G258:G318">
    <cfRule type="dataBar" priority="1640">
      <dataBar>
        <cfvo type="min"/>
        <cfvo type="max"/>
        <color rgb="FFFFB628"/>
      </dataBar>
    </cfRule>
  </conditionalFormatting>
  <conditionalFormatting sqref="G26:G28">
    <cfRule type="dataBar" priority="245">
      <dataBar>
        <cfvo type="min"/>
        <cfvo type="max"/>
        <color rgb="FFFFB628"/>
      </dataBar>
    </cfRule>
  </conditionalFormatting>
  <conditionalFormatting sqref="G323:G383">
    <cfRule type="dataBar" priority="1733">
      <dataBar>
        <cfvo type="min"/>
        <cfvo type="max"/>
        <color rgb="FFFFB628"/>
      </dataBar>
    </cfRule>
  </conditionalFormatting>
  <conditionalFormatting sqref="G33:G35">
    <cfRule type="dataBar" priority="338">
      <dataBar>
        <cfvo type="min"/>
        <cfvo type="max"/>
        <color rgb="FFFFB628"/>
      </dataBar>
    </cfRule>
  </conditionalFormatting>
  <conditionalFormatting sqref="G388:G390">
    <cfRule type="dataBar" priority="1826">
      <dataBar>
        <cfvo type="min"/>
        <cfvo type="max"/>
        <color rgb="FFFFB628"/>
      </dataBar>
    </cfRule>
  </conditionalFormatting>
  <conditionalFormatting sqref="G40:G43">
    <cfRule type="dataBar" priority="431">
      <dataBar>
        <cfvo type="min"/>
        <cfvo type="max"/>
        <color rgb="FFFFB628"/>
      </dataBar>
    </cfRule>
  </conditionalFormatting>
  <conditionalFormatting sqref="G48:G52">
    <cfRule type="dataBar" priority="524">
      <dataBar>
        <cfvo type="min"/>
        <cfvo type="max"/>
        <color rgb="FFFFB628"/>
      </dataBar>
    </cfRule>
  </conditionalFormatting>
  <conditionalFormatting sqref="G57:G61">
    <cfRule type="dataBar" priority="617">
      <dataBar>
        <cfvo type="min"/>
        <cfvo type="max"/>
        <color rgb="FFFFB628"/>
      </dataBar>
    </cfRule>
  </conditionalFormatting>
  <conditionalFormatting sqref="G66:G67">
    <cfRule type="dataBar" priority="710">
      <dataBar>
        <cfvo type="min"/>
        <cfvo type="max"/>
        <color rgb="FFFFB628"/>
      </dataBar>
    </cfRule>
  </conditionalFormatting>
  <conditionalFormatting sqref="G72:G185">
    <cfRule type="dataBar" priority="803">
      <dataBar>
        <cfvo type="min"/>
        <cfvo type="max"/>
        <color rgb="FFFFB628"/>
      </dataBar>
    </cfRule>
  </conditionalFormatting>
  <conditionalFormatting sqref="H16:H21">
    <cfRule type="dataBar" priority="153">
      <dataBar>
        <cfvo type="min"/>
        <cfvo type="max"/>
        <color rgb="FFF08D5B"/>
      </dataBar>
    </cfRule>
  </conditionalFormatting>
  <conditionalFormatting sqref="H190:H192">
    <cfRule type="dataBar" priority="897">
      <dataBar>
        <cfvo type="min"/>
        <cfvo type="max"/>
        <color rgb="FFF08D5B"/>
      </dataBar>
    </cfRule>
  </conditionalFormatting>
  <conditionalFormatting sqref="H197:H202">
    <cfRule type="dataBar" priority="990">
      <dataBar>
        <cfvo type="min"/>
        <cfvo type="max"/>
        <color rgb="FFF08D5B"/>
      </dataBar>
    </cfRule>
  </conditionalFormatting>
  <conditionalFormatting sqref="H207:H209">
    <cfRule type="dataBar" priority="1083">
      <dataBar>
        <cfvo type="min"/>
        <cfvo type="max"/>
        <color rgb="FFF08D5B"/>
      </dataBar>
    </cfRule>
  </conditionalFormatting>
  <conditionalFormatting sqref="H214:H219">
    <cfRule type="dataBar" priority="1176">
      <dataBar>
        <cfvo type="min"/>
        <cfvo type="max"/>
        <color rgb="FFF08D5B"/>
      </dataBar>
    </cfRule>
  </conditionalFormatting>
  <conditionalFormatting sqref="H224:H226">
    <cfRule type="dataBar" priority="1269">
      <dataBar>
        <cfvo type="min"/>
        <cfvo type="max"/>
        <color rgb="FFF08D5B"/>
      </dataBar>
    </cfRule>
  </conditionalFormatting>
  <conditionalFormatting sqref="H231:H235">
    <cfRule type="dataBar" priority="1362">
      <dataBar>
        <cfvo type="min"/>
        <cfvo type="max"/>
        <color rgb="FFF08D5B"/>
      </dataBar>
    </cfRule>
  </conditionalFormatting>
  <conditionalFormatting sqref="H240:H244">
    <cfRule type="dataBar" priority="1455">
      <dataBar>
        <cfvo type="min"/>
        <cfvo type="max"/>
        <color rgb="FFF08D5B"/>
      </dataBar>
    </cfRule>
  </conditionalFormatting>
  <conditionalFormatting sqref="H249:H253">
    <cfRule type="dataBar" priority="1548">
      <dataBar>
        <cfvo type="min"/>
        <cfvo type="max"/>
        <color rgb="FFF08D5B"/>
      </dataBar>
    </cfRule>
  </conditionalFormatting>
  <conditionalFormatting sqref="H258:H318">
    <cfRule type="dataBar" priority="1641">
      <dataBar>
        <cfvo type="min"/>
        <cfvo type="max"/>
        <color rgb="FFF08D5B"/>
      </dataBar>
    </cfRule>
  </conditionalFormatting>
  <conditionalFormatting sqref="H26:H28">
    <cfRule type="dataBar" priority="246">
      <dataBar>
        <cfvo type="min"/>
        <cfvo type="max"/>
        <color rgb="FFF08D5B"/>
      </dataBar>
    </cfRule>
  </conditionalFormatting>
  <conditionalFormatting sqref="H323:H383">
    <cfRule type="dataBar" priority="1734">
      <dataBar>
        <cfvo type="min"/>
        <cfvo type="max"/>
        <color rgb="FFF08D5B"/>
      </dataBar>
    </cfRule>
  </conditionalFormatting>
  <conditionalFormatting sqref="H33:H35">
    <cfRule type="dataBar" priority="339">
      <dataBar>
        <cfvo type="min"/>
        <cfvo type="max"/>
        <color rgb="FFF08D5B"/>
      </dataBar>
    </cfRule>
  </conditionalFormatting>
  <conditionalFormatting sqref="H388:H390">
    <cfRule type="dataBar" priority="1827">
      <dataBar>
        <cfvo type="min"/>
        <cfvo type="max"/>
        <color rgb="FFF08D5B"/>
      </dataBar>
    </cfRule>
  </conditionalFormatting>
  <conditionalFormatting sqref="H40:H43">
    <cfRule type="dataBar" priority="432">
      <dataBar>
        <cfvo type="min"/>
        <cfvo type="max"/>
        <color rgb="FFF08D5B"/>
      </dataBar>
    </cfRule>
  </conditionalFormatting>
  <conditionalFormatting sqref="H48:H52">
    <cfRule type="dataBar" priority="525">
      <dataBar>
        <cfvo type="min"/>
        <cfvo type="max"/>
        <color rgb="FFF08D5B"/>
      </dataBar>
    </cfRule>
  </conditionalFormatting>
  <conditionalFormatting sqref="H57:H61">
    <cfRule type="dataBar" priority="618">
      <dataBar>
        <cfvo type="min"/>
        <cfvo type="max"/>
        <color rgb="FFF08D5B"/>
      </dataBar>
    </cfRule>
  </conditionalFormatting>
  <conditionalFormatting sqref="H66:H67">
    <cfRule type="dataBar" priority="711">
      <dataBar>
        <cfvo type="min"/>
        <cfvo type="max"/>
        <color rgb="FFF08D5B"/>
      </dataBar>
    </cfRule>
  </conditionalFormatting>
  <conditionalFormatting sqref="H5:H8">
    <cfRule type="dataBar" priority="60">
      <dataBar>
        <cfvo type="min"/>
        <cfvo type="max"/>
        <color rgb="FFF08D5B"/>
      </dataBar>
    </cfRule>
  </conditionalFormatting>
  <conditionalFormatting sqref="H72:H185">
    <cfRule type="dataBar" priority="804">
      <dataBar>
        <cfvo type="min"/>
        <cfvo type="max"/>
        <color rgb="FFF08D5B"/>
      </dataBar>
    </cfRule>
  </conditionalFormatting>
  <conditionalFormatting sqref="J16:J21">
    <cfRule type="dataBar" priority="154">
      <dataBar>
        <cfvo type="min"/>
        <cfvo type="max"/>
        <color rgb="FF628DC4"/>
      </dataBar>
    </cfRule>
  </conditionalFormatting>
  <conditionalFormatting sqref="J190:J192">
    <cfRule type="dataBar" priority="898">
      <dataBar>
        <cfvo type="min"/>
        <cfvo type="max"/>
        <color rgb="FF628DC4"/>
      </dataBar>
    </cfRule>
  </conditionalFormatting>
  <conditionalFormatting sqref="J197:J202">
    <cfRule type="dataBar" priority="991">
      <dataBar>
        <cfvo type="min"/>
        <cfvo type="max"/>
        <color rgb="FF628DC4"/>
      </dataBar>
    </cfRule>
  </conditionalFormatting>
  <conditionalFormatting sqref="J207:J209">
    <cfRule type="dataBar" priority="1084">
      <dataBar>
        <cfvo type="min"/>
        <cfvo type="max"/>
        <color rgb="FF628DC4"/>
      </dataBar>
    </cfRule>
  </conditionalFormatting>
  <conditionalFormatting sqref="J214:J219">
    <cfRule type="dataBar" priority="1177">
      <dataBar>
        <cfvo type="min"/>
        <cfvo type="max"/>
        <color rgb="FF628DC4"/>
      </dataBar>
    </cfRule>
  </conditionalFormatting>
  <conditionalFormatting sqref="J224:J226">
    <cfRule type="dataBar" priority="1270">
      <dataBar>
        <cfvo type="min"/>
        <cfvo type="max"/>
        <color rgb="FF628DC4"/>
      </dataBar>
    </cfRule>
  </conditionalFormatting>
  <conditionalFormatting sqref="J231:J235">
    <cfRule type="dataBar" priority="1363">
      <dataBar>
        <cfvo type="min"/>
        <cfvo type="max"/>
        <color rgb="FF628DC4"/>
      </dataBar>
    </cfRule>
  </conditionalFormatting>
  <conditionalFormatting sqref="J240:J244">
    <cfRule type="dataBar" priority="1456">
      <dataBar>
        <cfvo type="min"/>
        <cfvo type="max"/>
        <color rgb="FF628DC4"/>
      </dataBar>
    </cfRule>
  </conditionalFormatting>
  <conditionalFormatting sqref="J249:J253">
    <cfRule type="dataBar" priority="1549">
      <dataBar>
        <cfvo type="min"/>
        <cfvo type="max"/>
        <color rgb="FF628DC4"/>
      </dataBar>
    </cfRule>
  </conditionalFormatting>
  <conditionalFormatting sqref="J258:J318">
    <cfRule type="dataBar" priority="1642">
      <dataBar>
        <cfvo type="min"/>
        <cfvo type="max"/>
        <color rgb="FF628DC4"/>
      </dataBar>
    </cfRule>
  </conditionalFormatting>
  <conditionalFormatting sqref="J26:J28">
    <cfRule type="dataBar" priority="247">
      <dataBar>
        <cfvo type="min"/>
        <cfvo type="max"/>
        <color rgb="FF628DC4"/>
      </dataBar>
    </cfRule>
  </conditionalFormatting>
  <conditionalFormatting sqref="J323:J383">
    <cfRule type="dataBar" priority="1735">
      <dataBar>
        <cfvo type="min"/>
        <cfvo type="max"/>
        <color rgb="FF628DC4"/>
      </dataBar>
    </cfRule>
  </conditionalFormatting>
  <conditionalFormatting sqref="J33:J35">
    <cfRule type="dataBar" priority="340">
      <dataBar>
        <cfvo type="min"/>
        <cfvo type="max"/>
        <color rgb="FF628DC4"/>
      </dataBar>
    </cfRule>
  </conditionalFormatting>
  <conditionalFormatting sqref="J388:J390">
    <cfRule type="dataBar" priority="1828">
      <dataBar>
        <cfvo type="min"/>
        <cfvo type="max"/>
        <color rgb="FF628DC4"/>
      </dataBar>
    </cfRule>
  </conditionalFormatting>
  <conditionalFormatting sqref="J40:J43">
    <cfRule type="dataBar" priority="433">
      <dataBar>
        <cfvo type="min"/>
        <cfvo type="max"/>
        <color rgb="FF628DC4"/>
      </dataBar>
    </cfRule>
  </conditionalFormatting>
  <conditionalFormatting sqref="J48:J52">
    <cfRule type="dataBar" priority="526">
      <dataBar>
        <cfvo type="min"/>
        <cfvo type="max"/>
        <color rgb="FF628DC4"/>
      </dataBar>
    </cfRule>
  </conditionalFormatting>
  <conditionalFormatting sqref="J57:J61">
    <cfRule type="dataBar" priority="619">
      <dataBar>
        <cfvo type="min"/>
        <cfvo type="max"/>
        <color rgb="FF628DC4"/>
      </dataBar>
    </cfRule>
  </conditionalFormatting>
  <conditionalFormatting sqref="J66:J67">
    <cfRule type="dataBar" priority="712">
      <dataBar>
        <cfvo type="min"/>
        <cfvo type="max"/>
        <color rgb="FF628DC4"/>
      </dataBar>
    </cfRule>
  </conditionalFormatting>
  <conditionalFormatting sqref="J72:J185">
    <cfRule type="dataBar" priority="805">
      <dataBar>
        <cfvo type="min"/>
        <cfvo type="max"/>
        <color rgb="FF628DC4"/>
      </dataBar>
    </cfRule>
  </conditionalFormatting>
  <conditionalFormatting sqref="K16:K21">
    <cfRule type="dataBar" priority="155">
      <dataBar>
        <cfvo type="min"/>
        <cfvo type="max"/>
        <color rgb="FFFFB628"/>
      </dataBar>
    </cfRule>
  </conditionalFormatting>
  <conditionalFormatting sqref="K190:K192">
    <cfRule type="dataBar" priority="899">
      <dataBar>
        <cfvo type="min"/>
        <cfvo type="max"/>
        <color rgb="FFFFB628"/>
      </dataBar>
    </cfRule>
  </conditionalFormatting>
  <conditionalFormatting sqref="K197:K202">
    <cfRule type="dataBar" priority="992">
      <dataBar>
        <cfvo type="min"/>
        <cfvo type="max"/>
        <color rgb="FFFFB628"/>
      </dataBar>
    </cfRule>
  </conditionalFormatting>
  <conditionalFormatting sqref="K207:K209">
    <cfRule type="dataBar" priority="1085">
      <dataBar>
        <cfvo type="min"/>
        <cfvo type="max"/>
        <color rgb="FFFFB628"/>
      </dataBar>
    </cfRule>
  </conditionalFormatting>
  <conditionalFormatting sqref="K214:K219">
    <cfRule type="dataBar" priority="1178">
      <dataBar>
        <cfvo type="min"/>
        <cfvo type="max"/>
        <color rgb="FFFFB628"/>
      </dataBar>
    </cfRule>
  </conditionalFormatting>
  <conditionalFormatting sqref="K224:K226">
    <cfRule type="dataBar" priority="1271">
      <dataBar>
        <cfvo type="min"/>
        <cfvo type="max"/>
        <color rgb="FFFFB628"/>
      </dataBar>
    </cfRule>
  </conditionalFormatting>
  <conditionalFormatting sqref="K231:K235">
    <cfRule type="dataBar" priority="1364">
      <dataBar>
        <cfvo type="min"/>
        <cfvo type="max"/>
        <color rgb="FFFFB628"/>
      </dataBar>
    </cfRule>
  </conditionalFormatting>
  <conditionalFormatting sqref="K240:K244">
    <cfRule type="dataBar" priority="1457">
      <dataBar>
        <cfvo type="min"/>
        <cfvo type="max"/>
        <color rgb="FFFFB628"/>
      </dataBar>
    </cfRule>
  </conditionalFormatting>
  <conditionalFormatting sqref="K249:K253">
    <cfRule type="dataBar" priority="1550">
      <dataBar>
        <cfvo type="min"/>
        <cfvo type="max"/>
        <color rgb="FFFFB628"/>
      </dataBar>
    </cfRule>
  </conditionalFormatting>
  <conditionalFormatting sqref="K258:K318">
    <cfRule type="dataBar" priority="1643">
      <dataBar>
        <cfvo type="min"/>
        <cfvo type="max"/>
        <color rgb="FFFFB628"/>
      </dataBar>
    </cfRule>
  </conditionalFormatting>
  <conditionalFormatting sqref="K26:K28">
    <cfRule type="dataBar" priority="248">
      <dataBar>
        <cfvo type="min"/>
        <cfvo type="max"/>
        <color rgb="FFFFB628"/>
      </dataBar>
    </cfRule>
  </conditionalFormatting>
  <conditionalFormatting sqref="K323:K383">
    <cfRule type="dataBar" priority="1736">
      <dataBar>
        <cfvo type="min"/>
        <cfvo type="max"/>
        <color rgb="FFFFB628"/>
      </dataBar>
    </cfRule>
  </conditionalFormatting>
  <conditionalFormatting sqref="K33:K35">
    <cfRule type="dataBar" priority="341">
      <dataBar>
        <cfvo type="min"/>
        <cfvo type="max"/>
        <color rgb="FFFFB628"/>
      </dataBar>
    </cfRule>
  </conditionalFormatting>
  <conditionalFormatting sqref="K388:K390">
    <cfRule type="dataBar" priority="1829">
      <dataBar>
        <cfvo type="min"/>
        <cfvo type="max"/>
        <color rgb="FFFFB628"/>
      </dataBar>
    </cfRule>
  </conditionalFormatting>
  <conditionalFormatting sqref="K40:K43">
    <cfRule type="dataBar" priority="434">
      <dataBar>
        <cfvo type="min"/>
        <cfvo type="max"/>
        <color rgb="FFFFB628"/>
      </dataBar>
    </cfRule>
  </conditionalFormatting>
  <conditionalFormatting sqref="K48:K52">
    <cfRule type="dataBar" priority="527">
      <dataBar>
        <cfvo type="min"/>
        <cfvo type="max"/>
        <color rgb="FFFFB628"/>
      </dataBar>
    </cfRule>
  </conditionalFormatting>
  <conditionalFormatting sqref="K57:K61">
    <cfRule type="dataBar" priority="620">
      <dataBar>
        <cfvo type="min"/>
        <cfvo type="max"/>
        <color rgb="FFFFB628"/>
      </dataBar>
    </cfRule>
  </conditionalFormatting>
  <conditionalFormatting sqref="K66:K67">
    <cfRule type="dataBar" priority="713">
      <dataBar>
        <cfvo type="min"/>
        <cfvo type="max"/>
        <color rgb="FFFFB628"/>
      </dataBar>
    </cfRule>
  </conditionalFormatting>
  <conditionalFormatting sqref="K72:K185">
    <cfRule type="dataBar" priority="806">
      <dataBar>
        <cfvo type="min"/>
        <cfvo type="max"/>
        <color rgb="FFFFB628"/>
      </dataBar>
    </cfRule>
  </conditionalFormatting>
  <conditionalFormatting sqref="L16:L21">
    <cfRule type="dataBar" priority="156">
      <dataBar>
        <cfvo type="min"/>
        <cfvo type="max"/>
        <color rgb="FFF08D5B"/>
      </dataBar>
    </cfRule>
  </conditionalFormatting>
  <conditionalFormatting sqref="L190:L192">
    <cfRule type="dataBar" priority="900">
      <dataBar>
        <cfvo type="min"/>
        <cfvo type="max"/>
        <color rgb="FFF08D5B"/>
      </dataBar>
    </cfRule>
  </conditionalFormatting>
  <conditionalFormatting sqref="L197:L202">
    <cfRule type="dataBar" priority="993">
      <dataBar>
        <cfvo type="min"/>
        <cfvo type="max"/>
        <color rgb="FFF08D5B"/>
      </dataBar>
    </cfRule>
  </conditionalFormatting>
  <conditionalFormatting sqref="L207:L209">
    <cfRule type="dataBar" priority="1086">
      <dataBar>
        <cfvo type="min"/>
        <cfvo type="max"/>
        <color rgb="FFF08D5B"/>
      </dataBar>
    </cfRule>
  </conditionalFormatting>
  <conditionalFormatting sqref="L214:L219">
    <cfRule type="dataBar" priority="1179">
      <dataBar>
        <cfvo type="min"/>
        <cfvo type="max"/>
        <color rgb="FFF08D5B"/>
      </dataBar>
    </cfRule>
  </conditionalFormatting>
  <conditionalFormatting sqref="L224:L226">
    <cfRule type="dataBar" priority="1272">
      <dataBar>
        <cfvo type="min"/>
        <cfvo type="max"/>
        <color rgb="FFF08D5B"/>
      </dataBar>
    </cfRule>
  </conditionalFormatting>
  <conditionalFormatting sqref="L231:L235">
    <cfRule type="dataBar" priority="1365">
      <dataBar>
        <cfvo type="min"/>
        <cfvo type="max"/>
        <color rgb="FFF08D5B"/>
      </dataBar>
    </cfRule>
  </conditionalFormatting>
  <conditionalFormatting sqref="L240:L244">
    <cfRule type="dataBar" priority="1458">
      <dataBar>
        <cfvo type="min"/>
        <cfvo type="max"/>
        <color rgb="FFF08D5B"/>
      </dataBar>
    </cfRule>
  </conditionalFormatting>
  <conditionalFormatting sqref="L249:L253">
    <cfRule type="dataBar" priority="1551">
      <dataBar>
        <cfvo type="min"/>
        <cfvo type="max"/>
        <color rgb="FFF08D5B"/>
      </dataBar>
    </cfRule>
  </conditionalFormatting>
  <conditionalFormatting sqref="L258:L318">
    <cfRule type="dataBar" priority="1644">
      <dataBar>
        <cfvo type="min"/>
        <cfvo type="max"/>
        <color rgb="FFF08D5B"/>
      </dataBar>
    </cfRule>
  </conditionalFormatting>
  <conditionalFormatting sqref="L26:L28">
    <cfRule type="dataBar" priority="249">
      <dataBar>
        <cfvo type="min"/>
        <cfvo type="max"/>
        <color rgb="FFF08D5B"/>
      </dataBar>
    </cfRule>
  </conditionalFormatting>
  <conditionalFormatting sqref="L323:L383">
    <cfRule type="dataBar" priority="1737">
      <dataBar>
        <cfvo type="min"/>
        <cfvo type="max"/>
        <color rgb="FFF08D5B"/>
      </dataBar>
    </cfRule>
  </conditionalFormatting>
  <conditionalFormatting sqref="L33:L35">
    <cfRule type="dataBar" priority="342">
      <dataBar>
        <cfvo type="min"/>
        <cfvo type="max"/>
        <color rgb="FFF08D5B"/>
      </dataBar>
    </cfRule>
  </conditionalFormatting>
  <conditionalFormatting sqref="L388:L390">
    <cfRule type="dataBar" priority="1830">
      <dataBar>
        <cfvo type="min"/>
        <cfvo type="max"/>
        <color rgb="FFF08D5B"/>
      </dataBar>
    </cfRule>
  </conditionalFormatting>
  <conditionalFormatting sqref="L40:L43">
    <cfRule type="dataBar" priority="435">
      <dataBar>
        <cfvo type="min"/>
        <cfvo type="max"/>
        <color rgb="FFF08D5B"/>
      </dataBar>
    </cfRule>
  </conditionalFormatting>
  <conditionalFormatting sqref="L48:L52">
    <cfRule type="dataBar" priority="528">
      <dataBar>
        <cfvo type="min"/>
        <cfvo type="max"/>
        <color rgb="FFF08D5B"/>
      </dataBar>
    </cfRule>
  </conditionalFormatting>
  <conditionalFormatting sqref="L57:L61">
    <cfRule type="dataBar" priority="621">
      <dataBar>
        <cfvo type="min"/>
        <cfvo type="max"/>
        <color rgb="FFF08D5B"/>
      </dataBar>
    </cfRule>
  </conditionalFormatting>
  <conditionalFormatting sqref="L66:L67">
    <cfRule type="dataBar" priority="714">
      <dataBar>
        <cfvo type="min"/>
        <cfvo type="max"/>
        <color rgb="FFF08D5B"/>
      </dataBar>
    </cfRule>
  </conditionalFormatting>
  <conditionalFormatting sqref="L5:L8">
    <cfRule type="dataBar" priority="63">
      <dataBar>
        <cfvo type="min"/>
        <cfvo type="max"/>
        <color rgb="FFF08D5B"/>
      </dataBar>
    </cfRule>
  </conditionalFormatting>
  <conditionalFormatting sqref="L72:L185">
    <cfRule type="dataBar" priority="807">
      <dataBar>
        <cfvo type="min"/>
        <cfvo type="max"/>
        <color rgb="FFF08D5B"/>
      </dataBar>
    </cfRule>
  </conditionalFormatting>
  <conditionalFormatting sqref="N16:N21">
    <cfRule type="dataBar" priority="157">
      <dataBar>
        <cfvo type="min"/>
        <cfvo type="max"/>
        <color rgb="FF628DC4"/>
      </dataBar>
    </cfRule>
  </conditionalFormatting>
  <conditionalFormatting sqref="N190:N192">
    <cfRule type="dataBar" priority="901">
      <dataBar>
        <cfvo type="min"/>
        <cfvo type="max"/>
        <color rgb="FF628DC4"/>
      </dataBar>
    </cfRule>
  </conditionalFormatting>
  <conditionalFormatting sqref="N197:N202">
    <cfRule type="dataBar" priority="994">
      <dataBar>
        <cfvo type="min"/>
        <cfvo type="max"/>
        <color rgb="FF628DC4"/>
      </dataBar>
    </cfRule>
  </conditionalFormatting>
  <conditionalFormatting sqref="N207:N209">
    <cfRule type="dataBar" priority="1087">
      <dataBar>
        <cfvo type="min"/>
        <cfvo type="max"/>
        <color rgb="FF628DC4"/>
      </dataBar>
    </cfRule>
  </conditionalFormatting>
  <conditionalFormatting sqref="N214:N219">
    <cfRule type="dataBar" priority="1180">
      <dataBar>
        <cfvo type="min"/>
        <cfvo type="max"/>
        <color rgb="FF628DC4"/>
      </dataBar>
    </cfRule>
  </conditionalFormatting>
  <conditionalFormatting sqref="N224:N226">
    <cfRule type="dataBar" priority="1273">
      <dataBar>
        <cfvo type="min"/>
        <cfvo type="max"/>
        <color rgb="FF628DC4"/>
      </dataBar>
    </cfRule>
  </conditionalFormatting>
  <conditionalFormatting sqref="N231:N235">
    <cfRule type="dataBar" priority="1366">
      <dataBar>
        <cfvo type="min"/>
        <cfvo type="max"/>
        <color rgb="FF628DC4"/>
      </dataBar>
    </cfRule>
  </conditionalFormatting>
  <conditionalFormatting sqref="N240:N244">
    <cfRule type="dataBar" priority="1459">
      <dataBar>
        <cfvo type="min"/>
        <cfvo type="max"/>
        <color rgb="FF628DC4"/>
      </dataBar>
    </cfRule>
  </conditionalFormatting>
  <conditionalFormatting sqref="N249:N253">
    <cfRule type="dataBar" priority="1552">
      <dataBar>
        <cfvo type="min"/>
        <cfvo type="max"/>
        <color rgb="FF628DC4"/>
      </dataBar>
    </cfRule>
  </conditionalFormatting>
  <conditionalFormatting sqref="N258:N318">
    <cfRule type="dataBar" priority="1645">
      <dataBar>
        <cfvo type="min"/>
        <cfvo type="max"/>
        <color rgb="FF628DC4"/>
      </dataBar>
    </cfRule>
  </conditionalFormatting>
  <conditionalFormatting sqref="N26:N28">
    <cfRule type="dataBar" priority="250">
      <dataBar>
        <cfvo type="min"/>
        <cfvo type="max"/>
        <color rgb="FF628DC4"/>
      </dataBar>
    </cfRule>
  </conditionalFormatting>
  <conditionalFormatting sqref="N323:N383">
    <cfRule type="dataBar" priority="1738">
      <dataBar>
        <cfvo type="min"/>
        <cfvo type="max"/>
        <color rgb="FF628DC4"/>
      </dataBar>
    </cfRule>
  </conditionalFormatting>
  <conditionalFormatting sqref="N33:N35">
    <cfRule type="dataBar" priority="343">
      <dataBar>
        <cfvo type="min"/>
        <cfvo type="max"/>
        <color rgb="FF628DC4"/>
      </dataBar>
    </cfRule>
  </conditionalFormatting>
  <conditionalFormatting sqref="N388:N390">
    <cfRule type="dataBar" priority="1831">
      <dataBar>
        <cfvo type="min"/>
        <cfvo type="max"/>
        <color rgb="FF628DC4"/>
      </dataBar>
    </cfRule>
  </conditionalFormatting>
  <conditionalFormatting sqref="N40:N43">
    <cfRule type="dataBar" priority="436">
      <dataBar>
        <cfvo type="min"/>
        <cfvo type="max"/>
        <color rgb="FF628DC4"/>
      </dataBar>
    </cfRule>
  </conditionalFormatting>
  <conditionalFormatting sqref="N48:N52">
    <cfRule type="dataBar" priority="529">
      <dataBar>
        <cfvo type="min"/>
        <cfvo type="max"/>
        <color rgb="FF628DC4"/>
      </dataBar>
    </cfRule>
  </conditionalFormatting>
  <conditionalFormatting sqref="N57:N61">
    <cfRule type="dataBar" priority="622">
      <dataBar>
        <cfvo type="min"/>
        <cfvo type="max"/>
        <color rgb="FF628DC4"/>
      </dataBar>
    </cfRule>
  </conditionalFormatting>
  <conditionalFormatting sqref="N66:N67">
    <cfRule type="dataBar" priority="715">
      <dataBar>
        <cfvo type="min"/>
        <cfvo type="max"/>
        <color rgb="FF628DC4"/>
      </dataBar>
    </cfRule>
  </conditionalFormatting>
  <conditionalFormatting sqref="N72:N185">
    <cfRule type="dataBar" priority="808">
      <dataBar>
        <cfvo type="min"/>
        <cfvo type="max"/>
        <color rgb="FF628DC4"/>
      </dataBar>
    </cfRule>
  </conditionalFormatting>
  <conditionalFormatting sqref="O16:O21">
    <cfRule type="dataBar" priority="158">
      <dataBar>
        <cfvo type="min"/>
        <cfvo type="max"/>
        <color rgb="FFFFB628"/>
      </dataBar>
    </cfRule>
  </conditionalFormatting>
  <conditionalFormatting sqref="O190:O192">
    <cfRule type="dataBar" priority="902">
      <dataBar>
        <cfvo type="min"/>
        <cfvo type="max"/>
        <color rgb="FFFFB628"/>
      </dataBar>
    </cfRule>
  </conditionalFormatting>
  <conditionalFormatting sqref="O197:O202">
    <cfRule type="dataBar" priority="995">
      <dataBar>
        <cfvo type="min"/>
        <cfvo type="max"/>
        <color rgb="FFFFB628"/>
      </dataBar>
    </cfRule>
  </conditionalFormatting>
  <conditionalFormatting sqref="O207:O209">
    <cfRule type="dataBar" priority="1088">
      <dataBar>
        <cfvo type="min"/>
        <cfvo type="max"/>
        <color rgb="FFFFB628"/>
      </dataBar>
    </cfRule>
  </conditionalFormatting>
  <conditionalFormatting sqref="O214:O219">
    <cfRule type="dataBar" priority="1181">
      <dataBar>
        <cfvo type="min"/>
        <cfvo type="max"/>
        <color rgb="FFFFB628"/>
      </dataBar>
    </cfRule>
  </conditionalFormatting>
  <conditionalFormatting sqref="O224:O226">
    <cfRule type="dataBar" priority="1274">
      <dataBar>
        <cfvo type="min"/>
        <cfvo type="max"/>
        <color rgb="FFFFB628"/>
      </dataBar>
    </cfRule>
  </conditionalFormatting>
  <conditionalFormatting sqref="O231:O235">
    <cfRule type="dataBar" priority="1367">
      <dataBar>
        <cfvo type="min"/>
        <cfvo type="max"/>
        <color rgb="FFFFB628"/>
      </dataBar>
    </cfRule>
  </conditionalFormatting>
  <conditionalFormatting sqref="O240:O244">
    <cfRule type="dataBar" priority="1460">
      <dataBar>
        <cfvo type="min"/>
        <cfvo type="max"/>
        <color rgb="FFFFB628"/>
      </dataBar>
    </cfRule>
  </conditionalFormatting>
  <conditionalFormatting sqref="O249:O253">
    <cfRule type="dataBar" priority="1553">
      <dataBar>
        <cfvo type="min"/>
        <cfvo type="max"/>
        <color rgb="FFFFB628"/>
      </dataBar>
    </cfRule>
  </conditionalFormatting>
  <conditionalFormatting sqref="O258:O318">
    <cfRule type="dataBar" priority="1646">
      <dataBar>
        <cfvo type="min"/>
        <cfvo type="max"/>
        <color rgb="FFFFB628"/>
      </dataBar>
    </cfRule>
  </conditionalFormatting>
  <conditionalFormatting sqref="O26:O28">
    <cfRule type="dataBar" priority="251">
      <dataBar>
        <cfvo type="min"/>
        <cfvo type="max"/>
        <color rgb="FFFFB628"/>
      </dataBar>
    </cfRule>
  </conditionalFormatting>
  <conditionalFormatting sqref="O323:O383">
    <cfRule type="dataBar" priority="1739">
      <dataBar>
        <cfvo type="min"/>
        <cfvo type="max"/>
        <color rgb="FFFFB628"/>
      </dataBar>
    </cfRule>
  </conditionalFormatting>
  <conditionalFormatting sqref="O33:O35">
    <cfRule type="dataBar" priority="344">
      <dataBar>
        <cfvo type="min"/>
        <cfvo type="max"/>
        <color rgb="FFFFB628"/>
      </dataBar>
    </cfRule>
  </conditionalFormatting>
  <conditionalFormatting sqref="O388:O390">
    <cfRule type="dataBar" priority="1832">
      <dataBar>
        <cfvo type="min"/>
        <cfvo type="max"/>
        <color rgb="FFFFB628"/>
      </dataBar>
    </cfRule>
  </conditionalFormatting>
  <conditionalFormatting sqref="O40:O43">
    <cfRule type="dataBar" priority="437">
      <dataBar>
        <cfvo type="min"/>
        <cfvo type="max"/>
        <color rgb="FFFFB628"/>
      </dataBar>
    </cfRule>
  </conditionalFormatting>
  <conditionalFormatting sqref="O48:O52">
    <cfRule type="dataBar" priority="530">
      <dataBar>
        <cfvo type="min"/>
        <cfvo type="max"/>
        <color rgb="FFFFB628"/>
      </dataBar>
    </cfRule>
  </conditionalFormatting>
  <conditionalFormatting sqref="O57:O61">
    <cfRule type="dataBar" priority="623">
      <dataBar>
        <cfvo type="min"/>
        <cfvo type="max"/>
        <color rgb="FFFFB628"/>
      </dataBar>
    </cfRule>
  </conditionalFormatting>
  <conditionalFormatting sqref="O66:O67">
    <cfRule type="dataBar" priority="716">
      <dataBar>
        <cfvo type="min"/>
        <cfvo type="max"/>
        <color rgb="FFFFB628"/>
      </dataBar>
    </cfRule>
  </conditionalFormatting>
  <conditionalFormatting sqref="O72:O185">
    <cfRule type="dataBar" priority="809">
      <dataBar>
        <cfvo type="min"/>
        <cfvo type="max"/>
        <color rgb="FFFFB628"/>
      </dataBar>
    </cfRule>
  </conditionalFormatting>
  <conditionalFormatting sqref="P16:P21">
    <cfRule type="dataBar" priority="159">
      <dataBar>
        <cfvo type="min"/>
        <cfvo type="max"/>
        <color rgb="FFF08D5B"/>
      </dataBar>
    </cfRule>
  </conditionalFormatting>
  <conditionalFormatting sqref="P190:P192">
    <cfRule type="dataBar" priority="903">
      <dataBar>
        <cfvo type="min"/>
        <cfvo type="max"/>
        <color rgb="FFF08D5B"/>
      </dataBar>
    </cfRule>
  </conditionalFormatting>
  <conditionalFormatting sqref="P197:P202">
    <cfRule type="dataBar" priority="996">
      <dataBar>
        <cfvo type="min"/>
        <cfvo type="max"/>
        <color rgb="FFF08D5B"/>
      </dataBar>
    </cfRule>
  </conditionalFormatting>
  <conditionalFormatting sqref="P207:P209">
    <cfRule type="dataBar" priority="1089">
      <dataBar>
        <cfvo type="min"/>
        <cfvo type="max"/>
        <color rgb="FFF08D5B"/>
      </dataBar>
    </cfRule>
  </conditionalFormatting>
  <conditionalFormatting sqref="P214:P219">
    <cfRule type="dataBar" priority="1182">
      <dataBar>
        <cfvo type="min"/>
        <cfvo type="max"/>
        <color rgb="FFF08D5B"/>
      </dataBar>
    </cfRule>
  </conditionalFormatting>
  <conditionalFormatting sqref="P224:P226">
    <cfRule type="dataBar" priority="1275">
      <dataBar>
        <cfvo type="min"/>
        <cfvo type="max"/>
        <color rgb="FFF08D5B"/>
      </dataBar>
    </cfRule>
  </conditionalFormatting>
  <conditionalFormatting sqref="P231:P235">
    <cfRule type="dataBar" priority="1368">
      <dataBar>
        <cfvo type="min"/>
        <cfvo type="max"/>
        <color rgb="FFF08D5B"/>
      </dataBar>
    </cfRule>
  </conditionalFormatting>
  <conditionalFormatting sqref="P240:P244">
    <cfRule type="dataBar" priority="1461">
      <dataBar>
        <cfvo type="min"/>
        <cfvo type="max"/>
        <color rgb="FFF08D5B"/>
      </dataBar>
    </cfRule>
  </conditionalFormatting>
  <conditionalFormatting sqref="P249:P253">
    <cfRule type="dataBar" priority="1554">
      <dataBar>
        <cfvo type="min"/>
        <cfvo type="max"/>
        <color rgb="FFF08D5B"/>
      </dataBar>
    </cfRule>
  </conditionalFormatting>
  <conditionalFormatting sqref="P258:P318">
    <cfRule type="dataBar" priority="1647">
      <dataBar>
        <cfvo type="min"/>
        <cfvo type="max"/>
        <color rgb="FFF08D5B"/>
      </dataBar>
    </cfRule>
  </conditionalFormatting>
  <conditionalFormatting sqref="P26:P28">
    <cfRule type="dataBar" priority="252">
      <dataBar>
        <cfvo type="min"/>
        <cfvo type="max"/>
        <color rgb="FFF08D5B"/>
      </dataBar>
    </cfRule>
  </conditionalFormatting>
  <conditionalFormatting sqref="P323:P383">
    <cfRule type="dataBar" priority="1740">
      <dataBar>
        <cfvo type="min"/>
        <cfvo type="max"/>
        <color rgb="FFF08D5B"/>
      </dataBar>
    </cfRule>
  </conditionalFormatting>
  <conditionalFormatting sqref="P33:P35">
    <cfRule type="dataBar" priority="345">
      <dataBar>
        <cfvo type="min"/>
        <cfvo type="max"/>
        <color rgb="FFF08D5B"/>
      </dataBar>
    </cfRule>
  </conditionalFormatting>
  <conditionalFormatting sqref="P388:P390">
    <cfRule type="dataBar" priority="1833">
      <dataBar>
        <cfvo type="min"/>
        <cfvo type="max"/>
        <color rgb="FFF08D5B"/>
      </dataBar>
    </cfRule>
  </conditionalFormatting>
  <conditionalFormatting sqref="P40:P43">
    <cfRule type="dataBar" priority="438">
      <dataBar>
        <cfvo type="min"/>
        <cfvo type="max"/>
        <color rgb="FFF08D5B"/>
      </dataBar>
    </cfRule>
  </conditionalFormatting>
  <conditionalFormatting sqref="P48:P52">
    <cfRule type="dataBar" priority="531">
      <dataBar>
        <cfvo type="min"/>
        <cfvo type="max"/>
        <color rgb="FFF08D5B"/>
      </dataBar>
    </cfRule>
  </conditionalFormatting>
  <conditionalFormatting sqref="P57:P61">
    <cfRule type="dataBar" priority="624">
      <dataBar>
        <cfvo type="min"/>
        <cfvo type="max"/>
        <color rgb="FFF08D5B"/>
      </dataBar>
    </cfRule>
  </conditionalFormatting>
  <conditionalFormatting sqref="P66:P67">
    <cfRule type="dataBar" priority="717">
      <dataBar>
        <cfvo type="min"/>
        <cfvo type="max"/>
        <color rgb="FFF08D5B"/>
      </dataBar>
    </cfRule>
  </conditionalFormatting>
  <conditionalFormatting sqref="P72:P185">
    <cfRule type="dataBar" priority="810">
      <dataBar>
        <cfvo type="min"/>
        <cfvo type="max"/>
        <color rgb="FFF08D5B"/>
      </dataBar>
    </cfRule>
  </conditionalFormatting>
  <conditionalFormatting sqref="R16:R21">
    <cfRule type="dataBar" priority="160">
      <dataBar>
        <cfvo type="min"/>
        <cfvo type="max"/>
        <color rgb="FF628DC4"/>
      </dataBar>
    </cfRule>
  </conditionalFormatting>
  <conditionalFormatting sqref="R190:R192">
    <cfRule type="dataBar" priority="904">
      <dataBar>
        <cfvo type="min"/>
        <cfvo type="max"/>
        <color rgb="FF628DC4"/>
      </dataBar>
    </cfRule>
  </conditionalFormatting>
  <conditionalFormatting sqref="R197:R202">
    <cfRule type="dataBar" priority="997">
      <dataBar>
        <cfvo type="min"/>
        <cfvo type="max"/>
        <color rgb="FF628DC4"/>
      </dataBar>
    </cfRule>
  </conditionalFormatting>
  <conditionalFormatting sqref="R207:R209">
    <cfRule type="dataBar" priority="1090">
      <dataBar>
        <cfvo type="min"/>
        <cfvo type="max"/>
        <color rgb="FF628DC4"/>
      </dataBar>
    </cfRule>
  </conditionalFormatting>
  <conditionalFormatting sqref="R214:R219">
    <cfRule type="dataBar" priority="1183">
      <dataBar>
        <cfvo type="min"/>
        <cfvo type="max"/>
        <color rgb="FF628DC4"/>
      </dataBar>
    </cfRule>
  </conditionalFormatting>
  <conditionalFormatting sqref="R224:R226">
    <cfRule type="dataBar" priority="1276">
      <dataBar>
        <cfvo type="min"/>
        <cfvo type="max"/>
        <color rgb="FF628DC4"/>
      </dataBar>
    </cfRule>
  </conditionalFormatting>
  <conditionalFormatting sqref="R231:R235">
    <cfRule type="dataBar" priority="1369">
      <dataBar>
        <cfvo type="min"/>
        <cfvo type="max"/>
        <color rgb="FF628DC4"/>
      </dataBar>
    </cfRule>
  </conditionalFormatting>
  <conditionalFormatting sqref="R240:R244">
    <cfRule type="dataBar" priority="1462">
      <dataBar>
        <cfvo type="min"/>
        <cfvo type="max"/>
        <color rgb="FF628DC4"/>
      </dataBar>
    </cfRule>
  </conditionalFormatting>
  <conditionalFormatting sqref="R249:R253">
    <cfRule type="dataBar" priority="1555">
      <dataBar>
        <cfvo type="min"/>
        <cfvo type="max"/>
        <color rgb="FF628DC4"/>
      </dataBar>
    </cfRule>
  </conditionalFormatting>
  <conditionalFormatting sqref="R258:R318">
    <cfRule type="dataBar" priority="1648">
      <dataBar>
        <cfvo type="min"/>
        <cfvo type="max"/>
        <color rgb="FF628DC4"/>
      </dataBar>
    </cfRule>
  </conditionalFormatting>
  <conditionalFormatting sqref="R26:R28">
    <cfRule type="dataBar" priority="253">
      <dataBar>
        <cfvo type="min"/>
        <cfvo type="max"/>
        <color rgb="FF628DC4"/>
      </dataBar>
    </cfRule>
  </conditionalFormatting>
  <conditionalFormatting sqref="R323:R383">
    <cfRule type="dataBar" priority="1741">
      <dataBar>
        <cfvo type="min"/>
        <cfvo type="max"/>
        <color rgb="FF628DC4"/>
      </dataBar>
    </cfRule>
  </conditionalFormatting>
  <conditionalFormatting sqref="R33:R35">
    <cfRule type="dataBar" priority="346">
      <dataBar>
        <cfvo type="min"/>
        <cfvo type="max"/>
        <color rgb="FF628DC4"/>
      </dataBar>
    </cfRule>
  </conditionalFormatting>
  <conditionalFormatting sqref="R388:R390">
    <cfRule type="dataBar" priority="1834">
      <dataBar>
        <cfvo type="min"/>
        <cfvo type="max"/>
        <color rgb="FF628DC4"/>
      </dataBar>
    </cfRule>
  </conditionalFormatting>
  <conditionalFormatting sqref="R40:R43">
    <cfRule type="dataBar" priority="439">
      <dataBar>
        <cfvo type="min"/>
        <cfvo type="max"/>
        <color rgb="FF628DC4"/>
      </dataBar>
    </cfRule>
  </conditionalFormatting>
  <conditionalFormatting sqref="R48:R52">
    <cfRule type="dataBar" priority="532">
      <dataBar>
        <cfvo type="min"/>
        <cfvo type="max"/>
        <color rgb="FF628DC4"/>
      </dataBar>
    </cfRule>
  </conditionalFormatting>
  <conditionalFormatting sqref="R57:R61">
    <cfRule type="dataBar" priority="625">
      <dataBar>
        <cfvo type="min"/>
        <cfvo type="max"/>
        <color rgb="FF628DC4"/>
      </dataBar>
    </cfRule>
  </conditionalFormatting>
  <conditionalFormatting sqref="R66:R67">
    <cfRule type="dataBar" priority="718">
      <dataBar>
        <cfvo type="min"/>
        <cfvo type="max"/>
        <color rgb="FF628DC4"/>
      </dataBar>
    </cfRule>
  </conditionalFormatting>
  <conditionalFormatting sqref="R72:R185">
    <cfRule type="dataBar" priority="811">
      <dataBar>
        <cfvo type="min"/>
        <cfvo type="max"/>
        <color rgb="FF628DC4"/>
      </dataBar>
    </cfRule>
  </conditionalFormatting>
  <conditionalFormatting sqref="S16:S21">
    <cfRule type="dataBar" priority="161">
      <dataBar>
        <cfvo type="min"/>
        <cfvo type="max"/>
        <color rgb="FFFFB628"/>
      </dataBar>
    </cfRule>
  </conditionalFormatting>
  <conditionalFormatting sqref="S190:S192">
    <cfRule type="dataBar" priority="905">
      <dataBar>
        <cfvo type="min"/>
        <cfvo type="max"/>
        <color rgb="FFFFB628"/>
      </dataBar>
    </cfRule>
  </conditionalFormatting>
  <conditionalFormatting sqref="S197:S202">
    <cfRule type="dataBar" priority="998">
      <dataBar>
        <cfvo type="min"/>
        <cfvo type="max"/>
        <color rgb="FFFFB628"/>
      </dataBar>
    </cfRule>
  </conditionalFormatting>
  <conditionalFormatting sqref="S207:S209">
    <cfRule type="dataBar" priority="1091">
      <dataBar>
        <cfvo type="min"/>
        <cfvo type="max"/>
        <color rgb="FFFFB628"/>
      </dataBar>
    </cfRule>
  </conditionalFormatting>
  <conditionalFormatting sqref="S214:S219">
    <cfRule type="dataBar" priority="1184">
      <dataBar>
        <cfvo type="min"/>
        <cfvo type="max"/>
        <color rgb="FFFFB628"/>
      </dataBar>
    </cfRule>
  </conditionalFormatting>
  <conditionalFormatting sqref="S224:S226">
    <cfRule type="dataBar" priority="1277">
      <dataBar>
        <cfvo type="min"/>
        <cfvo type="max"/>
        <color rgb="FFFFB628"/>
      </dataBar>
    </cfRule>
  </conditionalFormatting>
  <conditionalFormatting sqref="S231:S235">
    <cfRule type="dataBar" priority="1370">
      <dataBar>
        <cfvo type="min"/>
        <cfvo type="max"/>
        <color rgb="FFFFB628"/>
      </dataBar>
    </cfRule>
  </conditionalFormatting>
  <conditionalFormatting sqref="S240:S244">
    <cfRule type="dataBar" priority="1463">
      <dataBar>
        <cfvo type="min"/>
        <cfvo type="max"/>
        <color rgb="FFFFB628"/>
      </dataBar>
    </cfRule>
  </conditionalFormatting>
  <conditionalFormatting sqref="S249:S253">
    <cfRule type="dataBar" priority="1556">
      <dataBar>
        <cfvo type="min"/>
        <cfvo type="max"/>
        <color rgb="FFFFB628"/>
      </dataBar>
    </cfRule>
  </conditionalFormatting>
  <conditionalFormatting sqref="S258:S318">
    <cfRule type="dataBar" priority="1649">
      <dataBar>
        <cfvo type="min"/>
        <cfvo type="max"/>
        <color rgb="FFFFB628"/>
      </dataBar>
    </cfRule>
  </conditionalFormatting>
  <conditionalFormatting sqref="S26:S28">
    <cfRule type="dataBar" priority="254">
      <dataBar>
        <cfvo type="min"/>
        <cfvo type="max"/>
        <color rgb="FFFFB628"/>
      </dataBar>
    </cfRule>
  </conditionalFormatting>
  <conditionalFormatting sqref="S323:S383">
    <cfRule type="dataBar" priority="1742">
      <dataBar>
        <cfvo type="min"/>
        <cfvo type="max"/>
        <color rgb="FFFFB628"/>
      </dataBar>
    </cfRule>
  </conditionalFormatting>
  <conditionalFormatting sqref="S33:S35">
    <cfRule type="dataBar" priority="347">
      <dataBar>
        <cfvo type="min"/>
        <cfvo type="max"/>
        <color rgb="FFFFB628"/>
      </dataBar>
    </cfRule>
  </conditionalFormatting>
  <conditionalFormatting sqref="S388:S390">
    <cfRule type="dataBar" priority="1835">
      <dataBar>
        <cfvo type="min"/>
        <cfvo type="max"/>
        <color rgb="FFFFB628"/>
      </dataBar>
    </cfRule>
  </conditionalFormatting>
  <conditionalFormatting sqref="S40:S43">
    <cfRule type="dataBar" priority="440">
      <dataBar>
        <cfvo type="min"/>
        <cfvo type="max"/>
        <color rgb="FFFFB628"/>
      </dataBar>
    </cfRule>
  </conditionalFormatting>
  <conditionalFormatting sqref="S48:S52">
    <cfRule type="dataBar" priority="533">
      <dataBar>
        <cfvo type="min"/>
        <cfvo type="max"/>
        <color rgb="FFFFB628"/>
      </dataBar>
    </cfRule>
  </conditionalFormatting>
  <conditionalFormatting sqref="S57:S61">
    <cfRule type="dataBar" priority="626">
      <dataBar>
        <cfvo type="min"/>
        <cfvo type="max"/>
        <color rgb="FFFFB628"/>
      </dataBar>
    </cfRule>
  </conditionalFormatting>
  <conditionalFormatting sqref="S66:S67">
    <cfRule type="dataBar" priority="719">
      <dataBar>
        <cfvo type="min"/>
        <cfvo type="max"/>
        <color rgb="FFFFB628"/>
      </dataBar>
    </cfRule>
  </conditionalFormatting>
  <conditionalFormatting sqref="S72:S185">
    <cfRule type="dataBar" priority="812">
      <dataBar>
        <cfvo type="min"/>
        <cfvo type="max"/>
        <color rgb="FFFFB628"/>
      </dataBar>
    </cfRule>
  </conditionalFormatting>
  <conditionalFormatting sqref="T16:T21">
    <cfRule type="dataBar" priority="162">
      <dataBar>
        <cfvo type="min"/>
        <cfvo type="max"/>
        <color rgb="FFF08D5B"/>
      </dataBar>
    </cfRule>
  </conditionalFormatting>
  <conditionalFormatting sqref="T190:T192">
    <cfRule type="dataBar" priority="906">
      <dataBar>
        <cfvo type="min"/>
        <cfvo type="max"/>
        <color rgb="FFF08D5B"/>
      </dataBar>
    </cfRule>
  </conditionalFormatting>
  <conditionalFormatting sqref="T197:T202">
    <cfRule type="dataBar" priority="999">
      <dataBar>
        <cfvo type="min"/>
        <cfvo type="max"/>
        <color rgb="FFF08D5B"/>
      </dataBar>
    </cfRule>
  </conditionalFormatting>
  <conditionalFormatting sqref="T207:T209">
    <cfRule type="dataBar" priority="1092">
      <dataBar>
        <cfvo type="min"/>
        <cfvo type="max"/>
        <color rgb="FFF08D5B"/>
      </dataBar>
    </cfRule>
  </conditionalFormatting>
  <conditionalFormatting sqref="T214:T219">
    <cfRule type="dataBar" priority="1185">
      <dataBar>
        <cfvo type="min"/>
        <cfvo type="max"/>
        <color rgb="FFF08D5B"/>
      </dataBar>
    </cfRule>
  </conditionalFormatting>
  <conditionalFormatting sqref="T224:T226">
    <cfRule type="dataBar" priority="1278">
      <dataBar>
        <cfvo type="min"/>
        <cfvo type="max"/>
        <color rgb="FFF08D5B"/>
      </dataBar>
    </cfRule>
  </conditionalFormatting>
  <conditionalFormatting sqref="T231:T235">
    <cfRule type="dataBar" priority="1371">
      <dataBar>
        <cfvo type="min"/>
        <cfvo type="max"/>
        <color rgb="FFF08D5B"/>
      </dataBar>
    </cfRule>
  </conditionalFormatting>
  <conditionalFormatting sqref="T240:T244">
    <cfRule type="dataBar" priority="1464">
      <dataBar>
        <cfvo type="min"/>
        <cfvo type="max"/>
        <color rgb="FFF08D5B"/>
      </dataBar>
    </cfRule>
  </conditionalFormatting>
  <conditionalFormatting sqref="T249:T253">
    <cfRule type="dataBar" priority="1557">
      <dataBar>
        <cfvo type="min"/>
        <cfvo type="max"/>
        <color rgb="FFF08D5B"/>
      </dataBar>
    </cfRule>
  </conditionalFormatting>
  <conditionalFormatting sqref="T258:T318">
    <cfRule type="dataBar" priority="1650">
      <dataBar>
        <cfvo type="min"/>
        <cfvo type="max"/>
        <color rgb="FFF08D5B"/>
      </dataBar>
    </cfRule>
  </conditionalFormatting>
  <conditionalFormatting sqref="T26:T28">
    <cfRule type="dataBar" priority="255">
      <dataBar>
        <cfvo type="min"/>
        <cfvo type="max"/>
        <color rgb="FFF08D5B"/>
      </dataBar>
    </cfRule>
  </conditionalFormatting>
  <conditionalFormatting sqref="T323:T383">
    <cfRule type="dataBar" priority="1743">
      <dataBar>
        <cfvo type="min"/>
        <cfvo type="max"/>
        <color rgb="FFF08D5B"/>
      </dataBar>
    </cfRule>
  </conditionalFormatting>
  <conditionalFormatting sqref="T33:T35">
    <cfRule type="dataBar" priority="348">
      <dataBar>
        <cfvo type="min"/>
        <cfvo type="max"/>
        <color rgb="FFF08D5B"/>
      </dataBar>
    </cfRule>
  </conditionalFormatting>
  <conditionalFormatting sqref="T388:T390">
    <cfRule type="dataBar" priority="1836">
      <dataBar>
        <cfvo type="min"/>
        <cfvo type="max"/>
        <color rgb="FFF08D5B"/>
      </dataBar>
    </cfRule>
  </conditionalFormatting>
  <conditionalFormatting sqref="T40:T43">
    <cfRule type="dataBar" priority="441">
      <dataBar>
        <cfvo type="min"/>
        <cfvo type="max"/>
        <color rgb="FFF08D5B"/>
      </dataBar>
    </cfRule>
  </conditionalFormatting>
  <conditionalFormatting sqref="T48:T52">
    <cfRule type="dataBar" priority="534">
      <dataBar>
        <cfvo type="min"/>
        <cfvo type="max"/>
        <color rgb="FFF08D5B"/>
      </dataBar>
    </cfRule>
  </conditionalFormatting>
  <conditionalFormatting sqref="T57:T61">
    <cfRule type="dataBar" priority="627">
      <dataBar>
        <cfvo type="min"/>
        <cfvo type="max"/>
        <color rgb="FFF08D5B"/>
      </dataBar>
    </cfRule>
  </conditionalFormatting>
  <conditionalFormatting sqref="T66:T67">
    <cfRule type="dataBar" priority="720">
      <dataBar>
        <cfvo type="min"/>
        <cfvo type="max"/>
        <color rgb="FFF08D5B"/>
      </dataBar>
    </cfRule>
  </conditionalFormatting>
  <conditionalFormatting sqref="T72:T185">
    <cfRule type="dataBar" priority="813">
      <dataBar>
        <cfvo type="min"/>
        <cfvo type="max"/>
        <color rgb="FFF08D5B"/>
      </dataBar>
    </cfRule>
  </conditionalFormatting>
  <conditionalFormatting sqref="V16:V21">
    <cfRule type="dataBar" priority="163">
      <dataBar>
        <cfvo type="min"/>
        <cfvo type="max"/>
        <color rgb="FF628DC4"/>
      </dataBar>
    </cfRule>
  </conditionalFormatting>
  <conditionalFormatting sqref="V190:V192">
    <cfRule type="dataBar" priority="907">
      <dataBar>
        <cfvo type="min"/>
        <cfvo type="max"/>
        <color rgb="FF628DC4"/>
      </dataBar>
    </cfRule>
  </conditionalFormatting>
  <conditionalFormatting sqref="V197:V202">
    <cfRule type="dataBar" priority="1000">
      <dataBar>
        <cfvo type="min"/>
        <cfvo type="max"/>
        <color rgb="FF628DC4"/>
      </dataBar>
    </cfRule>
  </conditionalFormatting>
  <conditionalFormatting sqref="V207:V209">
    <cfRule type="dataBar" priority="1093">
      <dataBar>
        <cfvo type="min"/>
        <cfvo type="max"/>
        <color rgb="FF628DC4"/>
      </dataBar>
    </cfRule>
  </conditionalFormatting>
  <conditionalFormatting sqref="V214:V219">
    <cfRule type="dataBar" priority="1186">
      <dataBar>
        <cfvo type="min"/>
        <cfvo type="max"/>
        <color rgb="FF628DC4"/>
      </dataBar>
    </cfRule>
  </conditionalFormatting>
  <conditionalFormatting sqref="V224:V226">
    <cfRule type="dataBar" priority="1279">
      <dataBar>
        <cfvo type="min"/>
        <cfvo type="max"/>
        <color rgb="FF628DC4"/>
      </dataBar>
    </cfRule>
  </conditionalFormatting>
  <conditionalFormatting sqref="V231:V235">
    <cfRule type="dataBar" priority="1372">
      <dataBar>
        <cfvo type="min"/>
        <cfvo type="max"/>
        <color rgb="FF628DC4"/>
      </dataBar>
    </cfRule>
  </conditionalFormatting>
  <conditionalFormatting sqref="V240:V244">
    <cfRule type="dataBar" priority="1465">
      <dataBar>
        <cfvo type="min"/>
        <cfvo type="max"/>
        <color rgb="FF628DC4"/>
      </dataBar>
    </cfRule>
  </conditionalFormatting>
  <conditionalFormatting sqref="V249:V253">
    <cfRule type="dataBar" priority="1558">
      <dataBar>
        <cfvo type="min"/>
        <cfvo type="max"/>
        <color rgb="FF628DC4"/>
      </dataBar>
    </cfRule>
  </conditionalFormatting>
  <conditionalFormatting sqref="V258:V318">
    <cfRule type="dataBar" priority="1651">
      <dataBar>
        <cfvo type="min"/>
        <cfvo type="max"/>
        <color rgb="FF628DC4"/>
      </dataBar>
    </cfRule>
  </conditionalFormatting>
  <conditionalFormatting sqref="V26:V28">
    <cfRule type="dataBar" priority="256">
      <dataBar>
        <cfvo type="min"/>
        <cfvo type="max"/>
        <color rgb="FF628DC4"/>
      </dataBar>
    </cfRule>
  </conditionalFormatting>
  <conditionalFormatting sqref="V323:V383">
    <cfRule type="dataBar" priority="1744">
      <dataBar>
        <cfvo type="min"/>
        <cfvo type="max"/>
        <color rgb="FF628DC4"/>
      </dataBar>
    </cfRule>
  </conditionalFormatting>
  <conditionalFormatting sqref="V33:V35">
    <cfRule type="dataBar" priority="349">
      <dataBar>
        <cfvo type="min"/>
        <cfvo type="max"/>
        <color rgb="FF628DC4"/>
      </dataBar>
    </cfRule>
  </conditionalFormatting>
  <conditionalFormatting sqref="V388:V390">
    <cfRule type="dataBar" priority="1837">
      <dataBar>
        <cfvo type="min"/>
        <cfvo type="max"/>
        <color rgb="FF628DC4"/>
      </dataBar>
    </cfRule>
  </conditionalFormatting>
  <conditionalFormatting sqref="V40:V43">
    <cfRule type="dataBar" priority="442">
      <dataBar>
        <cfvo type="min"/>
        <cfvo type="max"/>
        <color rgb="FF628DC4"/>
      </dataBar>
    </cfRule>
  </conditionalFormatting>
  <conditionalFormatting sqref="V48:V52">
    <cfRule type="dataBar" priority="535">
      <dataBar>
        <cfvo type="min"/>
        <cfvo type="max"/>
        <color rgb="FF628DC4"/>
      </dataBar>
    </cfRule>
  </conditionalFormatting>
  <conditionalFormatting sqref="V57:V61">
    <cfRule type="dataBar" priority="628">
      <dataBar>
        <cfvo type="min"/>
        <cfvo type="max"/>
        <color rgb="FF628DC4"/>
      </dataBar>
    </cfRule>
  </conditionalFormatting>
  <conditionalFormatting sqref="V66:V67">
    <cfRule type="dataBar" priority="721">
      <dataBar>
        <cfvo type="min"/>
        <cfvo type="max"/>
        <color rgb="FF628DC4"/>
      </dataBar>
    </cfRule>
  </conditionalFormatting>
  <conditionalFormatting sqref="V72:V185">
    <cfRule type="dataBar" priority="814">
      <dataBar>
        <cfvo type="min"/>
        <cfvo type="max"/>
        <color rgb="FF628DC4"/>
      </dataBar>
    </cfRule>
  </conditionalFormatting>
  <conditionalFormatting sqref="W16:W21">
    <cfRule type="dataBar" priority="164">
      <dataBar>
        <cfvo type="min"/>
        <cfvo type="max"/>
        <color rgb="FFFFB628"/>
      </dataBar>
    </cfRule>
  </conditionalFormatting>
  <conditionalFormatting sqref="W190:W192">
    <cfRule type="dataBar" priority="908">
      <dataBar>
        <cfvo type="min"/>
        <cfvo type="max"/>
        <color rgb="FFFFB628"/>
      </dataBar>
    </cfRule>
  </conditionalFormatting>
  <conditionalFormatting sqref="W197:W202">
    <cfRule type="dataBar" priority="1001">
      <dataBar>
        <cfvo type="min"/>
        <cfvo type="max"/>
        <color rgb="FFFFB628"/>
      </dataBar>
    </cfRule>
  </conditionalFormatting>
  <conditionalFormatting sqref="W207:W209">
    <cfRule type="dataBar" priority="1094">
      <dataBar>
        <cfvo type="min"/>
        <cfvo type="max"/>
        <color rgb="FFFFB628"/>
      </dataBar>
    </cfRule>
  </conditionalFormatting>
  <conditionalFormatting sqref="W214:W219">
    <cfRule type="dataBar" priority="1187">
      <dataBar>
        <cfvo type="min"/>
        <cfvo type="max"/>
        <color rgb="FFFFB628"/>
      </dataBar>
    </cfRule>
  </conditionalFormatting>
  <conditionalFormatting sqref="W224:W226">
    <cfRule type="dataBar" priority="1280">
      <dataBar>
        <cfvo type="min"/>
        <cfvo type="max"/>
        <color rgb="FFFFB628"/>
      </dataBar>
    </cfRule>
  </conditionalFormatting>
  <conditionalFormatting sqref="W231:W235">
    <cfRule type="dataBar" priority="1373">
      <dataBar>
        <cfvo type="min"/>
        <cfvo type="max"/>
        <color rgb="FFFFB628"/>
      </dataBar>
    </cfRule>
  </conditionalFormatting>
  <conditionalFormatting sqref="W240:W244">
    <cfRule type="dataBar" priority="1466">
      <dataBar>
        <cfvo type="min"/>
        <cfvo type="max"/>
        <color rgb="FFFFB628"/>
      </dataBar>
    </cfRule>
  </conditionalFormatting>
  <conditionalFormatting sqref="W249:W253">
    <cfRule type="dataBar" priority="1559">
      <dataBar>
        <cfvo type="min"/>
        <cfvo type="max"/>
        <color rgb="FFFFB628"/>
      </dataBar>
    </cfRule>
  </conditionalFormatting>
  <conditionalFormatting sqref="W258:W318">
    <cfRule type="dataBar" priority="1652">
      <dataBar>
        <cfvo type="min"/>
        <cfvo type="max"/>
        <color rgb="FFFFB628"/>
      </dataBar>
    </cfRule>
  </conditionalFormatting>
  <conditionalFormatting sqref="W26:W28">
    <cfRule type="dataBar" priority="257">
      <dataBar>
        <cfvo type="min"/>
        <cfvo type="max"/>
        <color rgb="FFFFB628"/>
      </dataBar>
    </cfRule>
  </conditionalFormatting>
  <conditionalFormatting sqref="W323:W383">
    <cfRule type="dataBar" priority="1745">
      <dataBar>
        <cfvo type="min"/>
        <cfvo type="max"/>
        <color rgb="FFFFB628"/>
      </dataBar>
    </cfRule>
  </conditionalFormatting>
  <conditionalFormatting sqref="W33:W35">
    <cfRule type="dataBar" priority="350">
      <dataBar>
        <cfvo type="min"/>
        <cfvo type="max"/>
        <color rgb="FFFFB628"/>
      </dataBar>
    </cfRule>
  </conditionalFormatting>
  <conditionalFormatting sqref="W388:W390">
    <cfRule type="dataBar" priority="1838">
      <dataBar>
        <cfvo type="min"/>
        <cfvo type="max"/>
        <color rgb="FFFFB628"/>
      </dataBar>
    </cfRule>
  </conditionalFormatting>
  <conditionalFormatting sqref="W40:W43">
    <cfRule type="dataBar" priority="443">
      <dataBar>
        <cfvo type="min"/>
        <cfvo type="max"/>
        <color rgb="FFFFB628"/>
      </dataBar>
    </cfRule>
  </conditionalFormatting>
  <conditionalFormatting sqref="W48:W52">
    <cfRule type="dataBar" priority="536">
      <dataBar>
        <cfvo type="min"/>
        <cfvo type="max"/>
        <color rgb="FFFFB628"/>
      </dataBar>
    </cfRule>
  </conditionalFormatting>
  <conditionalFormatting sqref="W57:W61">
    <cfRule type="dataBar" priority="629">
      <dataBar>
        <cfvo type="min"/>
        <cfvo type="max"/>
        <color rgb="FFFFB628"/>
      </dataBar>
    </cfRule>
  </conditionalFormatting>
  <conditionalFormatting sqref="W66:W67">
    <cfRule type="dataBar" priority="722">
      <dataBar>
        <cfvo type="min"/>
        <cfvo type="max"/>
        <color rgb="FFFFB628"/>
      </dataBar>
    </cfRule>
  </conditionalFormatting>
  <conditionalFormatting sqref="W72:W185">
    <cfRule type="dataBar" priority="815">
      <dataBar>
        <cfvo type="min"/>
        <cfvo type="max"/>
        <color rgb="FFFFB628"/>
      </dataBar>
    </cfRule>
  </conditionalFormatting>
  <conditionalFormatting sqref="X16:X21">
    <cfRule type="dataBar" priority="165">
      <dataBar>
        <cfvo type="min"/>
        <cfvo type="max"/>
        <color rgb="FFF08D5B"/>
      </dataBar>
    </cfRule>
  </conditionalFormatting>
  <conditionalFormatting sqref="X190:X192">
    <cfRule type="dataBar" priority="909">
      <dataBar>
        <cfvo type="min"/>
        <cfvo type="max"/>
        <color rgb="FFF08D5B"/>
      </dataBar>
    </cfRule>
  </conditionalFormatting>
  <conditionalFormatting sqref="X197:X202">
    <cfRule type="dataBar" priority="1002">
      <dataBar>
        <cfvo type="min"/>
        <cfvo type="max"/>
        <color rgb="FFF08D5B"/>
      </dataBar>
    </cfRule>
  </conditionalFormatting>
  <conditionalFormatting sqref="X207:X209">
    <cfRule type="dataBar" priority="1095">
      <dataBar>
        <cfvo type="min"/>
        <cfvo type="max"/>
        <color rgb="FFF08D5B"/>
      </dataBar>
    </cfRule>
  </conditionalFormatting>
  <conditionalFormatting sqref="X214:X219">
    <cfRule type="dataBar" priority="1188">
      <dataBar>
        <cfvo type="min"/>
        <cfvo type="max"/>
        <color rgb="FFF08D5B"/>
      </dataBar>
    </cfRule>
  </conditionalFormatting>
  <conditionalFormatting sqref="X224:X226">
    <cfRule type="dataBar" priority="1281">
      <dataBar>
        <cfvo type="min"/>
        <cfvo type="max"/>
        <color rgb="FFF08D5B"/>
      </dataBar>
    </cfRule>
  </conditionalFormatting>
  <conditionalFormatting sqref="X231:X235">
    <cfRule type="dataBar" priority="1374">
      <dataBar>
        <cfvo type="min"/>
        <cfvo type="max"/>
        <color rgb="FFF08D5B"/>
      </dataBar>
    </cfRule>
  </conditionalFormatting>
  <conditionalFormatting sqref="X240:X244">
    <cfRule type="dataBar" priority="1467">
      <dataBar>
        <cfvo type="min"/>
        <cfvo type="max"/>
        <color rgb="FFF08D5B"/>
      </dataBar>
    </cfRule>
  </conditionalFormatting>
  <conditionalFormatting sqref="X249:X253">
    <cfRule type="dataBar" priority="1560">
      <dataBar>
        <cfvo type="min"/>
        <cfvo type="max"/>
        <color rgb="FFF08D5B"/>
      </dataBar>
    </cfRule>
  </conditionalFormatting>
  <conditionalFormatting sqref="X258:X318">
    <cfRule type="dataBar" priority="1653">
      <dataBar>
        <cfvo type="min"/>
        <cfvo type="max"/>
        <color rgb="FFF08D5B"/>
      </dataBar>
    </cfRule>
  </conditionalFormatting>
  <conditionalFormatting sqref="X26:X28">
    <cfRule type="dataBar" priority="258">
      <dataBar>
        <cfvo type="min"/>
        <cfvo type="max"/>
        <color rgb="FFF08D5B"/>
      </dataBar>
    </cfRule>
  </conditionalFormatting>
  <conditionalFormatting sqref="X323:X383">
    <cfRule type="dataBar" priority="1746">
      <dataBar>
        <cfvo type="min"/>
        <cfvo type="max"/>
        <color rgb="FFF08D5B"/>
      </dataBar>
    </cfRule>
  </conditionalFormatting>
  <conditionalFormatting sqref="X33:X35">
    <cfRule type="dataBar" priority="351">
      <dataBar>
        <cfvo type="min"/>
        <cfvo type="max"/>
        <color rgb="FFF08D5B"/>
      </dataBar>
    </cfRule>
  </conditionalFormatting>
  <conditionalFormatting sqref="X388:X390">
    <cfRule type="dataBar" priority="1839">
      <dataBar>
        <cfvo type="min"/>
        <cfvo type="max"/>
        <color rgb="FFF08D5B"/>
      </dataBar>
    </cfRule>
  </conditionalFormatting>
  <conditionalFormatting sqref="X40:X43">
    <cfRule type="dataBar" priority="444">
      <dataBar>
        <cfvo type="min"/>
        <cfvo type="max"/>
        <color rgb="FFF08D5B"/>
      </dataBar>
    </cfRule>
  </conditionalFormatting>
  <conditionalFormatting sqref="X48:X52">
    <cfRule type="dataBar" priority="537">
      <dataBar>
        <cfvo type="min"/>
        <cfvo type="max"/>
        <color rgb="FFF08D5B"/>
      </dataBar>
    </cfRule>
  </conditionalFormatting>
  <conditionalFormatting sqref="X57:X61">
    <cfRule type="dataBar" priority="630">
      <dataBar>
        <cfvo type="min"/>
        <cfvo type="max"/>
        <color rgb="FFF08D5B"/>
      </dataBar>
    </cfRule>
  </conditionalFormatting>
  <conditionalFormatting sqref="X66:X67">
    <cfRule type="dataBar" priority="723">
      <dataBar>
        <cfvo type="min"/>
        <cfvo type="max"/>
        <color rgb="FFF08D5B"/>
      </dataBar>
    </cfRule>
  </conditionalFormatting>
  <conditionalFormatting sqref="X72:X185">
    <cfRule type="dataBar" priority="816">
      <dataBar>
        <cfvo type="min"/>
        <cfvo type="max"/>
        <color rgb="FFF08D5B"/>
      </dataBar>
    </cfRule>
  </conditionalFormatting>
  <conditionalFormatting sqref="Z16:Z21">
    <cfRule type="dataBar" priority="166">
      <dataBar>
        <cfvo type="min"/>
        <cfvo type="max"/>
        <color rgb="FF628DC4"/>
      </dataBar>
    </cfRule>
  </conditionalFormatting>
  <conditionalFormatting sqref="Z190:Z192">
    <cfRule type="dataBar" priority="910">
      <dataBar>
        <cfvo type="min"/>
        <cfvo type="max"/>
        <color rgb="FF628DC4"/>
      </dataBar>
    </cfRule>
  </conditionalFormatting>
  <conditionalFormatting sqref="Z197:Z202">
    <cfRule type="dataBar" priority="1003">
      <dataBar>
        <cfvo type="min"/>
        <cfvo type="max"/>
        <color rgb="FF628DC4"/>
      </dataBar>
    </cfRule>
  </conditionalFormatting>
  <conditionalFormatting sqref="Z207:Z209">
    <cfRule type="dataBar" priority="1096">
      <dataBar>
        <cfvo type="min"/>
        <cfvo type="max"/>
        <color rgb="FF628DC4"/>
      </dataBar>
    </cfRule>
  </conditionalFormatting>
  <conditionalFormatting sqref="Z214:Z219">
    <cfRule type="dataBar" priority="1189">
      <dataBar>
        <cfvo type="min"/>
        <cfvo type="max"/>
        <color rgb="FF628DC4"/>
      </dataBar>
    </cfRule>
  </conditionalFormatting>
  <conditionalFormatting sqref="Z224:Z226">
    <cfRule type="dataBar" priority="1282">
      <dataBar>
        <cfvo type="min"/>
        <cfvo type="max"/>
        <color rgb="FF628DC4"/>
      </dataBar>
    </cfRule>
  </conditionalFormatting>
  <conditionalFormatting sqref="Z231:Z235">
    <cfRule type="dataBar" priority="1375">
      <dataBar>
        <cfvo type="min"/>
        <cfvo type="max"/>
        <color rgb="FF628DC4"/>
      </dataBar>
    </cfRule>
  </conditionalFormatting>
  <conditionalFormatting sqref="Z240:Z244">
    <cfRule type="dataBar" priority="1468">
      <dataBar>
        <cfvo type="min"/>
        <cfvo type="max"/>
        <color rgb="FF628DC4"/>
      </dataBar>
    </cfRule>
  </conditionalFormatting>
  <conditionalFormatting sqref="Z249:Z253">
    <cfRule type="dataBar" priority="1561">
      <dataBar>
        <cfvo type="min"/>
        <cfvo type="max"/>
        <color rgb="FF628DC4"/>
      </dataBar>
    </cfRule>
  </conditionalFormatting>
  <conditionalFormatting sqref="Z258:Z318">
    <cfRule type="dataBar" priority="1654">
      <dataBar>
        <cfvo type="min"/>
        <cfvo type="max"/>
        <color rgb="FF628DC4"/>
      </dataBar>
    </cfRule>
  </conditionalFormatting>
  <conditionalFormatting sqref="Z26:Z28">
    <cfRule type="dataBar" priority="259">
      <dataBar>
        <cfvo type="min"/>
        <cfvo type="max"/>
        <color rgb="FF628DC4"/>
      </dataBar>
    </cfRule>
  </conditionalFormatting>
  <conditionalFormatting sqref="Z323:Z383">
    <cfRule type="dataBar" priority="1747">
      <dataBar>
        <cfvo type="min"/>
        <cfvo type="max"/>
        <color rgb="FF628DC4"/>
      </dataBar>
    </cfRule>
  </conditionalFormatting>
  <conditionalFormatting sqref="Z33:Z35">
    <cfRule type="dataBar" priority="352">
      <dataBar>
        <cfvo type="min"/>
        <cfvo type="max"/>
        <color rgb="FF628DC4"/>
      </dataBar>
    </cfRule>
  </conditionalFormatting>
  <conditionalFormatting sqref="Z388:Z390">
    <cfRule type="dataBar" priority="1840">
      <dataBar>
        <cfvo type="min"/>
        <cfvo type="max"/>
        <color rgb="FF628DC4"/>
      </dataBar>
    </cfRule>
  </conditionalFormatting>
  <conditionalFormatting sqref="Z40:Z43">
    <cfRule type="dataBar" priority="445">
      <dataBar>
        <cfvo type="min"/>
        <cfvo type="max"/>
        <color rgb="FF628DC4"/>
      </dataBar>
    </cfRule>
  </conditionalFormatting>
  <conditionalFormatting sqref="Z48:Z52">
    <cfRule type="dataBar" priority="538">
      <dataBar>
        <cfvo type="min"/>
        <cfvo type="max"/>
        <color rgb="FF628DC4"/>
      </dataBar>
    </cfRule>
  </conditionalFormatting>
  <conditionalFormatting sqref="Z57:Z61">
    <cfRule type="dataBar" priority="631">
      <dataBar>
        <cfvo type="min"/>
        <cfvo type="max"/>
        <color rgb="FF628DC4"/>
      </dataBar>
    </cfRule>
  </conditionalFormatting>
  <conditionalFormatting sqref="Z66:Z67">
    <cfRule type="dataBar" priority="724">
      <dataBar>
        <cfvo type="min"/>
        <cfvo type="max"/>
        <color rgb="FF628DC4"/>
      </dataBar>
    </cfRule>
  </conditionalFormatting>
  <conditionalFormatting sqref="Z72:Z185">
    <cfRule type="dataBar" priority="817">
      <dataBar>
        <cfvo type="min"/>
        <cfvo type="max"/>
        <color rgb="FF628DC4"/>
      </dataBar>
    </cfRule>
  </conditionalFormatting>
  <conditionalFormatting sqref="B6:B11">
    <cfRule type="dataBar" priority="53">
      <dataBar>
        <cfvo type="min"/>
        <cfvo type="max"/>
        <color rgb="FF628DC4"/>
      </dataBar>
    </cfRule>
  </conditionalFormatting>
  <conditionalFormatting sqref="C6:C11">
    <cfRule type="dataBar" priority="54">
      <dataBar>
        <cfvo type="min"/>
        <cfvo type="max"/>
        <color rgb="FFFFB628"/>
      </dataBar>
    </cfRule>
  </conditionalFormatting>
  <conditionalFormatting sqref="J9:J11">
    <cfRule type="dataBar" priority="51">
      <dataBar>
        <cfvo type="min"/>
        <cfvo type="max"/>
        <color rgb="FF628DC4"/>
      </dataBar>
    </cfRule>
  </conditionalFormatting>
  <conditionalFormatting sqref="K9:K11">
    <cfRule type="dataBar" priority="52">
      <dataBar>
        <cfvo type="min"/>
        <cfvo type="max"/>
        <color rgb="FFFFB628"/>
      </dataBar>
    </cfRule>
  </conditionalFormatting>
  <conditionalFormatting sqref="N9:N11">
    <cfRule type="dataBar" priority="49">
      <dataBar>
        <cfvo type="min"/>
        <cfvo type="max"/>
        <color rgb="FF628DC4"/>
      </dataBar>
    </cfRule>
  </conditionalFormatting>
  <conditionalFormatting sqref="O9:O11">
    <cfRule type="dataBar" priority="50">
      <dataBar>
        <cfvo type="min"/>
        <cfvo type="max"/>
        <color rgb="FFFFB628"/>
      </dataBar>
    </cfRule>
  </conditionalFormatting>
  <conditionalFormatting sqref="D6:D11">
    <cfRule type="dataBar" priority="48">
      <dataBar>
        <cfvo type="min"/>
        <cfvo type="max"/>
        <color rgb="FFF08D5B"/>
      </dataBar>
    </cfRule>
  </conditionalFormatting>
  <conditionalFormatting sqref="AA5:AA8">
    <cfRule type="dataBar" priority="1915">
      <dataBar>
        <cfvo type="min"/>
        <cfvo type="max"/>
        <color rgb="FFFFB628"/>
      </dataBar>
    </cfRule>
  </conditionalFormatting>
  <conditionalFormatting sqref="AB5:AB11">
    <cfRule type="dataBar" priority="1916">
      <dataBar>
        <cfvo type="min"/>
        <cfvo type="max"/>
        <color rgb="FFF08D5B"/>
      </dataBar>
    </cfRule>
  </conditionalFormatting>
  <conditionalFormatting sqref="AD5:AD8">
    <cfRule type="dataBar" priority="1917">
      <dataBar>
        <cfvo type="min"/>
        <cfvo type="max"/>
        <color rgb="FF628DC4"/>
      </dataBar>
    </cfRule>
  </conditionalFormatting>
  <conditionalFormatting sqref="AE5:AE8">
    <cfRule type="dataBar" priority="1918">
      <dataBar>
        <cfvo type="min"/>
        <cfvo type="max"/>
        <color rgb="FFFFB628"/>
      </dataBar>
    </cfRule>
  </conditionalFormatting>
  <conditionalFormatting sqref="AF5:AF11">
    <cfRule type="dataBar" priority="1919">
      <dataBar>
        <cfvo type="min"/>
        <cfvo type="max"/>
        <color rgb="FFF08D5B"/>
      </dataBar>
    </cfRule>
  </conditionalFormatting>
  <conditionalFormatting sqref="AH5:AH8">
    <cfRule type="dataBar" priority="1920">
      <dataBar>
        <cfvo type="min"/>
        <cfvo type="max"/>
        <color rgb="FF628DC4"/>
      </dataBar>
    </cfRule>
  </conditionalFormatting>
  <conditionalFormatting sqref="AI5:AI8">
    <cfRule type="dataBar" priority="1921">
      <dataBar>
        <cfvo type="min"/>
        <cfvo type="max"/>
        <color rgb="FFFFB628"/>
      </dataBar>
    </cfRule>
  </conditionalFormatting>
  <conditionalFormatting sqref="AJ5:AJ11">
    <cfRule type="dataBar" priority="1922">
      <dataBar>
        <cfvo type="min"/>
        <cfvo type="max"/>
        <color rgb="FFF08D5B"/>
      </dataBar>
    </cfRule>
  </conditionalFormatting>
  <conditionalFormatting sqref="AL5:AL8">
    <cfRule type="dataBar" priority="1923">
      <dataBar>
        <cfvo type="min"/>
        <cfvo type="max"/>
        <color rgb="FF628DC4"/>
      </dataBar>
    </cfRule>
  </conditionalFormatting>
  <conditionalFormatting sqref="AM5:AM8">
    <cfRule type="dataBar" priority="1924">
      <dataBar>
        <cfvo type="min"/>
        <cfvo type="max"/>
        <color rgb="FFFFB628"/>
      </dataBar>
    </cfRule>
  </conditionalFormatting>
  <conditionalFormatting sqref="AN5:AN11">
    <cfRule type="dataBar" priority="1925">
      <dataBar>
        <cfvo type="min"/>
        <cfvo type="max"/>
        <color rgb="FFF08D5B"/>
      </dataBar>
    </cfRule>
  </conditionalFormatting>
  <conditionalFormatting sqref="AP5:AP8">
    <cfRule type="dataBar" priority="1926">
      <dataBar>
        <cfvo type="min"/>
        <cfvo type="max"/>
        <color rgb="FF628DC4"/>
      </dataBar>
    </cfRule>
  </conditionalFormatting>
  <conditionalFormatting sqref="AQ5:AQ8">
    <cfRule type="dataBar" priority="1927">
      <dataBar>
        <cfvo type="min"/>
        <cfvo type="max"/>
        <color rgb="FFFFB628"/>
      </dataBar>
    </cfRule>
  </conditionalFormatting>
  <conditionalFormatting sqref="AR5:AR11">
    <cfRule type="dataBar" priority="1928">
      <dataBar>
        <cfvo type="min"/>
        <cfvo type="max"/>
        <color rgb="FFF08D5B"/>
      </dataBar>
    </cfRule>
  </conditionalFormatting>
  <conditionalFormatting sqref="AT5:AT8">
    <cfRule type="dataBar" priority="1929">
      <dataBar>
        <cfvo type="min"/>
        <cfvo type="max"/>
        <color rgb="FF628DC4"/>
      </dataBar>
    </cfRule>
  </conditionalFormatting>
  <conditionalFormatting sqref="AU5:AU8">
    <cfRule type="dataBar" priority="1930">
      <dataBar>
        <cfvo type="min"/>
        <cfvo type="max"/>
        <color rgb="FFFFB628"/>
      </dataBar>
    </cfRule>
  </conditionalFormatting>
  <conditionalFormatting sqref="AV5:AV11">
    <cfRule type="dataBar" priority="1931">
      <dataBar>
        <cfvo type="min"/>
        <cfvo type="max"/>
        <color rgb="FFF08D5B"/>
      </dataBar>
    </cfRule>
  </conditionalFormatting>
  <conditionalFormatting sqref="AX5:AX8">
    <cfRule type="dataBar" priority="1932">
      <dataBar>
        <cfvo type="min"/>
        <cfvo type="max"/>
        <color rgb="FF628DC4"/>
      </dataBar>
    </cfRule>
  </conditionalFormatting>
  <conditionalFormatting sqref="AY5:AY8">
    <cfRule type="dataBar" priority="1933">
      <dataBar>
        <cfvo type="min"/>
        <cfvo type="max"/>
        <color rgb="FFFFB628"/>
      </dataBar>
    </cfRule>
  </conditionalFormatting>
  <conditionalFormatting sqref="AZ5:BA11">
    <cfRule type="dataBar" priority="1934">
      <dataBar>
        <cfvo type="min"/>
        <cfvo type="max"/>
        <color rgb="FFF08D5B"/>
      </dataBar>
    </cfRule>
  </conditionalFormatting>
  <conditionalFormatting sqref="B5">
    <cfRule type="dataBar" priority="1935">
      <dataBar>
        <cfvo type="min"/>
        <cfvo type="max"/>
        <color rgb="FF628DC4"/>
      </dataBar>
    </cfRule>
  </conditionalFormatting>
  <conditionalFormatting sqref="BF5:BF8">
    <cfRule type="dataBar" priority="1936">
      <dataBar>
        <cfvo type="min"/>
        <cfvo type="max"/>
        <color rgb="FF628DC4"/>
      </dataBar>
    </cfRule>
  </conditionalFormatting>
  <conditionalFormatting sqref="BG5:BG8">
    <cfRule type="dataBar" priority="1937">
      <dataBar>
        <cfvo type="min"/>
        <cfvo type="max"/>
        <color rgb="FFFFB628"/>
      </dataBar>
    </cfRule>
  </conditionalFormatting>
  <conditionalFormatting sqref="BH5:BH11">
    <cfRule type="dataBar" priority="1938">
      <dataBar>
        <cfvo type="min"/>
        <cfvo type="max"/>
        <color rgb="FFF08D5B"/>
      </dataBar>
    </cfRule>
  </conditionalFormatting>
  <conditionalFormatting sqref="BB5:BB8">
    <cfRule type="dataBar" priority="1939">
      <dataBar>
        <cfvo type="min"/>
        <cfvo type="max"/>
        <color rgb="FF628DC4"/>
      </dataBar>
    </cfRule>
  </conditionalFormatting>
  <conditionalFormatting sqref="BC5:BC8">
    <cfRule type="dataBar" priority="1940">
      <dataBar>
        <cfvo type="min"/>
        <cfvo type="max"/>
        <color rgb="FFFFB628"/>
      </dataBar>
    </cfRule>
  </conditionalFormatting>
  <conditionalFormatting sqref="BD5:BD11">
    <cfRule type="dataBar" priority="1941">
      <dataBar>
        <cfvo type="min"/>
        <cfvo type="max"/>
        <color rgb="FFF08D5B"/>
      </dataBar>
    </cfRule>
  </conditionalFormatting>
  <conditionalFormatting sqref="BJ5:BJ8">
    <cfRule type="dataBar" priority="1942">
      <dataBar>
        <cfvo type="min"/>
        <cfvo type="max"/>
        <color rgb="FF628DC4"/>
      </dataBar>
    </cfRule>
  </conditionalFormatting>
  <conditionalFormatting sqref="BK5:BK8">
    <cfRule type="dataBar" priority="1943">
      <dataBar>
        <cfvo type="min"/>
        <cfvo type="max"/>
        <color rgb="FFFFB628"/>
      </dataBar>
    </cfRule>
  </conditionalFormatting>
  <conditionalFormatting sqref="BL5:BL11">
    <cfRule type="dataBar" priority="1944">
      <dataBar>
        <cfvo type="min"/>
        <cfvo type="max"/>
        <color rgb="FFF08D5B"/>
      </dataBar>
    </cfRule>
  </conditionalFormatting>
  <conditionalFormatting sqref="C5">
    <cfRule type="dataBar" priority="1955">
      <dataBar>
        <cfvo type="min"/>
        <cfvo type="max"/>
        <color rgb="FFFFB628"/>
      </dataBar>
    </cfRule>
  </conditionalFormatting>
  <conditionalFormatting sqref="BN5:BN8">
    <cfRule type="dataBar" priority="1961">
      <dataBar>
        <cfvo type="min"/>
        <cfvo type="max"/>
        <color rgb="FF628DC4"/>
      </dataBar>
    </cfRule>
  </conditionalFormatting>
  <conditionalFormatting sqref="BO5:BO8">
    <cfRule type="dataBar" priority="1962">
      <dataBar>
        <cfvo type="min"/>
        <cfvo type="max"/>
        <color rgb="FFFFB628"/>
      </dataBar>
    </cfRule>
  </conditionalFormatting>
  <conditionalFormatting sqref="BP5:BP11">
    <cfRule type="dataBar" priority="1963">
      <dataBar>
        <cfvo type="min"/>
        <cfvo type="max"/>
        <color rgb="FFF08D5B"/>
      </dataBar>
    </cfRule>
  </conditionalFormatting>
  <conditionalFormatting sqref="BR5:BR8">
    <cfRule type="dataBar" priority="1964">
      <dataBar>
        <cfvo type="min"/>
        <cfvo type="max"/>
        <color rgb="FF628DC4"/>
      </dataBar>
    </cfRule>
  </conditionalFormatting>
  <conditionalFormatting sqref="BS5:BS8">
    <cfRule type="dataBar" priority="1965">
      <dataBar>
        <cfvo type="min"/>
        <cfvo type="max"/>
        <color rgb="FFFFB628"/>
      </dataBar>
    </cfRule>
  </conditionalFormatting>
  <conditionalFormatting sqref="BT5:BT11">
    <cfRule type="dataBar" priority="1966">
      <dataBar>
        <cfvo type="min"/>
        <cfvo type="max"/>
        <color rgb="FFF08D5B"/>
      </dataBar>
    </cfRule>
  </conditionalFormatting>
  <conditionalFormatting sqref="BV5:BV8">
    <cfRule type="dataBar" priority="1967">
      <dataBar>
        <cfvo type="min"/>
        <cfvo type="max"/>
        <color rgb="FF628DC4"/>
      </dataBar>
    </cfRule>
  </conditionalFormatting>
  <conditionalFormatting sqref="BW5:BW8">
    <cfRule type="dataBar" priority="1968">
      <dataBar>
        <cfvo type="min"/>
        <cfvo type="max"/>
        <color rgb="FFFFB628"/>
      </dataBar>
    </cfRule>
  </conditionalFormatting>
  <conditionalFormatting sqref="BX5:BX11">
    <cfRule type="dataBar" priority="1969">
      <dataBar>
        <cfvo type="min"/>
        <cfvo type="max"/>
        <color rgb="FFF08D5B"/>
      </dataBar>
    </cfRule>
  </conditionalFormatting>
  <conditionalFormatting sqref="BZ5:BZ8">
    <cfRule type="dataBar" priority="1970">
      <dataBar>
        <cfvo type="min"/>
        <cfvo type="max"/>
        <color rgb="FF628DC4"/>
      </dataBar>
    </cfRule>
  </conditionalFormatting>
  <conditionalFormatting sqref="CA5:CA8">
    <cfRule type="dataBar" priority="1971">
      <dataBar>
        <cfvo type="min"/>
        <cfvo type="max"/>
        <color rgb="FFFFB628"/>
      </dataBar>
    </cfRule>
  </conditionalFormatting>
  <conditionalFormatting sqref="CB5:CB11">
    <cfRule type="dataBar" priority="1972">
      <dataBar>
        <cfvo type="min"/>
        <cfvo type="max"/>
        <color rgb="FFF08D5B"/>
      </dataBar>
    </cfRule>
  </conditionalFormatting>
  <conditionalFormatting sqref="CD5:CD8">
    <cfRule type="dataBar" priority="1973">
      <dataBar>
        <cfvo type="min"/>
        <cfvo type="max"/>
        <color rgb="FF628DC4"/>
      </dataBar>
    </cfRule>
  </conditionalFormatting>
  <conditionalFormatting sqref="CE5:CE8">
    <cfRule type="dataBar" priority="1974">
      <dataBar>
        <cfvo type="min"/>
        <cfvo type="max"/>
        <color rgb="FFFFB628"/>
      </dataBar>
    </cfRule>
  </conditionalFormatting>
  <conditionalFormatting sqref="CF5:CF11">
    <cfRule type="dataBar" priority="1975">
      <dataBar>
        <cfvo type="min"/>
        <cfvo type="max"/>
        <color rgb="FFF08D5B"/>
      </dataBar>
    </cfRule>
  </conditionalFormatting>
  <conditionalFormatting sqref="D5">
    <cfRule type="dataBar" priority="1976">
      <dataBar>
        <cfvo type="min"/>
        <cfvo type="max"/>
        <color rgb="FFF08D5B"/>
      </dataBar>
    </cfRule>
  </conditionalFormatting>
  <conditionalFormatting sqref="CH5:CH8">
    <cfRule type="dataBar" priority="1977">
      <dataBar>
        <cfvo type="min"/>
        <cfvo type="max"/>
        <color rgb="FF628DC4"/>
      </dataBar>
    </cfRule>
  </conditionalFormatting>
  <conditionalFormatting sqref="CI5:CI8">
    <cfRule type="dataBar" priority="1978">
      <dataBar>
        <cfvo type="min"/>
        <cfvo type="max"/>
        <color rgb="FFFFB628"/>
      </dataBar>
    </cfRule>
  </conditionalFormatting>
  <conditionalFormatting sqref="CJ5:CJ11">
    <cfRule type="dataBar" priority="1979">
      <dataBar>
        <cfvo type="min"/>
        <cfvo type="max"/>
        <color rgb="FFF08D5B"/>
      </dataBar>
    </cfRule>
  </conditionalFormatting>
  <conditionalFormatting sqref="CL5:CL8">
    <cfRule type="dataBar" priority="1980">
      <dataBar>
        <cfvo type="min"/>
        <cfvo type="max"/>
        <color rgb="FF628DC4"/>
      </dataBar>
    </cfRule>
  </conditionalFormatting>
  <conditionalFormatting sqref="CM5:CM8">
    <cfRule type="dataBar" priority="1981">
      <dataBar>
        <cfvo type="min"/>
        <cfvo type="max"/>
        <color rgb="FFFFB628"/>
      </dataBar>
    </cfRule>
  </conditionalFormatting>
  <conditionalFormatting sqref="CN5:CN11">
    <cfRule type="dataBar" priority="1982">
      <dataBar>
        <cfvo type="min"/>
        <cfvo type="max"/>
        <color rgb="FFF08D5B"/>
      </dataBar>
    </cfRule>
  </conditionalFormatting>
  <conditionalFormatting sqref="CP5:CP8">
    <cfRule type="dataBar" priority="1983">
      <dataBar>
        <cfvo type="min"/>
        <cfvo type="max"/>
        <color rgb="FF628DC4"/>
      </dataBar>
    </cfRule>
  </conditionalFormatting>
  <conditionalFormatting sqref="CQ5:CQ8">
    <cfRule type="dataBar" priority="1984">
      <dataBar>
        <cfvo type="min"/>
        <cfvo type="max"/>
        <color rgb="FFFFB628"/>
      </dataBar>
    </cfRule>
  </conditionalFormatting>
  <conditionalFormatting sqref="CR5:CR11">
    <cfRule type="dataBar" priority="1985">
      <dataBar>
        <cfvo type="min"/>
        <cfvo type="max"/>
        <color rgb="FFF08D5B"/>
      </dataBar>
    </cfRule>
  </conditionalFormatting>
  <conditionalFormatting sqref="CT5:CT8">
    <cfRule type="dataBar" priority="1986">
      <dataBar>
        <cfvo type="min"/>
        <cfvo type="max"/>
        <color rgb="FF628DC4"/>
      </dataBar>
    </cfRule>
  </conditionalFormatting>
  <conditionalFormatting sqref="CU5:CU8">
    <cfRule type="dataBar" priority="1987">
      <dataBar>
        <cfvo type="min"/>
        <cfvo type="max"/>
        <color rgb="FFFFB628"/>
      </dataBar>
    </cfRule>
  </conditionalFormatting>
  <conditionalFormatting sqref="CV5:CV11">
    <cfRule type="dataBar" priority="1988">
      <dataBar>
        <cfvo type="min"/>
        <cfvo type="max"/>
        <color rgb="FFF08D5B"/>
      </dataBar>
    </cfRule>
  </conditionalFormatting>
  <conditionalFormatting sqref="CX5:CX8">
    <cfRule type="dataBar" priority="1989">
      <dataBar>
        <cfvo type="min"/>
        <cfvo type="max"/>
        <color rgb="FF628DC4"/>
      </dataBar>
    </cfRule>
  </conditionalFormatting>
  <conditionalFormatting sqref="CY5:CY8">
    <cfRule type="dataBar" priority="1990">
      <dataBar>
        <cfvo type="min"/>
        <cfvo type="max"/>
        <color rgb="FFFFB628"/>
      </dataBar>
    </cfRule>
  </conditionalFormatting>
  <conditionalFormatting sqref="CZ5:CZ11">
    <cfRule type="dataBar" priority="1991">
      <dataBar>
        <cfvo type="min"/>
        <cfvo type="max"/>
        <color rgb="FFF08D5B"/>
      </dataBar>
    </cfRule>
  </conditionalFormatting>
  <conditionalFormatting sqref="F5:F11">
    <cfRule type="dataBar" priority="1992">
      <dataBar>
        <cfvo type="min"/>
        <cfvo type="max"/>
        <color rgb="FF628DC4"/>
      </dataBar>
    </cfRule>
  </conditionalFormatting>
  <conditionalFormatting sqref="G5:G11">
    <cfRule type="dataBar" priority="1993">
      <dataBar>
        <cfvo type="min"/>
        <cfvo type="max"/>
        <color rgb="FFFFB628"/>
      </dataBar>
    </cfRule>
  </conditionalFormatting>
  <conditionalFormatting sqref="J5:J8">
    <cfRule type="dataBar" priority="1994">
      <dataBar>
        <cfvo type="min"/>
        <cfvo type="max"/>
        <color rgb="FF628DC4"/>
      </dataBar>
    </cfRule>
  </conditionalFormatting>
  <conditionalFormatting sqref="K5:K8">
    <cfRule type="dataBar" priority="1995">
      <dataBar>
        <cfvo type="min"/>
        <cfvo type="max"/>
        <color rgb="FFFFB628"/>
      </dataBar>
    </cfRule>
  </conditionalFormatting>
  <conditionalFormatting sqref="N5:N8">
    <cfRule type="dataBar" priority="1996">
      <dataBar>
        <cfvo type="min"/>
        <cfvo type="max"/>
        <color rgb="FF628DC4"/>
      </dataBar>
    </cfRule>
  </conditionalFormatting>
  <conditionalFormatting sqref="O5:O8">
    <cfRule type="dataBar" priority="1997">
      <dataBar>
        <cfvo type="min"/>
        <cfvo type="max"/>
        <color rgb="FFFFB628"/>
      </dataBar>
    </cfRule>
  </conditionalFormatting>
  <conditionalFormatting sqref="P5:P8">
    <cfRule type="dataBar" priority="1998">
      <dataBar>
        <cfvo type="min"/>
        <cfvo type="max"/>
        <color rgb="FFF08D5B"/>
      </dataBar>
    </cfRule>
  </conditionalFormatting>
  <conditionalFormatting sqref="R5:R8">
    <cfRule type="dataBar" priority="1999">
      <dataBar>
        <cfvo type="min"/>
        <cfvo type="max"/>
        <color rgb="FF628DC4"/>
      </dataBar>
    </cfRule>
  </conditionalFormatting>
  <conditionalFormatting sqref="S5:S8">
    <cfRule type="dataBar" priority="2000">
      <dataBar>
        <cfvo type="min"/>
        <cfvo type="max"/>
        <color rgb="FFFFB628"/>
      </dataBar>
    </cfRule>
  </conditionalFormatting>
  <conditionalFormatting sqref="T5:T11">
    <cfRule type="dataBar" priority="2001">
      <dataBar>
        <cfvo type="min"/>
        <cfvo type="max"/>
        <color rgb="FFF08D5B"/>
      </dataBar>
    </cfRule>
  </conditionalFormatting>
  <conditionalFormatting sqref="V5:V8">
    <cfRule type="dataBar" priority="2002">
      <dataBar>
        <cfvo type="min"/>
        <cfvo type="max"/>
        <color rgb="FF628DC4"/>
      </dataBar>
    </cfRule>
  </conditionalFormatting>
  <conditionalFormatting sqref="W5:W8">
    <cfRule type="dataBar" priority="2003">
      <dataBar>
        <cfvo type="min"/>
        <cfvo type="max"/>
        <color rgb="FFFFB628"/>
      </dataBar>
    </cfRule>
  </conditionalFormatting>
  <conditionalFormatting sqref="X5:X11">
    <cfRule type="dataBar" priority="2004">
      <dataBar>
        <cfvo type="min"/>
        <cfvo type="max"/>
        <color rgb="FFF08D5B"/>
      </dataBar>
    </cfRule>
  </conditionalFormatting>
  <conditionalFormatting sqref="Z5:Z8">
    <cfRule type="dataBar" priority="2005">
      <dataBar>
        <cfvo type="min"/>
        <cfvo type="max"/>
        <color rgb="FF628DC4"/>
      </dataBar>
    </cfRule>
  </conditionalFormatting>
  <conditionalFormatting sqref="H9:H11">
    <cfRule type="dataBar" priority="2006">
      <dataBar>
        <cfvo type="min"/>
        <cfvo type="max"/>
        <color rgb="FFF08D5B"/>
      </dataBar>
    </cfRule>
  </conditionalFormatting>
  <conditionalFormatting sqref="L9:L11">
    <cfRule type="dataBar" priority="46">
      <dataBar>
        <cfvo type="min"/>
        <cfvo type="max"/>
        <color rgb="FFF08D5B"/>
      </dataBar>
    </cfRule>
  </conditionalFormatting>
  <conditionalFormatting sqref="P9:P11">
    <cfRule type="dataBar" priority="45">
      <dataBar>
        <cfvo type="min"/>
        <cfvo type="max"/>
        <color rgb="FFF08D5B"/>
      </dataBar>
    </cfRule>
  </conditionalFormatting>
  <conditionalFormatting sqref="R9:R11">
    <cfRule type="dataBar" priority="43">
      <dataBar>
        <cfvo type="min"/>
        <cfvo type="max"/>
        <color rgb="FF628DC4"/>
      </dataBar>
    </cfRule>
  </conditionalFormatting>
  <conditionalFormatting sqref="S9:S11">
    <cfRule type="dataBar" priority="44">
      <dataBar>
        <cfvo type="min"/>
        <cfvo type="max"/>
        <color rgb="FFFFB628"/>
      </dataBar>
    </cfRule>
  </conditionalFormatting>
  <conditionalFormatting sqref="V9:V11">
    <cfRule type="dataBar" priority="41">
      <dataBar>
        <cfvo type="min"/>
        <cfvo type="max"/>
        <color rgb="FF628DC4"/>
      </dataBar>
    </cfRule>
  </conditionalFormatting>
  <conditionalFormatting sqref="W9:W11">
    <cfRule type="dataBar" priority="42">
      <dataBar>
        <cfvo type="min"/>
        <cfvo type="max"/>
        <color rgb="FFFFB628"/>
      </dataBar>
    </cfRule>
  </conditionalFormatting>
  <conditionalFormatting sqref="Z9:Z11">
    <cfRule type="dataBar" priority="39">
      <dataBar>
        <cfvo type="min"/>
        <cfvo type="max"/>
        <color rgb="FF628DC4"/>
      </dataBar>
    </cfRule>
  </conditionalFormatting>
  <conditionalFormatting sqref="AA9:AA11">
    <cfRule type="dataBar" priority="40">
      <dataBar>
        <cfvo type="min"/>
        <cfvo type="max"/>
        <color rgb="FFFFB628"/>
      </dataBar>
    </cfRule>
  </conditionalFormatting>
  <conditionalFormatting sqref="AD9:AD11">
    <cfRule type="dataBar" priority="37">
      <dataBar>
        <cfvo type="min"/>
        <cfvo type="max"/>
        <color rgb="FF628DC4"/>
      </dataBar>
    </cfRule>
  </conditionalFormatting>
  <conditionalFormatting sqref="AE9:AE11">
    <cfRule type="dataBar" priority="38">
      <dataBar>
        <cfvo type="min"/>
        <cfvo type="max"/>
        <color rgb="FFFFB628"/>
      </dataBar>
    </cfRule>
  </conditionalFormatting>
  <conditionalFormatting sqref="AI9:AI11">
    <cfRule type="dataBar" priority="35">
      <dataBar>
        <cfvo type="min"/>
        <cfvo type="max"/>
        <color rgb="FFFFB628"/>
      </dataBar>
    </cfRule>
  </conditionalFormatting>
  <conditionalFormatting sqref="AH9:AH11">
    <cfRule type="dataBar" priority="36">
      <dataBar>
        <cfvo type="min"/>
        <cfvo type="max"/>
        <color rgb="FF628DC4"/>
      </dataBar>
    </cfRule>
  </conditionalFormatting>
  <conditionalFormatting sqref="AL9:AL11">
    <cfRule type="dataBar" priority="33">
      <dataBar>
        <cfvo type="min"/>
        <cfvo type="max"/>
        <color rgb="FF628DC4"/>
      </dataBar>
    </cfRule>
  </conditionalFormatting>
  <conditionalFormatting sqref="AM9:AM11">
    <cfRule type="dataBar" priority="34">
      <dataBar>
        <cfvo type="min"/>
        <cfvo type="max"/>
        <color rgb="FFFFB628"/>
      </dataBar>
    </cfRule>
  </conditionalFormatting>
  <conditionalFormatting sqref="AP9:AP11">
    <cfRule type="dataBar" priority="31">
      <dataBar>
        <cfvo type="min"/>
        <cfvo type="max"/>
        <color rgb="FF628DC4"/>
      </dataBar>
    </cfRule>
  </conditionalFormatting>
  <conditionalFormatting sqref="AQ9:AQ11">
    <cfRule type="dataBar" priority="32">
      <dataBar>
        <cfvo type="min"/>
        <cfvo type="max"/>
        <color rgb="FFFFB628"/>
      </dataBar>
    </cfRule>
  </conditionalFormatting>
  <conditionalFormatting sqref="AT9:AT11">
    <cfRule type="dataBar" priority="29">
      <dataBar>
        <cfvo type="min"/>
        <cfvo type="max"/>
        <color rgb="FF628DC4"/>
      </dataBar>
    </cfRule>
  </conditionalFormatting>
  <conditionalFormatting sqref="AU9:AU11">
    <cfRule type="dataBar" priority="30">
      <dataBar>
        <cfvo type="min"/>
        <cfvo type="max"/>
        <color rgb="FFFFB628"/>
      </dataBar>
    </cfRule>
  </conditionalFormatting>
  <conditionalFormatting sqref="AX9:AX11">
    <cfRule type="dataBar" priority="27">
      <dataBar>
        <cfvo type="min"/>
        <cfvo type="max"/>
        <color rgb="FF628DC4"/>
      </dataBar>
    </cfRule>
  </conditionalFormatting>
  <conditionalFormatting sqref="AY9:AY11">
    <cfRule type="dataBar" priority="28">
      <dataBar>
        <cfvo type="min"/>
        <cfvo type="max"/>
        <color rgb="FFFFB628"/>
      </dataBar>
    </cfRule>
  </conditionalFormatting>
  <conditionalFormatting sqref="BB9:BB11">
    <cfRule type="dataBar" priority="25">
      <dataBar>
        <cfvo type="min"/>
        <cfvo type="max"/>
        <color rgb="FF628DC4"/>
      </dataBar>
    </cfRule>
  </conditionalFormatting>
  <conditionalFormatting sqref="BC9:BC11">
    <cfRule type="dataBar" priority="26">
      <dataBar>
        <cfvo type="min"/>
        <cfvo type="max"/>
        <color rgb="FFFFB628"/>
      </dataBar>
    </cfRule>
  </conditionalFormatting>
  <conditionalFormatting sqref="BF9:BF11">
    <cfRule type="dataBar" priority="23">
      <dataBar>
        <cfvo type="min"/>
        <cfvo type="max"/>
        <color rgb="FF628DC4"/>
      </dataBar>
    </cfRule>
  </conditionalFormatting>
  <conditionalFormatting sqref="BG9:BG11">
    <cfRule type="dataBar" priority="24">
      <dataBar>
        <cfvo type="min"/>
        <cfvo type="max"/>
        <color rgb="FFFFB628"/>
      </dataBar>
    </cfRule>
  </conditionalFormatting>
  <conditionalFormatting sqref="BJ9:BJ11">
    <cfRule type="dataBar" priority="21">
      <dataBar>
        <cfvo type="min"/>
        <cfvo type="max"/>
        <color rgb="FF628DC4"/>
      </dataBar>
    </cfRule>
  </conditionalFormatting>
  <conditionalFormatting sqref="BK9:BK11">
    <cfRule type="dataBar" priority="22">
      <dataBar>
        <cfvo type="min"/>
        <cfvo type="max"/>
        <color rgb="FFFFB628"/>
      </dataBar>
    </cfRule>
  </conditionalFormatting>
  <conditionalFormatting sqref="BN9:BN11">
    <cfRule type="dataBar" priority="19">
      <dataBar>
        <cfvo type="min"/>
        <cfvo type="max"/>
        <color rgb="FF628DC4"/>
      </dataBar>
    </cfRule>
  </conditionalFormatting>
  <conditionalFormatting sqref="BO9:BO11">
    <cfRule type="dataBar" priority="20">
      <dataBar>
        <cfvo type="min"/>
        <cfvo type="max"/>
        <color rgb="FFFFB628"/>
      </dataBar>
    </cfRule>
  </conditionalFormatting>
  <conditionalFormatting sqref="BR9:BR11">
    <cfRule type="dataBar" priority="17">
      <dataBar>
        <cfvo type="min"/>
        <cfvo type="max"/>
        <color rgb="FF628DC4"/>
      </dataBar>
    </cfRule>
  </conditionalFormatting>
  <conditionalFormatting sqref="BS9:BS11">
    <cfRule type="dataBar" priority="18">
      <dataBar>
        <cfvo type="min"/>
        <cfvo type="max"/>
        <color rgb="FFFFB628"/>
      </dataBar>
    </cfRule>
  </conditionalFormatting>
  <conditionalFormatting sqref="BV9:BV11">
    <cfRule type="dataBar" priority="15">
      <dataBar>
        <cfvo type="min"/>
        <cfvo type="max"/>
        <color rgb="FF628DC4"/>
      </dataBar>
    </cfRule>
  </conditionalFormatting>
  <conditionalFormatting sqref="BW9:BW11">
    <cfRule type="dataBar" priority="16">
      <dataBar>
        <cfvo type="min"/>
        <cfvo type="max"/>
        <color rgb="FFFFB628"/>
      </dataBar>
    </cfRule>
  </conditionalFormatting>
  <conditionalFormatting sqref="BZ9:BZ11">
    <cfRule type="dataBar" priority="13">
      <dataBar>
        <cfvo type="min"/>
        <cfvo type="max"/>
        <color rgb="FF628DC4"/>
      </dataBar>
    </cfRule>
  </conditionalFormatting>
  <conditionalFormatting sqref="CA9:CA11">
    <cfRule type="dataBar" priority="14">
      <dataBar>
        <cfvo type="min"/>
        <cfvo type="max"/>
        <color rgb="FFFFB628"/>
      </dataBar>
    </cfRule>
  </conditionalFormatting>
  <conditionalFormatting sqref="CD9:CD11">
    <cfRule type="dataBar" priority="11">
      <dataBar>
        <cfvo type="min"/>
        <cfvo type="max"/>
        <color rgb="FF628DC4"/>
      </dataBar>
    </cfRule>
  </conditionalFormatting>
  <conditionalFormatting sqref="CE9:CE11">
    <cfRule type="dataBar" priority="12">
      <dataBar>
        <cfvo type="min"/>
        <cfvo type="max"/>
        <color rgb="FFFFB628"/>
      </dataBar>
    </cfRule>
  </conditionalFormatting>
  <conditionalFormatting sqref="CH9:CH11">
    <cfRule type="dataBar" priority="9">
      <dataBar>
        <cfvo type="min"/>
        <cfvo type="max"/>
        <color rgb="FF628DC4"/>
      </dataBar>
    </cfRule>
  </conditionalFormatting>
  <conditionalFormatting sqref="CI9:CI11">
    <cfRule type="dataBar" priority="10">
      <dataBar>
        <cfvo type="min"/>
        <cfvo type="max"/>
        <color rgb="FFFFB628"/>
      </dataBar>
    </cfRule>
  </conditionalFormatting>
  <conditionalFormatting sqref="CL9:CL11">
    <cfRule type="dataBar" priority="7">
      <dataBar>
        <cfvo type="min"/>
        <cfvo type="max"/>
        <color rgb="FF628DC4"/>
      </dataBar>
    </cfRule>
  </conditionalFormatting>
  <conditionalFormatting sqref="CM9:CM11">
    <cfRule type="dataBar" priority="8">
      <dataBar>
        <cfvo type="min"/>
        <cfvo type="max"/>
        <color rgb="FFFFB628"/>
      </dataBar>
    </cfRule>
  </conditionalFormatting>
  <conditionalFormatting sqref="CP9:CP11">
    <cfRule type="dataBar" priority="5">
      <dataBar>
        <cfvo type="min"/>
        <cfvo type="max"/>
        <color rgb="FF628DC4"/>
      </dataBar>
    </cfRule>
  </conditionalFormatting>
  <conditionalFormatting sqref="CQ9:CQ11">
    <cfRule type="dataBar" priority="6">
      <dataBar>
        <cfvo type="min"/>
        <cfvo type="max"/>
        <color rgb="FFFFB628"/>
      </dataBar>
    </cfRule>
  </conditionalFormatting>
  <conditionalFormatting sqref="CT9:CT11">
    <cfRule type="dataBar" priority="3">
      <dataBar>
        <cfvo type="min"/>
        <cfvo type="max"/>
        <color rgb="FF628DC4"/>
      </dataBar>
    </cfRule>
  </conditionalFormatting>
  <conditionalFormatting sqref="CU9:CU11">
    <cfRule type="dataBar" priority="4">
      <dataBar>
        <cfvo type="min"/>
        <cfvo type="max"/>
        <color rgb="FFFFB628"/>
      </dataBar>
    </cfRule>
  </conditionalFormatting>
  <conditionalFormatting sqref="CX9:CX11">
    <cfRule type="dataBar" priority="1">
      <dataBar>
        <cfvo type="min"/>
        <cfvo type="max"/>
        <color rgb="FF628DC4"/>
      </dataBar>
    </cfRule>
  </conditionalFormatting>
  <conditionalFormatting sqref="CY9:CY11">
    <cfRule type="dataBar" priority="2">
      <dataBar>
        <cfvo type="min"/>
        <cfvo type="max"/>
        <color rgb="FFFFB628"/>
      </dataBar>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18"/>
  <sheetViews>
    <sheetView workbookViewId="0"/>
  </sheetViews>
  <sheetFormatPr defaultRowHeight="15" x14ac:dyDescent="0.25"/>
  <cols>
    <col min="1" max="8" width="30.7109375" customWidth="1"/>
  </cols>
  <sheetData>
    <row r="1" spans="1:4" s="3" customFormat="1" x14ac:dyDescent="0.25">
      <c r="A1" s="11" t="str">
        <f>HYPERLINK("#Tabulka!A28","Proč bude život **obtížnější**? &lt;br&gt;&lt;br&gt;*Pokud nevíte, otázku přeskočte.*")</f>
        <v>Proč bude život **obtížnější**? &lt;br&gt;&lt;br&gt;*Pokud nevíte, otázku přeskočte.*</v>
      </c>
    </row>
    <row r="2" spans="1:4" x14ac:dyDescent="0.25">
      <c r="A2" t="s">
        <v>41</v>
      </c>
    </row>
    <row r="3" spans="1:4" x14ac:dyDescent="0.25">
      <c r="A3" t="s">
        <v>42</v>
      </c>
      <c r="B3" t="s">
        <v>43</v>
      </c>
      <c r="C3" t="s">
        <v>44</v>
      </c>
    </row>
    <row r="4" spans="1:4" x14ac:dyDescent="0.25">
      <c r="A4" t="s">
        <v>45</v>
      </c>
    </row>
    <row r="5" spans="1:4" x14ac:dyDescent="0.25">
      <c r="A5" t="s">
        <v>46</v>
      </c>
    </row>
    <row r="6" spans="1:4" x14ac:dyDescent="0.25">
      <c r="A6" t="s">
        <v>47</v>
      </c>
    </row>
    <row r="7" spans="1:4" x14ac:dyDescent="0.25">
      <c r="A7" t="s">
        <v>48</v>
      </c>
      <c r="B7" t="s">
        <v>49</v>
      </c>
    </row>
    <row r="8" spans="1:4" x14ac:dyDescent="0.25">
      <c r="A8" t="s">
        <v>50</v>
      </c>
      <c r="B8" t="s">
        <v>51</v>
      </c>
    </row>
    <row r="9" spans="1:4" x14ac:dyDescent="0.25">
      <c r="A9" t="s">
        <v>52</v>
      </c>
      <c r="B9" t="s">
        <v>53</v>
      </c>
    </row>
    <row r="10" spans="1:4" x14ac:dyDescent="0.25">
      <c r="A10" t="s">
        <v>54</v>
      </c>
      <c r="B10" t="s">
        <v>55</v>
      </c>
      <c r="C10" t="s">
        <v>56</v>
      </c>
    </row>
    <row r="11" spans="1:4" x14ac:dyDescent="0.25">
      <c r="A11" t="s">
        <v>57</v>
      </c>
      <c r="B11" t="s">
        <v>58</v>
      </c>
    </row>
    <row r="12" spans="1:4" x14ac:dyDescent="0.25">
      <c r="A12" t="s">
        <v>59</v>
      </c>
      <c r="B12" t="s">
        <v>60</v>
      </c>
      <c r="C12" t="s">
        <v>61</v>
      </c>
      <c r="D12" t="s">
        <v>62</v>
      </c>
    </row>
    <row r="13" spans="1:4" x14ac:dyDescent="0.25">
      <c r="A13" t="s">
        <v>63</v>
      </c>
      <c r="B13" t="s">
        <v>64</v>
      </c>
      <c r="C13" t="s">
        <v>65</v>
      </c>
    </row>
    <row r="14" spans="1:4" x14ac:dyDescent="0.25">
      <c r="A14" t="s">
        <v>66</v>
      </c>
    </row>
    <row r="15" spans="1:4" x14ac:dyDescent="0.25">
      <c r="A15" t="s">
        <v>67</v>
      </c>
      <c r="B15" t="s">
        <v>68</v>
      </c>
      <c r="C15" t="s">
        <v>69</v>
      </c>
    </row>
    <row r="16" spans="1:4" x14ac:dyDescent="0.25">
      <c r="A16" t="s">
        <v>70</v>
      </c>
    </row>
    <row r="17" spans="1:4" x14ac:dyDescent="0.25">
      <c r="A17" t="s">
        <v>71</v>
      </c>
      <c r="B17" t="s">
        <v>72</v>
      </c>
      <c r="C17" t="s">
        <v>73</v>
      </c>
      <c r="D17" t="s">
        <v>74</v>
      </c>
    </row>
    <row r="18" spans="1:4" x14ac:dyDescent="0.25">
      <c r="A18" t="s">
        <v>75</v>
      </c>
    </row>
    <row r="19" spans="1:4" x14ac:dyDescent="0.25">
      <c r="A19" t="s">
        <v>76</v>
      </c>
    </row>
    <row r="20" spans="1:4" x14ac:dyDescent="0.25">
      <c r="A20" t="s">
        <v>77</v>
      </c>
      <c r="B20" t="s">
        <v>78</v>
      </c>
    </row>
    <row r="21" spans="1:4" x14ac:dyDescent="0.25">
      <c r="A21" t="s">
        <v>79</v>
      </c>
      <c r="B21" t="s">
        <v>80</v>
      </c>
      <c r="C21" t="s">
        <v>81</v>
      </c>
      <c r="D21" t="s">
        <v>82</v>
      </c>
    </row>
    <row r="22" spans="1:4" x14ac:dyDescent="0.25">
      <c r="A22" t="s">
        <v>83</v>
      </c>
      <c r="B22" t="s">
        <v>84</v>
      </c>
    </row>
    <row r="23" spans="1:4" x14ac:dyDescent="0.25">
      <c r="A23" t="s">
        <v>85</v>
      </c>
      <c r="B23" t="s">
        <v>86</v>
      </c>
      <c r="C23" t="s">
        <v>87</v>
      </c>
    </row>
    <row r="24" spans="1:4" x14ac:dyDescent="0.25">
      <c r="A24" t="s">
        <v>88</v>
      </c>
      <c r="B24" t="s">
        <v>89</v>
      </c>
      <c r="C24" t="s">
        <v>90</v>
      </c>
      <c r="D24" t="s">
        <v>91</v>
      </c>
    </row>
    <row r="25" spans="1:4" x14ac:dyDescent="0.25">
      <c r="A25" t="s">
        <v>92</v>
      </c>
      <c r="B25" t="s">
        <v>93</v>
      </c>
      <c r="C25" t="s">
        <v>94</v>
      </c>
    </row>
    <row r="26" spans="1:4" x14ac:dyDescent="0.25">
      <c r="A26" t="s">
        <v>95</v>
      </c>
    </row>
    <row r="27" spans="1:4" x14ac:dyDescent="0.25">
      <c r="A27" t="s">
        <v>96</v>
      </c>
    </row>
    <row r="28" spans="1:4" x14ac:dyDescent="0.25">
      <c r="A28" t="s">
        <v>97</v>
      </c>
      <c r="B28" t="s">
        <v>98</v>
      </c>
      <c r="C28" t="s">
        <v>99</v>
      </c>
    </row>
    <row r="29" spans="1:4" x14ac:dyDescent="0.25">
      <c r="A29" t="s">
        <v>100</v>
      </c>
      <c r="B29" t="s">
        <v>101</v>
      </c>
    </row>
    <row r="30" spans="1:4" x14ac:dyDescent="0.25">
      <c r="A30" t="s">
        <v>102</v>
      </c>
    </row>
    <row r="31" spans="1:4" x14ac:dyDescent="0.25">
      <c r="A31" t="s">
        <v>103</v>
      </c>
      <c r="B31" t="s">
        <v>104</v>
      </c>
      <c r="C31" t="s">
        <v>105</v>
      </c>
    </row>
    <row r="32" spans="1:4" x14ac:dyDescent="0.25">
      <c r="A32" t="s">
        <v>106</v>
      </c>
    </row>
    <row r="33" spans="1:6" x14ac:dyDescent="0.25">
      <c r="A33" t="s">
        <v>107</v>
      </c>
      <c r="B33" t="s">
        <v>108</v>
      </c>
    </row>
    <row r="34" spans="1:6" x14ac:dyDescent="0.25">
      <c r="A34" t="s">
        <v>109</v>
      </c>
      <c r="B34" t="s">
        <v>110</v>
      </c>
      <c r="C34" t="s">
        <v>111</v>
      </c>
    </row>
    <row r="35" spans="1:6" x14ac:dyDescent="0.25">
      <c r="A35" t="s">
        <v>112</v>
      </c>
      <c r="B35" t="s">
        <v>113</v>
      </c>
      <c r="C35" t="s">
        <v>114</v>
      </c>
    </row>
    <row r="36" spans="1:6" x14ac:dyDescent="0.25">
      <c r="A36" t="s">
        <v>115</v>
      </c>
      <c r="B36" t="s">
        <v>116</v>
      </c>
      <c r="C36" t="s">
        <v>117</v>
      </c>
    </row>
    <row r="37" spans="1:6" x14ac:dyDescent="0.25">
      <c r="A37" t="s">
        <v>118</v>
      </c>
      <c r="B37" t="s">
        <v>119</v>
      </c>
      <c r="C37" t="s">
        <v>120</v>
      </c>
    </row>
    <row r="38" spans="1:6" x14ac:dyDescent="0.25">
      <c r="A38" t="s">
        <v>121</v>
      </c>
      <c r="B38" t="s">
        <v>122</v>
      </c>
      <c r="C38" t="s">
        <v>61</v>
      </c>
      <c r="D38" t="s">
        <v>123</v>
      </c>
    </row>
    <row r="39" spans="1:6" x14ac:dyDescent="0.25">
      <c r="A39" t="s">
        <v>124</v>
      </c>
    </row>
    <row r="40" spans="1:6" x14ac:dyDescent="0.25">
      <c r="A40" t="s">
        <v>125</v>
      </c>
      <c r="B40" t="s">
        <v>62</v>
      </c>
      <c r="C40" t="s">
        <v>115</v>
      </c>
    </row>
    <row r="41" spans="1:6" x14ac:dyDescent="0.25">
      <c r="A41" t="s">
        <v>126</v>
      </c>
    </row>
    <row r="42" spans="1:6" x14ac:dyDescent="0.25">
      <c r="A42" t="s">
        <v>127</v>
      </c>
    </row>
    <row r="43" spans="1:6" x14ac:dyDescent="0.25">
      <c r="A43" t="s">
        <v>128</v>
      </c>
      <c r="B43" t="s">
        <v>129</v>
      </c>
      <c r="C43" t="s">
        <v>55</v>
      </c>
    </row>
    <row r="44" spans="1:6" x14ac:dyDescent="0.25">
      <c r="A44" t="s">
        <v>130</v>
      </c>
      <c r="B44" t="s">
        <v>131</v>
      </c>
      <c r="C44" t="s">
        <v>132</v>
      </c>
      <c r="D44" t="s">
        <v>133</v>
      </c>
      <c r="E44" t="s">
        <v>134</v>
      </c>
      <c r="F44" t="s">
        <v>135</v>
      </c>
    </row>
    <row r="45" spans="1:6" x14ac:dyDescent="0.25">
      <c r="A45" t="s">
        <v>136</v>
      </c>
      <c r="B45" t="s">
        <v>137</v>
      </c>
      <c r="C45" t="s">
        <v>138</v>
      </c>
      <c r="D45" t="s">
        <v>139</v>
      </c>
    </row>
    <row r="46" spans="1:6" x14ac:dyDescent="0.25">
      <c r="A46" t="s">
        <v>140</v>
      </c>
    </row>
    <row r="47" spans="1:6" x14ac:dyDescent="0.25">
      <c r="A47" t="s">
        <v>141</v>
      </c>
    </row>
    <row r="48" spans="1:6" x14ac:dyDescent="0.25">
      <c r="A48" t="s">
        <v>142</v>
      </c>
      <c r="B48" t="s">
        <v>143</v>
      </c>
      <c r="C48" t="s">
        <v>144</v>
      </c>
    </row>
    <row r="49" spans="1:3" x14ac:dyDescent="0.25">
      <c r="A49" t="s">
        <v>85</v>
      </c>
      <c r="B49" t="s">
        <v>87</v>
      </c>
    </row>
    <row r="50" spans="1:3" x14ac:dyDescent="0.25">
      <c r="A50" t="s">
        <v>145</v>
      </c>
    </row>
    <row r="51" spans="1:3" x14ac:dyDescent="0.25">
      <c r="A51" t="s">
        <v>146</v>
      </c>
      <c r="B51" t="s">
        <v>147</v>
      </c>
    </row>
    <row r="52" spans="1:3" x14ac:dyDescent="0.25">
      <c r="A52" t="s">
        <v>148</v>
      </c>
    </row>
    <row r="53" spans="1:3" x14ac:dyDescent="0.25">
      <c r="A53" t="s">
        <v>149</v>
      </c>
      <c r="B53" t="s">
        <v>150</v>
      </c>
    </row>
    <row r="54" spans="1:3" x14ac:dyDescent="0.25">
      <c r="A54" t="s">
        <v>56</v>
      </c>
      <c r="B54" t="s">
        <v>61</v>
      </c>
    </row>
    <row r="55" spans="1:3" x14ac:dyDescent="0.25">
      <c r="A55" t="s">
        <v>151</v>
      </c>
    </row>
    <row r="56" spans="1:3" x14ac:dyDescent="0.25">
      <c r="A56" t="s">
        <v>152</v>
      </c>
      <c r="B56" t="s">
        <v>153</v>
      </c>
    </row>
    <row r="57" spans="1:3" x14ac:dyDescent="0.25">
      <c r="A57" t="s">
        <v>154</v>
      </c>
      <c r="B57" t="s">
        <v>155</v>
      </c>
      <c r="C57" t="s">
        <v>156</v>
      </c>
    </row>
    <row r="58" spans="1:3" x14ac:dyDescent="0.25">
      <c r="A58" t="s">
        <v>157</v>
      </c>
      <c r="B58" t="s">
        <v>158</v>
      </c>
    </row>
    <row r="59" spans="1:3" x14ac:dyDescent="0.25">
      <c r="A59" t="s">
        <v>159</v>
      </c>
      <c r="B59" t="s">
        <v>115</v>
      </c>
      <c r="C59" t="s">
        <v>160</v>
      </c>
    </row>
    <row r="60" spans="1:3" x14ac:dyDescent="0.25">
      <c r="A60" t="s">
        <v>128</v>
      </c>
      <c r="B60" t="s">
        <v>161</v>
      </c>
      <c r="C60" t="s">
        <v>162</v>
      </c>
    </row>
    <row r="61" spans="1:3" x14ac:dyDescent="0.25">
      <c r="A61" t="s">
        <v>163</v>
      </c>
      <c r="B61" t="s">
        <v>164</v>
      </c>
      <c r="C61" t="s">
        <v>165</v>
      </c>
    </row>
    <row r="62" spans="1:3" x14ac:dyDescent="0.25">
      <c r="A62" t="s">
        <v>166</v>
      </c>
      <c r="B62" t="s">
        <v>167</v>
      </c>
    </row>
    <row r="63" spans="1:3" x14ac:dyDescent="0.25">
      <c r="A63" t="s">
        <v>168</v>
      </c>
    </row>
    <row r="64" spans="1:3" x14ac:dyDescent="0.25">
      <c r="A64" t="s">
        <v>169</v>
      </c>
      <c r="B64" t="s">
        <v>170</v>
      </c>
      <c r="C64" t="s">
        <v>171</v>
      </c>
    </row>
    <row r="65" spans="1:5" x14ac:dyDescent="0.25">
      <c r="A65" t="s">
        <v>172</v>
      </c>
    </row>
    <row r="66" spans="1:5" x14ac:dyDescent="0.25">
      <c r="A66" t="s">
        <v>61</v>
      </c>
      <c r="B66" t="s">
        <v>54</v>
      </c>
      <c r="C66" t="s">
        <v>173</v>
      </c>
    </row>
    <row r="67" spans="1:5" x14ac:dyDescent="0.25">
      <c r="A67" t="s">
        <v>174</v>
      </c>
    </row>
    <row r="68" spans="1:5" x14ac:dyDescent="0.25">
      <c r="A68" t="s">
        <v>175</v>
      </c>
      <c r="B68" t="s">
        <v>57</v>
      </c>
    </row>
    <row r="69" spans="1:5" x14ac:dyDescent="0.25">
      <c r="A69" t="s">
        <v>176</v>
      </c>
    </row>
    <row r="70" spans="1:5" x14ac:dyDescent="0.25">
      <c r="A70" t="s">
        <v>177</v>
      </c>
      <c r="B70" t="s">
        <v>178</v>
      </c>
    </row>
    <row r="71" spans="1:5" x14ac:dyDescent="0.25">
      <c r="A71" t="s">
        <v>179</v>
      </c>
      <c r="B71" t="s">
        <v>180</v>
      </c>
      <c r="C71" t="s">
        <v>181</v>
      </c>
      <c r="D71" t="s">
        <v>182</v>
      </c>
      <c r="E71" t="s">
        <v>183</v>
      </c>
    </row>
    <row r="72" spans="1:5" x14ac:dyDescent="0.25">
      <c r="A72" t="s">
        <v>184</v>
      </c>
    </row>
    <row r="73" spans="1:5" x14ac:dyDescent="0.25">
      <c r="A73" t="s">
        <v>185</v>
      </c>
      <c r="B73" t="s">
        <v>186</v>
      </c>
    </row>
    <row r="74" spans="1:5" x14ac:dyDescent="0.25">
      <c r="A74" t="s">
        <v>187</v>
      </c>
    </row>
    <row r="75" spans="1:5" x14ac:dyDescent="0.25">
      <c r="A75" t="s">
        <v>188</v>
      </c>
      <c r="B75" t="s">
        <v>189</v>
      </c>
    </row>
    <row r="76" spans="1:5" x14ac:dyDescent="0.25">
      <c r="A76" t="s">
        <v>190</v>
      </c>
    </row>
    <row r="77" spans="1:5" x14ac:dyDescent="0.25">
      <c r="A77" t="s">
        <v>80</v>
      </c>
      <c r="B77" t="s">
        <v>191</v>
      </c>
    </row>
    <row r="78" spans="1:5" x14ac:dyDescent="0.25">
      <c r="A78" t="s">
        <v>85</v>
      </c>
      <c r="B78" t="s">
        <v>192</v>
      </c>
    </row>
    <row r="79" spans="1:5" x14ac:dyDescent="0.25">
      <c r="A79" t="s">
        <v>193</v>
      </c>
    </row>
    <row r="80" spans="1:5" x14ac:dyDescent="0.25">
      <c r="A80" t="s">
        <v>194</v>
      </c>
    </row>
    <row r="81" spans="1:5" x14ac:dyDescent="0.25">
      <c r="A81" t="s">
        <v>195</v>
      </c>
      <c r="B81" t="s">
        <v>196</v>
      </c>
    </row>
    <row r="82" spans="1:5" x14ac:dyDescent="0.25">
      <c r="A82" t="s">
        <v>197</v>
      </c>
      <c r="B82" t="s">
        <v>198</v>
      </c>
    </row>
    <row r="83" spans="1:5" x14ac:dyDescent="0.25">
      <c r="A83" t="s">
        <v>199</v>
      </c>
    </row>
    <row r="84" spans="1:5" x14ac:dyDescent="0.25">
      <c r="A84" t="s">
        <v>200</v>
      </c>
      <c r="B84" t="s">
        <v>201</v>
      </c>
    </row>
    <row r="85" spans="1:5" x14ac:dyDescent="0.25">
      <c r="A85" t="s">
        <v>77</v>
      </c>
    </row>
    <row r="86" spans="1:5" x14ac:dyDescent="0.25">
      <c r="A86" t="s">
        <v>202</v>
      </c>
    </row>
    <row r="87" spans="1:5" x14ac:dyDescent="0.25">
      <c r="A87" t="s">
        <v>197</v>
      </c>
      <c r="B87" t="s">
        <v>203</v>
      </c>
      <c r="C87" t="s">
        <v>125</v>
      </c>
      <c r="D87" t="s">
        <v>204</v>
      </c>
      <c r="E87" t="s">
        <v>205</v>
      </c>
    </row>
    <row r="88" spans="1:5" x14ac:dyDescent="0.25">
      <c r="A88" t="s">
        <v>206</v>
      </c>
    </row>
    <row r="89" spans="1:5" x14ac:dyDescent="0.25">
      <c r="A89" t="s">
        <v>207</v>
      </c>
    </row>
    <row r="90" spans="1:5" x14ac:dyDescent="0.25">
      <c r="A90" t="s">
        <v>208</v>
      </c>
    </row>
    <row r="91" spans="1:5" x14ac:dyDescent="0.25">
      <c r="A91" t="s">
        <v>209</v>
      </c>
      <c r="B91" t="s">
        <v>210</v>
      </c>
    </row>
    <row r="92" spans="1:5" x14ac:dyDescent="0.25">
      <c r="A92" t="s">
        <v>211</v>
      </c>
      <c r="B92" t="s">
        <v>212</v>
      </c>
    </row>
    <row r="93" spans="1:5" x14ac:dyDescent="0.25">
      <c r="A93" t="s">
        <v>213</v>
      </c>
      <c r="B93" t="s">
        <v>214</v>
      </c>
    </row>
    <row r="94" spans="1:5" x14ac:dyDescent="0.25">
      <c r="A94" t="s">
        <v>125</v>
      </c>
      <c r="B94" t="s">
        <v>215</v>
      </c>
      <c r="C94" t="s">
        <v>216</v>
      </c>
    </row>
    <row r="95" spans="1:5" x14ac:dyDescent="0.25">
      <c r="A95" t="s">
        <v>217</v>
      </c>
    </row>
    <row r="96" spans="1:5" x14ac:dyDescent="0.25">
      <c r="A96" t="s">
        <v>218</v>
      </c>
      <c r="B96" t="s">
        <v>219</v>
      </c>
      <c r="C96" t="s">
        <v>220</v>
      </c>
    </row>
    <row r="97" spans="1:4" x14ac:dyDescent="0.25">
      <c r="A97" t="s">
        <v>221</v>
      </c>
    </row>
    <row r="98" spans="1:4" x14ac:dyDescent="0.25">
      <c r="A98" t="s">
        <v>222</v>
      </c>
    </row>
    <row r="99" spans="1:4" x14ac:dyDescent="0.25">
      <c r="A99" t="s">
        <v>223</v>
      </c>
      <c r="B99" t="s">
        <v>224</v>
      </c>
      <c r="C99" t="s">
        <v>225</v>
      </c>
    </row>
    <row r="100" spans="1:4" x14ac:dyDescent="0.25">
      <c r="A100" t="s">
        <v>226</v>
      </c>
    </row>
    <row r="101" spans="1:4" x14ac:dyDescent="0.25">
      <c r="A101" t="s">
        <v>227</v>
      </c>
      <c r="B101" t="s">
        <v>228</v>
      </c>
      <c r="C101" t="s">
        <v>229</v>
      </c>
    </row>
    <row r="102" spans="1:4" x14ac:dyDescent="0.25">
      <c r="A102" t="s">
        <v>230</v>
      </c>
      <c r="B102" t="s">
        <v>231</v>
      </c>
      <c r="C102" t="s">
        <v>56</v>
      </c>
      <c r="D102" t="s">
        <v>232</v>
      </c>
    </row>
    <row r="103" spans="1:4" x14ac:dyDescent="0.25">
      <c r="A103" t="s">
        <v>233</v>
      </c>
      <c r="B103" t="s">
        <v>115</v>
      </c>
      <c r="C103" t="s">
        <v>62</v>
      </c>
      <c r="D103" t="s">
        <v>234</v>
      </c>
    </row>
    <row r="104" spans="1:4" x14ac:dyDescent="0.25">
      <c r="A104" t="s">
        <v>235</v>
      </c>
    </row>
    <row r="105" spans="1:4" x14ac:dyDescent="0.25">
      <c r="A105" t="s">
        <v>236</v>
      </c>
      <c r="B105" t="s">
        <v>115</v>
      </c>
      <c r="C105" t="s">
        <v>237</v>
      </c>
    </row>
    <row r="106" spans="1:4" x14ac:dyDescent="0.25">
      <c r="A106" t="s">
        <v>238</v>
      </c>
      <c r="B106" t="s">
        <v>239</v>
      </c>
      <c r="C106" t="s">
        <v>240</v>
      </c>
    </row>
    <row r="107" spans="1:4" x14ac:dyDescent="0.25">
      <c r="A107" t="s">
        <v>241</v>
      </c>
      <c r="B107" t="s">
        <v>242</v>
      </c>
    </row>
    <row r="108" spans="1:4" x14ac:dyDescent="0.25">
      <c r="A108" t="s">
        <v>243</v>
      </c>
      <c r="B108" t="s">
        <v>244</v>
      </c>
      <c r="C108" t="s">
        <v>245</v>
      </c>
    </row>
    <row r="109" spans="1:4" x14ac:dyDescent="0.25">
      <c r="A109" t="s">
        <v>246</v>
      </c>
      <c r="B109" t="s">
        <v>247</v>
      </c>
      <c r="C109" t="s">
        <v>247</v>
      </c>
    </row>
    <row r="110" spans="1:4" x14ac:dyDescent="0.25">
      <c r="A110" t="s">
        <v>248</v>
      </c>
    </row>
    <row r="111" spans="1:4" x14ac:dyDescent="0.25">
      <c r="A111" t="s">
        <v>249</v>
      </c>
      <c r="B111" t="s">
        <v>250</v>
      </c>
    </row>
    <row r="112" spans="1:4" x14ac:dyDescent="0.25">
      <c r="A112" t="s">
        <v>251</v>
      </c>
    </row>
    <row r="113" spans="1:5" x14ac:dyDescent="0.25">
      <c r="A113" t="s">
        <v>252</v>
      </c>
      <c r="B113" t="s">
        <v>253</v>
      </c>
    </row>
    <row r="114" spans="1:5" x14ac:dyDescent="0.25">
      <c r="A114" t="s">
        <v>197</v>
      </c>
      <c r="B114" t="s">
        <v>61</v>
      </c>
      <c r="C114" t="s">
        <v>254</v>
      </c>
      <c r="D114" t="s">
        <v>255</v>
      </c>
      <c r="E114" t="s">
        <v>256</v>
      </c>
    </row>
    <row r="115" spans="1:5" x14ac:dyDescent="0.25">
      <c r="A115" t="s">
        <v>257</v>
      </c>
      <c r="B115" t="s">
        <v>258</v>
      </c>
    </row>
    <row r="116" spans="1:5" x14ac:dyDescent="0.25">
      <c r="A116" t="s">
        <v>259</v>
      </c>
    </row>
    <row r="117" spans="1:5" x14ac:dyDescent="0.25">
      <c r="A117" t="s">
        <v>260</v>
      </c>
      <c r="B117" t="s">
        <v>261</v>
      </c>
    </row>
    <row r="118" spans="1:5" x14ac:dyDescent="0.25">
      <c r="A118" t="s">
        <v>55</v>
      </c>
      <c r="B118" t="s">
        <v>61</v>
      </c>
    </row>
    <row r="119" spans="1:5" x14ac:dyDescent="0.25">
      <c r="A119" t="s">
        <v>262</v>
      </c>
    </row>
    <row r="120" spans="1:5" x14ac:dyDescent="0.25">
      <c r="A120" t="s">
        <v>263</v>
      </c>
    </row>
    <row r="121" spans="1:5" x14ac:dyDescent="0.25">
      <c r="A121" t="s">
        <v>262</v>
      </c>
      <c r="B121" t="s">
        <v>264</v>
      </c>
    </row>
    <row r="122" spans="1:5" x14ac:dyDescent="0.25">
      <c r="A122" t="s">
        <v>265</v>
      </c>
      <c r="B122" t="s">
        <v>266</v>
      </c>
      <c r="C122" t="s">
        <v>267</v>
      </c>
    </row>
    <row r="123" spans="1:5" x14ac:dyDescent="0.25">
      <c r="A123" t="s">
        <v>268</v>
      </c>
    </row>
    <row r="124" spans="1:5" x14ac:dyDescent="0.25">
      <c r="A124" t="s">
        <v>269</v>
      </c>
      <c r="B124" t="s">
        <v>270</v>
      </c>
      <c r="C124" t="s">
        <v>271</v>
      </c>
    </row>
    <row r="125" spans="1:5" x14ac:dyDescent="0.25">
      <c r="A125" t="s">
        <v>272</v>
      </c>
      <c r="B125" t="s">
        <v>273</v>
      </c>
    </row>
    <row r="126" spans="1:5" x14ac:dyDescent="0.25">
      <c r="A126" t="s">
        <v>274</v>
      </c>
    </row>
    <row r="127" spans="1:5" x14ac:dyDescent="0.25">
      <c r="A127" t="s">
        <v>275</v>
      </c>
      <c r="B127" t="s">
        <v>276</v>
      </c>
      <c r="C127" t="s">
        <v>277</v>
      </c>
    </row>
    <row r="128" spans="1:5" x14ac:dyDescent="0.25">
      <c r="A128" t="s">
        <v>278</v>
      </c>
      <c r="B128" t="s">
        <v>279</v>
      </c>
      <c r="C128" t="s">
        <v>280</v>
      </c>
      <c r="D128" t="s">
        <v>281</v>
      </c>
      <c r="E128" t="s">
        <v>282</v>
      </c>
    </row>
    <row r="129" spans="1:4" x14ac:dyDescent="0.25">
      <c r="A129" t="s">
        <v>283</v>
      </c>
      <c r="B129" t="s">
        <v>284</v>
      </c>
    </row>
    <row r="130" spans="1:4" x14ac:dyDescent="0.25">
      <c r="A130" t="s">
        <v>285</v>
      </c>
      <c r="B130" t="s">
        <v>229</v>
      </c>
      <c r="C130" t="s">
        <v>286</v>
      </c>
    </row>
    <row r="131" spans="1:4" x14ac:dyDescent="0.25">
      <c r="A131" t="s">
        <v>287</v>
      </c>
      <c r="B131" t="s">
        <v>288</v>
      </c>
      <c r="C131" t="s">
        <v>289</v>
      </c>
      <c r="D131" t="s">
        <v>290</v>
      </c>
    </row>
    <row r="132" spans="1:4" x14ac:dyDescent="0.25">
      <c r="A132" t="s">
        <v>291</v>
      </c>
      <c r="B132" t="s">
        <v>124</v>
      </c>
      <c r="C132" t="s">
        <v>292</v>
      </c>
    </row>
    <row r="133" spans="1:4" x14ac:dyDescent="0.25">
      <c r="A133" t="s">
        <v>293</v>
      </c>
    </row>
    <row r="134" spans="1:4" x14ac:dyDescent="0.25">
      <c r="A134" t="s">
        <v>294</v>
      </c>
    </row>
    <row r="135" spans="1:4" x14ac:dyDescent="0.25">
      <c r="A135" t="s">
        <v>295</v>
      </c>
      <c r="B135" t="s">
        <v>296</v>
      </c>
      <c r="C135" t="s">
        <v>297</v>
      </c>
    </row>
    <row r="136" spans="1:4" x14ac:dyDescent="0.25">
      <c r="A136" t="s">
        <v>298</v>
      </c>
      <c r="B136" t="s">
        <v>299</v>
      </c>
    </row>
    <row r="137" spans="1:4" x14ac:dyDescent="0.25">
      <c r="A137" t="s">
        <v>300</v>
      </c>
      <c r="B137" t="s">
        <v>301</v>
      </c>
    </row>
    <row r="138" spans="1:4" x14ac:dyDescent="0.25">
      <c r="A138" t="s">
        <v>302</v>
      </c>
      <c r="B138" t="s">
        <v>303</v>
      </c>
      <c r="C138" t="s">
        <v>304</v>
      </c>
    </row>
    <row r="139" spans="1:4" x14ac:dyDescent="0.25">
      <c r="A139" t="s">
        <v>305</v>
      </c>
    </row>
    <row r="140" spans="1:4" x14ac:dyDescent="0.25">
      <c r="A140" t="s">
        <v>306</v>
      </c>
      <c r="B140" t="s">
        <v>307</v>
      </c>
    </row>
    <row r="141" spans="1:4" x14ac:dyDescent="0.25">
      <c r="A141" t="s">
        <v>308</v>
      </c>
      <c r="B141" t="s">
        <v>309</v>
      </c>
    </row>
    <row r="142" spans="1:4" x14ac:dyDescent="0.25">
      <c r="A142" t="s">
        <v>310</v>
      </c>
    </row>
    <row r="143" spans="1:4" x14ac:dyDescent="0.25">
      <c r="A143" t="s">
        <v>311</v>
      </c>
      <c r="B143" t="s">
        <v>312</v>
      </c>
      <c r="C143" t="s">
        <v>313</v>
      </c>
    </row>
    <row r="144" spans="1:4" x14ac:dyDescent="0.25">
      <c r="A144" t="s">
        <v>314</v>
      </c>
    </row>
    <row r="145" spans="1:6" x14ac:dyDescent="0.25">
      <c r="A145" t="s">
        <v>315</v>
      </c>
      <c r="B145" t="s">
        <v>316</v>
      </c>
    </row>
    <row r="146" spans="1:6" x14ac:dyDescent="0.25">
      <c r="A146" t="s">
        <v>317</v>
      </c>
      <c r="B146" t="s">
        <v>262</v>
      </c>
      <c r="C146" t="s">
        <v>318</v>
      </c>
    </row>
    <row r="147" spans="1:6" x14ac:dyDescent="0.25">
      <c r="A147" t="s">
        <v>58</v>
      </c>
    </row>
    <row r="148" spans="1:6" x14ac:dyDescent="0.25">
      <c r="A148" t="s">
        <v>319</v>
      </c>
    </row>
    <row r="149" spans="1:6" x14ac:dyDescent="0.25">
      <c r="A149" t="s">
        <v>320</v>
      </c>
      <c r="B149" t="s">
        <v>321</v>
      </c>
    </row>
    <row r="150" spans="1:6" x14ac:dyDescent="0.25">
      <c r="A150" t="s">
        <v>322</v>
      </c>
    </row>
    <row r="151" spans="1:6" x14ac:dyDescent="0.25">
      <c r="A151" t="s">
        <v>214</v>
      </c>
      <c r="B151" t="s">
        <v>323</v>
      </c>
      <c r="C151" t="s">
        <v>324</v>
      </c>
    </row>
    <row r="152" spans="1:6" x14ac:dyDescent="0.25">
      <c r="A152" t="s">
        <v>325</v>
      </c>
      <c r="B152" t="s">
        <v>326</v>
      </c>
      <c r="C152" t="s">
        <v>327</v>
      </c>
    </row>
    <row r="153" spans="1:6" x14ac:dyDescent="0.25">
      <c r="A153" t="s">
        <v>328</v>
      </c>
    </row>
    <row r="154" spans="1:6" x14ac:dyDescent="0.25">
      <c r="A154" t="s">
        <v>329</v>
      </c>
      <c r="B154" t="s">
        <v>330</v>
      </c>
      <c r="C154" t="s">
        <v>331</v>
      </c>
      <c r="D154" t="s">
        <v>332</v>
      </c>
    </row>
    <row r="155" spans="1:6" x14ac:dyDescent="0.25">
      <c r="A155" t="s">
        <v>333</v>
      </c>
    </row>
    <row r="156" spans="1:6" x14ac:dyDescent="0.25">
      <c r="A156" t="s">
        <v>334</v>
      </c>
      <c r="B156" t="s">
        <v>330</v>
      </c>
    </row>
    <row r="157" spans="1:6" x14ac:dyDescent="0.25">
      <c r="A157" t="s">
        <v>335</v>
      </c>
    </row>
    <row r="158" spans="1:6" x14ac:dyDescent="0.25">
      <c r="A158" t="s">
        <v>336</v>
      </c>
      <c r="B158" t="s">
        <v>337</v>
      </c>
      <c r="C158" t="s">
        <v>338</v>
      </c>
      <c r="D158" t="s">
        <v>339</v>
      </c>
      <c r="E158" t="s">
        <v>340</v>
      </c>
      <c r="F158" t="s">
        <v>341</v>
      </c>
    </row>
    <row r="159" spans="1:6" x14ac:dyDescent="0.25">
      <c r="A159" t="s">
        <v>342</v>
      </c>
    </row>
    <row r="160" spans="1:6" x14ac:dyDescent="0.25">
      <c r="A160" t="s">
        <v>343</v>
      </c>
      <c r="B160" t="s">
        <v>344</v>
      </c>
    </row>
    <row r="161" spans="1:5" x14ac:dyDescent="0.25">
      <c r="A161" t="s">
        <v>345</v>
      </c>
    </row>
    <row r="162" spans="1:5" x14ac:dyDescent="0.25">
      <c r="A162" t="s">
        <v>346</v>
      </c>
    </row>
    <row r="163" spans="1:5" x14ac:dyDescent="0.25">
      <c r="A163" t="s">
        <v>347</v>
      </c>
    </row>
    <row r="164" spans="1:5" x14ac:dyDescent="0.25">
      <c r="A164" t="s">
        <v>348</v>
      </c>
      <c r="B164" t="s">
        <v>349</v>
      </c>
    </row>
    <row r="165" spans="1:5" x14ac:dyDescent="0.25">
      <c r="A165" t="s">
        <v>350</v>
      </c>
      <c r="B165" t="s">
        <v>351</v>
      </c>
    </row>
    <row r="166" spans="1:5" x14ac:dyDescent="0.25">
      <c r="A166" t="s">
        <v>352</v>
      </c>
      <c r="B166" t="s">
        <v>353</v>
      </c>
      <c r="C166" t="s">
        <v>354</v>
      </c>
      <c r="D166" t="s">
        <v>355</v>
      </c>
    </row>
    <row r="167" spans="1:5" x14ac:dyDescent="0.25">
      <c r="A167" t="s">
        <v>356</v>
      </c>
      <c r="B167" t="s">
        <v>357</v>
      </c>
      <c r="C167" t="s">
        <v>358</v>
      </c>
      <c r="D167" t="s">
        <v>359</v>
      </c>
      <c r="E167" t="s">
        <v>360</v>
      </c>
    </row>
    <row r="168" spans="1:5" x14ac:dyDescent="0.25">
      <c r="A168" t="s">
        <v>361</v>
      </c>
    </row>
    <row r="169" spans="1:5" x14ac:dyDescent="0.25">
      <c r="A169" t="s">
        <v>362</v>
      </c>
    </row>
    <row r="170" spans="1:5" x14ac:dyDescent="0.25">
      <c r="A170" t="s">
        <v>363</v>
      </c>
    </row>
    <row r="171" spans="1:5" x14ac:dyDescent="0.25">
      <c r="A171" t="s">
        <v>278</v>
      </c>
      <c r="B171" t="s">
        <v>104</v>
      </c>
      <c r="C171" t="s">
        <v>364</v>
      </c>
    </row>
    <row r="172" spans="1:5" x14ac:dyDescent="0.25">
      <c r="A172" t="s">
        <v>365</v>
      </c>
      <c r="B172" t="s">
        <v>366</v>
      </c>
    </row>
    <row r="173" spans="1:5" x14ac:dyDescent="0.25">
      <c r="A173" t="s">
        <v>367</v>
      </c>
      <c r="B173" t="s">
        <v>368</v>
      </c>
      <c r="C173" t="s">
        <v>369</v>
      </c>
      <c r="D173" t="s">
        <v>283</v>
      </c>
    </row>
    <row r="174" spans="1:5" x14ac:dyDescent="0.25">
      <c r="A174" t="s">
        <v>370</v>
      </c>
      <c r="B174" t="s">
        <v>371</v>
      </c>
    </row>
    <row r="175" spans="1:5" x14ac:dyDescent="0.25">
      <c r="A175" t="s">
        <v>372</v>
      </c>
      <c r="B175" t="s">
        <v>373</v>
      </c>
      <c r="C175" t="s">
        <v>176</v>
      </c>
      <c r="D175" t="s">
        <v>374</v>
      </c>
    </row>
    <row r="176" spans="1:5" x14ac:dyDescent="0.25">
      <c r="A176" t="s">
        <v>375</v>
      </c>
    </row>
    <row r="177" spans="1:6" x14ac:dyDescent="0.25">
      <c r="A177" t="s">
        <v>376</v>
      </c>
      <c r="B177" t="s">
        <v>377</v>
      </c>
    </row>
    <row r="178" spans="1:6" x14ac:dyDescent="0.25">
      <c r="A178" t="s">
        <v>61</v>
      </c>
      <c r="B178" t="s">
        <v>378</v>
      </c>
    </row>
    <row r="179" spans="1:6" x14ac:dyDescent="0.25">
      <c r="A179" t="s">
        <v>379</v>
      </c>
      <c r="B179" t="s">
        <v>229</v>
      </c>
      <c r="C179" t="s">
        <v>313</v>
      </c>
    </row>
    <row r="180" spans="1:6" x14ac:dyDescent="0.25">
      <c r="A180" t="s">
        <v>380</v>
      </c>
    </row>
    <row r="181" spans="1:6" x14ac:dyDescent="0.25">
      <c r="A181" t="s">
        <v>381</v>
      </c>
      <c r="B181" t="s">
        <v>382</v>
      </c>
      <c r="C181" t="s">
        <v>383</v>
      </c>
      <c r="D181" t="s">
        <v>384</v>
      </c>
      <c r="E181" t="s">
        <v>385</v>
      </c>
    </row>
    <row r="182" spans="1:6" x14ac:dyDescent="0.25">
      <c r="A182" t="s">
        <v>386</v>
      </c>
      <c r="B182" t="s">
        <v>387</v>
      </c>
      <c r="C182" t="s">
        <v>388</v>
      </c>
      <c r="D182" t="s">
        <v>389</v>
      </c>
      <c r="E182" t="s">
        <v>390</v>
      </c>
      <c r="F182" t="s">
        <v>391</v>
      </c>
    </row>
    <row r="183" spans="1:6" x14ac:dyDescent="0.25">
      <c r="A183" t="s">
        <v>97</v>
      </c>
      <c r="B183" t="s">
        <v>392</v>
      </c>
    </row>
    <row r="184" spans="1:6" x14ac:dyDescent="0.25">
      <c r="A184" t="s">
        <v>393</v>
      </c>
      <c r="B184" t="s">
        <v>356</v>
      </c>
      <c r="C184" t="s">
        <v>394</v>
      </c>
    </row>
    <row r="185" spans="1:6" x14ac:dyDescent="0.25">
      <c r="A185" t="s">
        <v>395</v>
      </c>
    </row>
    <row r="186" spans="1:6" x14ac:dyDescent="0.25">
      <c r="A186" t="s">
        <v>396</v>
      </c>
    </row>
    <row r="187" spans="1:6" x14ac:dyDescent="0.25">
      <c r="A187" t="s">
        <v>397</v>
      </c>
      <c r="B187" t="s">
        <v>398</v>
      </c>
      <c r="C187" t="s">
        <v>263</v>
      </c>
    </row>
    <row r="188" spans="1:6" x14ac:dyDescent="0.25">
      <c r="A188" t="s">
        <v>399</v>
      </c>
      <c r="B188" t="s">
        <v>214</v>
      </c>
      <c r="C188" t="s">
        <v>400</v>
      </c>
      <c r="D188" t="s">
        <v>401</v>
      </c>
    </row>
    <row r="189" spans="1:6" x14ac:dyDescent="0.25">
      <c r="A189" t="s">
        <v>402</v>
      </c>
      <c r="B189" t="s">
        <v>403</v>
      </c>
    </row>
    <row r="190" spans="1:6" x14ac:dyDescent="0.25">
      <c r="A190" t="s">
        <v>404</v>
      </c>
    </row>
    <row r="191" spans="1:6" x14ac:dyDescent="0.25">
      <c r="A191" t="s">
        <v>405</v>
      </c>
      <c r="B191" t="s">
        <v>406</v>
      </c>
      <c r="C191" t="s">
        <v>407</v>
      </c>
    </row>
    <row r="192" spans="1:6" x14ac:dyDescent="0.25">
      <c r="A192" t="s">
        <v>408</v>
      </c>
    </row>
    <row r="193" spans="1:5" x14ac:dyDescent="0.25">
      <c r="A193" t="s">
        <v>409</v>
      </c>
      <c r="B193" t="s">
        <v>300</v>
      </c>
    </row>
    <row r="194" spans="1:5" x14ac:dyDescent="0.25">
      <c r="A194" t="s">
        <v>410</v>
      </c>
    </row>
    <row r="195" spans="1:5" x14ac:dyDescent="0.25">
      <c r="A195" t="s">
        <v>411</v>
      </c>
      <c r="B195" t="s">
        <v>394</v>
      </c>
    </row>
    <row r="196" spans="1:5" x14ac:dyDescent="0.25">
      <c r="A196" t="s">
        <v>412</v>
      </c>
      <c r="B196" t="s">
        <v>413</v>
      </c>
      <c r="C196" t="s">
        <v>414</v>
      </c>
      <c r="D196" t="s">
        <v>313</v>
      </c>
      <c r="E196" t="s">
        <v>415</v>
      </c>
    </row>
    <row r="197" spans="1:5" x14ac:dyDescent="0.25">
      <c r="A197" t="s">
        <v>247</v>
      </c>
    </row>
    <row r="198" spans="1:5" x14ac:dyDescent="0.25">
      <c r="A198" t="s">
        <v>416</v>
      </c>
    </row>
    <row r="199" spans="1:5" x14ac:dyDescent="0.25">
      <c r="A199" t="s">
        <v>417</v>
      </c>
      <c r="B199" t="s">
        <v>275</v>
      </c>
    </row>
    <row r="200" spans="1:5" x14ac:dyDescent="0.25">
      <c r="A200" t="s">
        <v>114</v>
      </c>
      <c r="B200" t="s">
        <v>400</v>
      </c>
      <c r="C200" t="s">
        <v>418</v>
      </c>
    </row>
    <row r="201" spans="1:5" x14ac:dyDescent="0.25">
      <c r="A201" t="s">
        <v>419</v>
      </c>
      <c r="B201" t="s">
        <v>420</v>
      </c>
    </row>
    <row r="202" spans="1:5" x14ac:dyDescent="0.25">
      <c r="A202" t="s">
        <v>421</v>
      </c>
    </row>
    <row r="203" spans="1:5" x14ac:dyDescent="0.25">
      <c r="A203" t="s">
        <v>187</v>
      </c>
      <c r="B203" t="s">
        <v>422</v>
      </c>
    </row>
    <row r="204" spans="1:5" x14ac:dyDescent="0.25">
      <c r="A204" t="s">
        <v>423</v>
      </c>
      <c r="B204" t="s">
        <v>424</v>
      </c>
      <c r="C204" t="s">
        <v>425</v>
      </c>
      <c r="D204" t="s">
        <v>426</v>
      </c>
      <c r="E204" t="s">
        <v>427</v>
      </c>
    </row>
    <row r="205" spans="1:5" x14ac:dyDescent="0.25">
      <c r="A205" t="s">
        <v>428</v>
      </c>
      <c r="B205" t="s">
        <v>429</v>
      </c>
      <c r="C205" t="s">
        <v>430</v>
      </c>
      <c r="D205" t="s">
        <v>431</v>
      </c>
    </row>
    <row r="206" spans="1:5" x14ac:dyDescent="0.25">
      <c r="A206" t="s">
        <v>432</v>
      </c>
    </row>
    <row r="207" spans="1:5" x14ac:dyDescent="0.25">
      <c r="A207" t="s">
        <v>433</v>
      </c>
      <c r="B207" t="s">
        <v>434</v>
      </c>
    </row>
    <row r="208" spans="1:5" x14ac:dyDescent="0.25">
      <c r="A208" t="s">
        <v>435</v>
      </c>
      <c r="B208" t="s">
        <v>187</v>
      </c>
    </row>
    <row r="209" spans="1:4" x14ac:dyDescent="0.25">
      <c r="A209" t="s">
        <v>436</v>
      </c>
      <c r="B209" t="s">
        <v>56</v>
      </c>
    </row>
    <row r="210" spans="1:4" x14ac:dyDescent="0.25">
      <c r="A210" t="s">
        <v>234</v>
      </c>
      <c r="B210" t="s">
        <v>394</v>
      </c>
    </row>
    <row r="211" spans="1:4" x14ac:dyDescent="0.25">
      <c r="A211" t="s">
        <v>437</v>
      </c>
      <c r="B211" t="s">
        <v>438</v>
      </c>
    </row>
    <row r="212" spans="1:4" x14ac:dyDescent="0.25">
      <c r="A212" t="s">
        <v>330</v>
      </c>
    </row>
    <row r="213" spans="1:4" x14ac:dyDescent="0.25">
      <c r="A213" t="s">
        <v>439</v>
      </c>
      <c r="B213" t="s">
        <v>115</v>
      </c>
    </row>
    <row r="214" spans="1:4" x14ac:dyDescent="0.25">
      <c r="A214" t="s">
        <v>440</v>
      </c>
      <c r="B214" t="s">
        <v>441</v>
      </c>
      <c r="C214" t="s">
        <v>442</v>
      </c>
    </row>
    <row r="215" spans="1:4" x14ac:dyDescent="0.25">
      <c r="A215" t="s">
        <v>443</v>
      </c>
    </row>
    <row r="216" spans="1:4" x14ac:dyDescent="0.25">
      <c r="A216" t="s">
        <v>221</v>
      </c>
      <c r="B216" t="s">
        <v>444</v>
      </c>
      <c r="C216" t="s">
        <v>445</v>
      </c>
      <c r="D216" t="s">
        <v>446</v>
      </c>
    </row>
    <row r="217" spans="1:4" x14ac:dyDescent="0.25">
      <c r="A217" t="s">
        <v>447</v>
      </c>
    </row>
    <row r="218" spans="1:4" x14ac:dyDescent="0.25">
      <c r="A218" t="s">
        <v>448</v>
      </c>
      <c r="B218" t="s">
        <v>449</v>
      </c>
      <c r="C218" t="s">
        <v>412</v>
      </c>
    </row>
    <row r="219" spans="1:4" x14ac:dyDescent="0.25">
      <c r="A219" t="s">
        <v>450</v>
      </c>
      <c r="B219" t="s">
        <v>442</v>
      </c>
      <c r="C219" t="s">
        <v>451</v>
      </c>
    </row>
    <row r="220" spans="1:4" x14ac:dyDescent="0.25">
      <c r="A220" t="s">
        <v>452</v>
      </c>
      <c r="B220" t="s">
        <v>453</v>
      </c>
      <c r="C220" t="s">
        <v>454</v>
      </c>
    </row>
    <row r="221" spans="1:4" x14ac:dyDescent="0.25">
      <c r="A221" t="s">
        <v>455</v>
      </c>
      <c r="B221" t="s">
        <v>456</v>
      </c>
    </row>
    <row r="222" spans="1:4" x14ac:dyDescent="0.25">
      <c r="A222" t="s">
        <v>457</v>
      </c>
      <c r="B222" t="s">
        <v>458</v>
      </c>
      <c r="C222" t="s">
        <v>361</v>
      </c>
      <c r="D222" t="s">
        <v>333</v>
      </c>
    </row>
    <row r="223" spans="1:4" x14ac:dyDescent="0.25">
      <c r="A223" t="s">
        <v>459</v>
      </c>
      <c r="B223" t="s">
        <v>460</v>
      </c>
    </row>
    <row r="224" spans="1:4" x14ac:dyDescent="0.25">
      <c r="A224" t="s">
        <v>461</v>
      </c>
    </row>
    <row r="225" spans="1:3" x14ac:dyDescent="0.25">
      <c r="A225" t="s">
        <v>462</v>
      </c>
    </row>
    <row r="226" spans="1:3" x14ac:dyDescent="0.25">
      <c r="A226" t="s">
        <v>463</v>
      </c>
    </row>
    <row r="227" spans="1:3" x14ac:dyDescent="0.25">
      <c r="A227" t="s">
        <v>464</v>
      </c>
      <c r="B227" t="s">
        <v>465</v>
      </c>
      <c r="C227" t="s">
        <v>466</v>
      </c>
    </row>
    <row r="228" spans="1:3" x14ac:dyDescent="0.25">
      <c r="A228" t="s">
        <v>467</v>
      </c>
      <c r="B228" t="s">
        <v>468</v>
      </c>
    </row>
    <row r="229" spans="1:3" x14ac:dyDescent="0.25">
      <c r="A229" t="s">
        <v>469</v>
      </c>
    </row>
    <row r="230" spans="1:3" x14ac:dyDescent="0.25">
      <c r="A230" t="s">
        <v>197</v>
      </c>
      <c r="B230" t="s">
        <v>470</v>
      </c>
      <c r="C230" t="s">
        <v>471</v>
      </c>
    </row>
    <row r="231" spans="1:3" x14ac:dyDescent="0.25">
      <c r="A231" t="s">
        <v>472</v>
      </c>
      <c r="B231" t="s">
        <v>473</v>
      </c>
    </row>
    <row r="232" spans="1:3" x14ac:dyDescent="0.25">
      <c r="A232" t="s">
        <v>474</v>
      </c>
    </row>
    <row r="233" spans="1:3" x14ac:dyDescent="0.25">
      <c r="A233" t="s">
        <v>475</v>
      </c>
      <c r="B233" t="s">
        <v>476</v>
      </c>
    </row>
    <row r="234" spans="1:3" x14ac:dyDescent="0.25">
      <c r="A234" t="s">
        <v>477</v>
      </c>
    </row>
    <row r="235" spans="1:3" x14ac:dyDescent="0.25">
      <c r="A235" t="s">
        <v>478</v>
      </c>
      <c r="B235" t="s">
        <v>479</v>
      </c>
    </row>
    <row r="236" spans="1:3" x14ac:dyDescent="0.25">
      <c r="A236" t="s">
        <v>480</v>
      </c>
      <c r="B236" t="s">
        <v>481</v>
      </c>
    </row>
    <row r="237" spans="1:3" x14ac:dyDescent="0.25">
      <c r="A237" t="s">
        <v>482</v>
      </c>
    </row>
    <row r="238" spans="1:3" x14ac:dyDescent="0.25">
      <c r="A238" t="s">
        <v>483</v>
      </c>
      <c r="B238" t="s">
        <v>484</v>
      </c>
      <c r="C238" t="s">
        <v>485</v>
      </c>
    </row>
    <row r="239" spans="1:3" x14ac:dyDescent="0.25">
      <c r="A239" t="s">
        <v>486</v>
      </c>
    </row>
    <row r="240" spans="1:3" x14ac:dyDescent="0.25">
      <c r="A240" t="s">
        <v>61</v>
      </c>
      <c r="B240" t="s">
        <v>487</v>
      </c>
    </row>
    <row r="241" spans="1:5" x14ac:dyDescent="0.25">
      <c r="A241" t="s">
        <v>488</v>
      </c>
      <c r="B241" t="s">
        <v>489</v>
      </c>
    </row>
    <row r="242" spans="1:5" x14ac:dyDescent="0.25">
      <c r="A242" t="s">
        <v>490</v>
      </c>
      <c r="B242" t="s">
        <v>491</v>
      </c>
      <c r="C242" t="s">
        <v>492</v>
      </c>
    </row>
    <row r="243" spans="1:5" x14ac:dyDescent="0.25">
      <c r="A243" t="s">
        <v>493</v>
      </c>
      <c r="B243" t="s">
        <v>494</v>
      </c>
      <c r="C243" t="s">
        <v>495</v>
      </c>
    </row>
    <row r="244" spans="1:5" x14ac:dyDescent="0.25">
      <c r="A244" t="s">
        <v>496</v>
      </c>
      <c r="B244" t="s">
        <v>497</v>
      </c>
    </row>
    <row r="245" spans="1:5" x14ac:dyDescent="0.25">
      <c r="A245" t="s">
        <v>498</v>
      </c>
      <c r="B245" t="s">
        <v>56</v>
      </c>
      <c r="C245" t="s">
        <v>499</v>
      </c>
    </row>
    <row r="246" spans="1:5" x14ac:dyDescent="0.25">
      <c r="A246" t="s">
        <v>500</v>
      </c>
    </row>
    <row r="247" spans="1:5" x14ac:dyDescent="0.25">
      <c r="A247" t="s">
        <v>501</v>
      </c>
      <c r="B247" t="s">
        <v>502</v>
      </c>
    </row>
    <row r="248" spans="1:5" x14ac:dyDescent="0.25">
      <c r="A248" t="s">
        <v>503</v>
      </c>
      <c r="B248" t="s">
        <v>504</v>
      </c>
      <c r="C248" t="s">
        <v>313</v>
      </c>
    </row>
    <row r="249" spans="1:5" x14ac:dyDescent="0.25">
      <c r="A249" t="s">
        <v>505</v>
      </c>
    </row>
    <row r="250" spans="1:5" x14ac:dyDescent="0.25">
      <c r="A250" t="s">
        <v>506</v>
      </c>
    </row>
    <row r="251" spans="1:5" x14ac:dyDescent="0.25">
      <c r="A251" t="s">
        <v>436</v>
      </c>
      <c r="B251" t="s">
        <v>160</v>
      </c>
      <c r="C251" t="s">
        <v>178</v>
      </c>
      <c r="D251" t="s">
        <v>507</v>
      </c>
      <c r="E251" t="s">
        <v>508</v>
      </c>
    </row>
    <row r="252" spans="1:5" x14ac:dyDescent="0.25">
      <c r="A252" t="s">
        <v>509</v>
      </c>
    </row>
    <row r="253" spans="1:5" x14ac:dyDescent="0.25">
      <c r="A253" t="s">
        <v>510</v>
      </c>
      <c r="B253" t="s">
        <v>187</v>
      </c>
    </row>
    <row r="254" spans="1:5" x14ac:dyDescent="0.25">
      <c r="A254" t="s">
        <v>511</v>
      </c>
      <c r="B254" t="s">
        <v>512</v>
      </c>
      <c r="C254" t="s">
        <v>85</v>
      </c>
    </row>
    <row r="255" spans="1:5" x14ac:dyDescent="0.25">
      <c r="A255" t="s">
        <v>513</v>
      </c>
      <c r="B255" t="s">
        <v>514</v>
      </c>
    </row>
    <row r="256" spans="1:5" x14ac:dyDescent="0.25">
      <c r="A256" t="s">
        <v>515</v>
      </c>
      <c r="B256" t="s">
        <v>123</v>
      </c>
    </row>
    <row r="257" spans="1:6" x14ac:dyDescent="0.25">
      <c r="A257" t="s">
        <v>516</v>
      </c>
    </row>
    <row r="258" spans="1:6" x14ac:dyDescent="0.25">
      <c r="A258" t="s">
        <v>517</v>
      </c>
      <c r="B258" t="s">
        <v>518</v>
      </c>
      <c r="C258" t="s">
        <v>191</v>
      </c>
    </row>
    <row r="259" spans="1:6" x14ac:dyDescent="0.25">
      <c r="A259" t="s">
        <v>519</v>
      </c>
      <c r="B259" t="s">
        <v>520</v>
      </c>
    </row>
    <row r="260" spans="1:6" x14ac:dyDescent="0.25">
      <c r="A260" t="s">
        <v>262</v>
      </c>
      <c r="B260" t="s">
        <v>56</v>
      </c>
      <c r="C260" t="s">
        <v>521</v>
      </c>
      <c r="D260" t="s">
        <v>522</v>
      </c>
    </row>
    <row r="261" spans="1:6" x14ac:dyDescent="0.25">
      <c r="A261" t="s">
        <v>523</v>
      </c>
    </row>
    <row r="262" spans="1:6" x14ac:dyDescent="0.25">
      <c r="A262" t="s">
        <v>327</v>
      </c>
      <c r="B262" t="s">
        <v>524</v>
      </c>
      <c r="C262" t="s">
        <v>407</v>
      </c>
    </row>
    <row r="263" spans="1:6" x14ac:dyDescent="0.25">
      <c r="A263" t="s">
        <v>56</v>
      </c>
      <c r="B263" t="s">
        <v>525</v>
      </c>
      <c r="C263" t="s">
        <v>526</v>
      </c>
      <c r="D263" t="s">
        <v>527</v>
      </c>
      <c r="E263" t="s">
        <v>528</v>
      </c>
    </row>
    <row r="264" spans="1:6" x14ac:dyDescent="0.25">
      <c r="A264" t="s">
        <v>529</v>
      </c>
    </row>
    <row r="265" spans="1:6" x14ac:dyDescent="0.25">
      <c r="A265" t="s">
        <v>530</v>
      </c>
      <c r="B265" t="s">
        <v>302</v>
      </c>
      <c r="C265" t="s">
        <v>531</v>
      </c>
      <c r="D265" t="s">
        <v>42</v>
      </c>
    </row>
    <row r="266" spans="1:6" x14ac:dyDescent="0.25">
      <c r="A266" t="s">
        <v>532</v>
      </c>
    </row>
    <row r="267" spans="1:6" x14ac:dyDescent="0.25">
      <c r="A267" t="s">
        <v>533</v>
      </c>
    </row>
    <row r="268" spans="1:6" x14ac:dyDescent="0.25">
      <c r="A268" t="s">
        <v>534</v>
      </c>
      <c r="B268" t="s">
        <v>535</v>
      </c>
    </row>
    <row r="269" spans="1:6" x14ac:dyDescent="0.25">
      <c r="A269" t="s">
        <v>211</v>
      </c>
      <c r="B269" t="s">
        <v>536</v>
      </c>
      <c r="C269" t="s">
        <v>537</v>
      </c>
      <c r="D269" t="s">
        <v>538</v>
      </c>
      <c r="E269" t="s">
        <v>539</v>
      </c>
      <c r="F269" t="s">
        <v>540</v>
      </c>
    </row>
    <row r="270" spans="1:6" x14ac:dyDescent="0.25">
      <c r="A270" t="s">
        <v>541</v>
      </c>
      <c r="B270" t="s">
        <v>542</v>
      </c>
      <c r="C270" t="s">
        <v>100</v>
      </c>
    </row>
    <row r="271" spans="1:6" x14ac:dyDescent="0.25">
      <c r="A271" t="s">
        <v>543</v>
      </c>
    </row>
    <row r="272" spans="1:6" x14ac:dyDescent="0.25">
      <c r="A272" t="s">
        <v>544</v>
      </c>
      <c r="B272" t="s">
        <v>545</v>
      </c>
    </row>
    <row r="273" spans="1:4" x14ac:dyDescent="0.25">
      <c r="A273" t="s">
        <v>546</v>
      </c>
      <c r="B273" t="s">
        <v>547</v>
      </c>
    </row>
    <row r="274" spans="1:4" x14ac:dyDescent="0.25">
      <c r="A274" t="s">
        <v>548</v>
      </c>
    </row>
    <row r="275" spans="1:4" x14ac:dyDescent="0.25">
      <c r="A275" t="s">
        <v>549</v>
      </c>
      <c r="B275" t="s">
        <v>206</v>
      </c>
      <c r="C275" t="s">
        <v>550</v>
      </c>
      <c r="D275" t="s">
        <v>333</v>
      </c>
    </row>
    <row r="276" spans="1:4" x14ac:dyDescent="0.25">
      <c r="A276" t="s">
        <v>551</v>
      </c>
    </row>
    <row r="277" spans="1:4" x14ac:dyDescent="0.25">
      <c r="A277" t="s">
        <v>552</v>
      </c>
    </row>
    <row r="278" spans="1:4" x14ac:dyDescent="0.25">
      <c r="A278" t="s">
        <v>553</v>
      </c>
    </row>
    <row r="279" spans="1:4" x14ac:dyDescent="0.25">
      <c r="A279" t="s">
        <v>200</v>
      </c>
      <c r="B279" t="s">
        <v>313</v>
      </c>
    </row>
    <row r="280" spans="1:4" x14ac:dyDescent="0.25">
      <c r="A280" t="s">
        <v>554</v>
      </c>
    </row>
    <row r="281" spans="1:4" x14ac:dyDescent="0.25">
      <c r="A281" t="s">
        <v>555</v>
      </c>
      <c r="B281" t="s">
        <v>556</v>
      </c>
    </row>
    <row r="282" spans="1:4" x14ac:dyDescent="0.25">
      <c r="A282" t="s">
        <v>557</v>
      </c>
      <c r="B282" t="s">
        <v>558</v>
      </c>
    </row>
    <row r="283" spans="1:4" x14ac:dyDescent="0.25">
      <c r="A283" t="s">
        <v>559</v>
      </c>
      <c r="B283" t="s">
        <v>560</v>
      </c>
      <c r="C283" t="s">
        <v>561</v>
      </c>
    </row>
    <row r="284" spans="1:4" x14ac:dyDescent="0.25">
      <c r="A284" t="s">
        <v>562</v>
      </c>
    </row>
    <row r="285" spans="1:4" x14ac:dyDescent="0.25">
      <c r="A285" t="s">
        <v>563</v>
      </c>
      <c r="B285" t="s">
        <v>61</v>
      </c>
    </row>
    <row r="286" spans="1:4" x14ac:dyDescent="0.25">
      <c r="A286" t="s">
        <v>564</v>
      </c>
    </row>
    <row r="287" spans="1:4" x14ac:dyDescent="0.25">
      <c r="A287" t="s">
        <v>565</v>
      </c>
    </row>
    <row r="288" spans="1:4" x14ac:dyDescent="0.25">
      <c r="A288" t="s">
        <v>506</v>
      </c>
      <c r="B288" t="s">
        <v>566</v>
      </c>
      <c r="C288" t="s">
        <v>56</v>
      </c>
    </row>
    <row r="289" spans="1:5" x14ac:dyDescent="0.25">
      <c r="A289" t="s">
        <v>567</v>
      </c>
    </row>
    <row r="290" spans="1:5" x14ac:dyDescent="0.25">
      <c r="A290" t="s">
        <v>568</v>
      </c>
    </row>
    <row r="291" spans="1:5" x14ac:dyDescent="0.25">
      <c r="A291" t="s">
        <v>569</v>
      </c>
      <c r="B291" t="s">
        <v>570</v>
      </c>
    </row>
    <row r="292" spans="1:5" x14ac:dyDescent="0.25">
      <c r="A292" t="s">
        <v>571</v>
      </c>
      <c r="B292" t="s">
        <v>115</v>
      </c>
    </row>
    <row r="293" spans="1:5" x14ac:dyDescent="0.25">
      <c r="A293" t="s">
        <v>572</v>
      </c>
    </row>
    <row r="294" spans="1:5" x14ac:dyDescent="0.25">
      <c r="A294" t="s">
        <v>573</v>
      </c>
      <c r="B294" t="s">
        <v>574</v>
      </c>
    </row>
    <row r="295" spans="1:5" x14ac:dyDescent="0.25">
      <c r="A295" t="s">
        <v>575</v>
      </c>
    </row>
    <row r="296" spans="1:5" x14ac:dyDescent="0.25">
      <c r="A296" t="s">
        <v>278</v>
      </c>
      <c r="B296" t="s">
        <v>576</v>
      </c>
    </row>
    <row r="297" spans="1:5" x14ac:dyDescent="0.25">
      <c r="A297" t="s">
        <v>577</v>
      </c>
    </row>
    <row r="298" spans="1:5" x14ac:dyDescent="0.25">
      <c r="A298" t="s">
        <v>578</v>
      </c>
    </row>
    <row r="299" spans="1:5" x14ac:dyDescent="0.25">
      <c r="A299" t="s">
        <v>579</v>
      </c>
    </row>
    <row r="300" spans="1:5" x14ac:dyDescent="0.25">
      <c r="A300" t="s">
        <v>302</v>
      </c>
      <c r="B300" t="s">
        <v>580</v>
      </c>
      <c r="C300" t="s">
        <v>581</v>
      </c>
    </row>
    <row r="301" spans="1:5" x14ac:dyDescent="0.25">
      <c r="A301" t="s">
        <v>582</v>
      </c>
      <c r="B301" t="s">
        <v>583</v>
      </c>
    </row>
    <row r="302" spans="1:5" x14ac:dyDescent="0.25">
      <c r="A302" t="s">
        <v>85</v>
      </c>
      <c r="B302" t="s">
        <v>78</v>
      </c>
      <c r="C302" t="s">
        <v>584</v>
      </c>
    </row>
    <row r="303" spans="1:5" x14ac:dyDescent="0.25">
      <c r="A303" t="s">
        <v>585</v>
      </c>
      <c r="B303" t="s">
        <v>128</v>
      </c>
    </row>
    <row r="304" spans="1:5" x14ac:dyDescent="0.25">
      <c r="A304" t="s">
        <v>586</v>
      </c>
      <c r="B304" t="s">
        <v>587</v>
      </c>
      <c r="C304" t="s">
        <v>588</v>
      </c>
      <c r="D304" t="s">
        <v>589</v>
      </c>
      <c r="E304" t="s">
        <v>590</v>
      </c>
    </row>
    <row r="305" spans="1:4" x14ac:dyDescent="0.25">
      <c r="A305" t="s">
        <v>591</v>
      </c>
    </row>
    <row r="306" spans="1:4" x14ac:dyDescent="0.25">
      <c r="A306" t="s">
        <v>592</v>
      </c>
      <c r="B306" t="s">
        <v>593</v>
      </c>
    </row>
    <row r="307" spans="1:4" x14ac:dyDescent="0.25">
      <c r="A307" t="s">
        <v>594</v>
      </c>
    </row>
    <row r="308" spans="1:4" x14ac:dyDescent="0.25">
      <c r="A308" t="s">
        <v>595</v>
      </c>
      <c r="B308" t="s">
        <v>596</v>
      </c>
      <c r="C308" t="s">
        <v>234</v>
      </c>
      <c r="D308" t="s">
        <v>597</v>
      </c>
    </row>
    <row r="309" spans="1:4" x14ac:dyDescent="0.25">
      <c r="A309" t="s">
        <v>598</v>
      </c>
      <c r="B309" t="s">
        <v>599</v>
      </c>
      <c r="C309" t="s">
        <v>115</v>
      </c>
    </row>
    <row r="310" spans="1:4" x14ac:dyDescent="0.25">
      <c r="A310" t="s">
        <v>600</v>
      </c>
      <c r="B310" t="s">
        <v>601</v>
      </c>
    </row>
    <row r="311" spans="1:4" x14ac:dyDescent="0.25">
      <c r="A311" t="s">
        <v>82</v>
      </c>
      <c r="B311" t="s">
        <v>602</v>
      </c>
    </row>
    <row r="312" spans="1:4" x14ac:dyDescent="0.25">
      <c r="A312" t="s">
        <v>603</v>
      </c>
      <c r="B312" t="s">
        <v>56</v>
      </c>
      <c r="C312" t="s">
        <v>604</v>
      </c>
    </row>
    <row r="313" spans="1:4" x14ac:dyDescent="0.25">
      <c r="A313" t="s">
        <v>61</v>
      </c>
      <c r="B313" t="s">
        <v>605</v>
      </c>
      <c r="C313" t="s">
        <v>606</v>
      </c>
    </row>
    <row r="314" spans="1:4" x14ac:dyDescent="0.25">
      <c r="A314" t="s">
        <v>61</v>
      </c>
      <c r="B314" t="s">
        <v>607</v>
      </c>
    </row>
    <row r="315" spans="1:4" x14ac:dyDescent="0.25">
      <c r="A315" t="s">
        <v>115</v>
      </c>
    </row>
    <row r="316" spans="1:4" x14ac:dyDescent="0.25">
      <c r="A316" t="s">
        <v>608</v>
      </c>
    </row>
    <row r="317" spans="1:4" x14ac:dyDescent="0.25">
      <c r="A317" t="s">
        <v>609</v>
      </c>
    </row>
    <row r="318" spans="1:4" x14ac:dyDescent="0.25">
      <c r="A318" t="s">
        <v>610</v>
      </c>
    </row>
    <row r="319" spans="1:4" x14ac:dyDescent="0.25">
      <c r="A319" t="s">
        <v>611</v>
      </c>
      <c r="B319" t="s">
        <v>612</v>
      </c>
    </row>
    <row r="320" spans="1:4" x14ac:dyDescent="0.25">
      <c r="A320" t="s">
        <v>613</v>
      </c>
    </row>
    <row r="321" spans="1:4" x14ac:dyDescent="0.25">
      <c r="A321" t="s">
        <v>278</v>
      </c>
    </row>
    <row r="322" spans="1:4" x14ac:dyDescent="0.25">
      <c r="A322" t="s">
        <v>614</v>
      </c>
    </row>
    <row r="323" spans="1:4" x14ac:dyDescent="0.25">
      <c r="A323" t="s">
        <v>615</v>
      </c>
    </row>
    <row r="324" spans="1:4" x14ac:dyDescent="0.25">
      <c r="A324" t="s">
        <v>616</v>
      </c>
    </row>
    <row r="325" spans="1:4" x14ac:dyDescent="0.25">
      <c r="A325" t="s">
        <v>617</v>
      </c>
      <c r="B325" t="s">
        <v>618</v>
      </c>
      <c r="C325" t="s">
        <v>619</v>
      </c>
    </row>
    <row r="326" spans="1:4" x14ac:dyDescent="0.25">
      <c r="A326" t="s">
        <v>620</v>
      </c>
    </row>
    <row r="327" spans="1:4" x14ac:dyDescent="0.25">
      <c r="A327" t="s">
        <v>621</v>
      </c>
      <c r="B327" t="s">
        <v>56</v>
      </c>
    </row>
    <row r="328" spans="1:4" x14ac:dyDescent="0.25">
      <c r="A328" t="s">
        <v>61</v>
      </c>
      <c r="B328" t="s">
        <v>622</v>
      </c>
      <c r="C328" t="s">
        <v>623</v>
      </c>
      <c r="D328" t="s">
        <v>624</v>
      </c>
    </row>
    <row r="329" spans="1:4" x14ac:dyDescent="0.25">
      <c r="A329" t="s">
        <v>46</v>
      </c>
    </row>
    <row r="330" spans="1:4" x14ac:dyDescent="0.25">
      <c r="A330" t="s">
        <v>85</v>
      </c>
      <c r="B330" t="s">
        <v>625</v>
      </c>
    </row>
    <row r="331" spans="1:4" x14ac:dyDescent="0.25">
      <c r="A331" t="s">
        <v>626</v>
      </c>
    </row>
    <row r="332" spans="1:4" x14ac:dyDescent="0.25">
      <c r="A332" t="s">
        <v>627</v>
      </c>
      <c r="B332" t="s">
        <v>206</v>
      </c>
    </row>
    <row r="333" spans="1:4" x14ac:dyDescent="0.25">
      <c r="A333" t="s">
        <v>628</v>
      </c>
    </row>
    <row r="334" spans="1:4" x14ac:dyDescent="0.25">
      <c r="A334" t="s">
        <v>629</v>
      </c>
    </row>
    <row r="335" spans="1:4" x14ac:dyDescent="0.25">
      <c r="A335" t="s">
        <v>630</v>
      </c>
      <c r="B335" t="s">
        <v>631</v>
      </c>
    </row>
    <row r="336" spans="1:4" x14ac:dyDescent="0.25">
      <c r="A336" t="s">
        <v>58</v>
      </c>
      <c r="B336" t="s">
        <v>632</v>
      </c>
    </row>
    <row r="337" spans="1:5" x14ac:dyDescent="0.25">
      <c r="A337" t="s">
        <v>633</v>
      </c>
      <c r="B337" t="s">
        <v>634</v>
      </c>
    </row>
    <row r="338" spans="1:5" x14ac:dyDescent="0.25">
      <c r="A338" t="s">
        <v>262</v>
      </c>
      <c r="B338" t="s">
        <v>635</v>
      </c>
      <c r="C338" t="s">
        <v>636</v>
      </c>
      <c r="D338" t="s">
        <v>637</v>
      </c>
    </row>
    <row r="339" spans="1:5" x14ac:dyDescent="0.25">
      <c r="A339" t="s">
        <v>335</v>
      </c>
      <c r="B339" t="s">
        <v>638</v>
      </c>
    </row>
    <row r="340" spans="1:5" x14ac:dyDescent="0.25">
      <c r="A340" t="s">
        <v>639</v>
      </c>
      <c r="B340" t="s">
        <v>640</v>
      </c>
      <c r="C340" t="s">
        <v>57</v>
      </c>
      <c r="D340" t="s">
        <v>641</v>
      </c>
      <c r="E340" t="s">
        <v>642</v>
      </c>
    </row>
    <row r="341" spans="1:5" x14ac:dyDescent="0.25">
      <c r="A341" t="s">
        <v>643</v>
      </c>
    </row>
    <row r="342" spans="1:5" x14ac:dyDescent="0.25">
      <c r="A342" t="s">
        <v>115</v>
      </c>
      <c r="B342" t="s">
        <v>644</v>
      </c>
      <c r="C342" t="s">
        <v>645</v>
      </c>
    </row>
    <row r="343" spans="1:5" x14ac:dyDescent="0.25">
      <c r="A343" t="s">
        <v>646</v>
      </c>
      <c r="B343" t="s">
        <v>361</v>
      </c>
      <c r="C343" t="s">
        <v>647</v>
      </c>
    </row>
    <row r="344" spans="1:5" x14ac:dyDescent="0.25">
      <c r="A344" t="s">
        <v>124</v>
      </c>
      <c r="B344" t="s">
        <v>234</v>
      </c>
    </row>
    <row r="345" spans="1:5" x14ac:dyDescent="0.25">
      <c r="A345" t="s">
        <v>648</v>
      </c>
      <c r="B345" t="s">
        <v>649</v>
      </c>
    </row>
    <row r="346" spans="1:5" x14ac:dyDescent="0.25">
      <c r="A346" t="s">
        <v>650</v>
      </c>
      <c r="B346" t="s">
        <v>651</v>
      </c>
    </row>
    <row r="347" spans="1:5" x14ac:dyDescent="0.25">
      <c r="A347" t="s">
        <v>652</v>
      </c>
      <c r="B347" t="s">
        <v>653</v>
      </c>
    </row>
    <row r="348" spans="1:5" x14ac:dyDescent="0.25">
      <c r="A348" t="s">
        <v>654</v>
      </c>
    </row>
    <row r="349" spans="1:5" x14ac:dyDescent="0.25">
      <c r="A349" t="s">
        <v>655</v>
      </c>
      <c r="B349" t="s">
        <v>656</v>
      </c>
    </row>
    <row r="350" spans="1:5" x14ac:dyDescent="0.25">
      <c r="A350" t="s">
        <v>657</v>
      </c>
    </row>
    <row r="351" spans="1:5" x14ac:dyDescent="0.25">
      <c r="A351" t="s">
        <v>658</v>
      </c>
    </row>
    <row r="352" spans="1:5" x14ac:dyDescent="0.25">
      <c r="A352" t="s">
        <v>131</v>
      </c>
      <c r="B352" t="s">
        <v>659</v>
      </c>
      <c r="C352" t="s">
        <v>660</v>
      </c>
      <c r="D352" t="s">
        <v>234</v>
      </c>
      <c r="E352" t="s">
        <v>327</v>
      </c>
    </row>
    <row r="353" spans="1:5" x14ac:dyDescent="0.25">
      <c r="A353" t="s">
        <v>661</v>
      </c>
    </row>
    <row r="354" spans="1:5" x14ac:dyDescent="0.25">
      <c r="A354" t="s">
        <v>576</v>
      </c>
      <c r="B354" t="s">
        <v>662</v>
      </c>
    </row>
    <row r="355" spans="1:5" x14ac:dyDescent="0.25">
      <c r="A355" t="s">
        <v>663</v>
      </c>
      <c r="B355" t="s">
        <v>664</v>
      </c>
    </row>
    <row r="356" spans="1:5" x14ac:dyDescent="0.25">
      <c r="A356" t="s">
        <v>665</v>
      </c>
    </row>
    <row r="357" spans="1:5" x14ac:dyDescent="0.25">
      <c r="A357" t="s">
        <v>666</v>
      </c>
      <c r="B357" t="s">
        <v>667</v>
      </c>
      <c r="C357" t="s">
        <v>668</v>
      </c>
      <c r="D357" t="s">
        <v>669</v>
      </c>
    </row>
    <row r="358" spans="1:5" x14ac:dyDescent="0.25">
      <c r="A358" t="s">
        <v>670</v>
      </c>
      <c r="B358" t="s">
        <v>671</v>
      </c>
      <c r="C358" t="s">
        <v>672</v>
      </c>
      <c r="D358" t="s">
        <v>673</v>
      </c>
    </row>
    <row r="359" spans="1:5" x14ac:dyDescent="0.25">
      <c r="A359" t="s">
        <v>674</v>
      </c>
    </row>
    <row r="360" spans="1:5" x14ac:dyDescent="0.25">
      <c r="A360" t="s">
        <v>675</v>
      </c>
      <c r="B360" t="s">
        <v>59</v>
      </c>
      <c r="C360" t="s">
        <v>243</v>
      </c>
      <c r="D360" t="s">
        <v>676</v>
      </c>
      <c r="E360" t="s">
        <v>313</v>
      </c>
    </row>
    <row r="361" spans="1:5" x14ac:dyDescent="0.25">
      <c r="A361" t="s">
        <v>677</v>
      </c>
      <c r="B361" t="s">
        <v>678</v>
      </c>
      <c r="C361" t="s">
        <v>302</v>
      </c>
    </row>
    <row r="362" spans="1:5" x14ac:dyDescent="0.25">
      <c r="A362" t="s">
        <v>324</v>
      </c>
    </row>
    <row r="363" spans="1:5" x14ac:dyDescent="0.25">
      <c r="A363" t="s">
        <v>679</v>
      </c>
    </row>
    <row r="364" spans="1:5" x14ac:dyDescent="0.25">
      <c r="A364" t="s">
        <v>680</v>
      </c>
    </row>
    <row r="365" spans="1:5" x14ac:dyDescent="0.25">
      <c r="A365" t="s">
        <v>681</v>
      </c>
    </row>
    <row r="366" spans="1:5" x14ac:dyDescent="0.25">
      <c r="A366" t="s">
        <v>115</v>
      </c>
      <c r="B366" t="s">
        <v>682</v>
      </c>
    </row>
    <row r="367" spans="1:5" x14ac:dyDescent="0.25">
      <c r="A367" t="s">
        <v>683</v>
      </c>
    </row>
    <row r="368" spans="1:5" x14ac:dyDescent="0.25">
      <c r="A368" t="s">
        <v>409</v>
      </c>
    </row>
    <row r="369" spans="1:6" x14ac:dyDescent="0.25">
      <c r="A369" t="s">
        <v>684</v>
      </c>
    </row>
    <row r="370" spans="1:6" x14ac:dyDescent="0.25">
      <c r="A370" t="s">
        <v>685</v>
      </c>
      <c r="B370" t="s">
        <v>412</v>
      </c>
    </row>
    <row r="371" spans="1:6" x14ac:dyDescent="0.25">
      <c r="A371" t="s">
        <v>686</v>
      </c>
      <c r="B371" t="s">
        <v>687</v>
      </c>
      <c r="C371" t="s">
        <v>688</v>
      </c>
      <c r="D371" t="s">
        <v>689</v>
      </c>
      <c r="E371" t="s">
        <v>690</v>
      </c>
      <c r="F371" t="s">
        <v>691</v>
      </c>
    </row>
    <row r="372" spans="1:6" x14ac:dyDescent="0.25">
      <c r="A372" t="s">
        <v>56</v>
      </c>
      <c r="B372" t="s">
        <v>692</v>
      </c>
    </row>
    <row r="373" spans="1:6" x14ac:dyDescent="0.25">
      <c r="A373" t="s">
        <v>693</v>
      </c>
    </row>
    <row r="374" spans="1:6" x14ac:dyDescent="0.25">
      <c r="A374" t="s">
        <v>510</v>
      </c>
      <c r="B374" t="s">
        <v>412</v>
      </c>
    </row>
    <row r="375" spans="1:6" x14ac:dyDescent="0.25">
      <c r="A375" t="s">
        <v>57</v>
      </c>
    </row>
    <row r="376" spans="1:6" x14ac:dyDescent="0.25">
      <c r="A376" t="s">
        <v>409</v>
      </c>
    </row>
    <row r="377" spans="1:6" x14ac:dyDescent="0.25">
      <c r="A377" t="s">
        <v>694</v>
      </c>
    </row>
    <row r="378" spans="1:6" x14ac:dyDescent="0.25">
      <c r="A378" t="s">
        <v>56</v>
      </c>
      <c r="B378" t="s">
        <v>61</v>
      </c>
      <c r="C378" t="s">
        <v>695</v>
      </c>
    </row>
    <row r="379" spans="1:6" x14ac:dyDescent="0.25">
      <c r="A379" t="s">
        <v>696</v>
      </c>
    </row>
    <row r="380" spans="1:6" x14ac:dyDescent="0.25">
      <c r="A380" t="s">
        <v>214</v>
      </c>
      <c r="B380" t="s">
        <v>697</v>
      </c>
    </row>
    <row r="381" spans="1:6" x14ac:dyDescent="0.25">
      <c r="A381" t="s">
        <v>698</v>
      </c>
      <c r="B381" t="s">
        <v>699</v>
      </c>
      <c r="C381" t="s">
        <v>700</v>
      </c>
    </row>
    <row r="382" spans="1:6" x14ac:dyDescent="0.25">
      <c r="A382" t="s">
        <v>701</v>
      </c>
    </row>
    <row r="383" spans="1:6" x14ac:dyDescent="0.25">
      <c r="A383" t="s">
        <v>702</v>
      </c>
      <c r="B383" t="s">
        <v>703</v>
      </c>
      <c r="C383" t="s">
        <v>704</v>
      </c>
    </row>
    <row r="384" spans="1:6" x14ac:dyDescent="0.25">
      <c r="A384" t="s">
        <v>705</v>
      </c>
      <c r="B384" t="s">
        <v>114</v>
      </c>
      <c r="C384" t="s">
        <v>706</v>
      </c>
    </row>
    <row r="385" spans="1:4" x14ac:dyDescent="0.25">
      <c r="A385" t="s">
        <v>707</v>
      </c>
    </row>
    <row r="386" spans="1:4" x14ac:dyDescent="0.25">
      <c r="A386" t="s">
        <v>286</v>
      </c>
      <c r="B386" t="s">
        <v>708</v>
      </c>
      <c r="C386" t="s">
        <v>709</v>
      </c>
    </row>
    <row r="387" spans="1:4" x14ac:dyDescent="0.25">
      <c r="A387" t="s">
        <v>710</v>
      </c>
      <c r="B387" t="s">
        <v>313</v>
      </c>
      <c r="C387" t="s">
        <v>292</v>
      </c>
    </row>
    <row r="388" spans="1:4" x14ac:dyDescent="0.25">
      <c r="A388" t="s">
        <v>584</v>
      </c>
      <c r="B388" t="s">
        <v>361</v>
      </c>
      <c r="C388" t="s">
        <v>313</v>
      </c>
    </row>
    <row r="389" spans="1:4" x14ac:dyDescent="0.25">
      <c r="A389" t="s">
        <v>356</v>
      </c>
      <c r="B389" t="s">
        <v>55</v>
      </c>
    </row>
    <row r="390" spans="1:4" x14ac:dyDescent="0.25">
      <c r="A390" t="s">
        <v>711</v>
      </c>
      <c r="B390" t="s">
        <v>712</v>
      </c>
      <c r="C390" t="s">
        <v>713</v>
      </c>
    </row>
    <row r="391" spans="1:4" x14ac:dyDescent="0.25">
      <c r="A391" t="s">
        <v>361</v>
      </c>
      <c r="B391" t="s">
        <v>714</v>
      </c>
      <c r="C391" t="s">
        <v>715</v>
      </c>
    </row>
    <row r="392" spans="1:4" x14ac:dyDescent="0.25">
      <c r="A392" t="s">
        <v>530</v>
      </c>
      <c r="B392" t="s">
        <v>716</v>
      </c>
    </row>
    <row r="393" spans="1:4" x14ac:dyDescent="0.25">
      <c r="A393" t="s">
        <v>717</v>
      </c>
      <c r="B393" t="s">
        <v>718</v>
      </c>
      <c r="C393" t="s">
        <v>602</v>
      </c>
      <c r="D393" t="s">
        <v>100</v>
      </c>
    </row>
    <row r="394" spans="1:4" x14ac:dyDescent="0.25">
      <c r="A394" t="s">
        <v>719</v>
      </c>
      <c r="B394" t="s">
        <v>720</v>
      </c>
    </row>
    <row r="395" spans="1:4" x14ac:dyDescent="0.25">
      <c r="A395" t="s">
        <v>85</v>
      </c>
      <c r="B395" t="s">
        <v>721</v>
      </c>
    </row>
    <row r="396" spans="1:4" x14ac:dyDescent="0.25">
      <c r="A396" t="s">
        <v>722</v>
      </c>
    </row>
    <row r="397" spans="1:4" x14ac:dyDescent="0.25">
      <c r="A397" t="s">
        <v>723</v>
      </c>
    </row>
    <row r="398" spans="1:4" x14ac:dyDescent="0.25">
      <c r="A398" t="s">
        <v>724</v>
      </c>
    </row>
    <row r="399" spans="1:4" x14ac:dyDescent="0.25">
      <c r="A399" t="s">
        <v>725</v>
      </c>
    </row>
    <row r="400" spans="1:4" x14ac:dyDescent="0.25">
      <c r="A400" t="s">
        <v>726</v>
      </c>
      <c r="B400" t="s">
        <v>77</v>
      </c>
      <c r="C400" t="s">
        <v>727</v>
      </c>
    </row>
    <row r="401" spans="1:6" x14ac:dyDescent="0.25">
      <c r="A401" t="s">
        <v>728</v>
      </c>
    </row>
    <row r="402" spans="1:6" x14ac:dyDescent="0.25">
      <c r="A402" t="s">
        <v>729</v>
      </c>
      <c r="B402" t="s">
        <v>730</v>
      </c>
    </row>
    <row r="403" spans="1:6" x14ac:dyDescent="0.25">
      <c r="A403" t="s">
        <v>731</v>
      </c>
      <c r="B403" t="s">
        <v>732</v>
      </c>
      <c r="C403" t="s">
        <v>733</v>
      </c>
    </row>
    <row r="404" spans="1:6" x14ac:dyDescent="0.25">
      <c r="A404" t="s">
        <v>734</v>
      </c>
      <c r="B404" t="s">
        <v>695</v>
      </c>
      <c r="C404" t="s">
        <v>409</v>
      </c>
      <c r="D404" t="s">
        <v>735</v>
      </c>
    </row>
    <row r="405" spans="1:6" x14ac:dyDescent="0.25">
      <c r="A405" t="s">
        <v>736</v>
      </c>
    </row>
    <row r="406" spans="1:6" x14ac:dyDescent="0.25">
      <c r="A406" t="s">
        <v>737</v>
      </c>
    </row>
    <row r="407" spans="1:6" x14ac:dyDescent="0.25">
      <c r="A407" t="s">
        <v>738</v>
      </c>
    </row>
    <row r="408" spans="1:6" x14ac:dyDescent="0.25">
      <c r="A408" t="s">
        <v>200</v>
      </c>
      <c r="B408" t="s">
        <v>234</v>
      </c>
      <c r="C408" t="s">
        <v>124</v>
      </c>
    </row>
    <row r="409" spans="1:6" x14ac:dyDescent="0.25">
      <c r="A409" t="s">
        <v>302</v>
      </c>
      <c r="B409" t="s">
        <v>480</v>
      </c>
      <c r="C409" t="s">
        <v>739</v>
      </c>
      <c r="D409" t="s">
        <v>740</v>
      </c>
      <c r="E409" t="s">
        <v>741</v>
      </c>
      <c r="F409" t="s">
        <v>742</v>
      </c>
    </row>
    <row r="410" spans="1:6" x14ac:dyDescent="0.25">
      <c r="A410" t="s">
        <v>743</v>
      </c>
    </row>
    <row r="411" spans="1:6" x14ac:dyDescent="0.25">
      <c r="A411" t="s">
        <v>350</v>
      </c>
      <c r="B411" t="s">
        <v>416</v>
      </c>
    </row>
    <row r="412" spans="1:6" x14ac:dyDescent="0.25">
      <c r="A412" t="s">
        <v>278</v>
      </c>
      <c r="B412" t="s">
        <v>361</v>
      </c>
    </row>
    <row r="413" spans="1:6" x14ac:dyDescent="0.25">
      <c r="A413" t="s">
        <v>744</v>
      </c>
    </row>
    <row r="414" spans="1:6" x14ac:dyDescent="0.25">
      <c r="A414" t="s">
        <v>745</v>
      </c>
      <c r="B414" t="s">
        <v>746</v>
      </c>
      <c r="C414" t="s">
        <v>747</v>
      </c>
      <c r="D414" t="s">
        <v>61</v>
      </c>
    </row>
    <row r="415" spans="1:6" x14ac:dyDescent="0.25">
      <c r="A415" t="s">
        <v>748</v>
      </c>
      <c r="B415" t="s">
        <v>82</v>
      </c>
      <c r="C415" t="s">
        <v>749</v>
      </c>
    </row>
    <row r="416" spans="1:6" x14ac:dyDescent="0.25">
      <c r="A416" t="s">
        <v>750</v>
      </c>
      <c r="B416" t="s">
        <v>751</v>
      </c>
    </row>
    <row r="417" spans="1:6" x14ac:dyDescent="0.25">
      <c r="A417" t="s">
        <v>752</v>
      </c>
    </row>
    <row r="418" spans="1:6" x14ac:dyDescent="0.25">
      <c r="A418" t="s">
        <v>361</v>
      </c>
      <c r="B418" t="s">
        <v>753</v>
      </c>
    </row>
    <row r="419" spans="1:6" x14ac:dyDescent="0.25">
      <c r="A419" t="s">
        <v>115</v>
      </c>
      <c r="B419" t="s">
        <v>243</v>
      </c>
      <c r="C419" t="s">
        <v>55</v>
      </c>
    </row>
    <row r="420" spans="1:6" x14ac:dyDescent="0.25">
      <c r="A420" t="s">
        <v>278</v>
      </c>
    </row>
    <row r="421" spans="1:6" x14ac:dyDescent="0.25">
      <c r="A421" t="s">
        <v>368</v>
      </c>
      <c r="B421" t="s">
        <v>754</v>
      </c>
      <c r="C421" t="s">
        <v>349</v>
      </c>
    </row>
    <row r="422" spans="1:6" x14ac:dyDescent="0.25">
      <c r="A422" t="s">
        <v>755</v>
      </c>
    </row>
    <row r="423" spans="1:6" x14ac:dyDescent="0.25">
      <c r="A423" t="s">
        <v>756</v>
      </c>
    </row>
    <row r="424" spans="1:6" x14ac:dyDescent="0.25">
      <c r="A424" t="s">
        <v>58</v>
      </c>
      <c r="B424" t="s">
        <v>206</v>
      </c>
    </row>
    <row r="425" spans="1:6" x14ac:dyDescent="0.25">
      <c r="A425" t="s">
        <v>757</v>
      </c>
    </row>
    <row r="426" spans="1:6" x14ac:dyDescent="0.25">
      <c r="A426" t="s">
        <v>716</v>
      </c>
      <c r="B426" t="s">
        <v>758</v>
      </c>
      <c r="C426" t="s">
        <v>759</v>
      </c>
    </row>
    <row r="427" spans="1:6" x14ac:dyDescent="0.25">
      <c r="A427" t="s">
        <v>56</v>
      </c>
      <c r="B427" t="s">
        <v>760</v>
      </c>
      <c r="C427" t="s">
        <v>761</v>
      </c>
    </row>
    <row r="428" spans="1:6" x14ac:dyDescent="0.25">
      <c r="A428" t="s">
        <v>762</v>
      </c>
      <c r="B428" t="s">
        <v>763</v>
      </c>
    </row>
    <row r="429" spans="1:6" x14ac:dyDescent="0.25">
      <c r="A429" t="s">
        <v>115</v>
      </c>
      <c r="B429" t="s">
        <v>764</v>
      </c>
      <c r="C429" t="s">
        <v>765</v>
      </c>
      <c r="D429" t="s">
        <v>766</v>
      </c>
      <c r="E429" t="s">
        <v>767</v>
      </c>
      <c r="F429" t="s">
        <v>188</v>
      </c>
    </row>
    <row r="430" spans="1:6" x14ac:dyDescent="0.25">
      <c r="A430" t="s">
        <v>768</v>
      </c>
    </row>
    <row r="431" spans="1:6" x14ac:dyDescent="0.25">
      <c r="A431" t="s">
        <v>769</v>
      </c>
      <c r="B431" t="s">
        <v>770</v>
      </c>
      <c r="C431" t="s">
        <v>771</v>
      </c>
    </row>
    <row r="432" spans="1:6" x14ac:dyDescent="0.25">
      <c r="A432" t="s">
        <v>772</v>
      </c>
    </row>
    <row r="433" spans="1:5" x14ac:dyDescent="0.25">
      <c r="A433" t="s">
        <v>773</v>
      </c>
    </row>
    <row r="434" spans="1:5" x14ac:dyDescent="0.25">
      <c r="A434" t="s">
        <v>58</v>
      </c>
    </row>
    <row r="435" spans="1:5" x14ac:dyDescent="0.25">
      <c r="A435" t="s">
        <v>774</v>
      </c>
    </row>
    <row r="436" spans="1:5" x14ac:dyDescent="0.25">
      <c r="A436" t="s">
        <v>775</v>
      </c>
      <c r="B436" t="s">
        <v>776</v>
      </c>
      <c r="C436" t="s">
        <v>777</v>
      </c>
    </row>
    <row r="437" spans="1:5" x14ac:dyDescent="0.25">
      <c r="A437" t="s">
        <v>61</v>
      </c>
      <c r="B437" t="s">
        <v>778</v>
      </c>
    </row>
    <row r="438" spans="1:5" x14ac:dyDescent="0.25">
      <c r="A438" t="s">
        <v>779</v>
      </c>
      <c r="B438" t="s">
        <v>780</v>
      </c>
    </row>
    <row r="439" spans="1:5" x14ac:dyDescent="0.25">
      <c r="A439" t="s">
        <v>781</v>
      </c>
      <c r="B439" t="s">
        <v>782</v>
      </c>
    </row>
    <row r="440" spans="1:5" x14ac:dyDescent="0.25">
      <c r="A440" t="s">
        <v>783</v>
      </c>
    </row>
    <row r="441" spans="1:5" x14ac:dyDescent="0.25">
      <c r="A441" t="s">
        <v>206</v>
      </c>
      <c r="B441" t="s">
        <v>784</v>
      </c>
    </row>
    <row r="442" spans="1:5" x14ac:dyDescent="0.25">
      <c r="A442" t="s">
        <v>785</v>
      </c>
      <c r="B442" t="s">
        <v>779</v>
      </c>
      <c r="C442" t="s">
        <v>786</v>
      </c>
    </row>
    <row r="443" spans="1:5" x14ac:dyDescent="0.25">
      <c r="A443" t="s">
        <v>787</v>
      </c>
    </row>
    <row r="444" spans="1:5" x14ac:dyDescent="0.25">
      <c r="A444" t="s">
        <v>788</v>
      </c>
      <c r="B444" t="s">
        <v>789</v>
      </c>
      <c r="C444" t="s">
        <v>790</v>
      </c>
    </row>
    <row r="445" spans="1:5" x14ac:dyDescent="0.25">
      <c r="A445" t="s">
        <v>791</v>
      </c>
    </row>
    <row r="446" spans="1:5" x14ac:dyDescent="0.25">
      <c r="A446" t="s">
        <v>792</v>
      </c>
      <c r="B446" t="s">
        <v>327</v>
      </c>
      <c r="C446" t="s">
        <v>793</v>
      </c>
      <c r="D446" t="s">
        <v>794</v>
      </c>
      <c r="E446" t="s">
        <v>795</v>
      </c>
    </row>
    <row r="447" spans="1:5" x14ac:dyDescent="0.25">
      <c r="A447" t="s">
        <v>796</v>
      </c>
    </row>
    <row r="448" spans="1:5" x14ac:dyDescent="0.25">
      <c r="A448" t="s">
        <v>797</v>
      </c>
      <c r="B448" t="s">
        <v>798</v>
      </c>
    </row>
    <row r="449" spans="1:3" x14ac:dyDescent="0.25">
      <c r="A449" t="s">
        <v>87</v>
      </c>
      <c r="B449" t="s">
        <v>799</v>
      </c>
      <c r="C449" t="s">
        <v>800</v>
      </c>
    </row>
    <row r="450" spans="1:3" x14ac:dyDescent="0.25">
      <c r="A450" t="s">
        <v>56</v>
      </c>
      <c r="B450" t="s">
        <v>801</v>
      </c>
      <c r="C450" t="s">
        <v>802</v>
      </c>
    </row>
    <row r="451" spans="1:3" x14ac:dyDescent="0.25">
      <c r="A451" t="s">
        <v>803</v>
      </c>
      <c r="B451" t="s">
        <v>57</v>
      </c>
    </row>
    <row r="452" spans="1:3" x14ac:dyDescent="0.25">
      <c r="A452" t="s">
        <v>804</v>
      </c>
      <c r="B452" t="s">
        <v>805</v>
      </c>
    </row>
    <row r="453" spans="1:3" x14ac:dyDescent="0.25">
      <c r="A453" t="s">
        <v>806</v>
      </c>
      <c r="B453" t="s">
        <v>807</v>
      </c>
      <c r="C453" t="s">
        <v>808</v>
      </c>
    </row>
    <row r="454" spans="1:3" x14ac:dyDescent="0.25">
      <c r="A454" t="s">
        <v>809</v>
      </c>
    </row>
    <row r="455" spans="1:3" x14ac:dyDescent="0.25">
      <c r="A455" t="s">
        <v>197</v>
      </c>
      <c r="B455" t="s">
        <v>58</v>
      </c>
    </row>
    <row r="456" spans="1:3" x14ac:dyDescent="0.25">
      <c r="A456" t="s">
        <v>810</v>
      </c>
    </row>
    <row r="457" spans="1:3" x14ac:dyDescent="0.25">
      <c r="A457" t="s">
        <v>61</v>
      </c>
    </row>
    <row r="458" spans="1:3" x14ac:dyDescent="0.25">
      <c r="A458" t="s">
        <v>811</v>
      </c>
      <c r="B458" t="s">
        <v>812</v>
      </c>
    </row>
    <row r="459" spans="1:3" x14ac:dyDescent="0.25">
      <c r="A459" t="s">
        <v>813</v>
      </c>
      <c r="B459" t="s">
        <v>814</v>
      </c>
    </row>
    <row r="460" spans="1:3" x14ac:dyDescent="0.25">
      <c r="A460" t="s">
        <v>243</v>
      </c>
    </row>
    <row r="461" spans="1:3" x14ac:dyDescent="0.25">
      <c r="A461" t="s">
        <v>815</v>
      </c>
      <c r="B461" t="s">
        <v>816</v>
      </c>
    </row>
    <row r="462" spans="1:3" x14ac:dyDescent="0.25">
      <c r="A462" t="s">
        <v>817</v>
      </c>
      <c r="B462" t="s">
        <v>818</v>
      </c>
    </row>
    <row r="463" spans="1:3" x14ac:dyDescent="0.25">
      <c r="A463" t="s">
        <v>62</v>
      </c>
      <c r="B463" t="s">
        <v>695</v>
      </c>
    </row>
    <row r="464" spans="1:3" x14ac:dyDescent="0.25">
      <c r="A464" t="s">
        <v>819</v>
      </c>
      <c r="B464" t="s">
        <v>820</v>
      </c>
      <c r="C464" t="s">
        <v>821</v>
      </c>
    </row>
    <row r="465" spans="1:7" x14ac:dyDescent="0.25">
      <c r="A465" t="s">
        <v>822</v>
      </c>
      <c r="B465" t="s">
        <v>823</v>
      </c>
    </row>
    <row r="466" spans="1:7" x14ac:dyDescent="0.25">
      <c r="A466" t="s">
        <v>824</v>
      </c>
      <c r="B466" t="s">
        <v>825</v>
      </c>
      <c r="C466" t="s">
        <v>826</v>
      </c>
      <c r="D466" t="s">
        <v>827</v>
      </c>
    </row>
    <row r="467" spans="1:7" x14ac:dyDescent="0.25">
      <c r="A467" t="s">
        <v>828</v>
      </c>
    </row>
    <row r="468" spans="1:7" x14ac:dyDescent="0.25">
      <c r="A468" t="s">
        <v>829</v>
      </c>
      <c r="B468" t="s">
        <v>830</v>
      </c>
      <c r="C468" t="s">
        <v>831</v>
      </c>
      <c r="D468" t="s">
        <v>234</v>
      </c>
      <c r="E468" t="s">
        <v>832</v>
      </c>
      <c r="F468" t="s">
        <v>833</v>
      </c>
      <c r="G468" t="s">
        <v>834</v>
      </c>
    </row>
    <row r="469" spans="1:7" x14ac:dyDescent="0.25">
      <c r="A469" t="s">
        <v>835</v>
      </c>
      <c r="B469" t="s">
        <v>61</v>
      </c>
      <c r="C469" t="s">
        <v>300</v>
      </c>
    </row>
    <row r="470" spans="1:7" x14ac:dyDescent="0.25">
      <c r="A470" t="s">
        <v>836</v>
      </c>
      <c r="B470" t="s">
        <v>837</v>
      </c>
    </row>
    <row r="471" spans="1:7" x14ac:dyDescent="0.25">
      <c r="A471" t="s">
        <v>838</v>
      </c>
    </row>
    <row r="472" spans="1:7" x14ac:dyDescent="0.25">
      <c r="A472" t="s">
        <v>839</v>
      </c>
      <c r="B472" t="s">
        <v>840</v>
      </c>
    </row>
    <row r="473" spans="1:7" x14ac:dyDescent="0.25">
      <c r="A473" t="s">
        <v>841</v>
      </c>
      <c r="B473" t="s">
        <v>842</v>
      </c>
    </row>
    <row r="474" spans="1:7" x14ac:dyDescent="0.25">
      <c r="A474" t="s">
        <v>843</v>
      </c>
    </row>
    <row r="475" spans="1:7" x14ac:dyDescent="0.25">
      <c r="A475" t="s">
        <v>844</v>
      </c>
    </row>
    <row r="476" spans="1:7" x14ac:dyDescent="0.25">
      <c r="A476" t="s">
        <v>845</v>
      </c>
    </row>
    <row r="477" spans="1:7" x14ac:dyDescent="0.25">
      <c r="A477" t="s">
        <v>846</v>
      </c>
    </row>
    <row r="478" spans="1:7" x14ac:dyDescent="0.25">
      <c r="A478" t="s">
        <v>847</v>
      </c>
      <c r="B478" t="s">
        <v>848</v>
      </c>
    </row>
    <row r="479" spans="1:7" x14ac:dyDescent="0.25">
      <c r="A479" t="s">
        <v>85</v>
      </c>
      <c r="B479" t="s">
        <v>849</v>
      </c>
      <c r="C479" t="s">
        <v>850</v>
      </c>
    </row>
    <row r="480" spans="1:7" x14ac:dyDescent="0.25">
      <c r="A480" t="s">
        <v>58</v>
      </c>
      <c r="B480" t="s">
        <v>206</v>
      </c>
    </row>
    <row r="481" spans="1:4" x14ac:dyDescent="0.25">
      <c r="A481" t="s">
        <v>851</v>
      </c>
      <c r="B481" t="s">
        <v>852</v>
      </c>
      <c r="C481" t="s">
        <v>853</v>
      </c>
    </row>
    <row r="482" spans="1:4" x14ac:dyDescent="0.25">
      <c r="A482" t="s">
        <v>854</v>
      </c>
    </row>
    <row r="483" spans="1:4" x14ac:dyDescent="0.25">
      <c r="A483" t="s">
        <v>60</v>
      </c>
      <c r="B483" t="s">
        <v>278</v>
      </c>
    </row>
    <row r="484" spans="1:4" x14ac:dyDescent="0.25">
      <c r="A484" t="s">
        <v>855</v>
      </c>
    </row>
    <row r="485" spans="1:4" x14ac:dyDescent="0.25">
      <c r="A485" t="s">
        <v>400</v>
      </c>
      <c r="B485" t="s">
        <v>856</v>
      </c>
      <c r="C485" t="s">
        <v>857</v>
      </c>
      <c r="D485" t="s">
        <v>530</v>
      </c>
    </row>
    <row r="486" spans="1:4" x14ac:dyDescent="0.25">
      <c r="A486" t="s">
        <v>858</v>
      </c>
      <c r="B486" t="s">
        <v>859</v>
      </c>
    </row>
    <row r="487" spans="1:4" x14ac:dyDescent="0.25">
      <c r="A487" t="s">
        <v>860</v>
      </c>
      <c r="B487" t="s">
        <v>861</v>
      </c>
    </row>
    <row r="488" spans="1:4" x14ac:dyDescent="0.25">
      <c r="A488" t="s">
        <v>862</v>
      </c>
    </row>
    <row r="489" spans="1:4" x14ac:dyDescent="0.25">
      <c r="A489" t="s">
        <v>118</v>
      </c>
    </row>
    <row r="490" spans="1:4" x14ac:dyDescent="0.25">
      <c r="A490" t="s">
        <v>863</v>
      </c>
    </row>
    <row r="491" spans="1:4" x14ac:dyDescent="0.25">
      <c r="A491" t="s">
        <v>57</v>
      </c>
      <c r="B491" t="s">
        <v>864</v>
      </c>
      <c r="C491" t="s">
        <v>61</v>
      </c>
    </row>
    <row r="492" spans="1:4" x14ac:dyDescent="0.25">
      <c r="A492" t="s">
        <v>865</v>
      </c>
      <c r="B492" t="s">
        <v>866</v>
      </c>
      <c r="C492" t="s">
        <v>61</v>
      </c>
      <c r="D492" t="s">
        <v>626</v>
      </c>
    </row>
    <row r="493" spans="1:4" x14ac:dyDescent="0.25">
      <c r="A493" t="s">
        <v>61</v>
      </c>
      <c r="B493" t="s">
        <v>867</v>
      </c>
    </row>
    <row r="494" spans="1:4" x14ac:dyDescent="0.25">
      <c r="A494" t="s">
        <v>868</v>
      </c>
      <c r="B494" t="s">
        <v>869</v>
      </c>
    </row>
    <row r="495" spans="1:4" x14ac:dyDescent="0.25">
      <c r="A495" t="s">
        <v>115</v>
      </c>
      <c r="B495" t="s">
        <v>197</v>
      </c>
    </row>
    <row r="496" spans="1:4" x14ac:dyDescent="0.25">
      <c r="A496" t="s">
        <v>870</v>
      </c>
      <c r="B496" t="s">
        <v>871</v>
      </c>
    </row>
    <row r="497" spans="1:6" x14ac:dyDescent="0.25">
      <c r="A497" t="s">
        <v>872</v>
      </c>
      <c r="B497" t="s">
        <v>229</v>
      </c>
      <c r="C497" t="s">
        <v>167</v>
      </c>
    </row>
    <row r="498" spans="1:6" x14ac:dyDescent="0.25">
      <c r="A498" t="s">
        <v>873</v>
      </c>
    </row>
    <row r="499" spans="1:6" x14ac:dyDescent="0.25">
      <c r="A499" t="s">
        <v>348</v>
      </c>
    </row>
    <row r="500" spans="1:6" x14ac:dyDescent="0.25">
      <c r="A500" t="s">
        <v>874</v>
      </c>
      <c r="B500" t="s">
        <v>87</v>
      </c>
    </row>
    <row r="501" spans="1:6" x14ac:dyDescent="0.25">
      <c r="A501" t="s">
        <v>875</v>
      </c>
      <c r="B501" t="s">
        <v>187</v>
      </c>
      <c r="C501" t="s">
        <v>876</v>
      </c>
      <c r="D501" t="s">
        <v>877</v>
      </c>
    </row>
    <row r="502" spans="1:6" x14ac:dyDescent="0.25">
      <c r="A502" t="s">
        <v>878</v>
      </c>
      <c r="B502" t="s">
        <v>879</v>
      </c>
      <c r="C502" t="s">
        <v>880</v>
      </c>
    </row>
    <row r="503" spans="1:6" x14ac:dyDescent="0.25">
      <c r="A503" t="s">
        <v>881</v>
      </c>
      <c r="B503" t="s">
        <v>882</v>
      </c>
    </row>
    <row r="504" spans="1:6" x14ac:dyDescent="0.25">
      <c r="A504" t="s">
        <v>883</v>
      </c>
      <c r="B504" t="s">
        <v>884</v>
      </c>
      <c r="C504" t="s">
        <v>885</v>
      </c>
    </row>
    <row r="505" spans="1:6" x14ac:dyDescent="0.25">
      <c r="A505" t="s">
        <v>886</v>
      </c>
      <c r="B505" t="s">
        <v>857</v>
      </c>
      <c r="C505" t="s">
        <v>887</v>
      </c>
      <c r="D505" t="s">
        <v>888</v>
      </c>
      <c r="E505" t="s">
        <v>889</v>
      </c>
      <c r="F505" t="s">
        <v>890</v>
      </c>
    </row>
    <row r="506" spans="1:6" x14ac:dyDescent="0.25">
      <c r="A506" t="s">
        <v>891</v>
      </c>
    </row>
    <row r="507" spans="1:6" x14ac:dyDescent="0.25">
      <c r="A507" t="s">
        <v>892</v>
      </c>
      <c r="B507" t="s">
        <v>893</v>
      </c>
      <c r="C507" t="s">
        <v>243</v>
      </c>
    </row>
    <row r="508" spans="1:6" x14ac:dyDescent="0.25">
      <c r="A508" t="s">
        <v>82</v>
      </c>
      <c r="B508" t="s">
        <v>77</v>
      </c>
    </row>
    <row r="509" spans="1:6" x14ac:dyDescent="0.25">
      <c r="A509" t="s">
        <v>510</v>
      </c>
      <c r="B509" t="s">
        <v>894</v>
      </c>
    </row>
    <row r="510" spans="1:6" x14ac:dyDescent="0.25">
      <c r="A510" t="s">
        <v>895</v>
      </c>
    </row>
    <row r="511" spans="1:6" x14ac:dyDescent="0.25">
      <c r="A511" t="s">
        <v>811</v>
      </c>
      <c r="B511" t="s">
        <v>896</v>
      </c>
    </row>
    <row r="512" spans="1:6" x14ac:dyDescent="0.25">
      <c r="A512" t="s">
        <v>897</v>
      </c>
      <c r="B512" t="s">
        <v>898</v>
      </c>
    </row>
    <row r="513" spans="1:3" x14ac:dyDescent="0.25">
      <c r="A513" t="s">
        <v>899</v>
      </c>
    </row>
    <row r="514" spans="1:3" x14ac:dyDescent="0.25">
      <c r="A514" t="s">
        <v>900</v>
      </c>
      <c r="B514" t="s">
        <v>901</v>
      </c>
    </row>
    <row r="515" spans="1:3" x14ac:dyDescent="0.25">
      <c r="A515" t="s">
        <v>902</v>
      </c>
    </row>
    <row r="516" spans="1:3" x14ac:dyDescent="0.25">
      <c r="A516" t="s">
        <v>903</v>
      </c>
      <c r="B516" t="s">
        <v>904</v>
      </c>
      <c r="C516" t="s">
        <v>905</v>
      </c>
    </row>
    <row r="517" spans="1:3" x14ac:dyDescent="0.25">
      <c r="A517" t="s">
        <v>85</v>
      </c>
      <c r="B517" t="s">
        <v>906</v>
      </c>
    </row>
    <row r="518" spans="1:3" x14ac:dyDescent="0.25">
      <c r="A518" t="s">
        <v>510</v>
      </c>
      <c r="B518" t="s">
        <v>907</v>
      </c>
      <c r="C518" t="s">
        <v>908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82"/>
  <sheetViews>
    <sheetView workbookViewId="0"/>
  </sheetViews>
  <sheetFormatPr defaultRowHeight="15" x14ac:dyDescent="0.25"/>
  <cols>
    <col min="1" max="6" width="30.7109375" customWidth="1"/>
  </cols>
  <sheetData>
    <row r="1" spans="1:4" s="3" customFormat="1" x14ac:dyDescent="0.25">
      <c r="A1" s="11" t="str">
        <f>HYPERLINK("#Tabulka!A35","A co bude **lepší**? &lt;br&gt;&lt;br&gt;*Pokud nevíte, otázku přeskočte.*")</f>
        <v>A co bude **lepší**? &lt;br&gt;&lt;br&gt;*Pokud nevíte, otázku přeskočte.*</v>
      </c>
    </row>
    <row r="2" spans="1:4" x14ac:dyDescent="0.25">
      <c r="A2" t="s">
        <v>910</v>
      </c>
    </row>
    <row r="3" spans="1:4" x14ac:dyDescent="0.25">
      <c r="A3" t="s">
        <v>911</v>
      </c>
      <c r="B3" t="s">
        <v>912</v>
      </c>
      <c r="C3" t="s">
        <v>913</v>
      </c>
    </row>
    <row r="4" spans="1:4" x14ac:dyDescent="0.25">
      <c r="A4" t="s">
        <v>914</v>
      </c>
      <c r="B4" t="s">
        <v>915</v>
      </c>
      <c r="C4" t="s">
        <v>916</v>
      </c>
      <c r="D4" t="s">
        <v>917</v>
      </c>
    </row>
    <row r="5" spans="1:4" x14ac:dyDescent="0.25">
      <c r="A5" t="s">
        <v>918</v>
      </c>
      <c r="B5" t="s">
        <v>412</v>
      </c>
    </row>
    <row r="6" spans="1:4" x14ac:dyDescent="0.25">
      <c r="A6" t="s">
        <v>919</v>
      </c>
    </row>
    <row r="7" spans="1:4" x14ac:dyDescent="0.25">
      <c r="A7" t="s">
        <v>920</v>
      </c>
      <c r="B7" t="s">
        <v>921</v>
      </c>
      <c r="C7" t="s">
        <v>922</v>
      </c>
    </row>
    <row r="8" spans="1:4" x14ac:dyDescent="0.25">
      <c r="A8" t="s">
        <v>923</v>
      </c>
      <c r="B8" t="s">
        <v>924</v>
      </c>
      <c r="C8" t="s">
        <v>925</v>
      </c>
    </row>
    <row r="9" spans="1:4" x14ac:dyDescent="0.25">
      <c r="A9" t="s">
        <v>926</v>
      </c>
    </row>
    <row r="10" spans="1:4" x14ac:dyDescent="0.25">
      <c r="A10" t="s">
        <v>927</v>
      </c>
    </row>
    <row r="11" spans="1:4" x14ac:dyDescent="0.25">
      <c r="A11" t="s">
        <v>928</v>
      </c>
    </row>
    <row r="12" spans="1:4" x14ac:dyDescent="0.25">
      <c r="A12" t="s">
        <v>929</v>
      </c>
    </row>
    <row r="13" spans="1:4" x14ac:dyDescent="0.25">
      <c r="A13" t="s">
        <v>930</v>
      </c>
    </row>
    <row r="14" spans="1:4" x14ac:dyDescent="0.25">
      <c r="A14" t="s">
        <v>931</v>
      </c>
      <c r="B14" t="s">
        <v>932</v>
      </c>
    </row>
    <row r="15" spans="1:4" x14ac:dyDescent="0.25">
      <c r="A15" t="s">
        <v>933</v>
      </c>
      <c r="B15" t="s">
        <v>934</v>
      </c>
    </row>
    <row r="16" spans="1:4" x14ac:dyDescent="0.25">
      <c r="A16" t="s">
        <v>895</v>
      </c>
      <c r="B16" t="s">
        <v>935</v>
      </c>
    </row>
    <row r="17" spans="1:2" x14ac:dyDescent="0.25">
      <c r="A17" t="s">
        <v>936</v>
      </c>
    </row>
    <row r="18" spans="1:2" x14ac:dyDescent="0.25">
      <c r="A18" t="s">
        <v>937</v>
      </c>
    </row>
    <row r="19" spans="1:2" x14ac:dyDescent="0.25">
      <c r="A19" t="s">
        <v>938</v>
      </c>
      <c r="B19" t="s">
        <v>939</v>
      </c>
    </row>
    <row r="20" spans="1:2" x14ac:dyDescent="0.25">
      <c r="A20" t="s">
        <v>940</v>
      </c>
    </row>
    <row r="21" spans="1:2" x14ac:dyDescent="0.25">
      <c r="A21" t="s">
        <v>941</v>
      </c>
    </row>
    <row r="22" spans="1:2" x14ac:dyDescent="0.25">
      <c r="A22" t="s">
        <v>923</v>
      </c>
      <c r="B22" t="s">
        <v>925</v>
      </c>
    </row>
    <row r="23" spans="1:2" x14ac:dyDescent="0.25">
      <c r="A23" t="s">
        <v>942</v>
      </c>
    </row>
    <row r="24" spans="1:2" x14ac:dyDescent="0.25">
      <c r="A24" t="s">
        <v>910</v>
      </c>
      <c r="B24" t="s">
        <v>943</v>
      </c>
    </row>
    <row r="25" spans="1:2" x14ac:dyDescent="0.25">
      <c r="A25" t="s">
        <v>944</v>
      </c>
      <c r="B25" t="s">
        <v>945</v>
      </c>
    </row>
    <row r="26" spans="1:2" x14ac:dyDescent="0.25">
      <c r="A26" t="s">
        <v>946</v>
      </c>
      <c r="B26" t="s">
        <v>947</v>
      </c>
    </row>
    <row r="27" spans="1:2" x14ac:dyDescent="0.25">
      <c r="A27" t="s">
        <v>948</v>
      </c>
    </row>
    <row r="28" spans="1:2" x14ac:dyDescent="0.25">
      <c r="A28" t="s">
        <v>949</v>
      </c>
      <c r="B28" t="s">
        <v>950</v>
      </c>
    </row>
    <row r="29" spans="1:2" x14ac:dyDescent="0.25">
      <c r="A29" t="s">
        <v>951</v>
      </c>
    </row>
    <row r="30" spans="1:2" x14ac:dyDescent="0.25">
      <c r="A30" t="s">
        <v>124</v>
      </c>
    </row>
    <row r="31" spans="1:2" x14ac:dyDescent="0.25">
      <c r="A31" t="s">
        <v>952</v>
      </c>
    </row>
    <row r="32" spans="1:2" x14ac:dyDescent="0.25">
      <c r="A32" t="s">
        <v>953</v>
      </c>
    </row>
    <row r="33" spans="1:3" x14ac:dyDescent="0.25">
      <c r="A33" t="s">
        <v>954</v>
      </c>
    </row>
    <row r="34" spans="1:3" x14ac:dyDescent="0.25">
      <c r="A34" t="s">
        <v>955</v>
      </c>
    </row>
    <row r="35" spans="1:3" x14ac:dyDescent="0.25">
      <c r="A35" t="s">
        <v>956</v>
      </c>
    </row>
    <row r="36" spans="1:3" x14ac:dyDescent="0.25">
      <c r="A36" t="s">
        <v>957</v>
      </c>
      <c r="B36" t="s">
        <v>895</v>
      </c>
      <c r="C36" t="s">
        <v>910</v>
      </c>
    </row>
    <row r="37" spans="1:3" x14ac:dyDescent="0.25">
      <c r="A37" t="s">
        <v>958</v>
      </c>
    </row>
    <row r="38" spans="1:3" x14ac:dyDescent="0.25">
      <c r="A38" t="s">
        <v>959</v>
      </c>
      <c r="B38" t="s">
        <v>960</v>
      </c>
    </row>
    <row r="39" spans="1:3" x14ac:dyDescent="0.25">
      <c r="A39" t="s">
        <v>929</v>
      </c>
    </row>
    <row r="40" spans="1:3" x14ac:dyDescent="0.25">
      <c r="A40" t="s">
        <v>961</v>
      </c>
      <c r="B40" t="s">
        <v>962</v>
      </c>
      <c r="C40" t="s">
        <v>963</v>
      </c>
    </row>
    <row r="41" spans="1:3" x14ac:dyDescent="0.25">
      <c r="A41" t="s">
        <v>964</v>
      </c>
    </row>
    <row r="42" spans="1:3" x14ac:dyDescent="0.25">
      <c r="A42" t="s">
        <v>965</v>
      </c>
    </row>
    <row r="43" spans="1:3" x14ac:dyDescent="0.25">
      <c r="A43" t="s">
        <v>966</v>
      </c>
      <c r="B43" t="s">
        <v>323</v>
      </c>
      <c r="C43" t="s">
        <v>967</v>
      </c>
    </row>
    <row r="44" spans="1:3" x14ac:dyDescent="0.25">
      <c r="A44" t="s">
        <v>968</v>
      </c>
    </row>
    <row r="45" spans="1:3" x14ac:dyDescent="0.25">
      <c r="A45" t="s">
        <v>969</v>
      </c>
      <c r="B45" t="s">
        <v>970</v>
      </c>
    </row>
    <row r="46" spans="1:3" x14ac:dyDescent="0.25">
      <c r="A46" t="s">
        <v>971</v>
      </c>
    </row>
    <row r="47" spans="1:3" x14ac:dyDescent="0.25">
      <c r="A47" t="s">
        <v>124</v>
      </c>
      <c r="B47" t="s">
        <v>972</v>
      </c>
    </row>
    <row r="48" spans="1:3" x14ac:dyDescent="0.25">
      <c r="A48" t="s">
        <v>929</v>
      </c>
    </row>
    <row r="49" spans="1:5" x14ac:dyDescent="0.25">
      <c r="A49" t="s">
        <v>973</v>
      </c>
    </row>
    <row r="50" spans="1:5" x14ac:dyDescent="0.25">
      <c r="A50" t="s">
        <v>974</v>
      </c>
      <c r="B50" t="s">
        <v>975</v>
      </c>
    </row>
    <row r="51" spans="1:5" x14ac:dyDescent="0.25">
      <c r="A51" t="s">
        <v>952</v>
      </c>
      <c r="B51" t="s">
        <v>206</v>
      </c>
    </row>
    <row r="52" spans="1:5" x14ac:dyDescent="0.25">
      <c r="A52" t="s">
        <v>976</v>
      </c>
      <c r="B52" t="s">
        <v>977</v>
      </c>
    </row>
    <row r="53" spans="1:5" x14ac:dyDescent="0.25">
      <c r="A53" t="s">
        <v>206</v>
      </c>
      <c r="B53" t="s">
        <v>978</v>
      </c>
      <c r="C53" t="s">
        <v>979</v>
      </c>
      <c r="D53" t="s">
        <v>980</v>
      </c>
      <c r="E53" t="s">
        <v>981</v>
      </c>
    </row>
    <row r="54" spans="1:5" x14ac:dyDescent="0.25">
      <c r="A54" t="s">
        <v>982</v>
      </c>
      <c r="B54" t="s">
        <v>927</v>
      </c>
    </row>
    <row r="55" spans="1:5" x14ac:dyDescent="0.25">
      <c r="A55" t="s">
        <v>925</v>
      </c>
      <c r="B55" t="s">
        <v>983</v>
      </c>
      <c r="C55" t="s">
        <v>984</v>
      </c>
      <c r="D55" t="s">
        <v>985</v>
      </c>
    </row>
    <row r="56" spans="1:5" x14ac:dyDescent="0.25">
      <c r="A56" t="s">
        <v>927</v>
      </c>
      <c r="B56" t="s">
        <v>986</v>
      </c>
      <c r="C56" t="s">
        <v>987</v>
      </c>
    </row>
    <row r="57" spans="1:5" x14ac:dyDescent="0.25">
      <c r="A57" t="s">
        <v>247</v>
      </c>
    </row>
    <row r="58" spans="1:5" x14ac:dyDescent="0.25">
      <c r="A58" t="s">
        <v>988</v>
      </c>
    </row>
    <row r="59" spans="1:5" x14ac:dyDescent="0.25">
      <c r="A59" t="s">
        <v>989</v>
      </c>
      <c r="B59" t="s">
        <v>990</v>
      </c>
    </row>
    <row r="60" spans="1:5" x14ac:dyDescent="0.25">
      <c r="A60" t="s">
        <v>206</v>
      </c>
    </row>
    <row r="61" spans="1:5" x14ac:dyDescent="0.25">
      <c r="A61" t="s">
        <v>991</v>
      </c>
      <c r="B61" t="s">
        <v>927</v>
      </c>
      <c r="C61" t="s">
        <v>967</v>
      </c>
      <c r="D61" t="s">
        <v>992</v>
      </c>
    </row>
    <row r="62" spans="1:5" x14ac:dyDescent="0.25">
      <c r="A62" t="s">
        <v>993</v>
      </c>
      <c r="B62" t="s">
        <v>994</v>
      </c>
    </row>
    <row r="63" spans="1:5" x14ac:dyDescent="0.25">
      <c r="A63" t="s">
        <v>929</v>
      </c>
    </row>
    <row r="64" spans="1:5" x14ac:dyDescent="0.25">
      <c r="A64" t="s">
        <v>995</v>
      </c>
      <c r="B64" t="s">
        <v>996</v>
      </c>
    </row>
    <row r="65" spans="1:4" x14ac:dyDescent="0.25">
      <c r="A65" t="s">
        <v>951</v>
      </c>
      <c r="B65" t="s">
        <v>895</v>
      </c>
    </row>
    <row r="66" spans="1:4" x14ac:dyDescent="0.25">
      <c r="A66" t="s">
        <v>997</v>
      </c>
      <c r="B66" t="s">
        <v>952</v>
      </c>
      <c r="C66" t="s">
        <v>998</v>
      </c>
    </row>
    <row r="67" spans="1:4" x14ac:dyDescent="0.25">
      <c r="A67" t="s">
        <v>991</v>
      </c>
    </row>
    <row r="68" spans="1:4" x14ac:dyDescent="0.25">
      <c r="A68" t="s">
        <v>999</v>
      </c>
      <c r="B68" t="s">
        <v>1000</v>
      </c>
    </row>
    <row r="69" spans="1:4" x14ac:dyDescent="0.25">
      <c r="A69" t="s">
        <v>124</v>
      </c>
      <c r="B69" t="s">
        <v>1001</v>
      </c>
    </row>
    <row r="70" spans="1:4" x14ac:dyDescent="0.25">
      <c r="A70" t="s">
        <v>1002</v>
      </c>
      <c r="B70" t="s">
        <v>1003</v>
      </c>
      <c r="C70" t="s">
        <v>1004</v>
      </c>
    </row>
    <row r="71" spans="1:4" x14ac:dyDescent="0.25">
      <c r="A71" t="s">
        <v>1005</v>
      </c>
    </row>
    <row r="72" spans="1:4" x14ac:dyDescent="0.25">
      <c r="A72" t="s">
        <v>1006</v>
      </c>
    </row>
    <row r="73" spans="1:4" x14ac:dyDescent="0.25">
      <c r="A73" t="s">
        <v>927</v>
      </c>
      <c r="B73" t="s">
        <v>124</v>
      </c>
    </row>
    <row r="74" spans="1:4" x14ac:dyDescent="0.25">
      <c r="A74" t="s">
        <v>895</v>
      </c>
      <c r="B74" t="s">
        <v>422</v>
      </c>
    </row>
    <row r="75" spans="1:4" x14ac:dyDescent="0.25">
      <c r="A75" t="s">
        <v>1007</v>
      </c>
      <c r="B75" t="s">
        <v>1008</v>
      </c>
    </row>
    <row r="76" spans="1:4" x14ac:dyDescent="0.25">
      <c r="A76" t="s">
        <v>929</v>
      </c>
    </row>
    <row r="77" spans="1:4" x14ac:dyDescent="0.25">
      <c r="A77" t="s">
        <v>1009</v>
      </c>
      <c r="B77" t="s">
        <v>1010</v>
      </c>
      <c r="C77" t="s">
        <v>1011</v>
      </c>
      <c r="D77" t="s">
        <v>1012</v>
      </c>
    </row>
    <row r="78" spans="1:4" x14ac:dyDescent="0.25">
      <c r="A78" t="s">
        <v>965</v>
      </c>
      <c r="B78" t="s">
        <v>1013</v>
      </c>
    </row>
    <row r="79" spans="1:4" x14ac:dyDescent="0.25">
      <c r="A79" t="s">
        <v>1014</v>
      </c>
      <c r="B79" t="s">
        <v>1015</v>
      </c>
    </row>
    <row r="80" spans="1:4" x14ac:dyDescent="0.25">
      <c r="A80" t="s">
        <v>1016</v>
      </c>
    </row>
    <row r="81" spans="1:3" x14ac:dyDescent="0.25">
      <c r="A81" t="s">
        <v>1017</v>
      </c>
      <c r="B81" t="s">
        <v>1018</v>
      </c>
      <c r="C81" t="s">
        <v>1019</v>
      </c>
    </row>
    <row r="82" spans="1:3" x14ac:dyDescent="0.25">
      <c r="A82" t="s">
        <v>957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85"/>
  <sheetViews>
    <sheetView workbookViewId="0"/>
  </sheetViews>
  <sheetFormatPr defaultRowHeight="15" x14ac:dyDescent="0.25"/>
  <cols>
    <col min="1" max="8" width="30.7109375" customWidth="1"/>
  </cols>
  <sheetData>
    <row r="1" spans="1:3" s="3" customFormat="1" x14ac:dyDescent="0.25">
      <c r="A1" s="11" t="str">
        <f>HYPERLINK("#Tabulka!A192","Co bychom měli dělat, aby na tom byla naše krajina **lépe**? &lt;br&gt;&lt;br&gt;*Pokud nevíte, otázku přeskočte.*")</f>
        <v>Co bychom měli dělat, aby na tom byla naše krajina **lépe**? &lt;br&gt;&lt;br&gt;*Pokud nevíte, otázku přeskočte.*</v>
      </c>
    </row>
    <row r="2" spans="1:3" x14ac:dyDescent="0.25">
      <c r="A2" t="s">
        <v>1129</v>
      </c>
    </row>
    <row r="3" spans="1:3" x14ac:dyDescent="0.25">
      <c r="A3" t="s">
        <v>1130</v>
      </c>
    </row>
    <row r="4" spans="1:3" x14ac:dyDescent="0.25">
      <c r="A4" t="s">
        <v>1131</v>
      </c>
    </row>
    <row r="5" spans="1:3" x14ac:dyDescent="0.25">
      <c r="A5" t="s">
        <v>1132</v>
      </c>
    </row>
    <row r="6" spans="1:3" x14ac:dyDescent="0.25">
      <c r="A6" t="s">
        <v>1133</v>
      </c>
      <c r="B6" t="s">
        <v>1134</v>
      </c>
    </row>
    <row r="7" spans="1:3" x14ac:dyDescent="0.25">
      <c r="A7" t="s">
        <v>1135</v>
      </c>
      <c r="B7" t="s">
        <v>1136</v>
      </c>
    </row>
    <row r="8" spans="1:3" x14ac:dyDescent="0.25">
      <c r="A8" t="s">
        <v>1137</v>
      </c>
      <c r="B8" t="s">
        <v>1138</v>
      </c>
      <c r="C8" t="s">
        <v>1139</v>
      </c>
    </row>
    <row r="9" spans="1:3" x14ac:dyDescent="0.25">
      <c r="A9" t="s">
        <v>1140</v>
      </c>
    </row>
    <row r="10" spans="1:3" x14ac:dyDescent="0.25">
      <c r="A10" t="s">
        <v>1141</v>
      </c>
      <c r="B10" t="s">
        <v>1142</v>
      </c>
      <c r="C10" t="s">
        <v>1143</v>
      </c>
    </row>
    <row r="11" spans="1:3" x14ac:dyDescent="0.25">
      <c r="A11" t="s">
        <v>1144</v>
      </c>
    </row>
    <row r="12" spans="1:3" x14ac:dyDescent="0.25">
      <c r="A12" t="s">
        <v>1145</v>
      </c>
    </row>
    <row r="13" spans="1:3" x14ac:dyDescent="0.25">
      <c r="A13" t="s">
        <v>1146</v>
      </c>
      <c r="B13" t="s">
        <v>1147</v>
      </c>
      <c r="C13" t="s">
        <v>1148</v>
      </c>
    </row>
    <row r="14" spans="1:3" x14ac:dyDescent="0.25">
      <c r="A14" t="s">
        <v>1149</v>
      </c>
    </row>
    <row r="15" spans="1:3" x14ac:dyDescent="0.25">
      <c r="A15" t="s">
        <v>1150</v>
      </c>
    </row>
    <row r="16" spans="1:3" x14ac:dyDescent="0.25">
      <c r="A16" t="s">
        <v>1151</v>
      </c>
    </row>
    <row r="17" spans="1:5" x14ac:dyDescent="0.25">
      <c r="A17" t="s">
        <v>1152</v>
      </c>
    </row>
    <row r="18" spans="1:5" x14ac:dyDescent="0.25">
      <c r="A18" t="s">
        <v>1153</v>
      </c>
      <c r="B18" t="s">
        <v>1154</v>
      </c>
      <c r="C18" t="s">
        <v>1155</v>
      </c>
      <c r="D18" t="s">
        <v>1156</v>
      </c>
    </row>
    <row r="19" spans="1:5" x14ac:dyDescent="0.25">
      <c r="A19" t="s">
        <v>1157</v>
      </c>
      <c r="B19" t="s">
        <v>1158</v>
      </c>
      <c r="C19" t="s">
        <v>1159</v>
      </c>
    </row>
    <row r="20" spans="1:5" x14ac:dyDescent="0.25">
      <c r="A20" t="s">
        <v>1160</v>
      </c>
    </row>
    <row r="21" spans="1:5" x14ac:dyDescent="0.25">
      <c r="A21" t="s">
        <v>1161</v>
      </c>
    </row>
    <row r="22" spans="1:5" x14ac:dyDescent="0.25">
      <c r="A22" t="s">
        <v>1162</v>
      </c>
      <c r="B22" t="s">
        <v>1163</v>
      </c>
      <c r="C22" t="s">
        <v>1164</v>
      </c>
    </row>
    <row r="23" spans="1:5" x14ac:dyDescent="0.25">
      <c r="A23" t="s">
        <v>1165</v>
      </c>
    </row>
    <row r="24" spans="1:5" x14ac:dyDescent="0.25">
      <c r="A24" t="s">
        <v>247</v>
      </c>
    </row>
    <row r="25" spans="1:5" x14ac:dyDescent="0.25">
      <c r="A25" t="s">
        <v>1166</v>
      </c>
    </row>
    <row r="26" spans="1:5" x14ac:dyDescent="0.25">
      <c r="A26" t="s">
        <v>1167</v>
      </c>
      <c r="B26" t="s">
        <v>1168</v>
      </c>
      <c r="C26" t="s">
        <v>1169</v>
      </c>
      <c r="D26" t="s">
        <v>1170</v>
      </c>
      <c r="E26" t="s">
        <v>1171</v>
      </c>
    </row>
    <row r="27" spans="1:5" x14ac:dyDescent="0.25">
      <c r="A27" t="s">
        <v>1172</v>
      </c>
    </row>
    <row r="28" spans="1:5" x14ac:dyDescent="0.25">
      <c r="A28" t="s">
        <v>1173</v>
      </c>
      <c r="B28" t="s">
        <v>1174</v>
      </c>
      <c r="C28" t="s">
        <v>1175</v>
      </c>
      <c r="D28" t="s">
        <v>1176</v>
      </c>
      <c r="E28" t="s">
        <v>1177</v>
      </c>
    </row>
    <row r="29" spans="1:5" x14ac:dyDescent="0.25">
      <c r="A29" t="s">
        <v>1178</v>
      </c>
    </row>
    <row r="30" spans="1:5" x14ac:dyDescent="0.25">
      <c r="A30" t="s">
        <v>1179</v>
      </c>
    </row>
    <row r="31" spans="1:5" x14ac:dyDescent="0.25">
      <c r="A31" t="s">
        <v>1180</v>
      </c>
    </row>
    <row r="32" spans="1:5" x14ac:dyDescent="0.25">
      <c r="A32" t="s">
        <v>1181</v>
      </c>
    </row>
    <row r="33" spans="1:6" x14ac:dyDescent="0.25">
      <c r="A33" t="s">
        <v>1182</v>
      </c>
      <c r="B33" t="s">
        <v>1183</v>
      </c>
    </row>
    <row r="34" spans="1:6" x14ac:dyDescent="0.25">
      <c r="A34" t="s">
        <v>1184</v>
      </c>
      <c r="B34" t="s">
        <v>1185</v>
      </c>
      <c r="C34" t="s">
        <v>1186</v>
      </c>
      <c r="D34" t="s">
        <v>1187</v>
      </c>
      <c r="E34" t="s">
        <v>1188</v>
      </c>
      <c r="F34" t="s">
        <v>1189</v>
      </c>
    </row>
    <row r="35" spans="1:6" x14ac:dyDescent="0.25">
      <c r="A35" t="s">
        <v>1190</v>
      </c>
    </row>
    <row r="36" spans="1:6" x14ac:dyDescent="0.25">
      <c r="A36" t="s">
        <v>1191</v>
      </c>
    </row>
    <row r="37" spans="1:6" x14ac:dyDescent="0.25">
      <c r="A37" t="s">
        <v>1192</v>
      </c>
    </row>
    <row r="38" spans="1:6" x14ac:dyDescent="0.25">
      <c r="A38" t="s">
        <v>1193</v>
      </c>
      <c r="B38" t="s">
        <v>1194</v>
      </c>
    </row>
    <row r="39" spans="1:6" x14ac:dyDescent="0.25">
      <c r="A39" t="s">
        <v>1195</v>
      </c>
      <c r="B39" t="s">
        <v>1196</v>
      </c>
    </row>
    <row r="40" spans="1:6" x14ac:dyDescent="0.25">
      <c r="A40" t="s">
        <v>1197</v>
      </c>
    </row>
    <row r="41" spans="1:6" x14ac:dyDescent="0.25">
      <c r="A41" t="s">
        <v>1198</v>
      </c>
      <c r="B41" t="s">
        <v>1199</v>
      </c>
      <c r="C41" t="s">
        <v>1200</v>
      </c>
    </row>
    <row r="42" spans="1:6" x14ac:dyDescent="0.25">
      <c r="A42" t="s">
        <v>1201</v>
      </c>
    </row>
    <row r="43" spans="1:6" x14ac:dyDescent="0.25">
      <c r="A43" t="s">
        <v>1202</v>
      </c>
    </row>
    <row r="44" spans="1:6" x14ac:dyDescent="0.25">
      <c r="A44" t="s">
        <v>1203</v>
      </c>
    </row>
    <row r="45" spans="1:6" x14ac:dyDescent="0.25">
      <c r="A45" t="s">
        <v>1204</v>
      </c>
    </row>
    <row r="46" spans="1:6" x14ac:dyDescent="0.25">
      <c r="A46" t="s">
        <v>1205</v>
      </c>
    </row>
    <row r="47" spans="1:6" x14ac:dyDescent="0.25">
      <c r="A47" t="s">
        <v>1206</v>
      </c>
    </row>
    <row r="48" spans="1:6" x14ac:dyDescent="0.25">
      <c r="A48" t="s">
        <v>1207</v>
      </c>
      <c r="B48" t="s">
        <v>1208</v>
      </c>
    </row>
    <row r="49" spans="1:4" x14ac:dyDescent="0.25">
      <c r="A49" t="s">
        <v>1209</v>
      </c>
    </row>
    <row r="50" spans="1:4" x14ac:dyDescent="0.25">
      <c r="A50" t="s">
        <v>1210</v>
      </c>
    </row>
    <row r="51" spans="1:4" x14ac:dyDescent="0.25">
      <c r="A51" t="s">
        <v>1211</v>
      </c>
      <c r="B51" t="s">
        <v>1212</v>
      </c>
    </row>
    <row r="52" spans="1:4" x14ac:dyDescent="0.25">
      <c r="A52" t="s">
        <v>1213</v>
      </c>
    </row>
    <row r="53" spans="1:4" x14ac:dyDescent="0.25">
      <c r="A53" t="s">
        <v>1214</v>
      </c>
      <c r="B53" t="s">
        <v>1215</v>
      </c>
      <c r="C53" t="s">
        <v>1216</v>
      </c>
      <c r="D53" t="s">
        <v>1217</v>
      </c>
    </row>
    <row r="54" spans="1:4" x14ac:dyDescent="0.25">
      <c r="A54" t="s">
        <v>1218</v>
      </c>
      <c r="B54" t="s">
        <v>1219</v>
      </c>
      <c r="C54" t="s">
        <v>1220</v>
      </c>
    </row>
    <row r="55" spans="1:4" x14ac:dyDescent="0.25">
      <c r="A55" t="s">
        <v>1221</v>
      </c>
    </row>
    <row r="56" spans="1:4" x14ac:dyDescent="0.25">
      <c r="A56" t="s">
        <v>1222</v>
      </c>
    </row>
    <row r="57" spans="1:4" x14ac:dyDescent="0.25">
      <c r="A57" t="s">
        <v>1223</v>
      </c>
    </row>
    <row r="58" spans="1:4" x14ac:dyDescent="0.25">
      <c r="A58" t="s">
        <v>1224</v>
      </c>
    </row>
    <row r="59" spans="1:4" x14ac:dyDescent="0.25">
      <c r="A59" t="s">
        <v>1225</v>
      </c>
      <c r="B59" t="s">
        <v>1226</v>
      </c>
      <c r="C59" t="s">
        <v>1227</v>
      </c>
    </row>
    <row r="60" spans="1:4" x14ac:dyDescent="0.25">
      <c r="A60" t="s">
        <v>1228</v>
      </c>
    </row>
    <row r="61" spans="1:4" x14ac:dyDescent="0.25">
      <c r="A61" t="s">
        <v>1229</v>
      </c>
    </row>
    <row r="62" spans="1:4" x14ac:dyDescent="0.25">
      <c r="A62" t="s">
        <v>1230</v>
      </c>
    </row>
    <row r="63" spans="1:4" x14ac:dyDescent="0.25">
      <c r="A63" t="s">
        <v>1231</v>
      </c>
    </row>
    <row r="64" spans="1:4" x14ac:dyDescent="0.25">
      <c r="A64" t="s">
        <v>1232</v>
      </c>
      <c r="B64" t="s">
        <v>1233</v>
      </c>
      <c r="C64" t="s">
        <v>1234</v>
      </c>
    </row>
    <row r="65" spans="1:4" x14ac:dyDescent="0.25">
      <c r="A65" t="s">
        <v>1235</v>
      </c>
      <c r="B65" t="s">
        <v>1236</v>
      </c>
    </row>
    <row r="66" spans="1:4" x14ac:dyDescent="0.25">
      <c r="A66" t="s">
        <v>1237</v>
      </c>
    </row>
    <row r="67" spans="1:4" x14ac:dyDescent="0.25">
      <c r="A67" t="s">
        <v>1238</v>
      </c>
      <c r="B67" t="s">
        <v>1239</v>
      </c>
      <c r="C67" t="s">
        <v>1240</v>
      </c>
    </row>
    <row r="68" spans="1:4" x14ac:dyDescent="0.25">
      <c r="A68" t="s">
        <v>1241</v>
      </c>
      <c r="B68" t="s">
        <v>1242</v>
      </c>
      <c r="C68" t="s">
        <v>1243</v>
      </c>
    </row>
    <row r="69" spans="1:4" x14ac:dyDescent="0.25">
      <c r="A69" t="s">
        <v>1244</v>
      </c>
    </row>
    <row r="70" spans="1:4" x14ac:dyDescent="0.25">
      <c r="A70" t="s">
        <v>1245</v>
      </c>
    </row>
    <row r="71" spans="1:4" x14ac:dyDescent="0.25">
      <c r="A71" t="s">
        <v>1246</v>
      </c>
      <c r="B71" t="s">
        <v>1247</v>
      </c>
      <c r="C71" t="s">
        <v>1187</v>
      </c>
      <c r="D71" t="s">
        <v>1248</v>
      </c>
    </row>
    <row r="72" spans="1:4" x14ac:dyDescent="0.25">
      <c r="A72" t="s">
        <v>1249</v>
      </c>
    </row>
    <row r="73" spans="1:4" x14ac:dyDescent="0.25">
      <c r="A73" t="s">
        <v>1250</v>
      </c>
      <c r="B73" t="s">
        <v>1251</v>
      </c>
    </row>
    <row r="74" spans="1:4" x14ac:dyDescent="0.25">
      <c r="A74" t="s">
        <v>1252</v>
      </c>
    </row>
    <row r="75" spans="1:4" x14ac:dyDescent="0.25">
      <c r="A75" t="s">
        <v>1253</v>
      </c>
    </row>
    <row r="76" spans="1:4" x14ac:dyDescent="0.25">
      <c r="A76" t="s">
        <v>1254</v>
      </c>
      <c r="B76" t="s">
        <v>1255</v>
      </c>
      <c r="C76" t="s">
        <v>1256</v>
      </c>
    </row>
    <row r="77" spans="1:4" x14ac:dyDescent="0.25">
      <c r="A77" t="s">
        <v>1257</v>
      </c>
      <c r="B77" t="s">
        <v>1258</v>
      </c>
    </row>
    <row r="78" spans="1:4" x14ac:dyDescent="0.25">
      <c r="A78" t="s">
        <v>1259</v>
      </c>
      <c r="B78" t="s">
        <v>1260</v>
      </c>
    </row>
    <row r="79" spans="1:4" x14ac:dyDescent="0.25">
      <c r="A79" t="s">
        <v>1261</v>
      </c>
    </row>
    <row r="80" spans="1:4" x14ac:dyDescent="0.25">
      <c r="A80" t="s">
        <v>1262</v>
      </c>
    </row>
    <row r="81" spans="1:3" x14ac:dyDescent="0.25">
      <c r="A81" t="s">
        <v>1223</v>
      </c>
    </row>
    <row r="82" spans="1:3" x14ac:dyDescent="0.25">
      <c r="A82" t="s">
        <v>1263</v>
      </c>
      <c r="B82" t="s">
        <v>1264</v>
      </c>
    </row>
    <row r="83" spans="1:3" x14ac:dyDescent="0.25">
      <c r="A83" t="s">
        <v>1265</v>
      </c>
    </row>
    <row r="84" spans="1:3" x14ac:dyDescent="0.25">
      <c r="A84" t="s">
        <v>1266</v>
      </c>
      <c r="B84" t="s">
        <v>1267</v>
      </c>
    </row>
    <row r="85" spans="1:3" x14ac:dyDescent="0.25">
      <c r="A85" t="s">
        <v>1268</v>
      </c>
    </row>
    <row r="86" spans="1:3" x14ac:dyDescent="0.25">
      <c r="A86" t="s">
        <v>1269</v>
      </c>
      <c r="B86" t="s">
        <v>1270</v>
      </c>
    </row>
    <row r="87" spans="1:3" x14ac:dyDescent="0.25">
      <c r="A87" t="s">
        <v>1271</v>
      </c>
      <c r="B87" t="s">
        <v>1272</v>
      </c>
    </row>
    <row r="88" spans="1:3" x14ac:dyDescent="0.25">
      <c r="A88" t="s">
        <v>1273</v>
      </c>
    </row>
    <row r="89" spans="1:3" x14ac:dyDescent="0.25">
      <c r="A89" t="s">
        <v>1274</v>
      </c>
    </row>
    <row r="90" spans="1:3" x14ac:dyDescent="0.25">
      <c r="A90" t="s">
        <v>1275</v>
      </c>
      <c r="B90" t="s">
        <v>1276</v>
      </c>
    </row>
    <row r="91" spans="1:3" x14ac:dyDescent="0.25">
      <c r="A91" t="s">
        <v>1277</v>
      </c>
    </row>
    <row r="92" spans="1:3" x14ac:dyDescent="0.25">
      <c r="A92" t="s">
        <v>1239</v>
      </c>
      <c r="B92" t="s">
        <v>1278</v>
      </c>
      <c r="C92" t="s">
        <v>1163</v>
      </c>
    </row>
    <row r="93" spans="1:3" x14ac:dyDescent="0.25">
      <c r="A93" t="s">
        <v>1239</v>
      </c>
      <c r="B93" t="s">
        <v>1279</v>
      </c>
    </row>
    <row r="94" spans="1:3" x14ac:dyDescent="0.25">
      <c r="A94" t="s">
        <v>1280</v>
      </c>
    </row>
    <row r="95" spans="1:3" x14ac:dyDescent="0.25">
      <c r="A95" t="s">
        <v>1281</v>
      </c>
      <c r="B95" t="s">
        <v>1282</v>
      </c>
    </row>
    <row r="96" spans="1:3" x14ac:dyDescent="0.25">
      <c r="A96" t="s">
        <v>1283</v>
      </c>
    </row>
    <row r="97" spans="1:5" x14ac:dyDescent="0.25">
      <c r="A97" t="s">
        <v>1284</v>
      </c>
    </row>
    <row r="98" spans="1:5" x14ac:dyDescent="0.25">
      <c r="A98" t="s">
        <v>1285</v>
      </c>
    </row>
    <row r="99" spans="1:5" x14ac:dyDescent="0.25">
      <c r="A99" t="s">
        <v>1286</v>
      </c>
      <c r="B99" t="s">
        <v>1287</v>
      </c>
    </row>
    <row r="100" spans="1:5" x14ac:dyDescent="0.25">
      <c r="A100" t="s">
        <v>1288</v>
      </c>
      <c r="B100" t="s">
        <v>1289</v>
      </c>
      <c r="C100" t="s">
        <v>1290</v>
      </c>
    </row>
    <row r="101" spans="1:5" x14ac:dyDescent="0.25">
      <c r="A101" t="s">
        <v>1291</v>
      </c>
      <c r="B101" t="s">
        <v>1292</v>
      </c>
      <c r="C101" t="s">
        <v>1293</v>
      </c>
    </row>
    <row r="102" spans="1:5" x14ac:dyDescent="0.25">
      <c r="A102" t="s">
        <v>1294</v>
      </c>
      <c r="B102" t="s">
        <v>1295</v>
      </c>
      <c r="C102" t="s">
        <v>1296</v>
      </c>
      <c r="D102" t="s">
        <v>1297</v>
      </c>
    </row>
    <row r="103" spans="1:5" x14ac:dyDescent="0.25">
      <c r="A103" t="s">
        <v>1298</v>
      </c>
    </row>
    <row r="104" spans="1:5" x14ac:dyDescent="0.25">
      <c r="A104" t="s">
        <v>1299</v>
      </c>
    </row>
    <row r="105" spans="1:5" x14ac:dyDescent="0.25">
      <c r="A105" t="s">
        <v>1300</v>
      </c>
      <c r="B105" t="s">
        <v>1301</v>
      </c>
      <c r="C105" t="s">
        <v>1302</v>
      </c>
    </row>
    <row r="106" spans="1:5" x14ac:dyDescent="0.25">
      <c r="A106" t="s">
        <v>1303</v>
      </c>
    </row>
    <row r="107" spans="1:5" x14ac:dyDescent="0.25">
      <c r="A107" t="s">
        <v>1304</v>
      </c>
      <c r="B107" t="s">
        <v>1305</v>
      </c>
      <c r="C107" t="s">
        <v>1306</v>
      </c>
      <c r="D107" t="s">
        <v>1307</v>
      </c>
      <c r="E107" t="s">
        <v>1308</v>
      </c>
    </row>
    <row r="108" spans="1:5" x14ac:dyDescent="0.25">
      <c r="A108" t="s">
        <v>1309</v>
      </c>
    </row>
    <row r="109" spans="1:5" x14ac:dyDescent="0.25">
      <c r="A109" t="s">
        <v>1310</v>
      </c>
    </row>
    <row r="110" spans="1:5" x14ac:dyDescent="0.25">
      <c r="A110" t="s">
        <v>1311</v>
      </c>
    </row>
    <row r="111" spans="1:5" x14ac:dyDescent="0.25">
      <c r="A111" t="s">
        <v>1312</v>
      </c>
    </row>
    <row r="112" spans="1:5" x14ac:dyDescent="0.25">
      <c r="A112" t="s">
        <v>1313</v>
      </c>
      <c r="B112" t="s">
        <v>1314</v>
      </c>
    </row>
    <row r="113" spans="1:4" x14ac:dyDescent="0.25">
      <c r="A113" t="s">
        <v>1315</v>
      </c>
    </row>
    <row r="114" spans="1:4" x14ac:dyDescent="0.25">
      <c r="A114" t="s">
        <v>1316</v>
      </c>
      <c r="B114" t="s">
        <v>1317</v>
      </c>
    </row>
    <row r="115" spans="1:4" x14ac:dyDescent="0.25">
      <c r="A115" t="s">
        <v>1318</v>
      </c>
    </row>
    <row r="116" spans="1:4" x14ac:dyDescent="0.25">
      <c r="A116" t="s">
        <v>1319</v>
      </c>
      <c r="B116" t="s">
        <v>1320</v>
      </c>
    </row>
    <row r="117" spans="1:4" x14ac:dyDescent="0.25">
      <c r="A117" t="s">
        <v>1321</v>
      </c>
      <c r="B117" t="s">
        <v>1322</v>
      </c>
      <c r="C117" t="s">
        <v>1323</v>
      </c>
      <c r="D117" t="s">
        <v>1324</v>
      </c>
    </row>
    <row r="118" spans="1:4" x14ac:dyDescent="0.25">
      <c r="A118" t="s">
        <v>1325</v>
      </c>
    </row>
    <row r="119" spans="1:4" x14ac:dyDescent="0.25">
      <c r="A119" t="s">
        <v>1326</v>
      </c>
      <c r="B119" t="s">
        <v>1327</v>
      </c>
      <c r="C119" t="s">
        <v>1328</v>
      </c>
    </row>
    <row r="120" spans="1:4" x14ac:dyDescent="0.25">
      <c r="A120" t="s">
        <v>1329</v>
      </c>
      <c r="B120" t="s">
        <v>1330</v>
      </c>
    </row>
    <row r="121" spans="1:4" x14ac:dyDescent="0.25">
      <c r="A121" t="s">
        <v>1331</v>
      </c>
      <c r="B121" t="s">
        <v>1332</v>
      </c>
      <c r="C121" t="s">
        <v>1333</v>
      </c>
    </row>
    <row r="122" spans="1:4" x14ac:dyDescent="0.25">
      <c r="A122" t="s">
        <v>1334</v>
      </c>
    </row>
    <row r="123" spans="1:4" x14ac:dyDescent="0.25">
      <c r="A123" t="s">
        <v>1335</v>
      </c>
    </row>
    <row r="124" spans="1:4" x14ac:dyDescent="0.25">
      <c r="A124" t="s">
        <v>1336</v>
      </c>
    </row>
    <row r="125" spans="1:4" x14ac:dyDescent="0.25">
      <c r="A125" t="s">
        <v>1337</v>
      </c>
    </row>
    <row r="126" spans="1:4" x14ac:dyDescent="0.25">
      <c r="A126" t="s">
        <v>1338</v>
      </c>
    </row>
    <row r="127" spans="1:4" x14ac:dyDescent="0.25">
      <c r="A127" t="s">
        <v>1339</v>
      </c>
    </row>
    <row r="128" spans="1:4" x14ac:dyDescent="0.25">
      <c r="A128" t="s">
        <v>1340</v>
      </c>
    </row>
    <row r="129" spans="1:6" x14ac:dyDescent="0.25">
      <c r="A129" t="s">
        <v>1341</v>
      </c>
    </row>
    <row r="130" spans="1:6" x14ac:dyDescent="0.25">
      <c r="A130" t="s">
        <v>1342</v>
      </c>
    </row>
    <row r="131" spans="1:6" x14ac:dyDescent="0.25">
      <c r="A131" t="s">
        <v>1343</v>
      </c>
      <c r="B131" t="s">
        <v>1344</v>
      </c>
      <c r="C131" t="s">
        <v>1345</v>
      </c>
    </row>
    <row r="132" spans="1:6" x14ac:dyDescent="0.25">
      <c r="A132" t="s">
        <v>1346</v>
      </c>
    </row>
    <row r="133" spans="1:6" x14ac:dyDescent="0.25">
      <c r="A133" t="s">
        <v>1347</v>
      </c>
    </row>
    <row r="134" spans="1:6" x14ac:dyDescent="0.25">
      <c r="A134" t="s">
        <v>1348</v>
      </c>
      <c r="B134" t="s">
        <v>1349</v>
      </c>
      <c r="C134" t="s">
        <v>1350</v>
      </c>
    </row>
    <row r="135" spans="1:6" x14ac:dyDescent="0.25">
      <c r="A135" t="s">
        <v>1351</v>
      </c>
      <c r="B135" t="s">
        <v>1352</v>
      </c>
      <c r="C135" t="s">
        <v>1353</v>
      </c>
    </row>
    <row r="136" spans="1:6" x14ac:dyDescent="0.25">
      <c r="A136" t="s">
        <v>1354</v>
      </c>
    </row>
    <row r="137" spans="1:6" x14ac:dyDescent="0.25">
      <c r="A137" t="s">
        <v>1355</v>
      </c>
      <c r="B137" t="s">
        <v>1356</v>
      </c>
      <c r="C137" t="s">
        <v>1357</v>
      </c>
      <c r="D137" t="s">
        <v>1358</v>
      </c>
      <c r="E137" t="s">
        <v>1359</v>
      </c>
      <c r="F137" t="s">
        <v>1360</v>
      </c>
    </row>
    <row r="138" spans="1:6" x14ac:dyDescent="0.25">
      <c r="A138" t="s">
        <v>1361</v>
      </c>
    </row>
    <row r="139" spans="1:6" x14ac:dyDescent="0.25">
      <c r="A139" t="s">
        <v>1362</v>
      </c>
      <c r="B139" t="s">
        <v>1363</v>
      </c>
    </row>
    <row r="140" spans="1:6" x14ac:dyDescent="0.25">
      <c r="A140" t="s">
        <v>1299</v>
      </c>
      <c r="B140" t="s">
        <v>1364</v>
      </c>
      <c r="C140" t="s">
        <v>1365</v>
      </c>
    </row>
    <row r="141" spans="1:6" x14ac:dyDescent="0.25">
      <c r="A141" t="s">
        <v>1366</v>
      </c>
      <c r="B141" t="s">
        <v>1367</v>
      </c>
      <c r="C141" t="s">
        <v>1368</v>
      </c>
    </row>
    <row r="142" spans="1:6" x14ac:dyDescent="0.25">
      <c r="A142" t="s">
        <v>1369</v>
      </c>
      <c r="B142" t="s">
        <v>1370</v>
      </c>
      <c r="C142" t="s">
        <v>781</v>
      </c>
      <c r="D142" t="s">
        <v>1371</v>
      </c>
    </row>
    <row r="143" spans="1:6" x14ac:dyDescent="0.25">
      <c r="A143" t="s">
        <v>1372</v>
      </c>
      <c r="B143" t="s">
        <v>1236</v>
      </c>
      <c r="C143" t="s">
        <v>1373</v>
      </c>
      <c r="D143" t="s">
        <v>1374</v>
      </c>
    </row>
    <row r="144" spans="1:6" x14ac:dyDescent="0.25">
      <c r="A144" t="s">
        <v>1375</v>
      </c>
    </row>
    <row r="145" spans="1:7" x14ac:dyDescent="0.25">
      <c r="A145" t="s">
        <v>1376</v>
      </c>
    </row>
    <row r="146" spans="1:7" x14ac:dyDescent="0.25">
      <c r="A146" t="s">
        <v>1377</v>
      </c>
      <c r="B146" t="s">
        <v>1378</v>
      </c>
      <c r="C146" t="s">
        <v>1379</v>
      </c>
      <c r="D146" t="s">
        <v>1380</v>
      </c>
      <c r="E146" t="s">
        <v>1381</v>
      </c>
      <c r="F146" t="s">
        <v>1382</v>
      </c>
      <c r="G146" t="s">
        <v>1383</v>
      </c>
    </row>
    <row r="147" spans="1:7" x14ac:dyDescent="0.25">
      <c r="A147" t="s">
        <v>1384</v>
      </c>
    </row>
    <row r="148" spans="1:7" x14ac:dyDescent="0.25">
      <c r="A148" t="s">
        <v>1385</v>
      </c>
      <c r="B148" t="s">
        <v>1386</v>
      </c>
    </row>
    <row r="149" spans="1:7" x14ac:dyDescent="0.25">
      <c r="A149" t="s">
        <v>1387</v>
      </c>
      <c r="B149" t="s">
        <v>1388</v>
      </c>
      <c r="C149" t="s">
        <v>1389</v>
      </c>
      <c r="D149" t="s">
        <v>1390</v>
      </c>
      <c r="E149" t="s">
        <v>1391</v>
      </c>
    </row>
    <row r="150" spans="1:7" x14ac:dyDescent="0.25">
      <c r="A150" t="s">
        <v>1392</v>
      </c>
      <c r="B150" t="s">
        <v>1393</v>
      </c>
      <c r="C150" t="s">
        <v>1394</v>
      </c>
      <c r="D150" t="s">
        <v>1395</v>
      </c>
    </row>
    <row r="151" spans="1:7" x14ac:dyDescent="0.25">
      <c r="A151" t="s">
        <v>1396</v>
      </c>
    </row>
    <row r="152" spans="1:7" x14ac:dyDescent="0.25">
      <c r="A152" t="s">
        <v>1397</v>
      </c>
    </row>
    <row r="153" spans="1:7" x14ac:dyDescent="0.25">
      <c r="A153" t="s">
        <v>1398</v>
      </c>
    </row>
    <row r="154" spans="1:7" x14ac:dyDescent="0.25">
      <c r="A154" t="s">
        <v>1399</v>
      </c>
    </row>
    <row r="155" spans="1:7" x14ac:dyDescent="0.25">
      <c r="A155" t="s">
        <v>1400</v>
      </c>
      <c r="B155" t="s">
        <v>1401</v>
      </c>
      <c r="C155" t="s">
        <v>1402</v>
      </c>
    </row>
    <row r="156" spans="1:7" x14ac:dyDescent="0.25">
      <c r="A156" t="s">
        <v>1403</v>
      </c>
    </row>
    <row r="157" spans="1:7" x14ac:dyDescent="0.25">
      <c r="A157" t="s">
        <v>1404</v>
      </c>
      <c r="B157" t="s">
        <v>1405</v>
      </c>
      <c r="C157" t="s">
        <v>1406</v>
      </c>
    </row>
    <row r="158" spans="1:7" x14ac:dyDescent="0.25">
      <c r="A158" t="s">
        <v>1223</v>
      </c>
      <c r="B158" t="s">
        <v>1407</v>
      </c>
    </row>
    <row r="159" spans="1:7" x14ac:dyDescent="0.25">
      <c r="A159" t="s">
        <v>1408</v>
      </c>
    </row>
    <row r="160" spans="1:7" x14ac:dyDescent="0.25">
      <c r="A160" t="s">
        <v>1409</v>
      </c>
    </row>
    <row r="161" spans="1:4" x14ac:dyDescent="0.25">
      <c r="A161" t="s">
        <v>1410</v>
      </c>
      <c r="B161" t="s">
        <v>1411</v>
      </c>
      <c r="C161" t="s">
        <v>1219</v>
      </c>
    </row>
    <row r="162" spans="1:4" x14ac:dyDescent="0.25">
      <c r="A162" t="s">
        <v>1412</v>
      </c>
      <c r="B162" t="s">
        <v>1413</v>
      </c>
    </row>
    <row r="163" spans="1:4" x14ac:dyDescent="0.25">
      <c r="A163" t="s">
        <v>1414</v>
      </c>
    </row>
    <row r="164" spans="1:4" x14ac:dyDescent="0.25">
      <c r="A164" t="s">
        <v>1415</v>
      </c>
      <c r="B164" t="s">
        <v>1416</v>
      </c>
    </row>
    <row r="165" spans="1:4" x14ac:dyDescent="0.25">
      <c r="A165" t="s">
        <v>1417</v>
      </c>
      <c r="B165" t="s">
        <v>1418</v>
      </c>
      <c r="C165" t="s">
        <v>1419</v>
      </c>
    </row>
    <row r="166" spans="1:4" x14ac:dyDescent="0.25">
      <c r="A166" t="s">
        <v>1420</v>
      </c>
    </row>
    <row r="167" spans="1:4" x14ac:dyDescent="0.25">
      <c r="A167" t="s">
        <v>1421</v>
      </c>
    </row>
    <row r="168" spans="1:4" x14ac:dyDescent="0.25">
      <c r="A168" t="s">
        <v>1422</v>
      </c>
    </row>
    <row r="169" spans="1:4" x14ac:dyDescent="0.25">
      <c r="A169" t="s">
        <v>1423</v>
      </c>
      <c r="B169" t="s">
        <v>1424</v>
      </c>
    </row>
    <row r="170" spans="1:4" x14ac:dyDescent="0.25">
      <c r="A170" t="s">
        <v>1425</v>
      </c>
    </row>
    <row r="171" spans="1:4" x14ac:dyDescent="0.25">
      <c r="A171" t="s">
        <v>1426</v>
      </c>
    </row>
    <row r="172" spans="1:4" x14ac:dyDescent="0.25">
      <c r="A172" t="s">
        <v>1427</v>
      </c>
      <c r="B172" t="s">
        <v>1428</v>
      </c>
      <c r="C172" t="s">
        <v>1429</v>
      </c>
    </row>
    <row r="173" spans="1:4" x14ac:dyDescent="0.25">
      <c r="A173" t="s">
        <v>1430</v>
      </c>
      <c r="B173" t="s">
        <v>1431</v>
      </c>
      <c r="C173" t="s">
        <v>1432</v>
      </c>
      <c r="D173" t="s">
        <v>1433</v>
      </c>
    </row>
    <row r="174" spans="1:4" x14ac:dyDescent="0.25">
      <c r="A174" t="s">
        <v>1434</v>
      </c>
    </row>
    <row r="175" spans="1:4" x14ac:dyDescent="0.25">
      <c r="A175" t="s">
        <v>1435</v>
      </c>
    </row>
    <row r="176" spans="1:4" x14ac:dyDescent="0.25">
      <c r="A176" t="s">
        <v>1436</v>
      </c>
      <c r="B176" t="s">
        <v>1437</v>
      </c>
      <c r="C176" t="s">
        <v>1438</v>
      </c>
      <c r="D176" t="s">
        <v>1439</v>
      </c>
    </row>
    <row r="177" spans="1:2" x14ac:dyDescent="0.25">
      <c r="A177" t="s">
        <v>1440</v>
      </c>
    </row>
    <row r="178" spans="1:2" x14ac:dyDescent="0.25">
      <c r="A178" t="s">
        <v>1441</v>
      </c>
    </row>
    <row r="179" spans="1:2" x14ac:dyDescent="0.25">
      <c r="A179" t="s">
        <v>416</v>
      </c>
    </row>
    <row r="180" spans="1:2" x14ac:dyDescent="0.25">
      <c r="A180" t="s">
        <v>1442</v>
      </c>
    </row>
    <row r="181" spans="1:2" x14ac:dyDescent="0.25">
      <c r="A181" t="s">
        <v>1443</v>
      </c>
    </row>
    <row r="182" spans="1:2" x14ac:dyDescent="0.25">
      <c r="A182" t="s">
        <v>1444</v>
      </c>
    </row>
    <row r="183" spans="1:2" x14ac:dyDescent="0.25">
      <c r="A183" t="s">
        <v>1445</v>
      </c>
    </row>
    <row r="184" spans="1:2" x14ac:dyDescent="0.25">
      <c r="A184" t="s">
        <v>1446</v>
      </c>
      <c r="B184" t="s">
        <v>1239</v>
      </c>
    </row>
    <row r="185" spans="1:2" x14ac:dyDescent="0.25">
      <c r="A185" t="s">
        <v>1447</v>
      </c>
    </row>
    <row r="186" spans="1:2" x14ac:dyDescent="0.25">
      <c r="A186" t="s">
        <v>1448</v>
      </c>
    </row>
    <row r="187" spans="1:2" x14ac:dyDescent="0.25">
      <c r="A187" t="s">
        <v>1449</v>
      </c>
    </row>
    <row r="188" spans="1:2" x14ac:dyDescent="0.25">
      <c r="A188" t="s">
        <v>1450</v>
      </c>
    </row>
    <row r="189" spans="1:2" x14ac:dyDescent="0.25">
      <c r="A189" t="s">
        <v>1130</v>
      </c>
    </row>
    <row r="190" spans="1:2" x14ac:dyDescent="0.25">
      <c r="A190" t="s">
        <v>1451</v>
      </c>
    </row>
    <row r="191" spans="1:2" x14ac:dyDescent="0.25">
      <c r="A191" t="s">
        <v>1452</v>
      </c>
    </row>
    <row r="192" spans="1:2" x14ac:dyDescent="0.25">
      <c r="A192" t="s">
        <v>1453</v>
      </c>
      <c r="B192" t="s">
        <v>1454</v>
      </c>
    </row>
    <row r="193" spans="1:4" x14ac:dyDescent="0.25">
      <c r="A193" t="s">
        <v>1455</v>
      </c>
      <c r="B193" t="s">
        <v>1223</v>
      </c>
      <c r="C193" t="s">
        <v>1456</v>
      </c>
    </row>
    <row r="194" spans="1:4" x14ac:dyDescent="0.25">
      <c r="A194" t="s">
        <v>1457</v>
      </c>
    </row>
    <row r="195" spans="1:4" x14ac:dyDescent="0.25">
      <c r="A195" t="s">
        <v>1239</v>
      </c>
      <c r="B195" t="s">
        <v>1458</v>
      </c>
      <c r="C195" t="s">
        <v>1459</v>
      </c>
      <c r="D195" t="s">
        <v>1460</v>
      </c>
    </row>
    <row r="196" spans="1:4" x14ac:dyDescent="0.25">
      <c r="A196" t="s">
        <v>1199</v>
      </c>
      <c r="B196" t="s">
        <v>1461</v>
      </c>
    </row>
    <row r="197" spans="1:4" x14ac:dyDescent="0.25">
      <c r="A197" t="s">
        <v>1462</v>
      </c>
    </row>
    <row r="198" spans="1:4" x14ac:dyDescent="0.25">
      <c r="A198" t="s">
        <v>1463</v>
      </c>
    </row>
    <row r="199" spans="1:4" x14ac:dyDescent="0.25">
      <c r="A199" t="s">
        <v>1464</v>
      </c>
      <c r="B199" t="s">
        <v>1465</v>
      </c>
    </row>
    <row r="200" spans="1:4" x14ac:dyDescent="0.25">
      <c r="A200" t="s">
        <v>1466</v>
      </c>
    </row>
    <row r="201" spans="1:4" x14ac:dyDescent="0.25">
      <c r="A201" t="s">
        <v>1467</v>
      </c>
    </row>
    <row r="202" spans="1:4" x14ac:dyDescent="0.25">
      <c r="A202" t="s">
        <v>1468</v>
      </c>
    </row>
    <row r="203" spans="1:4" x14ac:dyDescent="0.25">
      <c r="A203" t="s">
        <v>1469</v>
      </c>
    </row>
    <row r="204" spans="1:4" x14ac:dyDescent="0.25">
      <c r="A204" t="s">
        <v>1470</v>
      </c>
    </row>
    <row r="205" spans="1:4" x14ac:dyDescent="0.25">
      <c r="A205" t="s">
        <v>1471</v>
      </c>
      <c r="B205" t="s">
        <v>1472</v>
      </c>
      <c r="C205" t="s">
        <v>1473</v>
      </c>
    </row>
    <row r="206" spans="1:4" x14ac:dyDescent="0.25">
      <c r="A206" t="s">
        <v>1474</v>
      </c>
    </row>
    <row r="207" spans="1:4" x14ac:dyDescent="0.25">
      <c r="A207" t="s">
        <v>1475</v>
      </c>
    </row>
    <row r="208" spans="1:4" x14ac:dyDescent="0.25">
      <c r="A208" t="s">
        <v>1476</v>
      </c>
    </row>
    <row r="209" spans="1:6" x14ac:dyDescent="0.25">
      <c r="A209" t="s">
        <v>1477</v>
      </c>
      <c r="B209" t="s">
        <v>1478</v>
      </c>
      <c r="C209" t="s">
        <v>1479</v>
      </c>
      <c r="D209" t="s">
        <v>1480</v>
      </c>
      <c r="E209" t="s">
        <v>1481</v>
      </c>
      <c r="F209" t="s">
        <v>1482</v>
      </c>
    </row>
    <row r="210" spans="1:6" x14ac:dyDescent="0.25">
      <c r="A210" t="s">
        <v>1483</v>
      </c>
    </row>
    <row r="211" spans="1:6" x14ac:dyDescent="0.25">
      <c r="A211" t="s">
        <v>1223</v>
      </c>
      <c r="B211" t="s">
        <v>1484</v>
      </c>
      <c r="C211" t="s">
        <v>1485</v>
      </c>
    </row>
    <row r="212" spans="1:6" x14ac:dyDescent="0.25">
      <c r="A212" t="s">
        <v>1486</v>
      </c>
    </row>
    <row r="213" spans="1:6" x14ac:dyDescent="0.25">
      <c r="A213" t="s">
        <v>1487</v>
      </c>
    </row>
    <row r="214" spans="1:6" x14ac:dyDescent="0.25">
      <c r="A214" t="s">
        <v>1488</v>
      </c>
      <c r="B214" t="s">
        <v>1489</v>
      </c>
      <c r="C214" t="s">
        <v>1490</v>
      </c>
      <c r="D214" t="s">
        <v>1491</v>
      </c>
      <c r="E214" t="s">
        <v>1492</v>
      </c>
    </row>
    <row r="215" spans="1:6" x14ac:dyDescent="0.25">
      <c r="A215" t="s">
        <v>1355</v>
      </c>
    </row>
    <row r="216" spans="1:6" x14ac:dyDescent="0.25">
      <c r="A216" t="s">
        <v>1493</v>
      </c>
    </row>
    <row r="217" spans="1:6" x14ac:dyDescent="0.25">
      <c r="A217" t="s">
        <v>1494</v>
      </c>
      <c r="B217" t="s">
        <v>1495</v>
      </c>
      <c r="C217" t="s">
        <v>1163</v>
      </c>
    </row>
    <row r="218" spans="1:6" x14ac:dyDescent="0.25">
      <c r="A218" t="s">
        <v>1496</v>
      </c>
      <c r="B218" t="s">
        <v>1497</v>
      </c>
    </row>
    <row r="219" spans="1:6" x14ac:dyDescent="0.25">
      <c r="A219" t="s">
        <v>1498</v>
      </c>
    </row>
    <row r="220" spans="1:6" x14ac:dyDescent="0.25">
      <c r="A220" t="s">
        <v>1499</v>
      </c>
      <c r="B220" t="s">
        <v>1166</v>
      </c>
      <c r="C220" t="s">
        <v>1500</v>
      </c>
      <c r="D220" t="s">
        <v>1501</v>
      </c>
      <c r="E220" t="s">
        <v>1502</v>
      </c>
      <c r="F220" t="s">
        <v>1503</v>
      </c>
    </row>
    <row r="221" spans="1:6" x14ac:dyDescent="0.25">
      <c r="A221" t="s">
        <v>1504</v>
      </c>
    </row>
    <row r="222" spans="1:6" x14ac:dyDescent="0.25">
      <c r="A222" t="s">
        <v>1505</v>
      </c>
    </row>
    <row r="223" spans="1:6" x14ac:dyDescent="0.25">
      <c r="A223" t="s">
        <v>1506</v>
      </c>
    </row>
    <row r="224" spans="1:6" x14ac:dyDescent="0.25">
      <c r="A224" t="s">
        <v>1507</v>
      </c>
    </row>
    <row r="225" spans="1:4" x14ac:dyDescent="0.25">
      <c r="A225" t="s">
        <v>1508</v>
      </c>
    </row>
    <row r="226" spans="1:4" x14ac:dyDescent="0.25">
      <c r="A226" t="s">
        <v>1509</v>
      </c>
    </row>
    <row r="227" spans="1:4" x14ac:dyDescent="0.25">
      <c r="A227" t="s">
        <v>1510</v>
      </c>
    </row>
    <row r="228" spans="1:4" x14ac:dyDescent="0.25">
      <c r="A228" t="s">
        <v>1511</v>
      </c>
      <c r="B228" t="s">
        <v>1512</v>
      </c>
      <c r="C228" t="s">
        <v>1513</v>
      </c>
    </row>
    <row r="229" spans="1:4" x14ac:dyDescent="0.25">
      <c r="A229" t="s">
        <v>1514</v>
      </c>
    </row>
    <row r="230" spans="1:4" x14ac:dyDescent="0.25">
      <c r="A230" t="s">
        <v>1515</v>
      </c>
      <c r="B230" t="s">
        <v>1516</v>
      </c>
      <c r="C230" t="s">
        <v>1517</v>
      </c>
      <c r="D230" t="s">
        <v>1518</v>
      </c>
    </row>
    <row r="231" spans="1:4" x14ac:dyDescent="0.25">
      <c r="A231" t="s">
        <v>1519</v>
      </c>
    </row>
    <row r="232" spans="1:4" x14ac:dyDescent="0.25">
      <c r="A232" t="s">
        <v>1520</v>
      </c>
    </row>
    <row r="233" spans="1:4" x14ac:dyDescent="0.25">
      <c r="A233" t="s">
        <v>1521</v>
      </c>
    </row>
    <row r="234" spans="1:4" x14ac:dyDescent="0.25">
      <c r="A234" t="s">
        <v>1522</v>
      </c>
      <c r="B234" t="s">
        <v>1523</v>
      </c>
    </row>
    <row r="235" spans="1:4" x14ac:dyDescent="0.25">
      <c r="A235" t="s">
        <v>1524</v>
      </c>
    </row>
    <row r="236" spans="1:4" x14ac:dyDescent="0.25">
      <c r="A236" t="s">
        <v>1525</v>
      </c>
    </row>
    <row r="237" spans="1:4" x14ac:dyDescent="0.25">
      <c r="A237" t="s">
        <v>1526</v>
      </c>
    </row>
    <row r="238" spans="1:4" x14ac:dyDescent="0.25">
      <c r="A238" t="s">
        <v>1302</v>
      </c>
    </row>
    <row r="239" spans="1:4" x14ac:dyDescent="0.25">
      <c r="A239" t="s">
        <v>1527</v>
      </c>
    </row>
    <row r="240" spans="1:4" x14ac:dyDescent="0.25">
      <c r="A240" t="s">
        <v>1528</v>
      </c>
    </row>
    <row r="241" spans="1:7" x14ac:dyDescent="0.25">
      <c r="A241" t="s">
        <v>1143</v>
      </c>
      <c r="B241" t="s">
        <v>1529</v>
      </c>
      <c r="C241" t="s">
        <v>1530</v>
      </c>
      <c r="D241" t="s">
        <v>1531</v>
      </c>
    </row>
    <row r="242" spans="1:7" x14ac:dyDescent="0.25">
      <c r="A242" t="s">
        <v>1532</v>
      </c>
    </row>
    <row r="243" spans="1:7" x14ac:dyDescent="0.25">
      <c r="A243" t="s">
        <v>1533</v>
      </c>
    </row>
    <row r="244" spans="1:7" x14ac:dyDescent="0.25">
      <c r="A244" t="s">
        <v>1534</v>
      </c>
    </row>
    <row r="245" spans="1:7" x14ac:dyDescent="0.25">
      <c r="A245" t="s">
        <v>416</v>
      </c>
    </row>
    <row r="246" spans="1:7" x14ac:dyDescent="0.25">
      <c r="A246" t="s">
        <v>1535</v>
      </c>
    </row>
    <row r="247" spans="1:7" x14ac:dyDescent="0.25">
      <c r="A247" t="s">
        <v>1536</v>
      </c>
      <c r="B247" t="s">
        <v>1537</v>
      </c>
      <c r="C247" t="s">
        <v>1538</v>
      </c>
      <c r="D247" t="s">
        <v>1539</v>
      </c>
    </row>
    <row r="248" spans="1:7" x14ac:dyDescent="0.25">
      <c r="A248" t="s">
        <v>1540</v>
      </c>
    </row>
    <row r="249" spans="1:7" x14ac:dyDescent="0.25">
      <c r="A249" t="s">
        <v>1541</v>
      </c>
      <c r="B249" t="s">
        <v>1542</v>
      </c>
      <c r="C249" t="s">
        <v>1543</v>
      </c>
    </row>
    <row r="250" spans="1:7" x14ac:dyDescent="0.25">
      <c r="A250" t="s">
        <v>1544</v>
      </c>
      <c r="B250" t="s">
        <v>1545</v>
      </c>
      <c r="C250" t="s">
        <v>1546</v>
      </c>
      <c r="D250" t="s">
        <v>1547</v>
      </c>
      <c r="E250" t="s">
        <v>1548</v>
      </c>
      <c r="F250" t="s">
        <v>1549</v>
      </c>
      <c r="G250" t="s">
        <v>1550</v>
      </c>
    </row>
    <row r="251" spans="1:7" x14ac:dyDescent="0.25">
      <c r="A251" t="s">
        <v>1551</v>
      </c>
      <c r="B251" t="s">
        <v>1552</v>
      </c>
      <c r="C251" t="s">
        <v>1553</v>
      </c>
      <c r="D251" t="s">
        <v>1554</v>
      </c>
      <c r="E251" t="s">
        <v>1555</v>
      </c>
      <c r="F251" t="s">
        <v>1556</v>
      </c>
      <c r="G251" t="s">
        <v>1557</v>
      </c>
    </row>
    <row r="252" spans="1:7" x14ac:dyDescent="0.25">
      <c r="A252" t="s">
        <v>1558</v>
      </c>
    </row>
    <row r="253" spans="1:7" x14ac:dyDescent="0.25">
      <c r="A253" t="s">
        <v>1559</v>
      </c>
      <c r="B253" t="s">
        <v>1560</v>
      </c>
      <c r="C253" t="s">
        <v>1561</v>
      </c>
    </row>
    <row r="254" spans="1:7" x14ac:dyDescent="0.25">
      <c r="A254" t="s">
        <v>1562</v>
      </c>
    </row>
    <row r="255" spans="1:7" x14ac:dyDescent="0.25">
      <c r="A255" t="s">
        <v>1563</v>
      </c>
      <c r="B255" t="s">
        <v>1564</v>
      </c>
    </row>
    <row r="256" spans="1:7" x14ac:dyDescent="0.25">
      <c r="A256" t="s">
        <v>1565</v>
      </c>
    </row>
    <row r="257" spans="1:5" x14ac:dyDescent="0.25">
      <c r="A257" t="s">
        <v>1566</v>
      </c>
    </row>
    <row r="258" spans="1:5" x14ac:dyDescent="0.25">
      <c r="A258" t="s">
        <v>1567</v>
      </c>
    </row>
    <row r="259" spans="1:5" x14ac:dyDescent="0.25">
      <c r="A259" t="s">
        <v>1568</v>
      </c>
      <c r="B259" t="s">
        <v>1569</v>
      </c>
    </row>
    <row r="260" spans="1:5" x14ac:dyDescent="0.25">
      <c r="A260" t="s">
        <v>1269</v>
      </c>
      <c r="B260" t="s">
        <v>1570</v>
      </c>
      <c r="C260" t="s">
        <v>1571</v>
      </c>
      <c r="D260" t="s">
        <v>1572</v>
      </c>
      <c r="E260" t="s">
        <v>1573</v>
      </c>
    </row>
    <row r="261" spans="1:5" x14ac:dyDescent="0.25">
      <c r="A261" t="s">
        <v>1574</v>
      </c>
    </row>
    <row r="262" spans="1:5" x14ac:dyDescent="0.25">
      <c r="A262" t="s">
        <v>1575</v>
      </c>
    </row>
    <row r="263" spans="1:5" x14ac:dyDescent="0.25">
      <c r="A263" t="s">
        <v>1576</v>
      </c>
    </row>
    <row r="264" spans="1:5" x14ac:dyDescent="0.25">
      <c r="A264" t="s">
        <v>1577</v>
      </c>
      <c r="B264" t="s">
        <v>1578</v>
      </c>
    </row>
    <row r="265" spans="1:5" x14ac:dyDescent="0.25">
      <c r="A265" t="s">
        <v>1579</v>
      </c>
    </row>
    <row r="266" spans="1:5" x14ac:dyDescent="0.25">
      <c r="A266" t="s">
        <v>1580</v>
      </c>
    </row>
    <row r="267" spans="1:5" x14ac:dyDescent="0.25">
      <c r="A267" t="s">
        <v>1581</v>
      </c>
    </row>
    <row r="268" spans="1:5" x14ac:dyDescent="0.25">
      <c r="A268" t="s">
        <v>1582</v>
      </c>
    </row>
    <row r="269" spans="1:5" x14ac:dyDescent="0.25">
      <c r="A269" t="s">
        <v>1583</v>
      </c>
      <c r="B269" t="s">
        <v>1584</v>
      </c>
      <c r="C269" t="s">
        <v>1585</v>
      </c>
    </row>
    <row r="270" spans="1:5" x14ac:dyDescent="0.25">
      <c r="A270" t="s">
        <v>1197</v>
      </c>
    </row>
    <row r="271" spans="1:5" x14ac:dyDescent="0.25">
      <c r="A271" t="s">
        <v>1586</v>
      </c>
      <c r="B271" t="s">
        <v>1587</v>
      </c>
      <c r="C271" t="s">
        <v>1588</v>
      </c>
      <c r="D271" t="s">
        <v>1589</v>
      </c>
    </row>
    <row r="272" spans="1:5" x14ac:dyDescent="0.25">
      <c r="A272" t="s">
        <v>1590</v>
      </c>
    </row>
    <row r="273" spans="1:6" x14ac:dyDescent="0.25">
      <c r="A273" t="s">
        <v>1164</v>
      </c>
      <c r="B273" t="s">
        <v>1591</v>
      </c>
    </row>
    <row r="274" spans="1:6" x14ac:dyDescent="0.25">
      <c r="A274" t="s">
        <v>1592</v>
      </c>
      <c r="B274" t="s">
        <v>1593</v>
      </c>
    </row>
    <row r="275" spans="1:6" x14ac:dyDescent="0.25">
      <c r="A275" t="s">
        <v>1594</v>
      </c>
    </row>
    <row r="276" spans="1:6" x14ac:dyDescent="0.25">
      <c r="A276" t="s">
        <v>1595</v>
      </c>
      <c r="B276" t="s">
        <v>1596</v>
      </c>
    </row>
    <row r="277" spans="1:6" x14ac:dyDescent="0.25">
      <c r="A277" t="s">
        <v>1597</v>
      </c>
    </row>
    <row r="278" spans="1:6" x14ac:dyDescent="0.25">
      <c r="A278" t="s">
        <v>1598</v>
      </c>
    </row>
    <row r="279" spans="1:6" x14ac:dyDescent="0.25">
      <c r="A279" t="s">
        <v>1599</v>
      </c>
      <c r="B279" t="s">
        <v>1600</v>
      </c>
    </row>
    <row r="280" spans="1:6" x14ac:dyDescent="0.25">
      <c r="A280" t="s">
        <v>1601</v>
      </c>
      <c r="B280" t="s">
        <v>1602</v>
      </c>
      <c r="C280" t="s">
        <v>1603</v>
      </c>
      <c r="D280" t="s">
        <v>1604</v>
      </c>
      <c r="E280" t="s">
        <v>1605</v>
      </c>
      <c r="F280" t="s">
        <v>1606</v>
      </c>
    </row>
    <row r="281" spans="1:6" x14ac:dyDescent="0.25">
      <c r="A281" t="s">
        <v>1607</v>
      </c>
    </row>
    <row r="282" spans="1:6" x14ac:dyDescent="0.25">
      <c r="A282" t="s">
        <v>1608</v>
      </c>
    </row>
    <row r="283" spans="1:6" x14ac:dyDescent="0.25">
      <c r="A283" t="s">
        <v>1609</v>
      </c>
    </row>
    <row r="284" spans="1:6" x14ac:dyDescent="0.25">
      <c r="A284" t="s">
        <v>1610</v>
      </c>
      <c r="B284" t="s">
        <v>1611</v>
      </c>
      <c r="C284" t="s">
        <v>1223</v>
      </c>
    </row>
    <row r="285" spans="1:6" x14ac:dyDescent="0.25">
      <c r="A285" t="s">
        <v>1612</v>
      </c>
      <c r="B285" t="s">
        <v>1613</v>
      </c>
    </row>
    <row r="286" spans="1:6" x14ac:dyDescent="0.25">
      <c r="A286" t="s">
        <v>1614</v>
      </c>
      <c r="B286" t="s">
        <v>1615</v>
      </c>
      <c r="C286" t="s">
        <v>1616</v>
      </c>
      <c r="D286" t="s">
        <v>1617</v>
      </c>
    </row>
    <row r="287" spans="1:6" x14ac:dyDescent="0.25">
      <c r="A287" t="s">
        <v>1618</v>
      </c>
    </row>
    <row r="288" spans="1:6" x14ac:dyDescent="0.25">
      <c r="A288" t="s">
        <v>1619</v>
      </c>
      <c r="B288" t="s">
        <v>1620</v>
      </c>
      <c r="C288" t="s">
        <v>1621</v>
      </c>
      <c r="D288" t="s">
        <v>1622</v>
      </c>
      <c r="E288" t="s">
        <v>1623</v>
      </c>
      <c r="F288" t="s">
        <v>1624</v>
      </c>
    </row>
    <row r="289" spans="1:5" x14ac:dyDescent="0.25">
      <c r="A289" t="s">
        <v>1625</v>
      </c>
      <c r="B289" t="s">
        <v>1626</v>
      </c>
    </row>
    <row r="290" spans="1:5" x14ac:dyDescent="0.25">
      <c r="A290" t="s">
        <v>1627</v>
      </c>
    </row>
    <row r="291" spans="1:5" x14ac:dyDescent="0.25">
      <c r="A291" t="s">
        <v>1628</v>
      </c>
    </row>
    <row r="292" spans="1:5" x14ac:dyDescent="0.25">
      <c r="A292" t="s">
        <v>1290</v>
      </c>
      <c r="B292" t="s">
        <v>1629</v>
      </c>
    </row>
    <row r="293" spans="1:5" x14ac:dyDescent="0.25">
      <c r="A293" t="s">
        <v>1630</v>
      </c>
    </row>
    <row r="294" spans="1:5" x14ac:dyDescent="0.25">
      <c r="A294" t="s">
        <v>1631</v>
      </c>
      <c r="B294" t="s">
        <v>1632</v>
      </c>
      <c r="C294" t="s">
        <v>1633</v>
      </c>
      <c r="D294" t="s">
        <v>1634</v>
      </c>
      <c r="E294" t="s">
        <v>1635</v>
      </c>
    </row>
    <row r="295" spans="1:5" x14ac:dyDescent="0.25">
      <c r="A295" t="s">
        <v>1636</v>
      </c>
      <c r="B295" t="s">
        <v>1637</v>
      </c>
    </row>
    <row r="296" spans="1:5" x14ac:dyDescent="0.25">
      <c r="A296" t="s">
        <v>1638</v>
      </c>
      <c r="B296" t="s">
        <v>1639</v>
      </c>
      <c r="C296" t="s">
        <v>1640</v>
      </c>
    </row>
    <row r="297" spans="1:5" x14ac:dyDescent="0.25">
      <c r="A297" t="s">
        <v>1290</v>
      </c>
    </row>
    <row r="298" spans="1:5" x14ac:dyDescent="0.25">
      <c r="A298" t="s">
        <v>1641</v>
      </c>
    </row>
    <row r="299" spans="1:5" x14ac:dyDescent="0.25">
      <c r="A299" t="s">
        <v>1642</v>
      </c>
      <c r="B299" t="s">
        <v>1643</v>
      </c>
      <c r="C299" t="s">
        <v>1644</v>
      </c>
      <c r="D299" t="s">
        <v>1645</v>
      </c>
      <c r="E299" t="s">
        <v>1646</v>
      </c>
    </row>
    <row r="300" spans="1:5" x14ac:dyDescent="0.25">
      <c r="A300" t="s">
        <v>1647</v>
      </c>
    </row>
    <row r="301" spans="1:5" x14ac:dyDescent="0.25">
      <c r="A301" t="s">
        <v>1648</v>
      </c>
      <c r="B301" t="s">
        <v>1649</v>
      </c>
      <c r="C301" t="s">
        <v>1650</v>
      </c>
    </row>
    <row r="302" spans="1:5" x14ac:dyDescent="0.25">
      <c r="A302" t="s">
        <v>1651</v>
      </c>
      <c r="B302" t="s">
        <v>1652</v>
      </c>
    </row>
    <row r="303" spans="1:5" x14ac:dyDescent="0.25">
      <c r="A303" t="s">
        <v>1653</v>
      </c>
    </row>
    <row r="304" spans="1:5" x14ac:dyDescent="0.25">
      <c r="A304" t="s">
        <v>1654</v>
      </c>
    </row>
    <row r="305" spans="1:7" x14ac:dyDescent="0.25">
      <c r="A305" t="s">
        <v>1272</v>
      </c>
      <c r="B305" t="s">
        <v>1655</v>
      </c>
      <c r="C305" t="s">
        <v>1656</v>
      </c>
      <c r="D305" t="s">
        <v>1657</v>
      </c>
    </row>
    <row r="306" spans="1:7" x14ac:dyDescent="0.25">
      <c r="A306" t="s">
        <v>1658</v>
      </c>
    </row>
    <row r="307" spans="1:7" x14ac:dyDescent="0.25">
      <c r="A307" t="s">
        <v>1659</v>
      </c>
      <c r="B307" t="s">
        <v>1660</v>
      </c>
      <c r="C307" t="s">
        <v>1661</v>
      </c>
      <c r="D307" t="s">
        <v>1662</v>
      </c>
      <c r="E307" t="s">
        <v>1663</v>
      </c>
      <c r="F307" t="s">
        <v>1664</v>
      </c>
      <c r="G307" t="s">
        <v>1665</v>
      </c>
    </row>
    <row r="308" spans="1:7" x14ac:dyDescent="0.25">
      <c r="A308" t="s">
        <v>1666</v>
      </c>
    </row>
    <row r="309" spans="1:7" x14ac:dyDescent="0.25">
      <c r="A309" t="s">
        <v>1396</v>
      </c>
    </row>
    <row r="310" spans="1:7" x14ac:dyDescent="0.25">
      <c r="A310" t="s">
        <v>1667</v>
      </c>
    </row>
    <row r="311" spans="1:7" x14ac:dyDescent="0.25">
      <c r="A311" t="s">
        <v>1668</v>
      </c>
    </row>
    <row r="312" spans="1:7" x14ac:dyDescent="0.25">
      <c r="A312" t="s">
        <v>1669</v>
      </c>
      <c r="B312" t="s">
        <v>1670</v>
      </c>
      <c r="C312" t="s">
        <v>1671</v>
      </c>
    </row>
    <row r="313" spans="1:7" x14ac:dyDescent="0.25">
      <c r="A313" t="s">
        <v>1672</v>
      </c>
      <c r="B313" t="s">
        <v>1673</v>
      </c>
      <c r="C313" t="s">
        <v>1674</v>
      </c>
      <c r="D313" t="s">
        <v>1675</v>
      </c>
      <c r="E313" t="s">
        <v>1676</v>
      </c>
      <c r="F313" t="s">
        <v>1677</v>
      </c>
    </row>
    <row r="314" spans="1:7" x14ac:dyDescent="0.25">
      <c r="A314" t="s">
        <v>1678</v>
      </c>
    </row>
    <row r="315" spans="1:7" x14ac:dyDescent="0.25">
      <c r="A315" t="s">
        <v>1223</v>
      </c>
    </row>
    <row r="316" spans="1:7" x14ac:dyDescent="0.25">
      <c r="A316" t="s">
        <v>1679</v>
      </c>
      <c r="B316" t="s">
        <v>1680</v>
      </c>
      <c r="C316" t="s">
        <v>1681</v>
      </c>
    </row>
    <row r="317" spans="1:7" x14ac:dyDescent="0.25">
      <c r="A317" t="s">
        <v>1682</v>
      </c>
    </row>
    <row r="318" spans="1:7" x14ac:dyDescent="0.25">
      <c r="A318" t="s">
        <v>1683</v>
      </c>
    </row>
    <row r="319" spans="1:7" x14ac:dyDescent="0.25">
      <c r="A319" t="s">
        <v>1684</v>
      </c>
      <c r="B319" t="s">
        <v>1685</v>
      </c>
    </row>
    <row r="320" spans="1:7" x14ac:dyDescent="0.25">
      <c r="A320" t="s">
        <v>1686</v>
      </c>
    </row>
    <row r="321" spans="1:4" x14ac:dyDescent="0.25">
      <c r="A321" t="s">
        <v>1687</v>
      </c>
      <c r="B321" t="s">
        <v>1688</v>
      </c>
    </row>
    <row r="322" spans="1:4" x14ac:dyDescent="0.25">
      <c r="A322" t="s">
        <v>1689</v>
      </c>
      <c r="B322" t="s">
        <v>1690</v>
      </c>
    </row>
    <row r="323" spans="1:4" x14ac:dyDescent="0.25">
      <c r="A323" t="s">
        <v>1691</v>
      </c>
    </row>
    <row r="324" spans="1:4" x14ac:dyDescent="0.25">
      <c r="A324" t="s">
        <v>1692</v>
      </c>
    </row>
    <row r="325" spans="1:4" x14ac:dyDescent="0.25">
      <c r="A325" t="s">
        <v>1693</v>
      </c>
    </row>
    <row r="326" spans="1:4" x14ac:dyDescent="0.25">
      <c r="A326" t="s">
        <v>1694</v>
      </c>
      <c r="B326" t="s">
        <v>1695</v>
      </c>
      <c r="C326" t="s">
        <v>1696</v>
      </c>
      <c r="D326" t="s">
        <v>1697</v>
      </c>
    </row>
    <row r="327" spans="1:4" x14ac:dyDescent="0.25">
      <c r="A327" t="s">
        <v>1698</v>
      </c>
      <c r="B327" t="s">
        <v>1699</v>
      </c>
    </row>
    <row r="328" spans="1:4" x14ac:dyDescent="0.25">
      <c r="A328" t="s">
        <v>1187</v>
      </c>
    </row>
    <row r="329" spans="1:4" x14ac:dyDescent="0.25">
      <c r="A329" t="s">
        <v>1700</v>
      </c>
      <c r="B329" t="s">
        <v>1455</v>
      </c>
    </row>
    <row r="330" spans="1:4" x14ac:dyDescent="0.25">
      <c r="A330" t="s">
        <v>1701</v>
      </c>
    </row>
    <row r="331" spans="1:4" x14ac:dyDescent="0.25">
      <c r="A331" t="s">
        <v>1702</v>
      </c>
    </row>
    <row r="332" spans="1:4" x14ac:dyDescent="0.25">
      <c r="A332" t="s">
        <v>1703</v>
      </c>
      <c r="B332" t="s">
        <v>1704</v>
      </c>
    </row>
    <row r="333" spans="1:4" x14ac:dyDescent="0.25">
      <c r="A333" t="s">
        <v>1705</v>
      </c>
      <c r="B333" t="s">
        <v>1706</v>
      </c>
    </row>
    <row r="334" spans="1:4" x14ac:dyDescent="0.25">
      <c r="A334" t="s">
        <v>1707</v>
      </c>
    </row>
    <row r="335" spans="1:4" x14ac:dyDescent="0.25">
      <c r="A335" t="s">
        <v>1708</v>
      </c>
      <c r="B335" t="s">
        <v>1709</v>
      </c>
      <c r="C335" t="s">
        <v>1710</v>
      </c>
    </row>
    <row r="336" spans="1:4" x14ac:dyDescent="0.25">
      <c r="A336" t="s">
        <v>1711</v>
      </c>
    </row>
    <row r="337" spans="1:5" x14ac:dyDescent="0.25">
      <c r="A337" t="s">
        <v>1712</v>
      </c>
    </row>
    <row r="338" spans="1:5" x14ac:dyDescent="0.25">
      <c r="A338" t="s">
        <v>1713</v>
      </c>
      <c r="B338" t="s">
        <v>1714</v>
      </c>
      <c r="C338" t="s">
        <v>1715</v>
      </c>
      <c r="D338" t="s">
        <v>1716</v>
      </c>
    </row>
    <row r="339" spans="1:5" x14ac:dyDescent="0.25">
      <c r="A339" t="s">
        <v>416</v>
      </c>
    </row>
    <row r="340" spans="1:5" x14ac:dyDescent="0.25">
      <c r="A340" t="s">
        <v>1306</v>
      </c>
      <c r="B340" t="s">
        <v>1717</v>
      </c>
      <c r="C340" t="s">
        <v>1718</v>
      </c>
      <c r="D340" t="s">
        <v>1719</v>
      </c>
      <c r="E340" t="s">
        <v>1720</v>
      </c>
    </row>
    <row r="341" spans="1:5" x14ac:dyDescent="0.25">
      <c r="A341" t="s">
        <v>1721</v>
      </c>
    </row>
    <row r="342" spans="1:5" x14ac:dyDescent="0.25">
      <c r="A342" t="s">
        <v>1722</v>
      </c>
    </row>
    <row r="343" spans="1:5" x14ac:dyDescent="0.25">
      <c r="A343" t="s">
        <v>1723</v>
      </c>
    </row>
    <row r="344" spans="1:5" x14ac:dyDescent="0.25">
      <c r="A344" t="s">
        <v>1724</v>
      </c>
    </row>
    <row r="345" spans="1:5" x14ac:dyDescent="0.25">
      <c r="A345" t="s">
        <v>1725</v>
      </c>
      <c r="B345" t="s">
        <v>1726</v>
      </c>
    </row>
    <row r="346" spans="1:5" x14ac:dyDescent="0.25">
      <c r="A346" t="s">
        <v>1727</v>
      </c>
    </row>
    <row r="347" spans="1:5" x14ac:dyDescent="0.25">
      <c r="A347" t="s">
        <v>1427</v>
      </c>
    </row>
    <row r="348" spans="1:5" x14ac:dyDescent="0.25">
      <c r="A348" t="s">
        <v>1728</v>
      </c>
      <c r="B348" t="s">
        <v>1729</v>
      </c>
    </row>
    <row r="349" spans="1:5" x14ac:dyDescent="0.25">
      <c r="A349" t="s">
        <v>1730</v>
      </c>
      <c r="B349" t="s">
        <v>1731</v>
      </c>
    </row>
    <row r="350" spans="1:5" x14ac:dyDescent="0.25">
      <c r="A350" t="s">
        <v>1732</v>
      </c>
    </row>
    <row r="351" spans="1:5" x14ac:dyDescent="0.25">
      <c r="A351" t="s">
        <v>1733</v>
      </c>
      <c r="B351" t="s">
        <v>1734</v>
      </c>
      <c r="C351" t="s">
        <v>1735</v>
      </c>
    </row>
    <row r="352" spans="1:5" x14ac:dyDescent="0.25">
      <c r="A352" t="s">
        <v>1736</v>
      </c>
      <c r="B352" t="s">
        <v>1737</v>
      </c>
    </row>
    <row r="353" spans="1:7" x14ac:dyDescent="0.25">
      <c r="A353" t="s">
        <v>1223</v>
      </c>
    </row>
    <row r="354" spans="1:7" x14ac:dyDescent="0.25">
      <c r="A354" t="s">
        <v>1738</v>
      </c>
    </row>
    <row r="355" spans="1:7" x14ac:dyDescent="0.25">
      <c r="A355" t="s">
        <v>1739</v>
      </c>
      <c r="B355" t="s">
        <v>1524</v>
      </c>
      <c r="C355" t="s">
        <v>1740</v>
      </c>
    </row>
    <row r="356" spans="1:7" x14ac:dyDescent="0.25">
      <c r="A356" t="s">
        <v>1741</v>
      </c>
      <c r="B356" t="s">
        <v>1742</v>
      </c>
    </row>
    <row r="357" spans="1:7" x14ac:dyDescent="0.25">
      <c r="A357" t="s">
        <v>1743</v>
      </c>
    </row>
    <row r="358" spans="1:7" x14ac:dyDescent="0.25">
      <c r="A358" t="s">
        <v>1744</v>
      </c>
      <c r="B358" t="s">
        <v>1258</v>
      </c>
    </row>
    <row r="359" spans="1:7" x14ac:dyDescent="0.25">
      <c r="A359" t="s">
        <v>1745</v>
      </c>
      <c r="B359" t="s">
        <v>1746</v>
      </c>
      <c r="C359" t="s">
        <v>1453</v>
      </c>
      <c r="D359" t="s">
        <v>1747</v>
      </c>
      <c r="E359" t="s">
        <v>1748</v>
      </c>
      <c r="F359" t="s">
        <v>1749</v>
      </c>
      <c r="G359" t="s">
        <v>1750</v>
      </c>
    </row>
    <row r="360" spans="1:7" x14ac:dyDescent="0.25">
      <c r="A360" t="s">
        <v>1751</v>
      </c>
    </row>
    <row r="361" spans="1:7" x14ac:dyDescent="0.25">
      <c r="A361" t="s">
        <v>1752</v>
      </c>
    </row>
    <row r="362" spans="1:7" x14ac:dyDescent="0.25">
      <c r="A362" t="s">
        <v>1753</v>
      </c>
    </row>
    <row r="363" spans="1:7" x14ac:dyDescent="0.25">
      <c r="A363" t="s">
        <v>1754</v>
      </c>
      <c r="B363" t="s">
        <v>1755</v>
      </c>
    </row>
    <row r="364" spans="1:7" x14ac:dyDescent="0.25">
      <c r="A364" t="s">
        <v>1756</v>
      </c>
    </row>
    <row r="365" spans="1:7" x14ac:dyDescent="0.25">
      <c r="A365" t="s">
        <v>1757</v>
      </c>
    </row>
    <row r="366" spans="1:7" x14ac:dyDescent="0.25">
      <c r="A366" t="s">
        <v>1758</v>
      </c>
      <c r="B366" t="s">
        <v>1759</v>
      </c>
      <c r="C366" t="s">
        <v>1760</v>
      </c>
      <c r="D366" t="s">
        <v>1761</v>
      </c>
    </row>
    <row r="367" spans="1:7" x14ac:dyDescent="0.25">
      <c r="A367" t="s">
        <v>1762</v>
      </c>
      <c r="B367" t="s">
        <v>1763</v>
      </c>
    </row>
    <row r="368" spans="1:7" x14ac:dyDescent="0.25">
      <c r="A368" t="s">
        <v>1764</v>
      </c>
    </row>
    <row r="369" spans="1:3" x14ac:dyDescent="0.25">
      <c r="A369" t="s">
        <v>1765</v>
      </c>
    </row>
    <row r="370" spans="1:3" x14ac:dyDescent="0.25">
      <c r="A370" t="s">
        <v>609</v>
      </c>
    </row>
    <row r="371" spans="1:3" x14ac:dyDescent="0.25">
      <c r="A371" t="s">
        <v>1302</v>
      </c>
    </row>
    <row r="372" spans="1:3" x14ac:dyDescent="0.25">
      <c r="A372" t="s">
        <v>1766</v>
      </c>
    </row>
    <row r="373" spans="1:3" x14ac:dyDescent="0.25">
      <c r="A373" t="s">
        <v>1767</v>
      </c>
    </row>
    <row r="374" spans="1:3" x14ac:dyDescent="0.25">
      <c r="A374" t="s">
        <v>1768</v>
      </c>
    </row>
    <row r="375" spans="1:3" x14ac:dyDescent="0.25">
      <c r="A375" t="s">
        <v>1769</v>
      </c>
    </row>
    <row r="376" spans="1:3" x14ac:dyDescent="0.25">
      <c r="A376" t="s">
        <v>1770</v>
      </c>
    </row>
    <row r="377" spans="1:3" x14ac:dyDescent="0.25">
      <c r="A377" t="s">
        <v>247</v>
      </c>
    </row>
    <row r="378" spans="1:3" x14ac:dyDescent="0.25">
      <c r="A378" t="s">
        <v>1771</v>
      </c>
    </row>
    <row r="379" spans="1:3" x14ac:dyDescent="0.25">
      <c r="A379" t="s">
        <v>1772</v>
      </c>
      <c r="B379" t="s">
        <v>1773</v>
      </c>
      <c r="C379" t="s">
        <v>1774</v>
      </c>
    </row>
    <row r="380" spans="1:3" x14ac:dyDescent="0.25">
      <c r="A380" t="s">
        <v>1775</v>
      </c>
    </row>
    <row r="381" spans="1:3" x14ac:dyDescent="0.25">
      <c r="A381" t="s">
        <v>1776</v>
      </c>
      <c r="B381" t="s">
        <v>1777</v>
      </c>
    </row>
    <row r="382" spans="1:3" x14ac:dyDescent="0.25">
      <c r="A382" t="s">
        <v>247</v>
      </c>
    </row>
    <row r="383" spans="1:3" x14ac:dyDescent="0.25">
      <c r="A383" t="s">
        <v>1778</v>
      </c>
    </row>
    <row r="384" spans="1:3" x14ac:dyDescent="0.25">
      <c r="A384" t="s">
        <v>1779</v>
      </c>
    </row>
    <row r="385" spans="1:4" x14ac:dyDescent="0.25">
      <c r="A385" t="s">
        <v>1780</v>
      </c>
    </row>
    <row r="386" spans="1:4" x14ac:dyDescent="0.25">
      <c r="A386" t="s">
        <v>1781</v>
      </c>
      <c r="B386" t="s">
        <v>1782</v>
      </c>
      <c r="C386" t="s">
        <v>1783</v>
      </c>
    </row>
    <row r="387" spans="1:4" x14ac:dyDescent="0.25">
      <c r="A387" t="s">
        <v>1784</v>
      </c>
    </row>
    <row r="388" spans="1:4" x14ac:dyDescent="0.25">
      <c r="A388" t="s">
        <v>1785</v>
      </c>
    </row>
    <row r="389" spans="1:4" x14ac:dyDescent="0.25">
      <c r="A389" t="s">
        <v>1786</v>
      </c>
      <c r="B389" t="s">
        <v>1143</v>
      </c>
      <c r="C389" t="s">
        <v>1787</v>
      </c>
      <c r="D389" t="s">
        <v>1199</v>
      </c>
    </row>
    <row r="390" spans="1:4" x14ac:dyDescent="0.25">
      <c r="A390" t="s">
        <v>1788</v>
      </c>
    </row>
    <row r="391" spans="1:4" x14ac:dyDescent="0.25">
      <c r="A391" t="s">
        <v>1789</v>
      </c>
    </row>
    <row r="392" spans="1:4" x14ac:dyDescent="0.25">
      <c r="A392" t="s">
        <v>1790</v>
      </c>
    </row>
    <row r="393" spans="1:4" x14ac:dyDescent="0.25">
      <c r="A393" t="s">
        <v>1791</v>
      </c>
      <c r="B393" t="s">
        <v>1792</v>
      </c>
      <c r="C393" t="s">
        <v>1793</v>
      </c>
      <c r="D393" t="s">
        <v>1794</v>
      </c>
    </row>
    <row r="394" spans="1:4" x14ac:dyDescent="0.25">
      <c r="A394" t="s">
        <v>1795</v>
      </c>
    </row>
    <row r="395" spans="1:4" x14ac:dyDescent="0.25">
      <c r="A395" t="s">
        <v>1796</v>
      </c>
    </row>
    <row r="396" spans="1:4" x14ac:dyDescent="0.25">
      <c r="A396" t="s">
        <v>1797</v>
      </c>
      <c r="B396" t="s">
        <v>1798</v>
      </c>
      <c r="C396" t="s">
        <v>1799</v>
      </c>
    </row>
    <row r="397" spans="1:4" x14ac:dyDescent="0.25">
      <c r="A397" t="s">
        <v>1800</v>
      </c>
    </row>
    <row r="398" spans="1:4" x14ac:dyDescent="0.25">
      <c r="A398" t="s">
        <v>1801</v>
      </c>
    </row>
    <row r="399" spans="1:4" x14ac:dyDescent="0.25">
      <c r="A399" t="s">
        <v>1802</v>
      </c>
      <c r="B399" t="s">
        <v>1803</v>
      </c>
      <c r="C399" t="s">
        <v>1804</v>
      </c>
    </row>
    <row r="400" spans="1:4" x14ac:dyDescent="0.25">
      <c r="A400" t="s">
        <v>1805</v>
      </c>
    </row>
    <row r="401" spans="1:5" x14ac:dyDescent="0.25">
      <c r="A401" t="s">
        <v>1806</v>
      </c>
    </row>
    <row r="402" spans="1:5" x14ac:dyDescent="0.25">
      <c r="A402" t="s">
        <v>1807</v>
      </c>
    </row>
    <row r="403" spans="1:5" x14ac:dyDescent="0.25">
      <c r="A403" t="s">
        <v>1808</v>
      </c>
      <c r="B403" t="s">
        <v>1809</v>
      </c>
      <c r="C403" t="s">
        <v>1810</v>
      </c>
      <c r="D403" t="s">
        <v>1811</v>
      </c>
      <c r="E403" t="s">
        <v>1812</v>
      </c>
    </row>
    <row r="404" spans="1:5" x14ac:dyDescent="0.25">
      <c r="A404" t="s">
        <v>1813</v>
      </c>
    </row>
    <row r="405" spans="1:5" x14ac:dyDescent="0.25">
      <c r="A405" t="s">
        <v>1814</v>
      </c>
      <c r="B405" t="s">
        <v>1815</v>
      </c>
      <c r="C405" t="s">
        <v>1816</v>
      </c>
    </row>
    <row r="406" spans="1:5" x14ac:dyDescent="0.25">
      <c r="A406" t="s">
        <v>1817</v>
      </c>
      <c r="B406" t="s">
        <v>1818</v>
      </c>
    </row>
    <row r="407" spans="1:5" x14ac:dyDescent="0.25">
      <c r="A407" t="s">
        <v>1819</v>
      </c>
    </row>
    <row r="408" spans="1:5" x14ac:dyDescent="0.25">
      <c r="A408" t="s">
        <v>1820</v>
      </c>
    </row>
    <row r="409" spans="1:5" x14ac:dyDescent="0.25">
      <c r="A409" t="s">
        <v>1821</v>
      </c>
    </row>
    <row r="410" spans="1:5" x14ac:dyDescent="0.25">
      <c r="A410" t="s">
        <v>1822</v>
      </c>
    </row>
    <row r="411" spans="1:5" x14ac:dyDescent="0.25">
      <c r="A411" t="s">
        <v>1823</v>
      </c>
    </row>
    <row r="412" spans="1:5" x14ac:dyDescent="0.25">
      <c r="A412" t="s">
        <v>1824</v>
      </c>
    </row>
    <row r="413" spans="1:5" x14ac:dyDescent="0.25">
      <c r="A413" t="s">
        <v>1825</v>
      </c>
    </row>
    <row r="414" spans="1:5" x14ac:dyDescent="0.25">
      <c r="A414" t="s">
        <v>1826</v>
      </c>
    </row>
    <row r="415" spans="1:5" x14ac:dyDescent="0.25">
      <c r="A415" t="s">
        <v>1827</v>
      </c>
    </row>
    <row r="416" spans="1:5" x14ac:dyDescent="0.25">
      <c r="A416" t="s">
        <v>1828</v>
      </c>
      <c r="B416" t="s">
        <v>1829</v>
      </c>
    </row>
    <row r="417" spans="1:6" x14ac:dyDescent="0.25">
      <c r="A417" t="s">
        <v>1830</v>
      </c>
    </row>
    <row r="418" spans="1:6" x14ac:dyDescent="0.25">
      <c r="A418" t="s">
        <v>1831</v>
      </c>
    </row>
    <row r="419" spans="1:6" x14ac:dyDescent="0.25">
      <c r="A419" t="s">
        <v>1832</v>
      </c>
    </row>
    <row r="420" spans="1:6" x14ac:dyDescent="0.25">
      <c r="A420" t="s">
        <v>1833</v>
      </c>
      <c r="B420" t="s">
        <v>1834</v>
      </c>
      <c r="C420" t="s">
        <v>1835</v>
      </c>
      <c r="D420" t="s">
        <v>1836</v>
      </c>
      <c r="E420" t="s">
        <v>1837</v>
      </c>
      <c r="F420" t="s">
        <v>1838</v>
      </c>
    </row>
    <row r="421" spans="1:6" x14ac:dyDescent="0.25">
      <c r="A421" t="s">
        <v>1839</v>
      </c>
    </row>
    <row r="422" spans="1:6" x14ac:dyDescent="0.25">
      <c r="A422" t="s">
        <v>1840</v>
      </c>
    </row>
    <row r="423" spans="1:6" x14ac:dyDescent="0.25">
      <c r="A423" t="s">
        <v>1841</v>
      </c>
      <c r="B423" t="s">
        <v>1842</v>
      </c>
      <c r="C423" t="s">
        <v>1843</v>
      </c>
    </row>
    <row r="424" spans="1:6" x14ac:dyDescent="0.25">
      <c r="A424" t="s">
        <v>1844</v>
      </c>
      <c r="B424" t="s">
        <v>1223</v>
      </c>
    </row>
    <row r="425" spans="1:6" x14ac:dyDescent="0.25">
      <c r="A425" t="s">
        <v>1845</v>
      </c>
      <c r="B425" t="s">
        <v>1846</v>
      </c>
      <c r="C425" t="s">
        <v>1847</v>
      </c>
    </row>
    <row r="426" spans="1:6" x14ac:dyDescent="0.25">
      <c r="A426" t="s">
        <v>1726</v>
      </c>
    </row>
    <row r="427" spans="1:6" x14ac:dyDescent="0.25">
      <c r="A427" t="s">
        <v>1848</v>
      </c>
    </row>
    <row r="428" spans="1:6" x14ac:dyDescent="0.25">
      <c r="A428" t="s">
        <v>1849</v>
      </c>
    </row>
    <row r="429" spans="1:6" x14ac:dyDescent="0.25">
      <c r="A429" t="s">
        <v>1850</v>
      </c>
      <c r="B429" t="s">
        <v>1851</v>
      </c>
    </row>
    <row r="430" spans="1:6" x14ac:dyDescent="0.25">
      <c r="A430" t="s">
        <v>1852</v>
      </c>
      <c r="B430" t="s">
        <v>1199</v>
      </c>
      <c r="C430" t="s">
        <v>1230</v>
      </c>
    </row>
    <row r="431" spans="1:6" x14ac:dyDescent="0.25">
      <c r="A431" t="s">
        <v>1302</v>
      </c>
    </row>
    <row r="432" spans="1:6" x14ac:dyDescent="0.25">
      <c r="A432" t="s">
        <v>1853</v>
      </c>
      <c r="B432" t="s">
        <v>1854</v>
      </c>
      <c r="C432" t="s">
        <v>1855</v>
      </c>
      <c r="D432" t="s">
        <v>1856</v>
      </c>
    </row>
    <row r="433" spans="1:7" x14ac:dyDescent="0.25">
      <c r="A433" t="s">
        <v>1857</v>
      </c>
    </row>
    <row r="434" spans="1:7" x14ac:dyDescent="0.25">
      <c r="A434" t="s">
        <v>1858</v>
      </c>
      <c r="B434" t="s">
        <v>1859</v>
      </c>
      <c r="C434" t="s">
        <v>1860</v>
      </c>
      <c r="D434" t="s">
        <v>1861</v>
      </c>
      <c r="E434" t="s">
        <v>1862</v>
      </c>
      <c r="F434" t="s">
        <v>1863</v>
      </c>
    </row>
    <row r="435" spans="1:7" x14ac:dyDescent="0.25">
      <c r="A435" t="s">
        <v>1864</v>
      </c>
    </row>
    <row r="436" spans="1:7" x14ac:dyDescent="0.25">
      <c r="A436" t="s">
        <v>247</v>
      </c>
    </row>
    <row r="437" spans="1:7" x14ac:dyDescent="0.25">
      <c r="A437" t="s">
        <v>1865</v>
      </c>
      <c r="B437" t="s">
        <v>1866</v>
      </c>
      <c r="C437" t="s">
        <v>1867</v>
      </c>
      <c r="D437" t="s">
        <v>1868</v>
      </c>
    </row>
    <row r="438" spans="1:7" x14ac:dyDescent="0.25">
      <c r="A438" t="s">
        <v>1869</v>
      </c>
    </row>
    <row r="439" spans="1:7" x14ac:dyDescent="0.25">
      <c r="A439" t="s">
        <v>1870</v>
      </c>
      <c r="B439" t="s">
        <v>1871</v>
      </c>
    </row>
    <row r="440" spans="1:7" x14ac:dyDescent="0.25">
      <c r="A440" t="s">
        <v>1872</v>
      </c>
      <c r="B440" t="s">
        <v>1873</v>
      </c>
      <c r="C440" t="s">
        <v>1874</v>
      </c>
      <c r="D440" t="s">
        <v>1875</v>
      </c>
      <c r="E440" t="s">
        <v>1876</v>
      </c>
    </row>
    <row r="441" spans="1:7" x14ac:dyDescent="0.25">
      <c r="A441" t="s">
        <v>1877</v>
      </c>
      <c r="B441" t="s">
        <v>1878</v>
      </c>
    </row>
    <row r="442" spans="1:7" x14ac:dyDescent="0.25">
      <c r="A442" t="s">
        <v>1879</v>
      </c>
    </row>
    <row r="443" spans="1:7" x14ac:dyDescent="0.25">
      <c r="A443" t="s">
        <v>1197</v>
      </c>
    </row>
    <row r="444" spans="1:7" x14ac:dyDescent="0.25">
      <c r="A444" t="s">
        <v>1880</v>
      </c>
    </row>
    <row r="445" spans="1:7" x14ac:dyDescent="0.25">
      <c r="A445" t="s">
        <v>1881</v>
      </c>
    </row>
    <row r="446" spans="1:7" x14ac:dyDescent="0.25">
      <c r="A446" t="s">
        <v>1882</v>
      </c>
    </row>
    <row r="447" spans="1:7" x14ac:dyDescent="0.25">
      <c r="A447" t="s">
        <v>1883</v>
      </c>
      <c r="B447" t="s">
        <v>1884</v>
      </c>
      <c r="C447" t="s">
        <v>1885</v>
      </c>
    </row>
    <row r="448" spans="1:7" x14ac:dyDescent="0.25">
      <c r="A448" t="s">
        <v>1223</v>
      </c>
      <c r="B448" t="s">
        <v>1886</v>
      </c>
      <c r="C448" t="s">
        <v>1887</v>
      </c>
      <c r="D448" t="s">
        <v>1888</v>
      </c>
      <c r="E448" t="s">
        <v>1889</v>
      </c>
      <c r="F448" t="s">
        <v>1890</v>
      </c>
      <c r="G448" t="s">
        <v>1891</v>
      </c>
    </row>
    <row r="449" spans="1:6" x14ac:dyDescent="0.25">
      <c r="A449" t="s">
        <v>1892</v>
      </c>
      <c r="B449" t="s">
        <v>1290</v>
      </c>
      <c r="C449" t="s">
        <v>1893</v>
      </c>
      <c r="D449" t="s">
        <v>1894</v>
      </c>
    </row>
    <row r="450" spans="1:6" x14ac:dyDescent="0.25">
      <c r="A450" t="s">
        <v>1895</v>
      </c>
    </row>
    <row r="451" spans="1:6" x14ac:dyDescent="0.25">
      <c r="A451" t="s">
        <v>1896</v>
      </c>
      <c r="B451" t="s">
        <v>1897</v>
      </c>
      <c r="C451" t="s">
        <v>1898</v>
      </c>
      <c r="D451" t="s">
        <v>1899</v>
      </c>
    </row>
    <row r="452" spans="1:6" x14ac:dyDescent="0.25">
      <c r="A452" t="s">
        <v>1900</v>
      </c>
    </row>
    <row r="453" spans="1:6" x14ac:dyDescent="0.25">
      <c r="A453" t="s">
        <v>1901</v>
      </c>
    </row>
    <row r="454" spans="1:6" x14ac:dyDescent="0.25">
      <c r="A454" t="s">
        <v>1902</v>
      </c>
    </row>
    <row r="455" spans="1:6" x14ac:dyDescent="0.25">
      <c r="A455" t="s">
        <v>1903</v>
      </c>
      <c r="B455" t="s">
        <v>1904</v>
      </c>
      <c r="C455" t="s">
        <v>1905</v>
      </c>
      <c r="D455" t="s">
        <v>1906</v>
      </c>
      <c r="E455" t="s">
        <v>1907</v>
      </c>
      <c r="F455" t="s">
        <v>1908</v>
      </c>
    </row>
    <row r="456" spans="1:6" x14ac:dyDescent="0.25">
      <c r="A456" t="s">
        <v>1909</v>
      </c>
    </row>
    <row r="457" spans="1:6" x14ac:dyDescent="0.25">
      <c r="A457" t="s">
        <v>1910</v>
      </c>
      <c r="B457" t="s">
        <v>1911</v>
      </c>
      <c r="C457" t="s">
        <v>1912</v>
      </c>
    </row>
    <row r="458" spans="1:6" x14ac:dyDescent="0.25">
      <c r="A458" t="s">
        <v>1913</v>
      </c>
      <c r="B458" t="s">
        <v>1914</v>
      </c>
    </row>
    <row r="459" spans="1:6" x14ac:dyDescent="0.25">
      <c r="A459" t="s">
        <v>1915</v>
      </c>
    </row>
    <row r="460" spans="1:6" x14ac:dyDescent="0.25">
      <c r="A460" t="s">
        <v>1916</v>
      </c>
      <c r="B460" t="s">
        <v>1917</v>
      </c>
    </row>
    <row r="461" spans="1:6" x14ac:dyDescent="0.25">
      <c r="A461" t="s">
        <v>1918</v>
      </c>
    </row>
    <row r="462" spans="1:6" x14ac:dyDescent="0.25">
      <c r="A462" t="s">
        <v>1919</v>
      </c>
    </row>
    <row r="463" spans="1:6" x14ac:dyDescent="0.25">
      <c r="A463" t="s">
        <v>1920</v>
      </c>
      <c r="B463" t="s">
        <v>1921</v>
      </c>
      <c r="C463" t="s">
        <v>1922</v>
      </c>
    </row>
    <row r="464" spans="1:6" x14ac:dyDescent="0.25">
      <c r="A464" t="s">
        <v>1923</v>
      </c>
    </row>
    <row r="465" spans="1:7" x14ac:dyDescent="0.25">
      <c r="A465" t="s">
        <v>1924</v>
      </c>
    </row>
    <row r="466" spans="1:7" x14ac:dyDescent="0.25">
      <c r="A466" t="s">
        <v>1925</v>
      </c>
      <c r="B466" t="s">
        <v>1926</v>
      </c>
      <c r="C466" t="s">
        <v>1927</v>
      </c>
    </row>
    <row r="467" spans="1:7" x14ac:dyDescent="0.25">
      <c r="A467" t="s">
        <v>1928</v>
      </c>
      <c r="B467" t="s">
        <v>1929</v>
      </c>
    </row>
    <row r="468" spans="1:7" x14ac:dyDescent="0.25">
      <c r="A468" t="s">
        <v>1930</v>
      </c>
    </row>
    <row r="469" spans="1:7" x14ac:dyDescent="0.25">
      <c r="A469" t="s">
        <v>1931</v>
      </c>
      <c r="B469" t="s">
        <v>1932</v>
      </c>
    </row>
    <row r="470" spans="1:7" x14ac:dyDescent="0.25">
      <c r="A470" t="s">
        <v>1933</v>
      </c>
    </row>
    <row r="471" spans="1:7" x14ac:dyDescent="0.25">
      <c r="A471" t="s">
        <v>1934</v>
      </c>
      <c r="B471" t="s">
        <v>1642</v>
      </c>
      <c r="C471" t="s">
        <v>1935</v>
      </c>
      <c r="D471" t="s">
        <v>1936</v>
      </c>
    </row>
    <row r="472" spans="1:7" x14ac:dyDescent="0.25">
      <c r="A472" t="s">
        <v>1937</v>
      </c>
      <c r="B472" t="s">
        <v>1938</v>
      </c>
      <c r="C472" t="s">
        <v>1939</v>
      </c>
    </row>
    <row r="473" spans="1:7" x14ac:dyDescent="0.25">
      <c r="A473" t="s">
        <v>1940</v>
      </c>
    </row>
    <row r="474" spans="1:7" x14ac:dyDescent="0.25">
      <c r="A474" t="s">
        <v>1941</v>
      </c>
    </row>
    <row r="475" spans="1:7" x14ac:dyDescent="0.25">
      <c r="A475" t="s">
        <v>1942</v>
      </c>
    </row>
    <row r="476" spans="1:7" x14ac:dyDescent="0.25">
      <c r="A476" t="s">
        <v>1943</v>
      </c>
      <c r="B476" t="s">
        <v>1944</v>
      </c>
      <c r="C476" t="s">
        <v>1945</v>
      </c>
      <c r="D476" t="s">
        <v>1946</v>
      </c>
    </row>
    <row r="477" spans="1:7" x14ac:dyDescent="0.25">
      <c r="A477" t="s">
        <v>1947</v>
      </c>
      <c r="B477" t="s">
        <v>1948</v>
      </c>
      <c r="C477" t="s">
        <v>1949</v>
      </c>
      <c r="D477" t="s">
        <v>1950</v>
      </c>
      <c r="E477" t="s">
        <v>1951</v>
      </c>
      <c r="F477" t="s">
        <v>1952</v>
      </c>
      <c r="G477" t="s">
        <v>1953</v>
      </c>
    </row>
    <row r="478" spans="1:7" x14ac:dyDescent="0.25">
      <c r="A478" t="s">
        <v>1954</v>
      </c>
    </row>
    <row r="479" spans="1:7" x14ac:dyDescent="0.25">
      <c r="A479" t="s">
        <v>1955</v>
      </c>
    </row>
    <row r="480" spans="1:7" x14ac:dyDescent="0.25">
      <c r="A480" t="s">
        <v>416</v>
      </c>
      <c r="B480" t="s">
        <v>416</v>
      </c>
    </row>
    <row r="481" spans="1:4" x14ac:dyDescent="0.25">
      <c r="A481" t="s">
        <v>1956</v>
      </c>
    </row>
    <row r="482" spans="1:4" x14ac:dyDescent="0.25">
      <c r="A482" t="s">
        <v>1957</v>
      </c>
      <c r="B482" t="s">
        <v>1958</v>
      </c>
      <c r="C482" t="s">
        <v>1959</v>
      </c>
      <c r="D482" t="s">
        <v>1960</v>
      </c>
    </row>
    <row r="483" spans="1:4" x14ac:dyDescent="0.25">
      <c r="A483" t="s">
        <v>1239</v>
      </c>
      <c r="B483" t="s">
        <v>1961</v>
      </c>
      <c r="C483" t="s">
        <v>1962</v>
      </c>
    </row>
    <row r="484" spans="1:4" x14ac:dyDescent="0.25">
      <c r="A484" t="s">
        <v>1963</v>
      </c>
      <c r="B484" t="s">
        <v>1964</v>
      </c>
      <c r="C484" t="s">
        <v>1965</v>
      </c>
      <c r="D484" t="s">
        <v>1966</v>
      </c>
    </row>
    <row r="485" spans="1:4" x14ac:dyDescent="0.25">
      <c r="A485" t="s">
        <v>1967</v>
      </c>
    </row>
    <row r="486" spans="1:4" x14ac:dyDescent="0.25">
      <c r="A486" t="s">
        <v>1968</v>
      </c>
    </row>
    <row r="487" spans="1:4" x14ac:dyDescent="0.25">
      <c r="A487" t="s">
        <v>1969</v>
      </c>
      <c r="B487" t="s">
        <v>1970</v>
      </c>
    </row>
    <row r="488" spans="1:4" x14ac:dyDescent="0.25">
      <c r="A488" t="s">
        <v>1971</v>
      </c>
    </row>
    <row r="489" spans="1:4" x14ac:dyDescent="0.25">
      <c r="A489" t="s">
        <v>1972</v>
      </c>
    </row>
    <row r="490" spans="1:4" x14ac:dyDescent="0.25">
      <c r="A490" t="s">
        <v>1973</v>
      </c>
    </row>
    <row r="491" spans="1:4" x14ac:dyDescent="0.25">
      <c r="A491" t="s">
        <v>1974</v>
      </c>
    </row>
    <row r="492" spans="1:4" x14ac:dyDescent="0.25">
      <c r="A492" t="s">
        <v>1975</v>
      </c>
    </row>
    <row r="493" spans="1:4" x14ac:dyDescent="0.25">
      <c r="A493" t="s">
        <v>1976</v>
      </c>
      <c r="B493" t="s">
        <v>1977</v>
      </c>
      <c r="C493" t="s">
        <v>1978</v>
      </c>
    </row>
    <row r="494" spans="1:4" x14ac:dyDescent="0.25">
      <c r="A494" t="s">
        <v>1979</v>
      </c>
    </row>
    <row r="495" spans="1:4" x14ac:dyDescent="0.25">
      <c r="A495" t="s">
        <v>1980</v>
      </c>
    </row>
    <row r="496" spans="1:4" x14ac:dyDescent="0.25">
      <c r="A496" t="s">
        <v>1981</v>
      </c>
    </row>
    <row r="497" spans="1:3" x14ac:dyDescent="0.25">
      <c r="A497" t="s">
        <v>1982</v>
      </c>
    </row>
    <row r="498" spans="1:3" x14ac:dyDescent="0.25">
      <c r="A498" t="s">
        <v>1983</v>
      </c>
      <c r="B498" t="s">
        <v>1984</v>
      </c>
    </row>
    <row r="499" spans="1:3" x14ac:dyDescent="0.25">
      <c r="A499" t="s">
        <v>1985</v>
      </c>
      <c r="B499" t="s">
        <v>1986</v>
      </c>
    </row>
    <row r="500" spans="1:3" x14ac:dyDescent="0.25">
      <c r="A500" t="s">
        <v>1197</v>
      </c>
    </row>
    <row r="501" spans="1:3" x14ac:dyDescent="0.25">
      <c r="A501" t="s">
        <v>1987</v>
      </c>
    </row>
    <row r="502" spans="1:3" x14ac:dyDescent="0.25">
      <c r="A502" t="s">
        <v>1988</v>
      </c>
    </row>
    <row r="503" spans="1:3" x14ac:dyDescent="0.25">
      <c r="A503" t="s">
        <v>1989</v>
      </c>
    </row>
    <row r="504" spans="1:3" x14ac:dyDescent="0.25">
      <c r="A504" t="s">
        <v>1355</v>
      </c>
    </row>
    <row r="505" spans="1:3" x14ac:dyDescent="0.25">
      <c r="A505" t="s">
        <v>1990</v>
      </c>
    </row>
    <row r="506" spans="1:3" x14ac:dyDescent="0.25">
      <c r="A506" t="s">
        <v>1991</v>
      </c>
    </row>
    <row r="507" spans="1:3" x14ac:dyDescent="0.25">
      <c r="A507" t="s">
        <v>1290</v>
      </c>
      <c r="B507" t="s">
        <v>1744</v>
      </c>
      <c r="C507" t="s">
        <v>1992</v>
      </c>
    </row>
    <row r="508" spans="1:3" x14ac:dyDescent="0.25">
      <c r="A508" t="s">
        <v>1993</v>
      </c>
      <c r="B508" t="s">
        <v>1994</v>
      </c>
    </row>
    <row r="509" spans="1:3" x14ac:dyDescent="0.25">
      <c r="A509" t="s">
        <v>1995</v>
      </c>
    </row>
    <row r="510" spans="1:3" x14ac:dyDescent="0.25">
      <c r="A510" t="s">
        <v>1996</v>
      </c>
    </row>
    <row r="511" spans="1:3" x14ac:dyDescent="0.25">
      <c r="A511" t="s">
        <v>1223</v>
      </c>
      <c r="B511" t="s">
        <v>1997</v>
      </c>
    </row>
    <row r="512" spans="1:3" x14ac:dyDescent="0.25">
      <c r="A512" t="s">
        <v>1998</v>
      </c>
    </row>
    <row r="513" spans="1:4" x14ac:dyDescent="0.25">
      <c r="A513" t="s">
        <v>1999</v>
      </c>
    </row>
    <row r="514" spans="1:4" x14ac:dyDescent="0.25">
      <c r="A514" t="s">
        <v>2000</v>
      </c>
      <c r="B514" t="s">
        <v>2001</v>
      </c>
    </row>
    <row r="515" spans="1:4" x14ac:dyDescent="0.25">
      <c r="A515" t="s">
        <v>2002</v>
      </c>
    </row>
    <row r="516" spans="1:4" x14ac:dyDescent="0.25">
      <c r="A516" t="s">
        <v>2003</v>
      </c>
    </row>
    <row r="517" spans="1:4" x14ac:dyDescent="0.25">
      <c r="A517" t="s">
        <v>2004</v>
      </c>
      <c r="B517" t="s">
        <v>2005</v>
      </c>
      <c r="C517" t="s">
        <v>2006</v>
      </c>
      <c r="D517" t="s">
        <v>2007</v>
      </c>
    </row>
    <row r="518" spans="1:4" x14ac:dyDescent="0.25">
      <c r="A518" t="s">
        <v>2008</v>
      </c>
      <c r="B518" t="s">
        <v>2009</v>
      </c>
      <c r="C518" t="s">
        <v>2010</v>
      </c>
      <c r="D518" t="s">
        <v>2011</v>
      </c>
    </row>
    <row r="519" spans="1:4" x14ac:dyDescent="0.25">
      <c r="A519" t="s">
        <v>2012</v>
      </c>
      <c r="B519" t="s">
        <v>2013</v>
      </c>
      <c r="C519" t="s">
        <v>2014</v>
      </c>
    </row>
    <row r="520" spans="1:4" x14ac:dyDescent="0.25">
      <c r="A520" t="s">
        <v>1302</v>
      </c>
    </row>
    <row r="521" spans="1:4" x14ac:dyDescent="0.25">
      <c r="A521" t="s">
        <v>2015</v>
      </c>
    </row>
    <row r="522" spans="1:4" x14ac:dyDescent="0.25">
      <c r="A522" t="s">
        <v>2016</v>
      </c>
      <c r="B522" t="s">
        <v>2017</v>
      </c>
    </row>
    <row r="523" spans="1:4" x14ac:dyDescent="0.25">
      <c r="A523" t="s">
        <v>2018</v>
      </c>
    </row>
    <row r="524" spans="1:4" x14ac:dyDescent="0.25">
      <c r="A524" t="s">
        <v>2019</v>
      </c>
    </row>
    <row r="525" spans="1:4" x14ac:dyDescent="0.25">
      <c r="A525" t="s">
        <v>1771</v>
      </c>
    </row>
    <row r="526" spans="1:4" x14ac:dyDescent="0.25">
      <c r="A526" t="s">
        <v>2020</v>
      </c>
      <c r="B526" t="s">
        <v>2021</v>
      </c>
      <c r="C526" t="s">
        <v>2022</v>
      </c>
      <c r="D526" t="s">
        <v>2023</v>
      </c>
    </row>
    <row r="527" spans="1:4" x14ac:dyDescent="0.25">
      <c r="A527" t="s">
        <v>1239</v>
      </c>
      <c r="B527" t="s">
        <v>2024</v>
      </c>
      <c r="C527" t="s">
        <v>2025</v>
      </c>
      <c r="D527" t="s">
        <v>2026</v>
      </c>
    </row>
    <row r="528" spans="1:4" x14ac:dyDescent="0.25">
      <c r="A528" t="s">
        <v>2027</v>
      </c>
    </row>
    <row r="529" spans="1:7" x14ac:dyDescent="0.25">
      <c r="A529" t="s">
        <v>2028</v>
      </c>
    </row>
    <row r="530" spans="1:7" x14ac:dyDescent="0.25">
      <c r="A530" t="s">
        <v>2029</v>
      </c>
    </row>
    <row r="531" spans="1:7" x14ac:dyDescent="0.25">
      <c r="A531" t="s">
        <v>2030</v>
      </c>
    </row>
    <row r="532" spans="1:7" x14ac:dyDescent="0.25">
      <c r="A532" t="s">
        <v>2031</v>
      </c>
    </row>
    <row r="533" spans="1:7" x14ac:dyDescent="0.25">
      <c r="A533" t="s">
        <v>2032</v>
      </c>
    </row>
    <row r="534" spans="1:7" x14ac:dyDescent="0.25">
      <c r="A534" t="s">
        <v>2033</v>
      </c>
    </row>
    <row r="535" spans="1:7" x14ac:dyDescent="0.25">
      <c r="A535" t="s">
        <v>2034</v>
      </c>
      <c r="B535" t="s">
        <v>2035</v>
      </c>
      <c r="C535" t="s">
        <v>2036</v>
      </c>
      <c r="D535" t="s">
        <v>2037</v>
      </c>
      <c r="E535" t="s">
        <v>2038</v>
      </c>
      <c r="F535" t="s">
        <v>2039</v>
      </c>
      <c r="G535" t="s">
        <v>2040</v>
      </c>
    </row>
    <row r="536" spans="1:7" x14ac:dyDescent="0.25">
      <c r="A536" t="s">
        <v>2041</v>
      </c>
      <c r="B536" t="s">
        <v>2042</v>
      </c>
    </row>
    <row r="537" spans="1:7" x14ac:dyDescent="0.25">
      <c r="A537" t="s">
        <v>2043</v>
      </c>
    </row>
    <row r="538" spans="1:7" x14ac:dyDescent="0.25">
      <c r="A538" t="s">
        <v>2044</v>
      </c>
      <c r="B538" t="s">
        <v>2045</v>
      </c>
      <c r="C538" t="s">
        <v>1280</v>
      </c>
      <c r="D538" t="s">
        <v>2046</v>
      </c>
      <c r="E538" t="s">
        <v>2047</v>
      </c>
      <c r="F538" t="s">
        <v>2048</v>
      </c>
    </row>
    <row r="539" spans="1:7" x14ac:dyDescent="0.25">
      <c r="A539" t="s">
        <v>2049</v>
      </c>
    </row>
    <row r="540" spans="1:7" x14ac:dyDescent="0.25">
      <c r="A540" t="s">
        <v>2050</v>
      </c>
      <c r="B540" t="s">
        <v>2051</v>
      </c>
      <c r="C540" t="s">
        <v>2052</v>
      </c>
      <c r="D540" t="s">
        <v>2053</v>
      </c>
      <c r="E540" t="s">
        <v>2054</v>
      </c>
      <c r="F540" t="s">
        <v>2055</v>
      </c>
    </row>
    <row r="541" spans="1:7" x14ac:dyDescent="0.25">
      <c r="A541" t="s">
        <v>2056</v>
      </c>
    </row>
    <row r="542" spans="1:7" x14ac:dyDescent="0.25">
      <c r="A542" t="s">
        <v>2057</v>
      </c>
      <c r="B542" t="s">
        <v>2058</v>
      </c>
      <c r="C542" t="s">
        <v>2059</v>
      </c>
      <c r="D542" t="s">
        <v>2060</v>
      </c>
      <c r="E542" t="s">
        <v>2061</v>
      </c>
    </row>
    <row r="543" spans="1:7" x14ac:dyDescent="0.25">
      <c r="A543" t="s">
        <v>2062</v>
      </c>
    </row>
    <row r="544" spans="1:7" x14ac:dyDescent="0.25">
      <c r="A544" t="s">
        <v>2063</v>
      </c>
    </row>
    <row r="545" spans="1:5" x14ac:dyDescent="0.25">
      <c r="A545" t="s">
        <v>2064</v>
      </c>
    </row>
    <row r="546" spans="1:5" x14ac:dyDescent="0.25">
      <c r="A546" t="s">
        <v>2065</v>
      </c>
    </row>
    <row r="547" spans="1:5" x14ac:dyDescent="0.25">
      <c r="A547" t="s">
        <v>2066</v>
      </c>
    </row>
    <row r="548" spans="1:5" x14ac:dyDescent="0.25">
      <c r="A548" t="s">
        <v>2067</v>
      </c>
    </row>
    <row r="549" spans="1:5" x14ac:dyDescent="0.25">
      <c r="A549" t="s">
        <v>2068</v>
      </c>
    </row>
    <row r="550" spans="1:5" x14ac:dyDescent="0.25">
      <c r="A550" t="s">
        <v>2069</v>
      </c>
    </row>
    <row r="551" spans="1:5" x14ac:dyDescent="0.25">
      <c r="A551" t="s">
        <v>2070</v>
      </c>
    </row>
    <row r="552" spans="1:5" x14ac:dyDescent="0.25">
      <c r="A552" t="s">
        <v>2071</v>
      </c>
    </row>
    <row r="553" spans="1:5" x14ac:dyDescent="0.25">
      <c r="A553" t="s">
        <v>2072</v>
      </c>
    </row>
    <row r="554" spans="1:5" x14ac:dyDescent="0.25">
      <c r="A554" t="s">
        <v>2073</v>
      </c>
    </row>
    <row r="555" spans="1:5" x14ac:dyDescent="0.25">
      <c r="A555" t="s">
        <v>2074</v>
      </c>
      <c r="B555" t="s">
        <v>2075</v>
      </c>
      <c r="C555" t="s">
        <v>2076</v>
      </c>
      <c r="D555" t="s">
        <v>2077</v>
      </c>
      <c r="E555" t="s">
        <v>2078</v>
      </c>
    </row>
    <row r="556" spans="1:5" x14ac:dyDescent="0.25">
      <c r="A556" t="s">
        <v>2079</v>
      </c>
    </row>
    <row r="557" spans="1:5" x14ac:dyDescent="0.25">
      <c r="A557" t="s">
        <v>2080</v>
      </c>
    </row>
    <row r="558" spans="1:5" x14ac:dyDescent="0.25">
      <c r="A558" t="s">
        <v>2081</v>
      </c>
      <c r="B558" t="s">
        <v>2082</v>
      </c>
      <c r="C558" t="s">
        <v>2083</v>
      </c>
      <c r="D558" t="s">
        <v>2084</v>
      </c>
      <c r="E558" t="s">
        <v>2085</v>
      </c>
    </row>
    <row r="559" spans="1:5" x14ac:dyDescent="0.25">
      <c r="A559" t="s">
        <v>2086</v>
      </c>
    </row>
    <row r="560" spans="1:5" x14ac:dyDescent="0.25">
      <c r="A560" t="s">
        <v>2087</v>
      </c>
    </row>
    <row r="561" spans="1:4" x14ac:dyDescent="0.25">
      <c r="A561" t="s">
        <v>2088</v>
      </c>
    </row>
    <row r="562" spans="1:4" x14ac:dyDescent="0.25">
      <c r="A562" t="s">
        <v>2089</v>
      </c>
      <c r="B562" t="s">
        <v>2090</v>
      </c>
      <c r="C562" t="s">
        <v>2091</v>
      </c>
      <c r="D562" t="s">
        <v>2092</v>
      </c>
    </row>
    <row r="563" spans="1:4" x14ac:dyDescent="0.25">
      <c r="A563" t="s">
        <v>2093</v>
      </c>
      <c r="B563" t="s">
        <v>2094</v>
      </c>
    </row>
    <row r="564" spans="1:4" x14ac:dyDescent="0.25">
      <c r="A564" t="s">
        <v>2095</v>
      </c>
      <c r="B564" t="s">
        <v>2096</v>
      </c>
    </row>
    <row r="565" spans="1:4" x14ac:dyDescent="0.25">
      <c r="A565" t="s">
        <v>2097</v>
      </c>
      <c r="B565" t="s">
        <v>2098</v>
      </c>
    </row>
    <row r="566" spans="1:4" x14ac:dyDescent="0.25">
      <c r="A566" t="s">
        <v>2099</v>
      </c>
      <c r="B566" t="s">
        <v>2100</v>
      </c>
      <c r="C566" t="s">
        <v>2101</v>
      </c>
    </row>
    <row r="567" spans="1:4" x14ac:dyDescent="0.25">
      <c r="A567" t="s">
        <v>1369</v>
      </c>
    </row>
    <row r="568" spans="1:4" x14ac:dyDescent="0.25">
      <c r="A568" t="s">
        <v>2102</v>
      </c>
    </row>
    <row r="569" spans="1:4" x14ac:dyDescent="0.25">
      <c r="A569" t="s">
        <v>2103</v>
      </c>
    </row>
    <row r="570" spans="1:4" x14ac:dyDescent="0.25">
      <c r="A570" t="s">
        <v>2104</v>
      </c>
    </row>
    <row r="571" spans="1:4" x14ac:dyDescent="0.25">
      <c r="A571" t="s">
        <v>2105</v>
      </c>
    </row>
    <row r="572" spans="1:4" x14ac:dyDescent="0.25">
      <c r="A572" t="s">
        <v>124</v>
      </c>
    </row>
    <row r="573" spans="1:4" x14ac:dyDescent="0.25">
      <c r="A573" t="s">
        <v>2106</v>
      </c>
    </row>
    <row r="574" spans="1:4" x14ac:dyDescent="0.25">
      <c r="A574" t="s">
        <v>2107</v>
      </c>
    </row>
    <row r="575" spans="1:4" x14ac:dyDescent="0.25">
      <c r="A575" t="s">
        <v>1130</v>
      </c>
    </row>
    <row r="576" spans="1:4" x14ac:dyDescent="0.25">
      <c r="A576" t="s">
        <v>2108</v>
      </c>
    </row>
    <row r="577" spans="1:5" x14ac:dyDescent="0.25">
      <c r="A577" t="s">
        <v>2109</v>
      </c>
    </row>
    <row r="578" spans="1:5" x14ac:dyDescent="0.25">
      <c r="A578" t="s">
        <v>2110</v>
      </c>
    </row>
    <row r="579" spans="1:5" x14ac:dyDescent="0.25">
      <c r="A579" t="s">
        <v>2111</v>
      </c>
      <c r="B579" t="s">
        <v>2112</v>
      </c>
      <c r="C579" t="s">
        <v>2113</v>
      </c>
      <c r="D579" t="s">
        <v>1572</v>
      </c>
    </row>
    <row r="580" spans="1:5" x14ac:dyDescent="0.25">
      <c r="A580" t="s">
        <v>2114</v>
      </c>
    </row>
    <row r="581" spans="1:5" x14ac:dyDescent="0.25">
      <c r="A581" t="s">
        <v>1223</v>
      </c>
      <c r="B581" t="s">
        <v>1442</v>
      </c>
    </row>
    <row r="582" spans="1:5" x14ac:dyDescent="0.25">
      <c r="A582" t="s">
        <v>2115</v>
      </c>
      <c r="B582" t="s">
        <v>2116</v>
      </c>
      <c r="C582" t="s">
        <v>1195</v>
      </c>
    </row>
    <row r="583" spans="1:5" x14ac:dyDescent="0.25">
      <c r="A583" t="s">
        <v>2117</v>
      </c>
    </row>
    <row r="584" spans="1:5" x14ac:dyDescent="0.25">
      <c r="A584" t="s">
        <v>2118</v>
      </c>
      <c r="B584" t="s">
        <v>2119</v>
      </c>
      <c r="C584" t="s">
        <v>2120</v>
      </c>
      <c r="D584" t="s">
        <v>2121</v>
      </c>
      <c r="E584" t="s">
        <v>2122</v>
      </c>
    </row>
    <row r="585" spans="1:5" x14ac:dyDescent="0.25">
      <c r="A585" t="s">
        <v>2123</v>
      </c>
      <c r="B585" t="s">
        <v>2124</v>
      </c>
      <c r="C585" t="s">
        <v>1744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86"/>
  <sheetViews>
    <sheetView workbookViewId="0"/>
  </sheetViews>
  <sheetFormatPr defaultRowHeight="15" x14ac:dyDescent="0.25"/>
  <cols>
    <col min="1" max="7" width="30.7109375" customWidth="1"/>
  </cols>
  <sheetData>
    <row r="1" spans="1:4" s="3" customFormat="1" x14ac:dyDescent="0.25">
      <c r="A1" s="11" t="str">
        <f>HYPERLINK("#Tabulka!A209","A jak konkrétně se u vás **sucho** projevilo? &lt;br&gt;&lt;br&gt;*Pokud nevíte, otázku přeskočte.*")</f>
        <v>A jak konkrétně se u vás **sucho** projevilo? &lt;br&gt;&lt;br&gt;*Pokud nevíte, otázku přeskočte.*</v>
      </c>
    </row>
    <row r="2" spans="1:4" x14ac:dyDescent="0.25">
      <c r="A2" t="s">
        <v>2129</v>
      </c>
    </row>
    <row r="3" spans="1:4" x14ac:dyDescent="0.25">
      <c r="A3" t="s">
        <v>2130</v>
      </c>
    </row>
    <row r="4" spans="1:4" x14ac:dyDescent="0.25">
      <c r="A4" t="s">
        <v>2131</v>
      </c>
    </row>
    <row r="5" spans="1:4" x14ac:dyDescent="0.25">
      <c r="A5" t="s">
        <v>2132</v>
      </c>
    </row>
    <row r="6" spans="1:4" x14ac:dyDescent="0.25">
      <c r="A6" t="s">
        <v>2133</v>
      </c>
    </row>
    <row r="7" spans="1:4" x14ac:dyDescent="0.25">
      <c r="A7" t="s">
        <v>2134</v>
      </c>
    </row>
    <row r="8" spans="1:4" x14ac:dyDescent="0.25">
      <c r="A8" t="s">
        <v>2135</v>
      </c>
    </row>
    <row r="9" spans="1:4" x14ac:dyDescent="0.25">
      <c r="A9" t="s">
        <v>2136</v>
      </c>
    </row>
    <row r="10" spans="1:4" x14ac:dyDescent="0.25">
      <c r="A10" t="s">
        <v>2137</v>
      </c>
    </row>
    <row r="11" spans="1:4" x14ac:dyDescent="0.25">
      <c r="A11" t="s">
        <v>2138</v>
      </c>
    </row>
    <row r="12" spans="1:4" x14ac:dyDescent="0.25">
      <c r="A12" t="s">
        <v>2139</v>
      </c>
    </row>
    <row r="13" spans="1:4" x14ac:dyDescent="0.25">
      <c r="A13" t="s">
        <v>2140</v>
      </c>
    </row>
    <row r="14" spans="1:4" x14ac:dyDescent="0.25">
      <c r="A14" t="s">
        <v>2141</v>
      </c>
    </row>
    <row r="15" spans="1:4" x14ac:dyDescent="0.25">
      <c r="A15" t="s">
        <v>2142</v>
      </c>
      <c r="B15" t="s">
        <v>2143</v>
      </c>
      <c r="C15" t="s">
        <v>2144</v>
      </c>
      <c r="D15" t="s">
        <v>2145</v>
      </c>
    </row>
    <row r="16" spans="1:4" x14ac:dyDescent="0.25">
      <c r="A16" t="s">
        <v>61</v>
      </c>
    </row>
    <row r="17" spans="1:4" x14ac:dyDescent="0.25">
      <c r="A17" t="s">
        <v>2146</v>
      </c>
    </row>
    <row r="18" spans="1:4" x14ac:dyDescent="0.25">
      <c r="A18" t="s">
        <v>2147</v>
      </c>
    </row>
    <row r="19" spans="1:4" x14ac:dyDescent="0.25">
      <c r="A19" t="s">
        <v>2148</v>
      </c>
    </row>
    <row r="20" spans="1:4" x14ac:dyDescent="0.25">
      <c r="A20" t="s">
        <v>2149</v>
      </c>
      <c r="B20" t="s">
        <v>2150</v>
      </c>
      <c r="C20" t="s">
        <v>2151</v>
      </c>
      <c r="D20" t="s">
        <v>2152</v>
      </c>
    </row>
    <row r="21" spans="1:4" x14ac:dyDescent="0.25">
      <c r="A21" t="s">
        <v>2153</v>
      </c>
      <c r="B21" t="s">
        <v>2154</v>
      </c>
    </row>
    <row r="22" spans="1:4" x14ac:dyDescent="0.25">
      <c r="A22" t="s">
        <v>2155</v>
      </c>
    </row>
    <row r="23" spans="1:4" x14ac:dyDescent="0.25">
      <c r="A23" t="s">
        <v>2156</v>
      </c>
    </row>
    <row r="24" spans="1:4" x14ac:dyDescent="0.25">
      <c r="A24" t="s">
        <v>2157</v>
      </c>
    </row>
    <row r="25" spans="1:4" x14ac:dyDescent="0.25">
      <c r="A25" t="s">
        <v>2158</v>
      </c>
      <c r="B25" t="s">
        <v>2159</v>
      </c>
      <c r="C25" t="s">
        <v>2160</v>
      </c>
    </row>
    <row r="26" spans="1:4" x14ac:dyDescent="0.25">
      <c r="A26" t="s">
        <v>2161</v>
      </c>
    </row>
    <row r="27" spans="1:4" x14ac:dyDescent="0.25">
      <c r="A27" t="s">
        <v>2162</v>
      </c>
    </row>
    <row r="28" spans="1:4" x14ac:dyDescent="0.25">
      <c r="A28" t="s">
        <v>2163</v>
      </c>
    </row>
    <row r="29" spans="1:4" x14ac:dyDescent="0.25">
      <c r="A29" t="s">
        <v>2164</v>
      </c>
    </row>
    <row r="30" spans="1:4" x14ac:dyDescent="0.25">
      <c r="A30" t="s">
        <v>2165</v>
      </c>
    </row>
    <row r="31" spans="1:4" x14ac:dyDescent="0.25">
      <c r="A31" t="s">
        <v>2166</v>
      </c>
    </row>
    <row r="32" spans="1:4" x14ac:dyDescent="0.25">
      <c r="A32" t="s">
        <v>2167</v>
      </c>
    </row>
    <row r="33" spans="1:2" x14ac:dyDescent="0.25">
      <c r="A33" t="s">
        <v>2168</v>
      </c>
    </row>
    <row r="34" spans="1:2" x14ac:dyDescent="0.25">
      <c r="A34" t="s">
        <v>2169</v>
      </c>
      <c r="B34" t="s">
        <v>2170</v>
      </c>
    </row>
    <row r="35" spans="1:2" x14ac:dyDescent="0.25">
      <c r="A35" t="s">
        <v>2171</v>
      </c>
    </row>
    <row r="36" spans="1:2" x14ac:dyDescent="0.25">
      <c r="A36" t="s">
        <v>2172</v>
      </c>
    </row>
    <row r="37" spans="1:2" x14ac:dyDescent="0.25">
      <c r="A37" t="s">
        <v>2173</v>
      </c>
    </row>
    <row r="38" spans="1:2" x14ac:dyDescent="0.25">
      <c r="A38" t="s">
        <v>2174</v>
      </c>
    </row>
    <row r="39" spans="1:2" x14ac:dyDescent="0.25">
      <c r="A39" t="s">
        <v>2175</v>
      </c>
      <c r="B39" t="s">
        <v>2176</v>
      </c>
    </row>
    <row r="40" spans="1:2" x14ac:dyDescent="0.25">
      <c r="A40" t="s">
        <v>2177</v>
      </c>
      <c r="B40" t="s">
        <v>2178</v>
      </c>
    </row>
    <row r="41" spans="1:2" x14ac:dyDescent="0.25">
      <c r="A41" t="s">
        <v>2179</v>
      </c>
    </row>
    <row r="42" spans="1:2" x14ac:dyDescent="0.25">
      <c r="A42" t="s">
        <v>2180</v>
      </c>
    </row>
    <row r="43" spans="1:2" x14ac:dyDescent="0.25">
      <c r="A43" t="s">
        <v>2181</v>
      </c>
      <c r="B43" t="s">
        <v>2182</v>
      </c>
    </row>
    <row r="44" spans="1:2" x14ac:dyDescent="0.25">
      <c r="A44" t="s">
        <v>2183</v>
      </c>
    </row>
    <row r="45" spans="1:2" x14ac:dyDescent="0.25">
      <c r="A45" t="s">
        <v>2184</v>
      </c>
    </row>
    <row r="46" spans="1:2" x14ac:dyDescent="0.25">
      <c r="A46" t="s">
        <v>2185</v>
      </c>
    </row>
    <row r="47" spans="1:2" x14ac:dyDescent="0.25">
      <c r="A47" t="s">
        <v>2186</v>
      </c>
    </row>
    <row r="48" spans="1:2" x14ac:dyDescent="0.25">
      <c r="A48" t="s">
        <v>2187</v>
      </c>
    </row>
    <row r="49" spans="1:2" x14ac:dyDescent="0.25">
      <c r="A49" t="s">
        <v>2188</v>
      </c>
      <c r="B49" t="s">
        <v>2189</v>
      </c>
    </row>
    <row r="50" spans="1:2" x14ac:dyDescent="0.25">
      <c r="A50" t="s">
        <v>2190</v>
      </c>
    </row>
    <row r="51" spans="1:2" x14ac:dyDescent="0.25">
      <c r="A51" t="s">
        <v>2191</v>
      </c>
    </row>
    <row r="52" spans="1:2" x14ac:dyDescent="0.25">
      <c r="A52" t="s">
        <v>2192</v>
      </c>
      <c r="B52" t="s">
        <v>2193</v>
      </c>
    </row>
    <row r="53" spans="1:2" x14ac:dyDescent="0.25">
      <c r="A53" t="s">
        <v>2194</v>
      </c>
    </row>
    <row r="54" spans="1:2" x14ac:dyDescent="0.25">
      <c r="A54" t="s">
        <v>128</v>
      </c>
    </row>
    <row r="55" spans="1:2" x14ac:dyDescent="0.25">
      <c r="A55" t="s">
        <v>2195</v>
      </c>
    </row>
    <row r="56" spans="1:2" x14ac:dyDescent="0.25">
      <c r="A56" t="s">
        <v>2186</v>
      </c>
    </row>
    <row r="57" spans="1:2" x14ac:dyDescent="0.25">
      <c r="A57" t="s">
        <v>2196</v>
      </c>
    </row>
    <row r="58" spans="1:2" x14ac:dyDescent="0.25">
      <c r="A58" t="s">
        <v>2197</v>
      </c>
    </row>
    <row r="59" spans="1:2" x14ac:dyDescent="0.25">
      <c r="A59" t="s">
        <v>2198</v>
      </c>
    </row>
    <row r="60" spans="1:2" x14ac:dyDescent="0.25">
      <c r="A60" t="s">
        <v>2199</v>
      </c>
    </row>
    <row r="61" spans="1:2" x14ac:dyDescent="0.25">
      <c r="A61" t="s">
        <v>2200</v>
      </c>
    </row>
    <row r="62" spans="1:2" x14ac:dyDescent="0.25">
      <c r="A62" t="s">
        <v>2201</v>
      </c>
      <c r="B62" t="s">
        <v>2202</v>
      </c>
    </row>
    <row r="63" spans="1:2" x14ac:dyDescent="0.25">
      <c r="A63" t="s">
        <v>2203</v>
      </c>
    </row>
    <row r="64" spans="1:2" x14ac:dyDescent="0.25">
      <c r="A64" t="s">
        <v>2204</v>
      </c>
    </row>
    <row r="65" spans="1:3" x14ac:dyDescent="0.25">
      <c r="A65" t="s">
        <v>2205</v>
      </c>
    </row>
    <row r="66" spans="1:3" x14ac:dyDescent="0.25">
      <c r="A66" t="s">
        <v>2206</v>
      </c>
      <c r="B66" t="s">
        <v>2207</v>
      </c>
      <c r="C66" t="s">
        <v>2208</v>
      </c>
    </row>
    <row r="67" spans="1:3" x14ac:dyDescent="0.25">
      <c r="A67" t="s">
        <v>2162</v>
      </c>
    </row>
    <row r="68" spans="1:3" x14ac:dyDescent="0.25">
      <c r="A68" t="s">
        <v>2209</v>
      </c>
    </row>
    <row r="69" spans="1:3" x14ac:dyDescent="0.25">
      <c r="A69" t="s">
        <v>2210</v>
      </c>
    </row>
    <row r="70" spans="1:3" x14ac:dyDescent="0.25">
      <c r="A70" t="s">
        <v>2211</v>
      </c>
    </row>
    <row r="71" spans="1:3" x14ac:dyDescent="0.25">
      <c r="A71" t="s">
        <v>2186</v>
      </c>
    </row>
    <row r="72" spans="1:3" x14ac:dyDescent="0.25">
      <c r="A72" t="s">
        <v>2212</v>
      </c>
    </row>
    <row r="73" spans="1:3" x14ac:dyDescent="0.25">
      <c r="A73" t="s">
        <v>2158</v>
      </c>
    </row>
    <row r="74" spans="1:3" x14ac:dyDescent="0.25">
      <c r="A74" t="s">
        <v>2213</v>
      </c>
    </row>
    <row r="75" spans="1:3" x14ac:dyDescent="0.25">
      <c r="A75" t="s">
        <v>2214</v>
      </c>
    </row>
    <row r="76" spans="1:3" x14ac:dyDescent="0.25">
      <c r="A76" t="s">
        <v>2215</v>
      </c>
      <c r="B76" t="s">
        <v>2216</v>
      </c>
    </row>
    <row r="77" spans="1:3" x14ac:dyDescent="0.25">
      <c r="A77" t="s">
        <v>2217</v>
      </c>
    </row>
    <row r="78" spans="1:3" x14ac:dyDescent="0.25">
      <c r="A78" t="s">
        <v>2218</v>
      </c>
      <c r="B78" t="s">
        <v>2209</v>
      </c>
    </row>
    <row r="79" spans="1:3" x14ac:dyDescent="0.25">
      <c r="A79" t="s">
        <v>214</v>
      </c>
    </row>
    <row r="80" spans="1:3" x14ac:dyDescent="0.25">
      <c r="A80" t="s">
        <v>2219</v>
      </c>
      <c r="B80" t="s">
        <v>2220</v>
      </c>
      <c r="C80" t="s">
        <v>2221</v>
      </c>
    </row>
    <row r="81" spans="1:4" x14ac:dyDescent="0.25">
      <c r="A81" t="s">
        <v>2222</v>
      </c>
    </row>
    <row r="82" spans="1:4" x14ac:dyDescent="0.25">
      <c r="A82" t="s">
        <v>2162</v>
      </c>
    </row>
    <row r="83" spans="1:4" x14ac:dyDescent="0.25">
      <c r="A83" t="s">
        <v>128</v>
      </c>
    </row>
    <row r="84" spans="1:4" x14ac:dyDescent="0.25">
      <c r="A84" t="s">
        <v>2223</v>
      </c>
    </row>
    <row r="85" spans="1:4" x14ac:dyDescent="0.25">
      <c r="A85" t="s">
        <v>2224</v>
      </c>
      <c r="B85" t="s">
        <v>2225</v>
      </c>
    </row>
    <row r="86" spans="1:4" x14ac:dyDescent="0.25">
      <c r="A86" t="s">
        <v>2226</v>
      </c>
      <c r="B86" t="s">
        <v>2227</v>
      </c>
    </row>
    <row r="87" spans="1:4" x14ac:dyDescent="0.25">
      <c r="A87" t="s">
        <v>2228</v>
      </c>
    </row>
    <row r="88" spans="1:4" x14ac:dyDescent="0.25">
      <c r="A88" t="s">
        <v>2229</v>
      </c>
    </row>
    <row r="89" spans="1:4" x14ac:dyDescent="0.25">
      <c r="A89" t="s">
        <v>128</v>
      </c>
    </row>
    <row r="90" spans="1:4" x14ac:dyDescent="0.25">
      <c r="A90" t="s">
        <v>2230</v>
      </c>
    </row>
    <row r="91" spans="1:4" x14ac:dyDescent="0.25">
      <c r="A91" t="s">
        <v>2231</v>
      </c>
      <c r="B91" t="s">
        <v>2232</v>
      </c>
      <c r="C91" t="s">
        <v>2233</v>
      </c>
      <c r="D91" t="s">
        <v>2234</v>
      </c>
    </row>
    <row r="92" spans="1:4" x14ac:dyDescent="0.25">
      <c r="A92" t="s">
        <v>2235</v>
      </c>
      <c r="B92" t="s">
        <v>2236</v>
      </c>
    </row>
    <row r="93" spans="1:4" x14ac:dyDescent="0.25">
      <c r="A93" t="s">
        <v>2237</v>
      </c>
    </row>
    <row r="94" spans="1:4" x14ac:dyDescent="0.25">
      <c r="A94" t="s">
        <v>2238</v>
      </c>
    </row>
    <row r="95" spans="1:4" x14ac:dyDescent="0.25">
      <c r="A95" t="s">
        <v>2239</v>
      </c>
    </row>
    <row r="96" spans="1:4" x14ac:dyDescent="0.25">
      <c r="A96" t="s">
        <v>2240</v>
      </c>
      <c r="B96" t="s">
        <v>2241</v>
      </c>
    </row>
    <row r="97" spans="1:2" x14ac:dyDescent="0.25">
      <c r="A97" t="s">
        <v>2242</v>
      </c>
    </row>
    <row r="98" spans="1:2" x14ac:dyDescent="0.25">
      <c r="A98" t="s">
        <v>2243</v>
      </c>
    </row>
    <row r="99" spans="1:2" x14ac:dyDescent="0.25">
      <c r="A99" t="s">
        <v>2244</v>
      </c>
      <c r="B99" t="s">
        <v>2245</v>
      </c>
    </row>
    <row r="100" spans="1:2" x14ac:dyDescent="0.25">
      <c r="A100" t="s">
        <v>2246</v>
      </c>
    </row>
    <row r="101" spans="1:2" x14ac:dyDescent="0.25">
      <c r="A101" t="s">
        <v>2229</v>
      </c>
    </row>
    <row r="102" spans="1:2" x14ac:dyDescent="0.25">
      <c r="A102" t="s">
        <v>2247</v>
      </c>
    </row>
    <row r="103" spans="1:2" x14ac:dyDescent="0.25">
      <c r="A103" t="s">
        <v>2248</v>
      </c>
    </row>
    <row r="104" spans="1:2" x14ac:dyDescent="0.25">
      <c r="A104" t="s">
        <v>2249</v>
      </c>
    </row>
    <row r="105" spans="1:2" x14ac:dyDescent="0.25">
      <c r="A105" t="s">
        <v>2250</v>
      </c>
    </row>
    <row r="106" spans="1:2" x14ac:dyDescent="0.25">
      <c r="A106" t="s">
        <v>2251</v>
      </c>
    </row>
    <row r="107" spans="1:2" x14ac:dyDescent="0.25">
      <c r="A107" t="s">
        <v>2252</v>
      </c>
    </row>
    <row r="108" spans="1:2" x14ac:dyDescent="0.25">
      <c r="A108" t="s">
        <v>2253</v>
      </c>
      <c r="B108" t="s">
        <v>2254</v>
      </c>
    </row>
    <row r="109" spans="1:2" x14ac:dyDescent="0.25">
      <c r="A109" t="s">
        <v>2255</v>
      </c>
    </row>
    <row r="110" spans="1:2" x14ac:dyDescent="0.25">
      <c r="A110" t="s">
        <v>2256</v>
      </c>
    </row>
    <row r="111" spans="1:2" x14ac:dyDescent="0.25">
      <c r="A111" t="s">
        <v>2241</v>
      </c>
      <c r="B111" t="s">
        <v>2257</v>
      </c>
    </row>
    <row r="112" spans="1:2" x14ac:dyDescent="0.25">
      <c r="A112" t="s">
        <v>2258</v>
      </c>
    </row>
    <row r="113" spans="1:1" x14ac:dyDescent="0.25">
      <c r="A113" t="s">
        <v>2259</v>
      </c>
    </row>
    <row r="114" spans="1:1" x14ac:dyDescent="0.25">
      <c r="A114" t="s">
        <v>2260</v>
      </c>
    </row>
    <row r="115" spans="1:1" x14ac:dyDescent="0.25">
      <c r="A115" t="s">
        <v>2261</v>
      </c>
    </row>
    <row r="116" spans="1:1" x14ac:dyDescent="0.25">
      <c r="A116" t="s">
        <v>2262</v>
      </c>
    </row>
    <row r="117" spans="1:1" x14ac:dyDescent="0.25">
      <c r="A117" t="s">
        <v>2263</v>
      </c>
    </row>
    <row r="118" spans="1:1" x14ac:dyDescent="0.25">
      <c r="A118" t="s">
        <v>2264</v>
      </c>
    </row>
    <row r="119" spans="1:1" x14ac:dyDescent="0.25">
      <c r="A119" t="s">
        <v>2265</v>
      </c>
    </row>
    <row r="120" spans="1:1" x14ac:dyDescent="0.25">
      <c r="A120" t="s">
        <v>2266</v>
      </c>
    </row>
    <row r="121" spans="1:1" x14ac:dyDescent="0.25">
      <c r="A121" t="s">
        <v>2267</v>
      </c>
    </row>
    <row r="122" spans="1:1" x14ac:dyDescent="0.25">
      <c r="A122" t="s">
        <v>2268</v>
      </c>
    </row>
    <row r="123" spans="1:1" x14ac:dyDescent="0.25">
      <c r="A123" t="s">
        <v>2269</v>
      </c>
    </row>
    <row r="124" spans="1:1" x14ac:dyDescent="0.25">
      <c r="A124" t="s">
        <v>2270</v>
      </c>
    </row>
    <row r="125" spans="1:1" x14ac:dyDescent="0.25">
      <c r="A125" t="s">
        <v>2271</v>
      </c>
    </row>
    <row r="126" spans="1:1" x14ac:dyDescent="0.25">
      <c r="A126" t="s">
        <v>2272</v>
      </c>
    </row>
    <row r="127" spans="1:1" x14ac:dyDescent="0.25">
      <c r="A127" t="s">
        <v>2273</v>
      </c>
    </row>
    <row r="128" spans="1:1" x14ac:dyDescent="0.25">
      <c r="A128" t="s">
        <v>2274</v>
      </c>
    </row>
    <row r="129" spans="1:2" x14ac:dyDescent="0.25">
      <c r="A129" t="s">
        <v>2275</v>
      </c>
    </row>
    <row r="130" spans="1:2" x14ac:dyDescent="0.25">
      <c r="A130" t="s">
        <v>2276</v>
      </c>
    </row>
    <row r="131" spans="1:2" x14ac:dyDescent="0.25">
      <c r="A131" t="s">
        <v>2277</v>
      </c>
    </row>
    <row r="132" spans="1:2" x14ac:dyDescent="0.25">
      <c r="A132" t="s">
        <v>2278</v>
      </c>
    </row>
    <row r="133" spans="1:2" x14ac:dyDescent="0.25">
      <c r="A133" t="s">
        <v>2279</v>
      </c>
    </row>
    <row r="134" spans="1:2" x14ac:dyDescent="0.25">
      <c r="A134" t="s">
        <v>2280</v>
      </c>
    </row>
    <row r="135" spans="1:2" x14ac:dyDescent="0.25">
      <c r="A135" t="s">
        <v>2281</v>
      </c>
    </row>
    <row r="136" spans="1:2" x14ac:dyDescent="0.25">
      <c r="A136" t="s">
        <v>2282</v>
      </c>
    </row>
    <row r="137" spans="1:2" x14ac:dyDescent="0.25">
      <c r="A137" t="s">
        <v>2283</v>
      </c>
    </row>
    <row r="138" spans="1:2" x14ac:dyDescent="0.25">
      <c r="A138" t="s">
        <v>85</v>
      </c>
    </row>
    <row r="139" spans="1:2" x14ac:dyDescent="0.25">
      <c r="A139" t="s">
        <v>2284</v>
      </c>
    </row>
    <row r="140" spans="1:2" x14ac:dyDescent="0.25">
      <c r="A140" t="s">
        <v>2285</v>
      </c>
    </row>
    <row r="141" spans="1:2" x14ac:dyDescent="0.25">
      <c r="A141" t="s">
        <v>2286</v>
      </c>
      <c r="B141" t="s">
        <v>2148</v>
      </c>
    </row>
    <row r="142" spans="1:2" x14ac:dyDescent="0.25">
      <c r="A142" t="s">
        <v>2287</v>
      </c>
      <c r="B142" t="s">
        <v>2288</v>
      </c>
    </row>
    <row r="143" spans="1:2" x14ac:dyDescent="0.25">
      <c r="A143" t="s">
        <v>2289</v>
      </c>
    </row>
    <row r="144" spans="1:2" x14ac:dyDescent="0.25">
      <c r="A144" t="s">
        <v>2290</v>
      </c>
      <c r="B144" t="s">
        <v>2291</v>
      </c>
    </row>
    <row r="145" spans="1:3" x14ac:dyDescent="0.25">
      <c r="A145" t="s">
        <v>2292</v>
      </c>
      <c r="B145" t="s">
        <v>2293</v>
      </c>
    </row>
    <row r="146" spans="1:3" x14ac:dyDescent="0.25">
      <c r="A146" t="s">
        <v>2294</v>
      </c>
    </row>
    <row r="147" spans="1:3" x14ac:dyDescent="0.25">
      <c r="A147" t="s">
        <v>2295</v>
      </c>
      <c r="B147" t="s">
        <v>2296</v>
      </c>
      <c r="C147" t="s">
        <v>2297</v>
      </c>
    </row>
    <row r="148" spans="1:3" x14ac:dyDescent="0.25">
      <c r="A148" t="s">
        <v>2298</v>
      </c>
    </row>
    <row r="149" spans="1:3" x14ac:dyDescent="0.25">
      <c r="A149" t="s">
        <v>2299</v>
      </c>
    </row>
    <row r="150" spans="1:3" x14ac:dyDescent="0.25">
      <c r="A150" t="s">
        <v>2169</v>
      </c>
    </row>
    <row r="151" spans="1:3" x14ac:dyDescent="0.25">
      <c r="A151" t="s">
        <v>2300</v>
      </c>
    </row>
    <row r="152" spans="1:3" x14ac:dyDescent="0.25">
      <c r="A152" t="s">
        <v>2301</v>
      </c>
      <c r="B152" t="s">
        <v>2302</v>
      </c>
    </row>
    <row r="153" spans="1:3" x14ac:dyDescent="0.25">
      <c r="A153" t="s">
        <v>2303</v>
      </c>
    </row>
    <row r="154" spans="1:3" x14ac:dyDescent="0.25">
      <c r="A154" t="s">
        <v>2304</v>
      </c>
    </row>
    <row r="155" spans="1:3" x14ac:dyDescent="0.25">
      <c r="A155" t="s">
        <v>2305</v>
      </c>
    </row>
    <row r="156" spans="1:3" x14ac:dyDescent="0.25">
      <c r="A156" t="s">
        <v>2306</v>
      </c>
    </row>
    <row r="157" spans="1:3" x14ac:dyDescent="0.25">
      <c r="A157" t="s">
        <v>2307</v>
      </c>
    </row>
    <row r="158" spans="1:3" x14ac:dyDescent="0.25">
      <c r="A158" t="s">
        <v>2308</v>
      </c>
    </row>
    <row r="159" spans="1:3" x14ac:dyDescent="0.25">
      <c r="A159" t="s">
        <v>2309</v>
      </c>
    </row>
    <row r="160" spans="1:3" x14ac:dyDescent="0.25">
      <c r="A160" t="s">
        <v>2310</v>
      </c>
    </row>
    <row r="161" spans="1:2" x14ac:dyDescent="0.25">
      <c r="A161" t="s">
        <v>2311</v>
      </c>
    </row>
    <row r="162" spans="1:2" x14ac:dyDescent="0.25">
      <c r="A162" t="s">
        <v>2312</v>
      </c>
    </row>
    <row r="163" spans="1:2" x14ac:dyDescent="0.25">
      <c r="A163" t="s">
        <v>2313</v>
      </c>
    </row>
    <row r="164" spans="1:2" x14ac:dyDescent="0.25">
      <c r="A164" t="s">
        <v>2314</v>
      </c>
    </row>
    <row r="165" spans="1:2" x14ac:dyDescent="0.25">
      <c r="A165" t="s">
        <v>2315</v>
      </c>
    </row>
    <row r="166" spans="1:2" x14ac:dyDescent="0.25">
      <c r="A166" t="s">
        <v>2316</v>
      </c>
    </row>
    <row r="167" spans="1:2" x14ac:dyDescent="0.25">
      <c r="A167" t="s">
        <v>2317</v>
      </c>
    </row>
    <row r="168" spans="1:2" x14ac:dyDescent="0.25">
      <c r="A168" t="s">
        <v>2318</v>
      </c>
    </row>
    <row r="169" spans="1:2" x14ac:dyDescent="0.25">
      <c r="A169" t="s">
        <v>2319</v>
      </c>
    </row>
    <row r="170" spans="1:2" x14ac:dyDescent="0.25">
      <c r="A170" t="s">
        <v>2320</v>
      </c>
      <c r="B170" t="s">
        <v>2321</v>
      </c>
    </row>
    <row r="171" spans="1:2" x14ac:dyDescent="0.25">
      <c r="A171" t="s">
        <v>2322</v>
      </c>
    </row>
    <row r="172" spans="1:2" x14ac:dyDescent="0.25">
      <c r="A172" t="s">
        <v>2323</v>
      </c>
    </row>
    <row r="173" spans="1:2" x14ac:dyDescent="0.25">
      <c r="A173" t="s">
        <v>2324</v>
      </c>
    </row>
    <row r="174" spans="1:2" x14ac:dyDescent="0.25">
      <c r="A174" t="s">
        <v>2325</v>
      </c>
    </row>
    <row r="175" spans="1:2" x14ac:dyDescent="0.25">
      <c r="A175" t="s">
        <v>2326</v>
      </c>
    </row>
    <row r="176" spans="1:2" x14ac:dyDescent="0.25">
      <c r="A176" t="s">
        <v>2327</v>
      </c>
      <c r="B176" t="s">
        <v>2328</v>
      </c>
    </row>
    <row r="177" spans="1:2" x14ac:dyDescent="0.25">
      <c r="A177" t="s">
        <v>2282</v>
      </c>
    </row>
    <row r="178" spans="1:2" x14ac:dyDescent="0.25">
      <c r="A178" t="s">
        <v>2329</v>
      </c>
    </row>
    <row r="179" spans="1:2" x14ac:dyDescent="0.25">
      <c r="A179" t="s">
        <v>2208</v>
      </c>
    </row>
    <row r="180" spans="1:2" x14ac:dyDescent="0.25">
      <c r="A180" t="s">
        <v>2330</v>
      </c>
    </row>
    <row r="181" spans="1:2" x14ac:dyDescent="0.25">
      <c r="A181" t="s">
        <v>2331</v>
      </c>
    </row>
    <row r="182" spans="1:2" x14ac:dyDescent="0.25">
      <c r="A182" t="s">
        <v>2332</v>
      </c>
    </row>
    <row r="183" spans="1:2" x14ac:dyDescent="0.25">
      <c r="A183" t="s">
        <v>2333</v>
      </c>
    </row>
    <row r="184" spans="1:2" x14ac:dyDescent="0.25">
      <c r="A184" t="s">
        <v>2334</v>
      </c>
      <c r="B184" t="s">
        <v>2335</v>
      </c>
    </row>
    <row r="185" spans="1:2" x14ac:dyDescent="0.25">
      <c r="A185" t="s">
        <v>2229</v>
      </c>
    </row>
    <row r="186" spans="1:2" x14ac:dyDescent="0.25">
      <c r="A186" t="s">
        <v>2336</v>
      </c>
    </row>
    <row r="187" spans="1:2" x14ac:dyDescent="0.25">
      <c r="A187" t="s">
        <v>2337</v>
      </c>
    </row>
    <row r="188" spans="1:2" x14ac:dyDescent="0.25">
      <c r="A188" t="s">
        <v>2338</v>
      </c>
    </row>
    <row r="189" spans="1:2" x14ac:dyDescent="0.25">
      <c r="A189" t="s">
        <v>2339</v>
      </c>
    </row>
    <row r="190" spans="1:2" x14ac:dyDescent="0.25">
      <c r="A190" t="s">
        <v>2340</v>
      </c>
      <c r="B190" t="s">
        <v>2341</v>
      </c>
    </row>
    <row r="191" spans="1:2" x14ac:dyDescent="0.25">
      <c r="A191" t="s">
        <v>2342</v>
      </c>
    </row>
    <row r="192" spans="1:2" x14ac:dyDescent="0.25">
      <c r="A192" t="s">
        <v>2343</v>
      </c>
    </row>
    <row r="193" spans="1:3" x14ac:dyDescent="0.25">
      <c r="A193" t="s">
        <v>61</v>
      </c>
    </row>
    <row r="194" spans="1:3" x14ac:dyDescent="0.25">
      <c r="A194" t="s">
        <v>2344</v>
      </c>
    </row>
    <row r="195" spans="1:3" x14ac:dyDescent="0.25">
      <c r="A195" t="s">
        <v>2345</v>
      </c>
    </row>
    <row r="196" spans="1:3" x14ac:dyDescent="0.25">
      <c r="A196" t="s">
        <v>2346</v>
      </c>
      <c r="B196" t="s">
        <v>2347</v>
      </c>
    </row>
    <row r="197" spans="1:3" x14ac:dyDescent="0.25">
      <c r="A197" t="s">
        <v>2348</v>
      </c>
    </row>
    <row r="198" spans="1:3" x14ac:dyDescent="0.25">
      <c r="A198" t="s">
        <v>2349</v>
      </c>
      <c r="B198" t="s">
        <v>2350</v>
      </c>
      <c r="C198" t="s">
        <v>2351</v>
      </c>
    </row>
    <row r="199" spans="1:3" x14ac:dyDescent="0.25">
      <c r="A199" t="s">
        <v>2352</v>
      </c>
    </row>
    <row r="200" spans="1:3" x14ac:dyDescent="0.25">
      <c r="A200" t="s">
        <v>2353</v>
      </c>
    </row>
    <row r="201" spans="1:3" x14ac:dyDescent="0.25">
      <c r="A201" t="s">
        <v>2354</v>
      </c>
    </row>
    <row r="202" spans="1:3" x14ac:dyDescent="0.25">
      <c r="A202" t="s">
        <v>2355</v>
      </c>
    </row>
    <row r="203" spans="1:3" x14ac:dyDescent="0.25">
      <c r="A203" t="s">
        <v>2356</v>
      </c>
    </row>
    <row r="204" spans="1:3" x14ac:dyDescent="0.25">
      <c r="A204" t="s">
        <v>2357</v>
      </c>
    </row>
    <row r="205" spans="1:3" x14ac:dyDescent="0.25">
      <c r="A205" t="s">
        <v>2358</v>
      </c>
    </row>
    <row r="206" spans="1:3" x14ac:dyDescent="0.25">
      <c r="A206" t="s">
        <v>2359</v>
      </c>
      <c r="B206" t="s">
        <v>2360</v>
      </c>
      <c r="C206" t="s">
        <v>2361</v>
      </c>
    </row>
    <row r="207" spans="1:3" x14ac:dyDescent="0.25">
      <c r="A207" t="s">
        <v>2362</v>
      </c>
    </row>
    <row r="208" spans="1:3" x14ac:dyDescent="0.25">
      <c r="A208" t="s">
        <v>2363</v>
      </c>
    </row>
    <row r="209" spans="1:3" x14ac:dyDescent="0.25">
      <c r="A209" t="s">
        <v>2364</v>
      </c>
    </row>
    <row r="210" spans="1:3" x14ac:dyDescent="0.25">
      <c r="A210" t="s">
        <v>2365</v>
      </c>
    </row>
    <row r="211" spans="1:3" x14ac:dyDescent="0.25">
      <c r="A211" t="s">
        <v>2366</v>
      </c>
      <c r="B211" t="s">
        <v>2367</v>
      </c>
    </row>
    <row r="212" spans="1:3" x14ac:dyDescent="0.25">
      <c r="A212" t="s">
        <v>2368</v>
      </c>
    </row>
    <row r="213" spans="1:3" x14ac:dyDescent="0.25">
      <c r="A213" t="s">
        <v>2369</v>
      </c>
    </row>
    <row r="214" spans="1:3" x14ac:dyDescent="0.25">
      <c r="A214" t="s">
        <v>2370</v>
      </c>
      <c r="B214" t="s">
        <v>2371</v>
      </c>
      <c r="C214" t="s">
        <v>2372</v>
      </c>
    </row>
    <row r="215" spans="1:3" x14ac:dyDescent="0.25">
      <c r="A215" t="s">
        <v>2373</v>
      </c>
    </row>
    <row r="216" spans="1:3" x14ac:dyDescent="0.25">
      <c r="A216" t="s">
        <v>2374</v>
      </c>
    </row>
    <row r="217" spans="1:3" x14ac:dyDescent="0.25">
      <c r="A217" t="s">
        <v>2375</v>
      </c>
    </row>
    <row r="218" spans="1:3" x14ac:dyDescent="0.25">
      <c r="A218" t="s">
        <v>2376</v>
      </c>
    </row>
    <row r="219" spans="1:3" x14ac:dyDescent="0.25">
      <c r="A219" t="s">
        <v>2377</v>
      </c>
    </row>
    <row r="220" spans="1:3" x14ac:dyDescent="0.25">
      <c r="A220" t="s">
        <v>2150</v>
      </c>
    </row>
    <row r="221" spans="1:3" x14ac:dyDescent="0.25">
      <c r="A221" t="s">
        <v>2378</v>
      </c>
      <c r="B221" t="s">
        <v>2379</v>
      </c>
    </row>
    <row r="222" spans="1:3" x14ac:dyDescent="0.25">
      <c r="A222" t="s">
        <v>2380</v>
      </c>
      <c r="B222" t="s">
        <v>2381</v>
      </c>
    </row>
    <row r="223" spans="1:3" x14ac:dyDescent="0.25">
      <c r="A223" t="s">
        <v>2382</v>
      </c>
    </row>
    <row r="224" spans="1:3" x14ac:dyDescent="0.25">
      <c r="A224" t="s">
        <v>2383</v>
      </c>
      <c r="B224" t="s">
        <v>2384</v>
      </c>
      <c r="C224" t="s">
        <v>2385</v>
      </c>
    </row>
    <row r="225" spans="1:5" x14ac:dyDescent="0.25">
      <c r="A225" t="s">
        <v>416</v>
      </c>
    </row>
    <row r="226" spans="1:5" x14ac:dyDescent="0.25">
      <c r="A226" t="s">
        <v>2386</v>
      </c>
    </row>
    <row r="227" spans="1:5" x14ac:dyDescent="0.25">
      <c r="A227" t="s">
        <v>2387</v>
      </c>
    </row>
    <row r="228" spans="1:5" x14ac:dyDescent="0.25">
      <c r="A228" t="s">
        <v>2388</v>
      </c>
    </row>
    <row r="229" spans="1:5" x14ac:dyDescent="0.25">
      <c r="A229" t="s">
        <v>2389</v>
      </c>
    </row>
    <row r="230" spans="1:5" x14ac:dyDescent="0.25">
      <c r="A230" t="s">
        <v>2390</v>
      </c>
    </row>
    <row r="231" spans="1:5" x14ac:dyDescent="0.25">
      <c r="A231" t="s">
        <v>2391</v>
      </c>
    </row>
    <row r="232" spans="1:5" x14ac:dyDescent="0.25">
      <c r="A232" t="s">
        <v>2392</v>
      </c>
    </row>
    <row r="233" spans="1:5" x14ac:dyDescent="0.25">
      <c r="A233" t="s">
        <v>2393</v>
      </c>
    </row>
    <row r="234" spans="1:5" x14ac:dyDescent="0.25">
      <c r="A234" t="s">
        <v>2394</v>
      </c>
    </row>
    <row r="235" spans="1:5" x14ac:dyDescent="0.25">
      <c r="A235" t="s">
        <v>2395</v>
      </c>
    </row>
    <row r="236" spans="1:5" x14ac:dyDescent="0.25">
      <c r="A236" t="s">
        <v>2396</v>
      </c>
    </row>
    <row r="237" spans="1:5" x14ac:dyDescent="0.25">
      <c r="A237" t="s">
        <v>2397</v>
      </c>
    </row>
    <row r="238" spans="1:5" x14ac:dyDescent="0.25">
      <c r="A238" t="s">
        <v>2398</v>
      </c>
    </row>
    <row r="239" spans="1:5" x14ac:dyDescent="0.25">
      <c r="A239" t="s">
        <v>2399</v>
      </c>
      <c r="B239" t="s">
        <v>2400</v>
      </c>
      <c r="C239" t="s">
        <v>2401</v>
      </c>
      <c r="D239" t="s">
        <v>2402</v>
      </c>
      <c r="E239" t="s">
        <v>2403</v>
      </c>
    </row>
    <row r="240" spans="1:5" x14ac:dyDescent="0.25">
      <c r="A240" t="s">
        <v>2404</v>
      </c>
      <c r="B240" t="s">
        <v>2405</v>
      </c>
    </row>
    <row r="241" spans="1:3" x14ac:dyDescent="0.25">
      <c r="A241" t="s">
        <v>2406</v>
      </c>
    </row>
    <row r="242" spans="1:3" x14ac:dyDescent="0.25">
      <c r="A242" t="s">
        <v>2407</v>
      </c>
    </row>
    <row r="243" spans="1:3" x14ac:dyDescent="0.25">
      <c r="A243" t="s">
        <v>2148</v>
      </c>
      <c r="B243" t="s">
        <v>85</v>
      </c>
    </row>
    <row r="244" spans="1:3" x14ac:dyDescent="0.25">
      <c r="A244" t="s">
        <v>2408</v>
      </c>
    </row>
    <row r="245" spans="1:3" x14ac:dyDescent="0.25">
      <c r="A245" t="s">
        <v>2409</v>
      </c>
      <c r="B245" t="s">
        <v>2410</v>
      </c>
      <c r="C245" t="s">
        <v>2411</v>
      </c>
    </row>
    <row r="246" spans="1:3" x14ac:dyDescent="0.25">
      <c r="A246" t="s">
        <v>2412</v>
      </c>
    </row>
    <row r="247" spans="1:3" x14ac:dyDescent="0.25">
      <c r="A247" t="s">
        <v>2413</v>
      </c>
    </row>
    <row r="248" spans="1:3" x14ac:dyDescent="0.25">
      <c r="A248" t="s">
        <v>2414</v>
      </c>
    </row>
    <row r="249" spans="1:3" x14ac:dyDescent="0.25">
      <c r="A249" t="s">
        <v>2415</v>
      </c>
    </row>
    <row r="250" spans="1:3" x14ac:dyDescent="0.25">
      <c r="A250" t="s">
        <v>2150</v>
      </c>
    </row>
    <row r="251" spans="1:3" x14ac:dyDescent="0.25">
      <c r="A251" t="s">
        <v>2416</v>
      </c>
    </row>
    <row r="252" spans="1:3" x14ac:dyDescent="0.25">
      <c r="A252" t="s">
        <v>2417</v>
      </c>
    </row>
    <row r="253" spans="1:3" x14ac:dyDescent="0.25">
      <c r="A253" t="s">
        <v>2208</v>
      </c>
    </row>
    <row r="254" spans="1:3" x14ac:dyDescent="0.25">
      <c r="A254" t="s">
        <v>2418</v>
      </c>
    </row>
    <row r="255" spans="1:3" x14ac:dyDescent="0.25">
      <c r="A255" t="s">
        <v>2419</v>
      </c>
    </row>
    <row r="256" spans="1:3" x14ac:dyDescent="0.25">
      <c r="A256" t="s">
        <v>247</v>
      </c>
    </row>
    <row r="257" spans="1:6" x14ac:dyDescent="0.25">
      <c r="A257" t="s">
        <v>2420</v>
      </c>
    </row>
    <row r="258" spans="1:6" x14ac:dyDescent="0.25">
      <c r="A258" t="s">
        <v>2421</v>
      </c>
    </row>
    <row r="259" spans="1:6" x14ac:dyDescent="0.25">
      <c r="A259" t="s">
        <v>2422</v>
      </c>
    </row>
    <row r="260" spans="1:6" x14ac:dyDescent="0.25">
      <c r="A260" t="s">
        <v>2423</v>
      </c>
    </row>
    <row r="261" spans="1:6" x14ac:dyDescent="0.25">
      <c r="A261" t="s">
        <v>2424</v>
      </c>
    </row>
    <row r="262" spans="1:6" x14ac:dyDescent="0.25">
      <c r="A262" t="s">
        <v>2425</v>
      </c>
    </row>
    <row r="263" spans="1:6" x14ac:dyDescent="0.25">
      <c r="A263" t="s">
        <v>1790</v>
      </c>
    </row>
    <row r="264" spans="1:6" x14ac:dyDescent="0.25">
      <c r="A264" t="s">
        <v>2319</v>
      </c>
    </row>
    <row r="265" spans="1:6" x14ac:dyDescent="0.25">
      <c r="A265" t="s">
        <v>2426</v>
      </c>
    </row>
    <row r="266" spans="1:6" x14ac:dyDescent="0.25">
      <c r="A266" t="s">
        <v>2427</v>
      </c>
    </row>
    <row r="267" spans="1:6" x14ac:dyDescent="0.25">
      <c r="A267" t="s">
        <v>2428</v>
      </c>
      <c r="B267" t="s">
        <v>2381</v>
      </c>
      <c r="C267" t="s">
        <v>2429</v>
      </c>
    </row>
    <row r="268" spans="1:6" x14ac:dyDescent="0.25">
      <c r="A268" t="s">
        <v>2430</v>
      </c>
    </row>
    <row r="269" spans="1:6" x14ac:dyDescent="0.25">
      <c r="A269" t="s">
        <v>2431</v>
      </c>
    </row>
    <row r="270" spans="1:6" x14ac:dyDescent="0.25">
      <c r="A270" t="s">
        <v>2432</v>
      </c>
      <c r="B270" t="s">
        <v>2433</v>
      </c>
      <c r="C270" t="s">
        <v>2434</v>
      </c>
      <c r="D270" t="s">
        <v>2435</v>
      </c>
      <c r="E270" t="s">
        <v>2436</v>
      </c>
      <c r="F270" t="s">
        <v>2437</v>
      </c>
    </row>
    <row r="271" spans="1:6" x14ac:dyDescent="0.25">
      <c r="A271" t="s">
        <v>2139</v>
      </c>
    </row>
    <row r="272" spans="1:6" x14ac:dyDescent="0.25">
      <c r="A272" t="s">
        <v>85</v>
      </c>
    </row>
    <row r="273" spans="1:1" x14ac:dyDescent="0.25">
      <c r="A273" t="s">
        <v>2438</v>
      </c>
    </row>
    <row r="274" spans="1:1" x14ac:dyDescent="0.25">
      <c r="A274" t="s">
        <v>302</v>
      </c>
    </row>
    <row r="275" spans="1:1" x14ac:dyDescent="0.25">
      <c r="A275" t="s">
        <v>2439</v>
      </c>
    </row>
    <row r="276" spans="1:1" x14ac:dyDescent="0.25">
      <c r="A276" t="s">
        <v>2440</v>
      </c>
    </row>
    <row r="277" spans="1:1" x14ac:dyDescent="0.25">
      <c r="A277" t="s">
        <v>2441</v>
      </c>
    </row>
    <row r="278" spans="1:1" x14ac:dyDescent="0.25">
      <c r="A278" t="s">
        <v>2442</v>
      </c>
    </row>
    <row r="279" spans="1:1" x14ac:dyDescent="0.25">
      <c r="A279" t="s">
        <v>2443</v>
      </c>
    </row>
    <row r="280" spans="1:1" x14ac:dyDescent="0.25">
      <c r="A280" t="s">
        <v>2444</v>
      </c>
    </row>
    <row r="281" spans="1:1" x14ac:dyDescent="0.25">
      <c r="A281" t="s">
        <v>2282</v>
      </c>
    </row>
    <row r="282" spans="1:1" x14ac:dyDescent="0.25">
      <c r="A282" t="s">
        <v>2132</v>
      </c>
    </row>
    <row r="283" spans="1:1" x14ac:dyDescent="0.25">
      <c r="A283" t="s">
        <v>2445</v>
      </c>
    </row>
    <row r="284" spans="1:1" x14ac:dyDescent="0.25">
      <c r="A284" t="s">
        <v>2446</v>
      </c>
    </row>
    <row r="285" spans="1:1" x14ac:dyDescent="0.25">
      <c r="A285" t="s">
        <v>2447</v>
      </c>
    </row>
    <row r="286" spans="1:1" x14ac:dyDescent="0.25">
      <c r="A286" t="s">
        <v>2448</v>
      </c>
    </row>
    <row r="287" spans="1:1" x14ac:dyDescent="0.25">
      <c r="A287" t="s">
        <v>2449</v>
      </c>
    </row>
    <row r="288" spans="1:1" x14ac:dyDescent="0.25">
      <c r="A288" t="s">
        <v>2450</v>
      </c>
    </row>
    <row r="289" spans="1:3" x14ac:dyDescent="0.25">
      <c r="A289" t="s">
        <v>2451</v>
      </c>
      <c r="B289" t="s">
        <v>2452</v>
      </c>
      <c r="C289" t="s">
        <v>2453</v>
      </c>
    </row>
    <row r="290" spans="1:3" x14ac:dyDescent="0.25">
      <c r="A290" t="s">
        <v>2454</v>
      </c>
    </row>
    <row r="291" spans="1:3" x14ac:dyDescent="0.25">
      <c r="A291" t="s">
        <v>2455</v>
      </c>
    </row>
    <row r="292" spans="1:3" x14ac:dyDescent="0.25">
      <c r="A292" t="s">
        <v>2456</v>
      </c>
    </row>
    <row r="293" spans="1:3" x14ac:dyDescent="0.25">
      <c r="A293" t="s">
        <v>2457</v>
      </c>
      <c r="B293" t="s">
        <v>2458</v>
      </c>
    </row>
    <row r="294" spans="1:3" x14ac:dyDescent="0.25">
      <c r="A294" t="s">
        <v>2459</v>
      </c>
    </row>
    <row r="295" spans="1:3" x14ac:dyDescent="0.25">
      <c r="A295" t="s">
        <v>2460</v>
      </c>
    </row>
    <row r="296" spans="1:3" x14ac:dyDescent="0.25">
      <c r="A296" t="s">
        <v>2461</v>
      </c>
    </row>
    <row r="297" spans="1:3" x14ac:dyDescent="0.25">
      <c r="A297" t="s">
        <v>2462</v>
      </c>
    </row>
    <row r="298" spans="1:3" x14ac:dyDescent="0.25">
      <c r="A298" t="s">
        <v>2463</v>
      </c>
    </row>
    <row r="299" spans="1:3" x14ac:dyDescent="0.25">
      <c r="A299" t="s">
        <v>2186</v>
      </c>
      <c r="B299" t="s">
        <v>2464</v>
      </c>
    </row>
    <row r="300" spans="1:3" x14ac:dyDescent="0.25">
      <c r="A300" t="s">
        <v>2465</v>
      </c>
    </row>
    <row r="301" spans="1:3" x14ac:dyDescent="0.25">
      <c r="A301" t="s">
        <v>2169</v>
      </c>
    </row>
    <row r="302" spans="1:3" x14ac:dyDescent="0.25">
      <c r="A302" t="s">
        <v>2162</v>
      </c>
    </row>
    <row r="303" spans="1:3" x14ac:dyDescent="0.25">
      <c r="A303" t="s">
        <v>2466</v>
      </c>
    </row>
    <row r="304" spans="1:3" x14ac:dyDescent="0.25">
      <c r="A304" t="s">
        <v>2394</v>
      </c>
    </row>
    <row r="305" spans="1:2" x14ac:dyDescent="0.25">
      <c r="A305" t="s">
        <v>2467</v>
      </c>
    </row>
    <row r="306" spans="1:2" x14ac:dyDescent="0.25">
      <c r="A306" t="s">
        <v>2132</v>
      </c>
    </row>
    <row r="307" spans="1:2" x14ac:dyDescent="0.25">
      <c r="A307" t="s">
        <v>2468</v>
      </c>
    </row>
    <row r="308" spans="1:2" x14ac:dyDescent="0.25">
      <c r="A308" t="s">
        <v>2469</v>
      </c>
    </row>
    <row r="309" spans="1:2" x14ac:dyDescent="0.25">
      <c r="A309" t="s">
        <v>2470</v>
      </c>
      <c r="B309" t="s">
        <v>2177</v>
      </c>
    </row>
    <row r="310" spans="1:2" x14ac:dyDescent="0.25">
      <c r="A310" t="s">
        <v>2471</v>
      </c>
    </row>
    <row r="311" spans="1:2" x14ac:dyDescent="0.25">
      <c r="A311" t="s">
        <v>2472</v>
      </c>
    </row>
    <row r="312" spans="1:2" x14ac:dyDescent="0.25">
      <c r="A312" t="s">
        <v>2473</v>
      </c>
    </row>
    <row r="313" spans="1:2" x14ac:dyDescent="0.25">
      <c r="A313" t="s">
        <v>2474</v>
      </c>
      <c r="B313" t="s">
        <v>2475</v>
      </c>
    </row>
    <row r="314" spans="1:2" x14ac:dyDescent="0.25">
      <c r="A314" t="s">
        <v>2476</v>
      </c>
    </row>
    <row r="315" spans="1:2" x14ac:dyDescent="0.25">
      <c r="A315" t="s">
        <v>2477</v>
      </c>
    </row>
    <row r="316" spans="1:2" x14ac:dyDescent="0.25">
      <c r="A316" t="s">
        <v>2478</v>
      </c>
    </row>
    <row r="317" spans="1:2" x14ac:dyDescent="0.25">
      <c r="A317" t="s">
        <v>2479</v>
      </c>
    </row>
    <row r="318" spans="1:2" x14ac:dyDescent="0.25">
      <c r="A318" t="s">
        <v>2480</v>
      </c>
    </row>
    <row r="319" spans="1:2" x14ac:dyDescent="0.25">
      <c r="A319" t="s">
        <v>2481</v>
      </c>
    </row>
    <row r="320" spans="1:2" x14ac:dyDescent="0.25">
      <c r="A320" t="s">
        <v>2482</v>
      </c>
      <c r="B320" t="s">
        <v>2483</v>
      </c>
    </row>
    <row r="321" spans="1:2" x14ac:dyDescent="0.25">
      <c r="A321" t="s">
        <v>2484</v>
      </c>
    </row>
    <row r="322" spans="1:2" x14ac:dyDescent="0.25">
      <c r="A322" t="s">
        <v>2485</v>
      </c>
    </row>
    <row r="323" spans="1:2" x14ac:dyDescent="0.25">
      <c r="A323" t="s">
        <v>2486</v>
      </c>
    </row>
    <row r="324" spans="1:2" x14ac:dyDescent="0.25">
      <c r="A324" t="s">
        <v>2344</v>
      </c>
      <c r="B324" t="s">
        <v>2487</v>
      </c>
    </row>
    <row r="325" spans="1:2" x14ac:dyDescent="0.25">
      <c r="A325" t="s">
        <v>2488</v>
      </c>
    </row>
    <row r="326" spans="1:2" x14ac:dyDescent="0.25">
      <c r="A326" t="s">
        <v>2489</v>
      </c>
    </row>
    <row r="327" spans="1:2" x14ac:dyDescent="0.25">
      <c r="A327" t="s">
        <v>2490</v>
      </c>
    </row>
    <row r="328" spans="1:2" x14ac:dyDescent="0.25">
      <c r="A328" t="s">
        <v>2186</v>
      </c>
    </row>
    <row r="329" spans="1:2" x14ac:dyDescent="0.25">
      <c r="A329" t="s">
        <v>2491</v>
      </c>
    </row>
    <row r="330" spans="1:2" x14ac:dyDescent="0.25">
      <c r="A330" t="s">
        <v>2492</v>
      </c>
    </row>
    <row r="331" spans="1:2" x14ac:dyDescent="0.25">
      <c r="A331" t="s">
        <v>2493</v>
      </c>
      <c r="B331" t="s">
        <v>2494</v>
      </c>
    </row>
    <row r="332" spans="1:2" x14ac:dyDescent="0.25">
      <c r="A332" t="s">
        <v>2495</v>
      </c>
    </row>
    <row r="333" spans="1:2" x14ac:dyDescent="0.25">
      <c r="A333" t="s">
        <v>2496</v>
      </c>
    </row>
    <row r="334" spans="1:2" x14ac:dyDescent="0.25">
      <c r="A334" t="s">
        <v>2497</v>
      </c>
      <c r="B334" t="s">
        <v>2498</v>
      </c>
    </row>
    <row r="335" spans="1:2" x14ac:dyDescent="0.25">
      <c r="A335" t="s">
        <v>2499</v>
      </c>
    </row>
    <row r="336" spans="1:2" x14ac:dyDescent="0.25">
      <c r="A336" t="s">
        <v>2500</v>
      </c>
    </row>
    <row r="337" spans="1:4" x14ac:dyDescent="0.25">
      <c r="A337" t="s">
        <v>2501</v>
      </c>
    </row>
    <row r="338" spans="1:4" x14ac:dyDescent="0.25">
      <c r="A338" t="s">
        <v>2502</v>
      </c>
    </row>
    <row r="339" spans="1:4" x14ac:dyDescent="0.25">
      <c r="A339" t="s">
        <v>2503</v>
      </c>
      <c r="B339" t="s">
        <v>2504</v>
      </c>
      <c r="C339" t="s">
        <v>2380</v>
      </c>
      <c r="D339" t="s">
        <v>2505</v>
      </c>
    </row>
    <row r="340" spans="1:4" x14ac:dyDescent="0.25">
      <c r="A340" t="s">
        <v>2506</v>
      </c>
    </row>
    <row r="341" spans="1:4" x14ac:dyDescent="0.25">
      <c r="A341" t="s">
        <v>2507</v>
      </c>
      <c r="B341" t="s">
        <v>2508</v>
      </c>
    </row>
    <row r="342" spans="1:4" x14ac:dyDescent="0.25">
      <c r="A342" t="s">
        <v>2509</v>
      </c>
      <c r="B342" t="s">
        <v>2510</v>
      </c>
    </row>
    <row r="343" spans="1:4" x14ac:dyDescent="0.25">
      <c r="A343" t="s">
        <v>2163</v>
      </c>
    </row>
    <row r="344" spans="1:4" x14ac:dyDescent="0.25">
      <c r="A344" t="s">
        <v>2511</v>
      </c>
    </row>
    <row r="345" spans="1:4" x14ac:dyDescent="0.25">
      <c r="A345" t="s">
        <v>2512</v>
      </c>
    </row>
    <row r="346" spans="1:4" x14ac:dyDescent="0.25">
      <c r="A346" t="s">
        <v>2513</v>
      </c>
      <c r="B346" t="s">
        <v>2514</v>
      </c>
      <c r="C346" t="s">
        <v>2515</v>
      </c>
    </row>
    <row r="347" spans="1:4" x14ac:dyDescent="0.25">
      <c r="A347" t="s">
        <v>2516</v>
      </c>
    </row>
    <row r="348" spans="1:4" x14ac:dyDescent="0.25">
      <c r="A348" t="s">
        <v>2517</v>
      </c>
    </row>
    <row r="349" spans="1:4" x14ac:dyDescent="0.25">
      <c r="A349" t="s">
        <v>2518</v>
      </c>
    </row>
    <row r="350" spans="1:4" x14ac:dyDescent="0.25">
      <c r="A350" t="s">
        <v>2519</v>
      </c>
    </row>
    <row r="351" spans="1:4" x14ac:dyDescent="0.25">
      <c r="A351" t="s">
        <v>2520</v>
      </c>
      <c r="B351" t="s">
        <v>2521</v>
      </c>
    </row>
    <row r="352" spans="1:4" x14ac:dyDescent="0.25">
      <c r="A352" t="s">
        <v>2522</v>
      </c>
    </row>
    <row r="353" spans="1:3" x14ac:dyDescent="0.25">
      <c r="A353" t="s">
        <v>2523</v>
      </c>
    </row>
    <row r="354" spans="1:3" x14ac:dyDescent="0.25">
      <c r="A354" t="s">
        <v>2524</v>
      </c>
    </row>
    <row r="355" spans="1:3" x14ac:dyDescent="0.25">
      <c r="A355" t="s">
        <v>2525</v>
      </c>
    </row>
    <row r="356" spans="1:3" x14ac:dyDescent="0.25">
      <c r="A356" t="s">
        <v>2132</v>
      </c>
    </row>
    <row r="357" spans="1:3" x14ac:dyDescent="0.25">
      <c r="A357" t="s">
        <v>2526</v>
      </c>
      <c r="B357" t="s">
        <v>2208</v>
      </c>
      <c r="C357" t="s">
        <v>2527</v>
      </c>
    </row>
    <row r="358" spans="1:3" x14ac:dyDescent="0.25">
      <c r="A358" t="s">
        <v>2528</v>
      </c>
    </row>
    <row r="359" spans="1:3" x14ac:dyDescent="0.25">
      <c r="A359" t="s">
        <v>61</v>
      </c>
    </row>
    <row r="360" spans="1:3" x14ac:dyDescent="0.25">
      <c r="A360" t="s">
        <v>82</v>
      </c>
      <c r="B360" t="s">
        <v>2529</v>
      </c>
    </row>
    <row r="361" spans="1:3" x14ac:dyDescent="0.25">
      <c r="A361" t="s">
        <v>2530</v>
      </c>
    </row>
    <row r="362" spans="1:3" x14ac:dyDescent="0.25">
      <c r="A362" t="s">
        <v>2531</v>
      </c>
      <c r="B362" t="s">
        <v>2240</v>
      </c>
    </row>
    <row r="363" spans="1:3" x14ac:dyDescent="0.25">
      <c r="A363" t="s">
        <v>2532</v>
      </c>
    </row>
    <row r="364" spans="1:3" x14ac:dyDescent="0.25">
      <c r="A364" t="s">
        <v>2533</v>
      </c>
    </row>
    <row r="365" spans="1:3" x14ac:dyDescent="0.25">
      <c r="A365" t="s">
        <v>2534</v>
      </c>
    </row>
    <row r="366" spans="1:3" x14ac:dyDescent="0.25">
      <c r="A366" t="s">
        <v>2535</v>
      </c>
    </row>
    <row r="367" spans="1:3" x14ac:dyDescent="0.25">
      <c r="A367" t="s">
        <v>2536</v>
      </c>
    </row>
    <row r="368" spans="1:3" x14ac:dyDescent="0.25">
      <c r="A368" t="s">
        <v>2537</v>
      </c>
    </row>
    <row r="369" spans="1:3" x14ac:dyDescent="0.25">
      <c r="A369" t="s">
        <v>2162</v>
      </c>
    </row>
    <row r="370" spans="1:3" x14ac:dyDescent="0.25">
      <c r="A370" t="s">
        <v>2538</v>
      </c>
    </row>
    <row r="371" spans="1:3" x14ac:dyDescent="0.25">
      <c r="A371" t="s">
        <v>2162</v>
      </c>
    </row>
    <row r="372" spans="1:3" x14ac:dyDescent="0.25">
      <c r="A372" t="s">
        <v>2539</v>
      </c>
    </row>
    <row r="373" spans="1:3" x14ac:dyDescent="0.25">
      <c r="A373" t="s">
        <v>2470</v>
      </c>
    </row>
    <row r="374" spans="1:3" x14ac:dyDescent="0.25">
      <c r="A374" t="s">
        <v>2540</v>
      </c>
    </row>
    <row r="375" spans="1:3" x14ac:dyDescent="0.25">
      <c r="A375" t="s">
        <v>2541</v>
      </c>
    </row>
    <row r="376" spans="1:3" x14ac:dyDescent="0.25">
      <c r="A376" t="s">
        <v>2542</v>
      </c>
      <c r="B376" t="s">
        <v>2543</v>
      </c>
      <c r="C376" t="s">
        <v>2544</v>
      </c>
    </row>
    <row r="377" spans="1:3" x14ac:dyDescent="0.25">
      <c r="A377" t="s">
        <v>2545</v>
      </c>
    </row>
    <row r="378" spans="1:3" x14ac:dyDescent="0.25">
      <c r="A378" t="s">
        <v>2546</v>
      </c>
    </row>
    <row r="379" spans="1:3" x14ac:dyDescent="0.25">
      <c r="A379" t="s">
        <v>2547</v>
      </c>
    </row>
    <row r="380" spans="1:3" x14ac:dyDescent="0.25">
      <c r="A380" t="s">
        <v>2548</v>
      </c>
    </row>
    <row r="381" spans="1:3" x14ac:dyDescent="0.25">
      <c r="A381" t="s">
        <v>2549</v>
      </c>
    </row>
    <row r="382" spans="1:3" x14ac:dyDescent="0.25">
      <c r="A382" t="s">
        <v>2550</v>
      </c>
    </row>
    <row r="383" spans="1:3" x14ac:dyDescent="0.25">
      <c r="A383" t="s">
        <v>2132</v>
      </c>
    </row>
    <row r="384" spans="1:3" x14ac:dyDescent="0.25">
      <c r="A384" t="s">
        <v>2551</v>
      </c>
    </row>
    <row r="385" spans="1:2" x14ac:dyDescent="0.25">
      <c r="A385" t="s">
        <v>2552</v>
      </c>
    </row>
    <row r="386" spans="1:2" x14ac:dyDescent="0.25">
      <c r="A386" t="s">
        <v>2553</v>
      </c>
      <c r="B386" t="s">
        <v>2554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70"/>
  <sheetViews>
    <sheetView workbookViewId="0"/>
  </sheetViews>
  <sheetFormatPr defaultRowHeight="15" x14ac:dyDescent="0.25"/>
  <cols>
    <col min="1" max="5" width="30.7109375" customWidth="1"/>
  </cols>
  <sheetData>
    <row r="1" spans="1:1" s="3" customFormat="1" x14ac:dyDescent="0.25">
      <c r="A1" s="11" t="str">
        <f>HYPERLINK("#Tabulka!A226","A jak konkrétně se vás dotýká? &lt;br&gt;&lt;br&gt;*Pokud nevíte, otázku přeskočte.*")</f>
        <v>A jak konkrétně se vás dotýká? &lt;br&gt;&lt;br&gt;*Pokud nevíte, otázku přeskočte.*</v>
      </c>
    </row>
    <row r="2" spans="1:1" x14ac:dyDescent="0.25">
      <c r="A2" t="s">
        <v>2557</v>
      </c>
    </row>
    <row r="3" spans="1:1" x14ac:dyDescent="0.25">
      <c r="A3" t="s">
        <v>2558</v>
      </c>
    </row>
    <row r="4" spans="1:1" x14ac:dyDescent="0.25">
      <c r="A4" t="s">
        <v>2559</v>
      </c>
    </row>
    <row r="5" spans="1:1" x14ac:dyDescent="0.25">
      <c r="A5" t="s">
        <v>2560</v>
      </c>
    </row>
    <row r="6" spans="1:1" x14ac:dyDescent="0.25">
      <c r="A6" t="s">
        <v>2561</v>
      </c>
    </row>
    <row r="7" spans="1:1" x14ac:dyDescent="0.25">
      <c r="A7" t="s">
        <v>2562</v>
      </c>
    </row>
    <row r="8" spans="1:1" x14ac:dyDescent="0.25">
      <c r="A8" t="s">
        <v>2563</v>
      </c>
    </row>
    <row r="9" spans="1:1" x14ac:dyDescent="0.25">
      <c r="A9" t="s">
        <v>2564</v>
      </c>
    </row>
    <row r="10" spans="1:1" x14ac:dyDescent="0.25">
      <c r="A10" t="s">
        <v>2565</v>
      </c>
    </row>
    <row r="11" spans="1:1" x14ac:dyDescent="0.25">
      <c r="A11" t="s">
        <v>2563</v>
      </c>
    </row>
    <row r="12" spans="1:1" x14ac:dyDescent="0.25">
      <c r="A12" t="s">
        <v>2566</v>
      </c>
    </row>
    <row r="13" spans="1:1" x14ac:dyDescent="0.25">
      <c r="A13" t="s">
        <v>2567</v>
      </c>
    </row>
    <row r="14" spans="1:1" x14ac:dyDescent="0.25">
      <c r="A14" t="s">
        <v>2568</v>
      </c>
    </row>
    <row r="15" spans="1:1" x14ac:dyDescent="0.25">
      <c r="A15" t="s">
        <v>2569</v>
      </c>
    </row>
    <row r="16" spans="1:1" x14ac:dyDescent="0.25">
      <c r="A16" t="s">
        <v>2570</v>
      </c>
    </row>
    <row r="17" spans="1:3" x14ac:dyDescent="0.25">
      <c r="A17" t="s">
        <v>2571</v>
      </c>
    </row>
    <row r="18" spans="1:3" x14ac:dyDescent="0.25">
      <c r="A18" t="s">
        <v>2572</v>
      </c>
    </row>
    <row r="19" spans="1:3" x14ac:dyDescent="0.25">
      <c r="A19" t="s">
        <v>2573</v>
      </c>
    </row>
    <row r="20" spans="1:3" x14ac:dyDescent="0.25">
      <c r="A20" t="s">
        <v>2574</v>
      </c>
    </row>
    <row r="21" spans="1:3" x14ac:dyDescent="0.25">
      <c r="A21" t="s">
        <v>2575</v>
      </c>
    </row>
    <row r="22" spans="1:3" x14ac:dyDescent="0.25">
      <c r="A22" t="s">
        <v>2576</v>
      </c>
    </row>
    <row r="23" spans="1:3" x14ac:dyDescent="0.25">
      <c r="A23" t="s">
        <v>2577</v>
      </c>
    </row>
    <row r="24" spans="1:3" x14ac:dyDescent="0.25">
      <c r="A24" t="s">
        <v>2578</v>
      </c>
    </row>
    <row r="25" spans="1:3" x14ac:dyDescent="0.25">
      <c r="A25" t="s">
        <v>2579</v>
      </c>
    </row>
    <row r="26" spans="1:3" x14ac:dyDescent="0.25">
      <c r="A26" t="s">
        <v>2580</v>
      </c>
    </row>
    <row r="27" spans="1:3" x14ac:dyDescent="0.25">
      <c r="A27" t="s">
        <v>2581</v>
      </c>
    </row>
    <row r="28" spans="1:3" x14ac:dyDescent="0.25">
      <c r="A28" t="s">
        <v>2582</v>
      </c>
    </row>
    <row r="29" spans="1:3" x14ac:dyDescent="0.25">
      <c r="A29" t="s">
        <v>2583</v>
      </c>
      <c r="B29" t="s">
        <v>2584</v>
      </c>
      <c r="C29" t="s">
        <v>2585</v>
      </c>
    </row>
    <row r="30" spans="1:3" x14ac:dyDescent="0.25">
      <c r="A30" t="s">
        <v>2586</v>
      </c>
    </row>
    <row r="31" spans="1:3" x14ac:dyDescent="0.25">
      <c r="A31" t="s">
        <v>2587</v>
      </c>
    </row>
    <row r="32" spans="1:3" x14ac:dyDescent="0.25">
      <c r="A32" t="s">
        <v>2588</v>
      </c>
    </row>
    <row r="33" spans="1:3" x14ac:dyDescent="0.25">
      <c r="A33" t="s">
        <v>2589</v>
      </c>
      <c r="B33" t="s">
        <v>2590</v>
      </c>
      <c r="C33" t="s">
        <v>2591</v>
      </c>
    </row>
    <row r="34" spans="1:3" x14ac:dyDescent="0.25">
      <c r="A34" t="s">
        <v>357</v>
      </c>
    </row>
    <row r="35" spans="1:3" x14ac:dyDescent="0.25">
      <c r="A35" t="s">
        <v>2592</v>
      </c>
    </row>
    <row r="36" spans="1:3" x14ac:dyDescent="0.25">
      <c r="A36" t="s">
        <v>2593</v>
      </c>
    </row>
    <row r="37" spans="1:3" x14ac:dyDescent="0.25">
      <c r="A37" t="s">
        <v>2594</v>
      </c>
    </row>
    <row r="38" spans="1:3" x14ac:dyDescent="0.25">
      <c r="A38" t="s">
        <v>2595</v>
      </c>
    </row>
    <row r="39" spans="1:3" x14ac:dyDescent="0.25">
      <c r="A39" t="s">
        <v>2596</v>
      </c>
    </row>
    <row r="40" spans="1:3" x14ac:dyDescent="0.25">
      <c r="A40" t="s">
        <v>2597</v>
      </c>
    </row>
    <row r="41" spans="1:3" x14ac:dyDescent="0.25">
      <c r="A41" t="s">
        <v>2598</v>
      </c>
    </row>
    <row r="42" spans="1:3" x14ac:dyDescent="0.25">
      <c r="A42" t="s">
        <v>2599</v>
      </c>
    </row>
    <row r="43" spans="1:3" x14ac:dyDescent="0.25">
      <c r="A43" t="s">
        <v>2600</v>
      </c>
      <c r="B43" t="s">
        <v>2601</v>
      </c>
    </row>
    <row r="44" spans="1:3" x14ac:dyDescent="0.25">
      <c r="A44" t="s">
        <v>2602</v>
      </c>
    </row>
    <row r="45" spans="1:3" x14ac:dyDescent="0.25">
      <c r="A45" t="s">
        <v>243</v>
      </c>
    </row>
    <row r="46" spans="1:3" x14ac:dyDescent="0.25">
      <c r="A46" t="s">
        <v>2603</v>
      </c>
    </row>
    <row r="47" spans="1:3" x14ac:dyDescent="0.25">
      <c r="A47" t="s">
        <v>2604</v>
      </c>
    </row>
    <row r="48" spans="1:3" x14ac:dyDescent="0.25">
      <c r="A48" t="s">
        <v>2605</v>
      </c>
    </row>
    <row r="49" spans="1:2" x14ac:dyDescent="0.25">
      <c r="A49" t="s">
        <v>2606</v>
      </c>
    </row>
    <row r="50" spans="1:2" x14ac:dyDescent="0.25">
      <c r="A50" t="s">
        <v>2607</v>
      </c>
    </row>
    <row r="51" spans="1:2" x14ac:dyDescent="0.25">
      <c r="A51" t="s">
        <v>2608</v>
      </c>
    </row>
    <row r="52" spans="1:2" x14ac:dyDescent="0.25">
      <c r="A52" t="s">
        <v>2609</v>
      </c>
    </row>
    <row r="53" spans="1:2" x14ac:dyDescent="0.25">
      <c r="A53" t="s">
        <v>2610</v>
      </c>
    </row>
    <row r="54" spans="1:2" x14ac:dyDescent="0.25">
      <c r="A54" t="s">
        <v>2611</v>
      </c>
    </row>
    <row r="55" spans="1:2" x14ac:dyDescent="0.25">
      <c r="A55" t="s">
        <v>2612</v>
      </c>
    </row>
    <row r="56" spans="1:2" x14ac:dyDescent="0.25">
      <c r="A56" t="s">
        <v>2613</v>
      </c>
    </row>
    <row r="57" spans="1:2" x14ac:dyDescent="0.25">
      <c r="A57" t="s">
        <v>2614</v>
      </c>
    </row>
    <row r="58" spans="1:2" x14ac:dyDescent="0.25">
      <c r="A58" t="s">
        <v>2615</v>
      </c>
    </row>
    <row r="59" spans="1:2" x14ac:dyDescent="0.25">
      <c r="A59" t="s">
        <v>2616</v>
      </c>
    </row>
    <row r="60" spans="1:2" x14ac:dyDescent="0.25">
      <c r="A60" t="s">
        <v>2617</v>
      </c>
    </row>
    <row r="61" spans="1:2" x14ac:dyDescent="0.25">
      <c r="A61" t="s">
        <v>2618</v>
      </c>
    </row>
    <row r="62" spans="1:2" x14ac:dyDescent="0.25">
      <c r="A62" t="s">
        <v>2619</v>
      </c>
    </row>
    <row r="63" spans="1:2" x14ac:dyDescent="0.25">
      <c r="A63" t="s">
        <v>2573</v>
      </c>
    </row>
    <row r="64" spans="1:2" x14ac:dyDescent="0.25">
      <c r="A64" t="s">
        <v>2620</v>
      </c>
      <c r="B64" t="s">
        <v>2621</v>
      </c>
    </row>
    <row r="65" spans="1:2" x14ac:dyDescent="0.25">
      <c r="A65" t="s">
        <v>2622</v>
      </c>
    </row>
    <row r="66" spans="1:2" x14ac:dyDescent="0.25">
      <c r="A66" t="s">
        <v>2623</v>
      </c>
    </row>
    <row r="67" spans="1:2" x14ac:dyDescent="0.25">
      <c r="A67" t="s">
        <v>2624</v>
      </c>
    </row>
    <row r="68" spans="1:2" x14ac:dyDescent="0.25">
      <c r="A68" t="s">
        <v>2625</v>
      </c>
    </row>
    <row r="69" spans="1:2" x14ac:dyDescent="0.25">
      <c r="A69" t="s">
        <v>2626</v>
      </c>
    </row>
    <row r="70" spans="1:2" x14ac:dyDescent="0.25">
      <c r="A70" t="s">
        <v>2627</v>
      </c>
    </row>
    <row r="71" spans="1:2" x14ac:dyDescent="0.25">
      <c r="A71" t="s">
        <v>2628</v>
      </c>
    </row>
    <row r="72" spans="1:2" x14ac:dyDescent="0.25">
      <c r="A72" t="s">
        <v>2629</v>
      </c>
      <c r="B72" t="s">
        <v>2630</v>
      </c>
    </row>
    <row r="73" spans="1:2" x14ac:dyDescent="0.25">
      <c r="A73" t="s">
        <v>2631</v>
      </c>
    </row>
    <row r="74" spans="1:2" x14ac:dyDescent="0.25">
      <c r="A74" t="s">
        <v>2632</v>
      </c>
    </row>
    <row r="75" spans="1:2" x14ac:dyDescent="0.25">
      <c r="A75" t="s">
        <v>2633</v>
      </c>
    </row>
    <row r="76" spans="1:2" x14ac:dyDescent="0.25">
      <c r="A76" t="s">
        <v>321</v>
      </c>
    </row>
    <row r="77" spans="1:2" x14ac:dyDescent="0.25">
      <c r="A77" t="s">
        <v>2563</v>
      </c>
    </row>
    <row r="78" spans="1:2" x14ac:dyDescent="0.25">
      <c r="A78" t="s">
        <v>159</v>
      </c>
    </row>
    <row r="79" spans="1:2" x14ac:dyDescent="0.25">
      <c r="A79" t="s">
        <v>357</v>
      </c>
    </row>
    <row r="80" spans="1:2" x14ac:dyDescent="0.25">
      <c r="A80" t="s">
        <v>2634</v>
      </c>
    </row>
    <row r="81" spans="1:3" x14ac:dyDescent="0.25">
      <c r="A81" t="s">
        <v>2635</v>
      </c>
    </row>
    <row r="82" spans="1:3" x14ac:dyDescent="0.25">
      <c r="A82" t="s">
        <v>2636</v>
      </c>
    </row>
    <row r="83" spans="1:3" x14ac:dyDescent="0.25">
      <c r="A83" t="s">
        <v>2637</v>
      </c>
    </row>
    <row r="84" spans="1:3" x14ac:dyDescent="0.25">
      <c r="A84" t="s">
        <v>2638</v>
      </c>
    </row>
    <row r="85" spans="1:3" x14ac:dyDescent="0.25">
      <c r="A85" t="s">
        <v>918</v>
      </c>
    </row>
    <row r="86" spans="1:3" x14ac:dyDescent="0.25">
      <c r="A86" t="s">
        <v>2563</v>
      </c>
    </row>
    <row r="87" spans="1:3" x14ac:dyDescent="0.25">
      <c r="A87" t="s">
        <v>2639</v>
      </c>
      <c r="B87" t="s">
        <v>2640</v>
      </c>
      <c r="C87" t="s">
        <v>2641</v>
      </c>
    </row>
    <row r="88" spans="1:3" x14ac:dyDescent="0.25">
      <c r="A88" t="s">
        <v>2642</v>
      </c>
      <c r="B88" t="s">
        <v>2643</v>
      </c>
    </row>
    <row r="89" spans="1:3" x14ac:dyDescent="0.25">
      <c r="A89" t="s">
        <v>2644</v>
      </c>
    </row>
    <row r="90" spans="1:3" x14ac:dyDescent="0.25">
      <c r="A90" t="s">
        <v>2645</v>
      </c>
    </row>
    <row r="91" spans="1:3" x14ac:dyDescent="0.25">
      <c r="A91" t="s">
        <v>2646</v>
      </c>
    </row>
    <row r="92" spans="1:3" x14ac:dyDescent="0.25">
      <c r="A92" t="s">
        <v>2647</v>
      </c>
    </row>
    <row r="93" spans="1:3" x14ac:dyDescent="0.25">
      <c r="A93" t="s">
        <v>2648</v>
      </c>
      <c r="B93" t="s">
        <v>2649</v>
      </c>
    </row>
    <row r="94" spans="1:3" x14ac:dyDescent="0.25">
      <c r="A94" t="s">
        <v>2650</v>
      </c>
    </row>
    <row r="95" spans="1:3" x14ac:dyDescent="0.25">
      <c r="A95" t="s">
        <v>2651</v>
      </c>
    </row>
    <row r="96" spans="1:3" x14ac:dyDescent="0.25">
      <c r="A96" t="s">
        <v>2652</v>
      </c>
    </row>
    <row r="97" spans="1:2" x14ac:dyDescent="0.25">
      <c r="A97" t="s">
        <v>2594</v>
      </c>
    </row>
    <row r="98" spans="1:2" x14ac:dyDescent="0.25">
      <c r="A98" t="s">
        <v>2653</v>
      </c>
    </row>
    <row r="99" spans="1:2" x14ac:dyDescent="0.25">
      <c r="A99" t="s">
        <v>2654</v>
      </c>
    </row>
    <row r="100" spans="1:2" x14ac:dyDescent="0.25">
      <c r="A100" t="s">
        <v>2563</v>
      </c>
    </row>
    <row r="101" spans="1:2" x14ac:dyDescent="0.25">
      <c r="A101" t="s">
        <v>2655</v>
      </c>
    </row>
    <row r="102" spans="1:2" x14ac:dyDescent="0.25">
      <c r="A102" t="s">
        <v>2656</v>
      </c>
      <c r="B102" t="s">
        <v>2657</v>
      </c>
    </row>
    <row r="103" spans="1:2" x14ac:dyDescent="0.25">
      <c r="A103" t="s">
        <v>2658</v>
      </c>
    </row>
    <row r="104" spans="1:2" x14ac:dyDescent="0.25">
      <c r="A104" t="s">
        <v>2659</v>
      </c>
    </row>
    <row r="105" spans="1:2" x14ac:dyDescent="0.25">
      <c r="A105" t="s">
        <v>2660</v>
      </c>
    </row>
    <row r="106" spans="1:2" x14ac:dyDescent="0.25">
      <c r="A106" t="s">
        <v>2661</v>
      </c>
    </row>
    <row r="107" spans="1:2" x14ac:dyDescent="0.25">
      <c r="A107" t="s">
        <v>2662</v>
      </c>
    </row>
    <row r="108" spans="1:2" x14ac:dyDescent="0.25">
      <c r="A108" t="s">
        <v>2633</v>
      </c>
    </row>
    <row r="109" spans="1:2" x14ac:dyDescent="0.25">
      <c r="A109" t="s">
        <v>2261</v>
      </c>
    </row>
    <row r="110" spans="1:2" x14ac:dyDescent="0.25">
      <c r="A110" t="s">
        <v>2663</v>
      </c>
    </row>
    <row r="111" spans="1:2" x14ac:dyDescent="0.25">
      <c r="A111" t="s">
        <v>2664</v>
      </c>
    </row>
    <row r="112" spans="1:2" x14ac:dyDescent="0.25">
      <c r="A112" t="s">
        <v>2665</v>
      </c>
    </row>
    <row r="113" spans="1:1" x14ac:dyDescent="0.25">
      <c r="A113" t="s">
        <v>2666</v>
      </c>
    </row>
    <row r="114" spans="1:1" x14ac:dyDescent="0.25">
      <c r="A114" t="s">
        <v>2667</v>
      </c>
    </row>
    <row r="115" spans="1:1" x14ac:dyDescent="0.25">
      <c r="A115" t="s">
        <v>422</v>
      </c>
    </row>
    <row r="116" spans="1:1" x14ac:dyDescent="0.25">
      <c r="A116" t="s">
        <v>2668</v>
      </c>
    </row>
    <row r="117" spans="1:1" x14ac:dyDescent="0.25">
      <c r="A117" t="s">
        <v>2645</v>
      </c>
    </row>
    <row r="118" spans="1:1" x14ac:dyDescent="0.25">
      <c r="A118" t="s">
        <v>2558</v>
      </c>
    </row>
    <row r="119" spans="1:1" x14ac:dyDescent="0.25">
      <c r="A119" t="s">
        <v>2669</v>
      </c>
    </row>
    <row r="120" spans="1:1" x14ac:dyDescent="0.25">
      <c r="A120" t="s">
        <v>2670</v>
      </c>
    </row>
    <row r="121" spans="1:1" x14ac:dyDescent="0.25">
      <c r="A121" t="s">
        <v>2671</v>
      </c>
    </row>
    <row r="122" spans="1:1" x14ac:dyDescent="0.25">
      <c r="A122" t="s">
        <v>2672</v>
      </c>
    </row>
    <row r="123" spans="1:1" x14ac:dyDescent="0.25">
      <c r="A123" t="s">
        <v>42</v>
      </c>
    </row>
    <row r="124" spans="1:1" x14ac:dyDescent="0.25">
      <c r="A124" t="s">
        <v>2594</v>
      </c>
    </row>
    <row r="125" spans="1:1" x14ac:dyDescent="0.25">
      <c r="A125" t="s">
        <v>2673</v>
      </c>
    </row>
    <row r="126" spans="1:1" x14ac:dyDescent="0.25">
      <c r="A126" t="s">
        <v>2563</v>
      </c>
    </row>
    <row r="127" spans="1:1" x14ac:dyDescent="0.25">
      <c r="A127" t="s">
        <v>2674</v>
      </c>
    </row>
    <row r="128" spans="1:1" x14ac:dyDescent="0.25">
      <c r="A128" t="s">
        <v>918</v>
      </c>
    </row>
    <row r="129" spans="1:2" x14ac:dyDescent="0.25">
      <c r="A129" t="s">
        <v>2675</v>
      </c>
    </row>
    <row r="130" spans="1:2" x14ac:dyDescent="0.25">
      <c r="A130" t="s">
        <v>2676</v>
      </c>
    </row>
    <row r="131" spans="1:2" x14ac:dyDescent="0.25">
      <c r="A131" t="s">
        <v>2677</v>
      </c>
    </row>
    <row r="132" spans="1:2" x14ac:dyDescent="0.25">
      <c r="A132" t="s">
        <v>2678</v>
      </c>
    </row>
    <row r="133" spans="1:2" x14ac:dyDescent="0.25">
      <c r="A133" t="s">
        <v>2679</v>
      </c>
    </row>
    <row r="134" spans="1:2" x14ac:dyDescent="0.25">
      <c r="A134" t="s">
        <v>2680</v>
      </c>
    </row>
    <row r="135" spans="1:2" x14ac:dyDescent="0.25">
      <c r="A135" t="s">
        <v>60</v>
      </c>
    </row>
    <row r="136" spans="1:2" x14ac:dyDescent="0.25">
      <c r="A136" t="s">
        <v>2681</v>
      </c>
    </row>
    <row r="137" spans="1:2" x14ac:dyDescent="0.25">
      <c r="A137" t="s">
        <v>2682</v>
      </c>
    </row>
    <row r="138" spans="1:2" x14ac:dyDescent="0.25">
      <c r="A138" t="s">
        <v>2573</v>
      </c>
    </row>
    <row r="139" spans="1:2" x14ac:dyDescent="0.25">
      <c r="A139" t="s">
        <v>2683</v>
      </c>
    </row>
    <row r="140" spans="1:2" x14ac:dyDescent="0.25">
      <c r="A140" t="s">
        <v>2684</v>
      </c>
    </row>
    <row r="141" spans="1:2" x14ac:dyDescent="0.25">
      <c r="A141" t="s">
        <v>2685</v>
      </c>
      <c r="B141" t="s">
        <v>2686</v>
      </c>
    </row>
    <row r="142" spans="1:2" x14ac:dyDescent="0.25">
      <c r="A142" t="s">
        <v>2687</v>
      </c>
    </row>
    <row r="143" spans="1:2" x14ac:dyDescent="0.25">
      <c r="A143" t="s">
        <v>2594</v>
      </c>
    </row>
    <row r="144" spans="1:2" x14ac:dyDescent="0.25">
      <c r="A144" t="s">
        <v>2688</v>
      </c>
    </row>
    <row r="145" spans="1:3" x14ac:dyDescent="0.25">
      <c r="A145" t="s">
        <v>2689</v>
      </c>
    </row>
    <row r="146" spans="1:3" x14ac:dyDescent="0.25">
      <c r="A146" t="s">
        <v>2690</v>
      </c>
    </row>
    <row r="147" spans="1:3" x14ac:dyDescent="0.25">
      <c r="A147" t="s">
        <v>2691</v>
      </c>
    </row>
    <row r="148" spans="1:3" x14ac:dyDescent="0.25">
      <c r="A148" t="s">
        <v>2692</v>
      </c>
    </row>
    <row r="149" spans="1:3" x14ac:dyDescent="0.25">
      <c r="A149" t="s">
        <v>2573</v>
      </c>
    </row>
    <row r="150" spans="1:3" x14ac:dyDescent="0.25">
      <c r="A150" t="s">
        <v>323</v>
      </c>
    </row>
    <row r="151" spans="1:3" x14ac:dyDescent="0.25">
      <c r="A151" t="s">
        <v>2693</v>
      </c>
    </row>
    <row r="152" spans="1:3" x14ac:dyDescent="0.25">
      <c r="A152" t="s">
        <v>2694</v>
      </c>
    </row>
    <row r="153" spans="1:3" x14ac:dyDescent="0.25">
      <c r="A153" t="s">
        <v>2695</v>
      </c>
    </row>
    <row r="154" spans="1:3" x14ac:dyDescent="0.25">
      <c r="A154" t="s">
        <v>2696</v>
      </c>
    </row>
    <row r="155" spans="1:3" x14ac:dyDescent="0.25">
      <c r="A155" t="s">
        <v>2697</v>
      </c>
    </row>
    <row r="156" spans="1:3" x14ac:dyDescent="0.25">
      <c r="A156" t="s">
        <v>2563</v>
      </c>
    </row>
    <row r="157" spans="1:3" x14ac:dyDescent="0.25">
      <c r="A157" t="s">
        <v>2698</v>
      </c>
    </row>
    <row r="158" spans="1:3" x14ac:dyDescent="0.25">
      <c r="A158" t="s">
        <v>2699</v>
      </c>
    </row>
    <row r="159" spans="1:3" x14ac:dyDescent="0.25">
      <c r="A159" t="s">
        <v>2700</v>
      </c>
      <c r="B159" t="s">
        <v>2701</v>
      </c>
      <c r="C159" t="s">
        <v>2702</v>
      </c>
    </row>
    <row r="160" spans="1:3" x14ac:dyDescent="0.25">
      <c r="A160" t="s">
        <v>2573</v>
      </c>
    </row>
    <row r="161" spans="1:3" x14ac:dyDescent="0.25">
      <c r="A161" t="s">
        <v>2703</v>
      </c>
    </row>
    <row r="162" spans="1:3" x14ac:dyDescent="0.25">
      <c r="A162" t="s">
        <v>2704</v>
      </c>
    </row>
    <row r="163" spans="1:3" x14ac:dyDescent="0.25">
      <c r="A163" t="s">
        <v>2593</v>
      </c>
    </row>
    <row r="164" spans="1:3" x14ac:dyDescent="0.25">
      <c r="A164" t="s">
        <v>2705</v>
      </c>
    </row>
    <row r="165" spans="1:3" x14ac:dyDescent="0.25">
      <c r="A165" t="s">
        <v>753</v>
      </c>
    </row>
    <row r="166" spans="1:3" x14ac:dyDescent="0.25">
      <c r="A166" t="s">
        <v>2706</v>
      </c>
    </row>
    <row r="167" spans="1:3" x14ac:dyDescent="0.25">
      <c r="A167" t="s">
        <v>2707</v>
      </c>
      <c r="B167" t="s">
        <v>2708</v>
      </c>
      <c r="C167" t="s">
        <v>2709</v>
      </c>
    </row>
    <row r="168" spans="1:3" x14ac:dyDescent="0.25">
      <c r="A168" t="s">
        <v>2710</v>
      </c>
    </row>
    <row r="169" spans="1:3" x14ac:dyDescent="0.25">
      <c r="A169" t="s">
        <v>2614</v>
      </c>
    </row>
    <row r="170" spans="1:3" x14ac:dyDescent="0.25">
      <c r="A170" t="s">
        <v>2711</v>
      </c>
    </row>
    <row r="171" spans="1:3" x14ac:dyDescent="0.25">
      <c r="A171" t="s">
        <v>2712</v>
      </c>
    </row>
    <row r="172" spans="1:3" x14ac:dyDescent="0.25">
      <c r="A172" t="s">
        <v>2713</v>
      </c>
    </row>
    <row r="173" spans="1:3" x14ac:dyDescent="0.25">
      <c r="A173" t="s">
        <v>2714</v>
      </c>
    </row>
    <row r="174" spans="1:3" x14ac:dyDescent="0.25">
      <c r="A174" t="s">
        <v>2715</v>
      </c>
    </row>
    <row r="175" spans="1:3" x14ac:dyDescent="0.25">
      <c r="A175" t="s">
        <v>2716</v>
      </c>
    </row>
    <row r="176" spans="1:3" x14ac:dyDescent="0.25">
      <c r="A176" t="s">
        <v>2717</v>
      </c>
    </row>
    <row r="177" spans="1:2" x14ac:dyDescent="0.25">
      <c r="A177" t="s">
        <v>2718</v>
      </c>
    </row>
    <row r="178" spans="1:2" x14ac:dyDescent="0.25">
      <c r="A178" t="s">
        <v>2580</v>
      </c>
    </row>
    <row r="179" spans="1:2" x14ac:dyDescent="0.25">
      <c r="A179" t="s">
        <v>2719</v>
      </c>
    </row>
    <row r="180" spans="1:2" x14ac:dyDescent="0.25">
      <c r="A180" t="s">
        <v>2720</v>
      </c>
    </row>
    <row r="181" spans="1:2" x14ac:dyDescent="0.25">
      <c r="A181" t="s">
        <v>2721</v>
      </c>
      <c r="B181" t="s">
        <v>2722</v>
      </c>
    </row>
    <row r="182" spans="1:2" x14ac:dyDescent="0.25">
      <c r="A182" t="s">
        <v>2633</v>
      </c>
    </row>
    <row r="183" spans="1:2" x14ac:dyDescent="0.25">
      <c r="A183" t="s">
        <v>2723</v>
      </c>
    </row>
    <row r="184" spans="1:2" x14ac:dyDescent="0.25">
      <c r="A184" t="s">
        <v>2724</v>
      </c>
    </row>
    <row r="185" spans="1:2" x14ac:dyDescent="0.25">
      <c r="A185" t="s">
        <v>2725</v>
      </c>
    </row>
    <row r="186" spans="1:2" x14ac:dyDescent="0.25">
      <c r="A186" t="s">
        <v>2726</v>
      </c>
    </row>
    <row r="187" spans="1:2" x14ac:dyDescent="0.25">
      <c r="A187" t="s">
        <v>2727</v>
      </c>
    </row>
    <row r="188" spans="1:2" x14ac:dyDescent="0.25">
      <c r="A188" t="s">
        <v>2728</v>
      </c>
    </row>
    <row r="189" spans="1:2" x14ac:dyDescent="0.25">
      <c r="A189" t="s">
        <v>2729</v>
      </c>
    </row>
    <row r="190" spans="1:2" x14ac:dyDescent="0.25">
      <c r="A190" t="s">
        <v>2730</v>
      </c>
    </row>
    <row r="191" spans="1:2" x14ac:dyDescent="0.25">
      <c r="A191" t="s">
        <v>2354</v>
      </c>
    </row>
    <row r="192" spans="1:2" x14ac:dyDescent="0.25">
      <c r="A192" t="s">
        <v>2731</v>
      </c>
    </row>
    <row r="193" spans="1:3" x14ac:dyDescent="0.25">
      <c r="A193" t="s">
        <v>2732</v>
      </c>
    </row>
    <row r="194" spans="1:3" x14ac:dyDescent="0.25">
      <c r="A194" t="s">
        <v>2733</v>
      </c>
    </row>
    <row r="195" spans="1:3" x14ac:dyDescent="0.25">
      <c r="A195" t="s">
        <v>2734</v>
      </c>
    </row>
    <row r="196" spans="1:3" x14ac:dyDescent="0.25">
      <c r="A196" t="s">
        <v>2735</v>
      </c>
    </row>
    <row r="197" spans="1:3" x14ac:dyDescent="0.25">
      <c r="A197" t="s">
        <v>2736</v>
      </c>
    </row>
    <row r="198" spans="1:3" x14ac:dyDescent="0.25">
      <c r="A198" t="s">
        <v>2737</v>
      </c>
      <c r="B198" t="s">
        <v>2738</v>
      </c>
      <c r="C198" t="s">
        <v>2739</v>
      </c>
    </row>
    <row r="199" spans="1:3" x14ac:dyDescent="0.25">
      <c r="A199" t="s">
        <v>2740</v>
      </c>
    </row>
    <row r="200" spans="1:3" x14ac:dyDescent="0.25">
      <c r="A200" t="s">
        <v>405</v>
      </c>
    </row>
    <row r="201" spans="1:3" x14ac:dyDescent="0.25">
      <c r="A201" t="s">
        <v>2741</v>
      </c>
    </row>
    <row r="202" spans="1:3" x14ac:dyDescent="0.25">
      <c r="A202" t="s">
        <v>2742</v>
      </c>
    </row>
    <row r="203" spans="1:3" x14ac:dyDescent="0.25">
      <c r="A203" t="s">
        <v>2743</v>
      </c>
    </row>
    <row r="204" spans="1:3" x14ac:dyDescent="0.25">
      <c r="A204" t="s">
        <v>2744</v>
      </c>
      <c r="B204" t="s">
        <v>2745</v>
      </c>
    </row>
    <row r="205" spans="1:3" x14ac:dyDescent="0.25">
      <c r="A205" t="s">
        <v>2746</v>
      </c>
      <c r="B205" t="s">
        <v>2747</v>
      </c>
    </row>
    <row r="206" spans="1:3" x14ac:dyDescent="0.25">
      <c r="A206" t="s">
        <v>2748</v>
      </c>
    </row>
    <row r="207" spans="1:3" x14ac:dyDescent="0.25">
      <c r="A207" t="s">
        <v>2749</v>
      </c>
    </row>
    <row r="208" spans="1:3" x14ac:dyDescent="0.25">
      <c r="A208" t="s">
        <v>2750</v>
      </c>
    </row>
    <row r="209" spans="1:2" x14ac:dyDescent="0.25">
      <c r="A209" t="s">
        <v>2751</v>
      </c>
    </row>
    <row r="210" spans="1:2" x14ac:dyDescent="0.25">
      <c r="A210" t="s">
        <v>2752</v>
      </c>
    </row>
    <row r="211" spans="1:2" x14ac:dyDescent="0.25">
      <c r="A211" t="s">
        <v>2753</v>
      </c>
    </row>
    <row r="212" spans="1:2" x14ac:dyDescent="0.25">
      <c r="A212" t="s">
        <v>2754</v>
      </c>
    </row>
    <row r="213" spans="1:2" x14ac:dyDescent="0.25">
      <c r="A213" t="s">
        <v>405</v>
      </c>
    </row>
    <row r="214" spans="1:2" x14ac:dyDescent="0.25">
      <c r="A214" t="s">
        <v>2755</v>
      </c>
    </row>
    <row r="215" spans="1:2" x14ac:dyDescent="0.25">
      <c r="A215" t="s">
        <v>2709</v>
      </c>
      <c r="B215" t="s">
        <v>2756</v>
      </c>
    </row>
    <row r="216" spans="1:2" x14ac:dyDescent="0.25">
      <c r="A216" t="s">
        <v>2757</v>
      </c>
    </row>
    <row r="217" spans="1:2" x14ac:dyDescent="0.25">
      <c r="A217" t="s">
        <v>2758</v>
      </c>
    </row>
    <row r="218" spans="1:2" x14ac:dyDescent="0.25">
      <c r="A218" t="s">
        <v>2631</v>
      </c>
    </row>
    <row r="219" spans="1:2" x14ac:dyDescent="0.25">
      <c r="A219" t="s">
        <v>2759</v>
      </c>
    </row>
    <row r="220" spans="1:2" x14ac:dyDescent="0.25">
      <c r="A220" t="s">
        <v>2760</v>
      </c>
    </row>
    <row r="221" spans="1:2" x14ac:dyDescent="0.25">
      <c r="A221" t="s">
        <v>2761</v>
      </c>
    </row>
    <row r="222" spans="1:2" x14ac:dyDescent="0.25">
      <c r="A222" t="s">
        <v>2762</v>
      </c>
    </row>
    <row r="223" spans="1:2" x14ac:dyDescent="0.25">
      <c r="A223" t="s">
        <v>2763</v>
      </c>
    </row>
    <row r="224" spans="1:2" x14ac:dyDescent="0.25">
      <c r="A224" t="s">
        <v>2580</v>
      </c>
    </row>
    <row r="225" spans="1:4" x14ac:dyDescent="0.25">
      <c r="A225" t="s">
        <v>2764</v>
      </c>
    </row>
    <row r="226" spans="1:4" x14ac:dyDescent="0.25">
      <c r="A226" t="s">
        <v>2765</v>
      </c>
    </row>
    <row r="227" spans="1:4" x14ac:dyDescent="0.25">
      <c r="A227" t="s">
        <v>2766</v>
      </c>
    </row>
    <row r="228" spans="1:4" x14ac:dyDescent="0.25">
      <c r="A228" t="s">
        <v>2767</v>
      </c>
      <c r="B228" t="s">
        <v>2768</v>
      </c>
      <c r="C228" t="s">
        <v>2769</v>
      </c>
      <c r="D228" t="s">
        <v>2770</v>
      </c>
    </row>
    <row r="229" spans="1:4" x14ac:dyDescent="0.25">
      <c r="A229" t="s">
        <v>2558</v>
      </c>
    </row>
    <row r="230" spans="1:4" x14ac:dyDescent="0.25">
      <c r="A230" t="s">
        <v>2771</v>
      </c>
    </row>
    <row r="231" spans="1:4" x14ac:dyDescent="0.25">
      <c r="A231" t="s">
        <v>2772</v>
      </c>
    </row>
    <row r="232" spans="1:4" x14ac:dyDescent="0.25">
      <c r="A232" t="s">
        <v>2773</v>
      </c>
    </row>
    <row r="233" spans="1:4" x14ac:dyDescent="0.25">
      <c r="A233" t="s">
        <v>2774</v>
      </c>
    </row>
    <row r="234" spans="1:4" x14ac:dyDescent="0.25">
      <c r="A234" t="s">
        <v>2775</v>
      </c>
      <c r="B234" t="s">
        <v>2776</v>
      </c>
    </row>
    <row r="235" spans="1:4" x14ac:dyDescent="0.25">
      <c r="A235" t="s">
        <v>2573</v>
      </c>
    </row>
    <row r="236" spans="1:4" x14ac:dyDescent="0.25">
      <c r="A236" t="s">
        <v>2777</v>
      </c>
    </row>
    <row r="237" spans="1:4" x14ac:dyDescent="0.25">
      <c r="A237" t="s">
        <v>2778</v>
      </c>
    </row>
    <row r="238" spans="1:4" x14ac:dyDescent="0.25">
      <c r="A238" t="s">
        <v>609</v>
      </c>
    </row>
    <row r="239" spans="1:4" x14ac:dyDescent="0.25">
      <c r="A239" t="s">
        <v>2779</v>
      </c>
    </row>
    <row r="240" spans="1:4" x14ac:dyDescent="0.25">
      <c r="A240" t="s">
        <v>2780</v>
      </c>
    </row>
    <row r="241" spans="1:1" x14ac:dyDescent="0.25">
      <c r="A241" t="s">
        <v>2781</v>
      </c>
    </row>
    <row r="242" spans="1:1" x14ac:dyDescent="0.25">
      <c r="A242" t="s">
        <v>2782</v>
      </c>
    </row>
    <row r="243" spans="1:1" x14ac:dyDescent="0.25">
      <c r="A243" t="s">
        <v>2783</v>
      </c>
    </row>
    <row r="244" spans="1:1" x14ac:dyDescent="0.25">
      <c r="A244" t="s">
        <v>2784</v>
      </c>
    </row>
    <row r="245" spans="1:1" x14ac:dyDescent="0.25">
      <c r="A245" t="s">
        <v>2785</v>
      </c>
    </row>
    <row r="246" spans="1:1" x14ac:dyDescent="0.25">
      <c r="A246" t="s">
        <v>247</v>
      </c>
    </row>
    <row r="247" spans="1:1" x14ac:dyDescent="0.25">
      <c r="A247" t="s">
        <v>2786</v>
      </c>
    </row>
    <row r="248" spans="1:1" x14ac:dyDescent="0.25">
      <c r="A248" t="s">
        <v>2787</v>
      </c>
    </row>
    <row r="249" spans="1:1" x14ac:dyDescent="0.25">
      <c r="A249" t="s">
        <v>2563</v>
      </c>
    </row>
    <row r="250" spans="1:1" x14ac:dyDescent="0.25">
      <c r="A250" t="s">
        <v>2788</v>
      </c>
    </row>
    <row r="251" spans="1:1" x14ac:dyDescent="0.25">
      <c r="A251" t="s">
        <v>2789</v>
      </c>
    </row>
    <row r="252" spans="1:1" x14ac:dyDescent="0.25">
      <c r="A252" t="s">
        <v>2790</v>
      </c>
    </row>
    <row r="253" spans="1:1" x14ac:dyDescent="0.25">
      <c r="A253" t="s">
        <v>2791</v>
      </c>
    </row>
    <row r="254" spans="1:1" x14ac:dyDescent="0.25">
      <c r="A254" t="s">
        <v>2792</v>
      </c>
    </row>
    <row r="255" spans="1:1" x14ac:dyDescent="0.25">
      <c r="A255" t="s">
        <v>2431</v>
      </c>
    </row>
    <row r="256" spans="1:1" x14ac:dyDescent="0.25">
      <c r="A256" t="s">
        <v>2793</v>
      </c>
    </row>
    <row r="257" spans="1:2" x14ac:dyDescent="0.25">
      <c r="A257" t="s">
        <v>2573</v>
      </c>
    </row>
    <row r="258" spans="1:2" x14ac:dyDescent="0.25">
      <c r="A258" t="s">
        <v>2794</v>
      </c>
    </row>
    <row r="259" spans="1:2" x14ac:dyDescent="0.25">
      <c r="A259" t="s">
        <v>2126</v>
      </c>
    </row>
    <row r="260" spans="1:2" x14ac:dyDescent="0.25">
      <c r="A260" t="s">
        <v>2795</v>
      </c>
    </row>
    <row r="261" spans="1:2" x14ac:dyDescent="0.25">
      <c r="A261" t="s">
        <v>2796</v>
      </c>
    </row>
    <row r="262" spans="1:2" x14ac:dyDescent="0.25">
      <c r="A262" t="s">
        <v>2797</v>
      </c>
    </row>
    <row r="263" spans="1:2" x14ac:dyDescent="0.25">
      <c r="A263" t="s">
        <v>2798</v>
      </c>
    </row>
    <row r="264" spans="1:2" x14ac:dyDescent="0.25">
      <c r="A264" t="s">
        <v>2799</v>
      </c>
    </row>
    <row r="265" spans="1:2" x14ac:dyDescent="0.25">
      <c r="A265" t="s">
        <v>2800</v>
      </c>
      <c r="B265" t="s">
        <v>2801</v>
      </c>
    </row>
    <row r="266" spans="1:2" x14ac:dyDescent="0.25">
      <c r="A266" t="s">
        <v>2802</v>
      </c>
    </row>
    <row r="267" spans="1:2" x14ac:dyDescent="0.25">
      <c r="A267" t="s">
        <v>2803</v>
      </c>
    </row>
    <row r="268" spans="1:2" x14ac:dyDescent="0.25">
      <c r="A268" t="s">
        <v>2804</v>
      </c>
    </row>
    <row r="269" spans="1:2" x14ac:dyDescent="0.25">
      <c r="A269" t="s">
        <v>2805</v>
      </c>
    </row>
    <row r="270" spans="1:2" x14ac:dyDescent="0.25">
      <c r="A270" t="s">
        <v>405</v>
      </c>
    </row>
    <row r="271" spans="1:2" x14ac:dyDescent="0.25">
      <c r="A271" t="s">
        <v>2611</v>
      </c>
    </row>
    <row r="272" spans="1:2" x14ac:dyDescent="0.25">
      <c r="A272" t="s">
        <v>2806</v>
      </c>
    </row>
    <row r="273" spans="1:2" x14ac:dyDescent="0.25">
      <c r="A273" t="s">
        <v>2807</v>
      </c>
    </row>
    <row r="274" spans="1:2" x14ac:dyDescent="0.25">
      <c r="A274" t="s">
        <v>2808</v>
      </c>
    </row>
    <row r="275" spans="1:2" x14ac:dyDescent="0.25">
      <c r="A275" t="s">
        <v>2563</v>
      </c>
    </row>
    <row r="276" spans="1:2" x14ac:dyDescent="0.25">
      <c r="A276" t="s">
        <v>2809</v>
      </c>
    </row>
    <row r="277" spans="1:2" x14ac:dyDescent="0.25">
      <c r="A277" t="s">
        <v>2810</v>
      </c>
    </row>
    <row r="278" spans="1:2" x14ac:dyDescent="0.25">
      <c r="A278" t="s">
        <v>247</v>
      </c>
    </row>
    <row r="279" spans="1:2" x14ac:dyDescent="0.25">
      <c r="A279" t="s">
        <v>2811</v>
      </c>
      <c r="B279" t="s">
        <v>2812</v>
      </c>
    </row>
    <row r="280" spans="1:2" x14ac:dyDescent="0.25">
      <c r="A280" t="s">
        <v>2573</v>
      </c>
    </row>
    <row r="281" spans="1:2" x14ac:dyDescent="0.25">
      <c r="A281" t="s">
        <v>2813</v>
      </c>
    </row>
    <row r="282" spans="1:2" x14ac:dyDescent="0.25">
      <c r="A282" t="s">
        <v>405</v>
      </c>
    </row>
    <row r="283" spans="1:2" x14ac:dyDescent="0.25">
      <c r="A283" t="s">
        <v>2814</v>
      </c>
    </row>
    <row r="284" spans="1:2" x14ac:dyDescent="0.25">
      <c r="A284" t="s">
        <v>2615</v>
      </c>
    </row>
    <row r="285" spans="1:2" x14ac:dyDescent="0.25">
      <c r="A285" t="s">
        <v>2815</v>
      </c>
    </row>
    <row r="286" spans="1:2" x14ac:dyDescent="0.25">
      <c r="A286" t="s">
        <v>2816</v>
      </c>
    </row>
    <row r="287" spans="1:2" x14ac:dyDescent="0.25">
      <c r="A287" t="s">
        <v>2817</v>
      </c>
    </row>
    <row r="288" spans="1:2" x14ac:dyDescent="0.25">
      <c r="A288" t="s">
        <v>2818</v>
      </c>
    </row>
    <row r="289" spans="1:2" x14ac:dyDescent="0.25">
      <c r="A289" t="s">
        <v>2819</v>
      </c>
    </row>
    <row r="290" spans="1:2" x14ac:dyDescent="0.25">
      <c r="A290" t="s">
        <v>2820</v>
      </c>
    </row>
    <row r="291" spans="1:2" x14ac:dyDescent="0.25">
      <c r="A291" t="s">
        <v>2594</v>
      </c>
    </row>
    <row r="292" spans="1:2" x14ac:dyDescent="0.25">
      <c r="A292" t="s">
        <v>2821</v>
      </c>
    </row>
    <row r="293" spans="1:2" x14ac:dyDescent="0.25">
      <c r="A293" t="s">
        <v>2822</v>
      </c>
    </row>
    <row r="294" spans="1:2" x14ac:dyDescent="0.25">
      <c r="A294" t="s">
        <v>2823</v>
      </c>
    </row>
    <row r="295" spans="1:2" x14ac:dyDescent="0.25">
      <c r="A295" t="s">
        <v>2824</v>
      </c>
    </row>
    <row r="296" spans="1:2" x14ac:dyDescent="0.25">
      <c r="A296" t="s">
        <v>2825</v>
      </c>
    </row>
    <row r="297" spans="1:2" x14ac:dyDescent="0.25">
      <c r="A297" t="s">
        <v>2651</v>
      </c>
    </row>
    <row r="298" spans="1:2" x14ac:dyDescent="0.25">
      <c r="A298" t="s">
        <v>405</v>
      </c>
    </row>
    <row r="299" spans="1:2" x14ac:dyDescent="0.25">
      <c r="A299" t="s">
        <v>2826</v>
      </c>
    </row>
    <row r="300" spans="1:2" x14ac:dyDescent="0.25">
      <c r="A300" t="s">
        <v>2827</v>
      </c>
    </row>
    <row r="301" spans="1:2" x14ac:dyDescent="0.25">
      <c r="A301" t="s">
        <v>2828</v>
      </c>
    </row>
    <row r="302" spans="1:2" x14ac:dyDescent="0.25">
      <c r="A302" t="s">
        <v>2829</v>
      </c>
    </row>
    <row r="303" spans="1:2" x14ac:dyDescent="0.25">
      <c r="A303" t="s">
        <v>2830</v>
      </c>
    </row>
    <row r="304" spans="1:2" x14ac:dyDescent="0.25">
      <c r="A304" t="s">
        <v>2831</v>
      </c>
      <c r="B304" t="s">
        <v>2832</v>
      </c>
    </row>
    <row r="305" spans="1:3" x14ac:dyDescent="0.25">
      <c r="A305" t="s">
        <v>2558</v>
      </c>
    </row>
    <row r="306" spans="1:3" x14ac:dyDescent="0.25">
      <c r="A306" t="s">
        <v>2833</v>
      </c>
    </row>
    <row r="307" spans="1:3" x14ac:dyDescent="0.25">
      <c r="A307" t="s">
        <v>2834</v>
      </c>
    </row>
    <row r="308" spans="1:3" x14ac:dyDescent="0.25">
      <c r="A308" t="s">
        <v>2835</v>
      </c>
    </row>
    <row r="309" spans="1:3" x14ac:dyDescent="0.25">
      <c r="A309" t="s">
        <v>2836</v>
      </c>
    </row>
    <row r="310" spans="1:3" x14ac:dyDescent="0.25">
      <c r="A310" t="s">
        <v>2837</v>
      </c>
    </row>
    <row r="311" spans="1:3" x14ac:dyDescent="0.25">
      <c r="A311" t="s">
        <v>2838</v>
      </c>
      <c r="B311" t="s">
        <v>2839</v>
      </c>
      <c r="C311" t="s">
        <v>2840</v>
      </c>
    </row>
    <row r="312" spans="1:3" x14ac:dyDescent="0.25">
      <c r="A312" t="s">
        <v>2841</v>
      </c>
    </row>
    <row r="313" spans="1:3" x14ac:dyDescent="0.25">
      <c r="A313" t="s">
        <v>2842</v>
      </c>
    </row>
    <row r="314" spans="1:3" x14ac:dyDescent="0.25">
      <c r="A314" t="s">
        <v>2843</v>
      </c>
    </row>
    <row r="315" spans="1:3" x14ac:dyDescent="0.25">
      <c r="A315" t="s">
        <v>2844</v>
      </c>
    </row>
    <row r="316" spans="1:3" x14ac:dyDescent="0.25">
      <c r="A316" t="s">
        <v>2845</v>
      </c>
    </row>
    <row r="317" spans="1:3" x14ac:dyDescent="0.25">
      <c r="A317" t="s">
        <v>2787</v>
      </c>
    </row>
    <row r="318" spans="1:3" x14ac:dyDescent="0.25">
      <c r="A318" t="s">
        <v>2846</v>
      </c>
    </row>
    <row r="319" spans="1:3" x14ac:dyDescent="0.25">
      <c r="A319" t="s">
        <v>2847</v>
      </c>
    </row>
    <row r="320" spans="1:3" x14ac:dyDescent="0.25">
      <c r="A320" t="s">
        <v>405</v>
      </c>
    </row>
    <row r="321" spans="1:1" x14ac:dyDescent="0.25">
      <c r="A321" t="s">
        <v>2614</v>
      </c>
    </row>
    <row r="322" spans="1:1" x14ac:dyDescent="0.25">
      <c r="A322" t="s">
        <v>2848</v>
      </c>
    </row>
    <row r="323" spans="1:1" x14ac:dyDescent="0.25">
      <c r="A323" t="s">
        <v>2849</v>
      </c>
    </row>
    <row r="324" spans="1:1" x14ac:dyDescent="0.25">
      <c r="A324" t="s">
        <v>2850</v>
      </c>
    </row>
    <row r="325" spans="1:1" x14ac:dyDescent="0.25">
      <c r="A325" t="s">
        <v>2851</v>
      </c>
    </row>
    <row r="326" spans="1:1" x14ac:dyDescent="0.25">
      <c r="A326" t="s">
        <v>2852</v>
      </c>
    </row>
    <row r="327" spans="1:1" x14ac:dyDescent="0.25">
      <c r="A327" t="s">
        <v>2853</v>
      </c>
    </row>
    <row r="328" spans="1:1" x14ac:dyDescent="0.25">
      <c r="A328" t="s">
        <v>2646</v>
      </c>
    </row>
    <row r="329" spans="1:1" x14ac:dyDescent="0.25">
      <c r="A329" t="s">
        <v>2854</v>
      </c>
    </row>
    <row r="330" spans="1:1" x14ac:dyDescent="0.25">
      <c r="A330" t="s">
        <v>2855</v>
      </c>
    </row>
    <row r="331" spans="1:1" x14ac:dyDescent="0.25">
      <c r="A331" t="s">
        <v>2563</v>
      </c>
    </row>
    <row r="332" spans="1:1" x14ac:dyDescent="0.25">
      <c r="A332" t="s">
        <v>2856</v>
      </c>
    </row>
    <row r="333" spans="1:1" x14ac:dyDescent="0.25">
      <c r="A333" t="s">
        <v>2857</v>
      </c>
    </row>
    <row r="334" spans="1:1" x14ac:dyDescent="0.25">
      <c r="A334" t="s">
        <v>2858</v>
      </c>
    </row>
    <row r="335" spans="1:1" x14ac:dyDescent="0.25">
      <c r="A335" t="s">
        <v>2614</v>
      </c>
    </row>
    <row r="336" spans="1:1" x14ac:dyDescent="0.25">
      <c r="A336" t="s">
        <v>2859</v>
      </c>
    </row>
    <row r="337" spans="1:2" x14ac:dyDescent="0.25">
      <c r="A337" t="s">
        <v>2860</v>
      </c>
    </row>
    <row r="338" spans="1:2" x14ac:dyDescent="0.25">
      <c r="A338" t="s">
        <v>2861</v>
      </c>
    </row>
    <row r="339" spans="1:2" x14ac:dyDescent="0.25">
      <c r="A339" t="s">
        <v>2862</v>
      </c>
      <c r="B339" t="s">
        <v>2863</v>
      </c>
    </row>
    <row r="340" spans="1:2" x14ac:dyDescent="0.25">
      <c r="A340" t="s">
        <v>2864</v>
      </c>
    </row>
    <row r="341" spans="1:2" x14ac:dyDescent="0.25">
      <c r="A341" t="s">
        <v>2563</v>
      </c>
    </row>
    <row r="342" spans="1:2" x14ac:dyDescent="0.25">
      <c r="A342" t="s">
        <v>2865</v>
      </c>
      <c r="B342" t="s">
        <v>2866</v>
      </c>
    </row>
    <row r="343" spans="1:2" x14ac:dyDescent="0.25">
      <c r="A343" t="s">
        <v>2867</v>
      </c>
    </row>
    <row r="344" spans="1:2" x14ac:dyDescent="0.25">
      <c r="A344" t="s">
        <v>2868</v>
      </c>
    </row>
    <row r="345" spans="1:2" x14ac:dyDescent="0.25">
      <c r="A345" t="s">
        <v>2869</v>
      </c>
    </row>
    <row r="346" spans="1:2" x14ac:dyDescent="0.25">
      <c r="A346" t="s">
        <v>2870</v>
      </c>
    </row>
    <row r="347" spans="1:2" x14ac:dyDescent="0.25">
      <c r="A347" t="s">
        <v>2871</v>
      </c>
    </row>
    <row r="348" spans="1:2" x14ac:dyDescent="0.25">
      <c r="A348" t="s">
        <v>2563</v>
      </c>
    </row>
    <row r="349" spans="1:2" x14ac:dyDescent="0.25">
      <c r="A349" t="s">
        <v>2872</v>
      </c>
    </row>
    <row r="350" spans="1:2" x14ac:dyDescent="0.25">
      <c r="A350" t="s">
        <v>2873</v>
      </c>
    </row>
    <row r="351" spans="1:2" x14ac:dyDescent="0.25">
      <c r="A351" t="s">
        <v>2794</v>
      </c>
    </row>
    <row r="352" spans="1:2" x14ac:dyDescent="0.25">
      <c r="A352" t="s">
        <v>2874</v>
      </c>
    </row>
    <row r="353" spans="1:1" x14ac:dyDescent="0.25">
      <c r="A353" t="s">
        <v>2875</v>
      </c>
    </row>
    <row r="354" spans="1:1" x14ac:dyDescent="0.25">
      <c r="A354" t="s">
        <v>2876</v>
      </c>
    </row>
    <row r="355" spans="1:1" x14ac:dyDescent="0.25">
      <c r="A355" t="s">
        <v>2877</v>
      </c>
    </row>
    <row r="356" spans="1:1" x14ac:dyDescent="0.25">
      <c r="A356" t="s">
        <v>2878</v>
      </c>
    </row>
    <row r="357" spans="1:1" x14ac:dyDescent="0.25">
      <c r="A357" t="s">
        <v>2879</v>
      </c>
    </row>
    <row r="358" spans="1:1" x14ac:dyDescent="0.25">
      <c r="A358" t="s">
        <v>2880</v>
      </c>
    </row>
    <row r="359" spans="1:1" x14ac:dyDescent="0.25">
      <c r="A359" t="s">
        <v>2881</v>
      </c>
    </row>
    <row r="360" spans="1:1" x14ac:dyDescent="0.25">
      <c r="A360" t="s">
        <v>2882</v>
      </c>
    </row>
    <row r="361" spans="1:1" x14ac:dyDescent="0.25">
      <c r="A361" t="s">
        <v>2883</v>
      </c>
    </row>
    <row r="362" spans="1:1" x14ac:dyDescent="0.25">
      <c r="A362" t="s">
        <v>2884</v>
      </c>
    </row>
    <row r="363" spans="1:1" x14ac:dyDescent="0.25">
      <c r="A363" t="s">
        <v>2631</v>
      </c>
    </row>
    <row r="364" spans="1:1" x14ac:dyDescent="0.25">
      <c r="A364" t="s">
        <v>2885</v>
      </c>
    </row>
    <row r="365" spans="1:1" x14ac:dyDescent="0.25">
      <c r="A365" t="s">
        <v>2886</v>
      </c>
    </row>
    <row r="366" spans="1:1" x14ac:dyDescent="0.25">
      <c r="A366" t="s">
        <v>2887</v>
      </c>
    </row>
    <row r="367" spans="1:1" x14ac:dyDescent="0.25">
      <c r="A367" t="s">
        <v>2888</v>
      </c>
    </row>
    <row r="368" spans="1:1" x14ac:dyDescent="0.25">
      <c r="A368" t="s">
        <v>2889</v>
      </c>
    </row>
    <row r="369" spans="1:1" x14ac:dyDescent="0.25">
      <c r="A369" t="s">
        <v>2890</v>
      </c>
    </row>
    <row r="370" spans="1:1" x14ac:dyDescent="0.25">
      <c r="A370" t="s">
        <v>2891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691"/>
  <sheetViews>
    <sheetView workbookViewId="0"/>
  </sheetViews>
  <sheetFormatPr defaultRowHeight="15" x14ac:dyDescent="0.25"/>
  <cols>
    <col min="1" max="4" width="30.7109375" customWidth="1"/>
  </cols>
  <sheetData>
    <row r="1" spans="1:3" s="3" customFormat="1" x14ac:dyDescent="0.25">
      <c r="A1" s="11" t="str">
        <f>HYPERLINK("#Tabulka!A390","A na závěr nás zajímá. &lt;br&gt;&lt;br&gt;Jaké **ekologické problémy** podle vás nevíce **zatěžují** naši krajinu?")</f>
        <v>A na závěr nás zajímá. &lt;br&gt;&lt;br&gt;Jaké **ekologické problémy** podle vás nevíce **zatěžují** naši krajinu?</v>
      </c>
    </row>
    <row r="2" spans="1:3" x14ac:dyDescent="0.25">
      <c r="A2" t="s">
        <v>2999</v>
      </c>
    </row>
    <row r="3" spans="1:3" x14ac:dyDescent="0.25">
      <c r="A3" t="s">
        <v>1894</v>
      </c>
      <c r="B3" t="s">
        <v>3000</v>
      </c>
      <c r="C3" t="s">
        <v>3001</v>
      </c>
    </row>
    <row r="4" spans="1:3" x14ac:dyDescent="0.25">
      <c r="A4" t="s">
        <v>3002</v>
      </c>
    </row>
    <row r="5" spans="1:3" x14ac:dyDescent="0.25">
      <c r="A5" t="s">
        <v>3003</v>
      </c>
      <c r="B5" t="s">
        <v>3004</v>
      </c>
      <c r="C5" t="s">
        <v>3005</v>
      </c>
    </row>
    <row r="6" spans="1:3" x14ac:dyDescent="0.25">
      <c r="A6" t="s">
        <v>3006</v>
      </c>
      <c r="B6" t="s">
        <v>3007</v>
      </c>
    </row>
    <row r="7" spans="1:3" x14ac:dyDescent="0.25">
      <c r="A7" t="s">
        <v>1894</v>
      </c>
      <c r="B7" t="s">
        <v>3000</v>
      </c>
      <c r="C7" t="s">
        <v>1713</v>
      </c>
    </row>
    <row r="8" spans="1:3" x14ac:dyDescent="0.25">
      <c r="A8" t="s">
        <v>3008</v>
      </c>
      <c r="B8" t="s">
        <v>3009</v>
      </c>
      <c r="C8" t="s">
        <v>3010</v>
      </c>
    </row>
    <row r="9" spans="1:3" x14ac:dyDescent="0.25">
      <c r="A9" t="s">
        <v>3011</v>
      </c>
    </row>
    <row r="10" spans="1:3" x14ac:dyDescent="0.25">
      <c r="A10" t="s">
        <v>147</v>
      </c>
    </row>
    <row r="11" spans="1:3" x14ac:dyDescent="0.25">
      <c r="A11" t="s">
        <v>3012</v>
      </c>
      <c r="B11" t="s">
        <v>3013</v>
      </c>
      <c r="C11" t="s">
        <v>3014</v>
      </c>
    </row>
    <row r="12" spans="1:3" x14ac:dyDescent="0.25">
      <c r="A12" t="s">
        <v>3015</v>
      </c>
      <c r="B12" t="s">
        <v>512</v>
      </c>
    </row>
    <row r="13" spans="1:3" x14ac:dyDescent="0.25">
      <c r="A13" t="s">
        <v>3016</v>
      </c>
    </row>
    <row r="14" spans="1:3" x14ac:dyDescent="0.25">
      <c r="A14" t="s">
        <v>3017</v>
      </c>
      <c r="B14" t="s">
        <v>3018</v>
      </c>
      <c r="C14" t="s">
        <v>3019</v>
      </c>
    </row>
    <row r="15" spans="1:3" x14ac:dyDescent="0.25">
      <c r="A15" t="s">
        <v>123</v>
      </c>
      <c r="B15" t="s">
        <v>3020</v>
      </c>
    </row>
    <row r="16" spans="1:3" x14ac:dyDescent="0.25">
      <c r="A16" t="s">
        <v>2380</v>
      </c>
      <c r="B16" t="s">
        <v>3021</v>
      </c>
      <c r="C16" t="s">
        <v>123</v>
      </c>
    </row>
    <row r="17" spans="1:3" x14ac:dyDescent="0.25">
      <c r="A17" t="s">
        <v>3022</v>
      </c>
      <c r="B17" t="s">
        <v>3023</v>
      </c>
      <c r="C17" t="s">
        <v>60</v>
      </c>
    </row>
    <row r="18" spans="1:3" x14ac:dyDescent="0.25">
      <c r="A18" t="s">
        <v>3024</v>
      </c>
    </row>
    <row r="19" spans="1:3" x14ac:dyDescent="0.25">
      <c r="A19" t="s">
        <v>3025</v>
      </c>
      <c r="B19" t="s">
        <v>3026</v>
      </c>
    </row>
    <row r="20" spans="1:3" x14ac:dyDescent="0.25">
      <c r="A20" t="s">
        <v>3000</v>
      </c>
    </row>
    <row r="21" spans="1:3" x14ac:dyDescent="0.25">
      <c r="A21" t="s">
        <v>3013</v>
      </c>
      <c r="B21" t="s">
        <v>3027</v>
      </c>
      <c r="C21" t="s">
        <v>3028</v>
      </c>
    </row>
    <row r="22" spans="1:3" x14ac:dyDescent="0.25">
      <c r="A22" t="s">
        <v>3029</v>
      </c>
      <c r="B22" t="s">
        <v>3030</v>
      </c>
    </row>
    <row r="23" spans="1:3" x14ac:dyDescent="0.25">
      <c r="A23" t="s">
        <v>3031</v>
      </c>
      <c r="B23" t="s">
        <v>3032</v>
      </c>
      <c r="C23" t="s">
        <v>3033</v>
      </c>
    </row>
    <row r="24" spans="1:3" x14ac:dyDescent="0.25">
      <c r="A24" t="s">
        <v>3034</v>
      </c>
    </row>
    <row r="25" spans="1:3" x14ac:dyDescent="0.25">
      <c r="A25" t="s">
        <v>3035</v>
      </c>
    </row>
    <row r="26" spans="1:3" x14ac:dyDescent="0.25">
      <c r="A26" t="s">
        <v>115</v>
      </c>
    </row>
    <row r="27" spans="1:3" x14ac:dyDescent="0.25">
      <c r="A27" t="s">
        <v>147</v>
      </c>
      <c r="B27" t="s">
        <v>115</v>
      </c>
      <c r="C27" t="s">
        <v>405</v>
      </c>
    </row>
    <row r="28" spans="1:3" x14ac:dyDescent="0.25">
      <c r="A28" t="s">
        <v>1713</v>
      </c>
    </row>
    <row r="29" spans="1:3" x14ac:dyDescent="0.25">
      <c r="A29" t="s">
        <v>3036</v>
      </c>
    </row>
    <row r="30" spans="1:3" x14ac:dyDescent="0.25">
      <c r="A30" t="s">
        <v>3037</v>
      </c>
    </row>
    <row r="31" spans="1:3" x14ac:dyDescent="0.25">
      <c r="A31" t="s">
        <v>3038</v>
      </c>
      <c r="B31" t="s">
        <v>815</v>
      </c>
      <c r="C31" t="s">
        <v>3039</v>
      </c>
    </row>
    <row r="32" spans="1:3" x14ac:dyDescent="0.25">
      <c r="A32" t="s">
        <v>3040</v>
      </c>
      <c r="B32" t="s">
        <v>3041</v>
      </c>
    </row>
    <row r="33" spans="1:3" x14ac:dyDescent="0.25">
      <c r="A33" t="s">
        <v>3042</v>
      </c>
    </row>
    <row r="34" spans="1:3" x14ac:dyDescent="0.25">
      <c r="A34" t="s">
        <v>3043</v>
      </c>
    </row>
    <row r="35" spans="1:3" x14ac:dyDescent="0.25">
      <c r="A35" t="s">
        <v>3044</v>
      </c>
    </row>
    <row r="36" spans="1:3" x14ac:dyDescent="0.25">
      <c r="A36" t="s">
        <v>3045</v>
      </c>
      <c r="B36" t="s">
        <v>582</v>
      </c>
    </row>
    <row r="37" spans="1:3" x14ac:dyDescent="0.25">
      <c r="A37" t="s">
        <v>3046</v>
      </c>
    </row>
    <row r="38" spans="1:3" x14ac:dyDescent="0.25">
      <c r="A38" t="s">
        <v>951</v>
      </c>
      <c r="B38" t="s">
        <v>3047</v>
      </c>
      <c r="C38" t="s">
        <v>3048</v>
      </c>
    </row>
    <row r="39" spans="1:3" x14ac:dyDescent="0.25">
      <c r="A39" t="s">
        <v>3049</v>
      </c>
      <c r="B39" t="s">
        <v>3050</v>
      </c>
      <c r="C39" t="s">
        <v>3051</v>
      </c>
    </row>
    <row r="40" spans="1:3" x14ac:dyDescent="0.25">
      <c r="A40" t="s">
        <v>115</v>
      </c>
      <c r="B40" t="s">
        <v>2380</v>
      </c>
    </row>
    <row r="41" spans="1:3" x14ac:dyDescent="0.25">
      <c r="A41" t="s">
        <v>3052</v>
      </c>
      <c r="B41" t="s">
        <v>3053</v>
      </c>
      <c r="C41" t="s">
        <v>3054</v>
      </c>
    </row>
    <row r="42" spans="1:3" x14ac:dyDescent="0.25">
      <c r="A42" t="s">
        <v>3055</v>
      </c>
    </row>
    <row r="43" spans="1:3" x14ac:dyDescent="0.25">
      <c r="A43" t="s">
        <v>3000</v>
      </c>
      <c r="B43" t="s">
        <v>1894</v>
      </c>
    </row>
    <row r="44" spans="1:3" x14ac:dyDescent="0.25">
      <c r="A44" t="s">
        <v>115</v>
      </c>
      <c r="B44" t="s">
        <v>3056</v>
      </c>
    </row>
    <row r="45" spans="1:3" x14ac:dyDescent="0.25">
      <c r="A45" t="s">
        <v>3057</v>
      </c>
      <c r="B45" t="s">
        <v>3058</v>
      </c>
      <c r="C45" t="s">
        <v>3059</v>
      </c>
    </row>
    <row r="46" spans="1:3" x14ac:dyDescent="0.25">
      <c r="A46" t="s">
        <v>115</v>
      </c>
      <c r="B46" t="s">
        <v>3060</v>
      </c>
      <c r="C46" t="s">
        <v>3061</v>
      </c>
    </row>
    <row r="47" spans="1:3" x14ac:dyDescent="0.25">
      <c r="A47" t="s">
        <v>333</v>
      </c>
      <c r="B47" t="s">
        <v>115</v>
      </c>
    </row>
    <row r="48" spans="1:3" x14ac:dyDescent="0.25">
      <c r="A48" t="s">
        <v>3062</v>
      </c>
    </row>
    <row r="49" spans="1:3" x14ac:dyDescent="0.25">
      <c r="A49" t="s">
        <v>951</v>
      </c>
    </row>
    <row r="50" spans="1:3" x14ac:dyDescent="0.25">
      <c r="A50" t="s">
        <v>3063</v>
      </c>
      <c r="B50" t="s">
        <v>3064</v>
      </c>
      <c r="C50" t="s">
        <v>3065</v>
      </c>
    </row>
    <row r="51" spans="1:3" x14ac:dyDescent="0.25">
      <c r="A51" t="s">
        <v>3066</v>
      </c>
    </row>
    <row r="52" spans="1:3" x14ac:dyDescent="0.25">
      <c r="A52" t="s">
        <v>3067</v>
      </c>
      <c r="B52" t="s">
        <v>3068</v>
      </c>
      <c r="C52" t="s">
        <v>3013</v>
      </c>
    </row>
    <row r="53" spans="1:3" x14ac:dyDescent="0.25">
      <c r="A53" t="s">
        <v>147</v>
      </c>
    </row>
    <row r="54" spans="1:3" x14ac:dyDescent="0.25">
      <c r="A54" t="s">
        <v>3069</v>
      </c>
      <c r="B54" t="s">
        <v>582</v>
      </c>
      <c r="C54" t="s">
        <v>3070</v>
      </c>
    </row>
    <row r="55" spans="1:3" x14ac:dyDescent="0.25">
      <c r="A55" t="s">
        <v>115</v>
      </c>
      <c r="B55" t="s">
        <v>3071</v>
      </c>
      <c r="C55" t="s">
        <v>3072</v>
      </c>
    </row>
    <row r="56" spans="1:3" x14ac:dyDescent="0.25">
      <c r="A56" t="s">
        <v>3073</v>
      </c>
      <c r="B56" t="s">
        <v>3074</v>
      </c>
    </row>
    <row r="57" spans="1:3" x14ac:dyDescent="0.25">
      <c r="A57" t="s">
        <v>3075</v>
      </c>
      <c r="B57" t="s">
        <v>3076</v>
      </c>
      <c r="C57" t="s">
        <v>3077</v>
      </c>
    </row>
    <row r="58" spans="1:3" x14ac:dyDescent="0.25">
      <c r="A58" t="s">
        <v>3078</v>
      </c>
      <c r="B58" t="s">
        <v>3079</v>
      </c>
      <c r="C58" t="s">
        <v>3080</v>
      </c>
    </row>
    <row r="59" spans="1:3" x14ac:dyDescent="0.25">
      <c r="A59" t="s">
        <v>3081</v>
      </c>
      <c r="B59" t="s">
        <v>3082</v>
      </c>
      <c r="C59" t="s">
        <v>3083</v>
      </c>
    </row>
    <row r="60" spans="1:3" x14ac:dyDescent="0.25">
      <c r="A60" t="s">
        <v>333</v>
      </c>
    </row>
    <row r="61" spans="1:3" x14ac:dyDescent="0.25">
      <c r="A61" t="s">
        <v>3084</v>
      </c>
      <c r="B61" t="s">
        <v>3085</v>
      </c>
      <c r="C61" t="s">
        <v>3086</v>
      </c>
    </row>
    <row r="62" spans="1:3" x14ac:dyDescent="0.25">
      <c r="A62" t="s">
        <v>3055</v>
      </c>
      <c r="B62" t="s">
        <v>3087</v>
      </c>
    </row>
    <row r="63" spans="1:3" x14ac:dyDescent="0.25">
      <c r="A63" t="s">
        <v>512</v>
      </c>
    </row>
    <row r="64" spans="1:3" x14ac:dyDescent="0.25">
      <c r="A64" t="s">
        <v>3088</v>
      </c>
      <c r="B64" t="s">
        <v>3089</v>
      </c>
    </row>
    <row r="65" spans="1:3" x14ac:dyDescent="0.25">
      <c r="A65" t="s">
        <v>3090</v>
      </c>
      <c r="B65" t="s">
        <v>3091</v>
      </c>
      <c r="C65" t="s">
        <v>3092</v>
      </c>
    </row>
    <row r="66" spans="1:3" x14ac:dyDescent="0.25">
      <c r="A66" t="s">
        <v>3093</v>
      </c>
      <c r="B66" t="s">
        <v>3094</v>
      </c>
    </row>
    <row r="67" spans="1:3" x14ac:dyDescent="0.25">
      <c r="A67" t="s">
        <v>3095</v>
      </c>
      <c r="B67" t="s">
        <v>3096</v>
      </c>
    </row>
    <row r="68" spans="1:3" x14ac:dyDescent="0.25">
      <c r="A68" t="s">
        <v>61</v>
      </c>
      <c r="B68" t="s">
        <v>3097</v>
      </c>
      <c r="C68" t="s">
        <v>3098</v>
      </c>
    </row>
    <row r="69" spans="1:3" x14ac:dyDescent="0.25">
      <c r="A69" t="s">
        <v>3099</v>
      </c>
      <c r="B69" t="s">
        <v>3100</v>
      </c>
    </row>
    <row r="70" spans="1:3" x14ac:dyDescent="0.25">
      <c r="A70" t="s">
        <v>506</v>
      </c>
      <c r="B70" t="s">
        <v>3101</v>
      </c>
    </row>
    <row r="71" spans="1:3" x14ac:dyDescent="0.25">
      <c r="A71" t="s">
        <v>506</v>
      </c>
      <c r="B71" t="s">
        <v>63</v>
      </c>
      <c r="C71" t="s">
        <v>3102</v>
      </c>
    </row>
    <row r="72" spans="1:3" x14ac:dyDescent="0.25">
      <c r="A72" t="s">
        <v>3103</v>
      </c>
      <c r="B72" t="s">
        <v>3104</v>
      </c>
    </row>
    <row r="73" spans="1:3" x14ac:dyDescent="0.25">
      <c r="A73" t="s">
        <v>3105</v>
      </c>
      <c r="B73" t="s">
        <v>3106</v>
      </c>
      <c r="C73" t="s">
        <v>3107</v>
      </c>
    </row>
    <row r="74" spans="1:3" x14ac:dyDescent="0.25">
      <c r="A74" t="s">
        <v>3108</v>
      </c>
      <c r="B74" t="s">
        <v>506</v>
      </c>
      <c r="C74" t="s">
        <v>3109</v>
      </c>
    </row>
    <row r="75" spans="1:3" x14ac:dyDescent="0.25">
      <c r="A75" t="s">
        <v>115</v>
      </c>
      <c r="B75" t="s">
        <v>3110</v>
      </c>
    </row>
    <row r="76" spans="1:3" x14ac:dyDescent="0.25">
      <c r="A76" t="s">
        <v>3111</v>
      </c>
    </row>
    <row r="77" spans="1:3" x14ac:dyDescent="0.25">
      <c r="A77" t="s">
        <v>3112</v>
      </c>
    </row>
    <row r="78" spans="1:3" x14ac:dyDescent="0.25">
      <c r="A78" t="s">
        <v>3113</v>
      </c>
      <c r="B78" t="s">
        <v>3114</v>
      </c>
      <c r="C78" t="s">
        <v>147</v>
      </c>
    </row>
    <row r="79" spans="1:3" x14ac:dyDescent="0.25">
      <c r="A79" t="s">
        <v>951</v>
      </c>
    </row>
    <row r="80" spans="1:3" x14ac:dyDescent="0.25">
      <c r="A80" t="s">
        <v>3115</v>
      </c>
      <c r="B80" t="s">
        <v>3116</v>
      </c>
    </row>
    <row r="81" spans="1:3" x14ac:dyDescent="0.25">
      <c r="A81" t="s">
        <v>3117</v>
      </c>
      <c r="B81" t="s">
        <v>3118</v>
      </c>
    </row>
    <row r="82" spans="1:3" x14ac:dyDescent="0.25">
      <c r="A82" t="s">
        <v>3119</v>
      </c>
    </row>
    <row r="83" spans="1:3" x14ac:dyDescent="0.25">
      <c r="A83" t="s">
        <v>3120</v>
      </c>
      <c r="B83" t="s">
        <v>3121</v>
      </c>
    </row>
    <row r="84" spans="1:3" x14ac:dyDescent="0.25">
      <c r="A84" t="s">
        <v>1870</v>
      </c>
    </row>
    <row r="85" spans="1:3" x14ac:dyDescent="0.25">
      <c r="A85" t="s">
        <v>3122</v>
      </c>
      <c r="B85" t="s">
        <v>3123</v>
      </c>
    </row>
    <row r="86" spans="1:3" x14ac:dyDescent="0.25">
      <c r="A86" t="s">
        <v>61</v>
      </c>
      <c r="B86" t="s">
        <v>3124</v>
      </c>
    </row>
    <row r="87" spans="1:3" x14ac:dyDescent="0.25">
      <c r="A87" t="s">
        <v>3125</v>
      </c>
    </row>
    <row r="88" spans="1:3" x14ac:dyDescent="0.25">
      <c r="A88" t="s">
        <v>115</v>
      </c>
      <c r="B88" t="s">
        <v>3126</v>
      </c>
      <c r="C88" t="s">
        <v>3127</v>
      </c>
    </row>
    <row r="89" spans="1:3" x14ac:dyDescent="0.25">
      <c r="A89" t="s">
        <v>3128</v>
      </c>
      <c r="B89" t="s">
        <v>2380</v>
      </c>
    </row>
    <row r="90" spans="1:3" x14ac:dyDescent="0.25">
      <c r="A90" t="s">
        <v>2810</v>
      </c>
      <c r="B90" t="s">
        <v>3129</v>
      </c>
    </row>
    <row r="91" spans="1:3" x14ac:dyDescent="0.25">
      <c r="A91" t="s">
        <v>506</v>
      </c>
      <c r="B91" t="s">
        <v>3130</v>
      </c>
      <c r="C91" t="s">
        <v>42</v>
      </c>
    </row>
    <row r="92" spans="1:3" x14ac:dyDescent="0.25">
      <c r="A92" t="s">
        <v>405</v>
      </c>
    </row>
    <row r="93" spans="1:3" x14ac:dyDescent="0.25">
      <c r="A93" t="s">
        <v>115</v>
      </c>
    </row>
    <row r="94" spans="1:3" x14ac:dyDescent="0.25">
      <c r="A94" t="s">
        <v>3131</v>
      </c>
      <c r="B94" t="s">
        <v>3132</v>
      </c>
    </row>
    <row r="95" spans="1:3" x14ac:dyDescent="0.25">
      <c r="A95" t="s">
        <v>3133</v>
      </c>
      <c r="B95" t="s">
        <v>3134</v>
      </c>
      <c r="C95" t="s">
        <v>3135</v>
      </c>
    </row>
    <row r="96" spans="1:3" x14ac:dyDescent="0.25">
      <c r="A96" t="s">
        <v>3136</v>
      </c>
    </row>
    <row r="97" spans="1:3" x14ac:dyDescent="0.25">
      <c r="A97" t="s">
        <v>512</v>
      </c>
      <c r="B97" t="s">
        <v>3137</v>
      </c>
      <c r="C97" t="s">
        <v>1894</v>
      </c>
    </row>
    <row r="98" spans="1:3" x14ac:dyDescent="0.25">
      <c r="A98" t="s">
        <v>991</v>
      </c>
    </row>
    <row r="99" spans="1:3" x14ac:dyDescent="0.25">
      <c r="A99" t="s">
        <v>115</v>
      </c>
      <c r="B99" t="s">
        <v>2380</v>
      </c>
    </row>
    <row r="100" spans="1:3" x14ac:dyDescent="0.25">
      <c r="A100" t="s">
        <v>3101</v>
      </c>
      <c r="B100" t="s">
        <v>3138</v>
      </c>
      <c r="C100" t="s">
        <v>3002</v>
      </c>
    </row>
    <row r="101" spans="1:3" x14ac:dyDescent="0.25">
      <c r="A101" t="s">
        <v>3139</v>
      </c>
    </row>
    <row r="102" spans="1:3" x14ac:dyDescent="0.25">
      <c r="A102" t="s">
        <v>3140</v>
      </c>
    </row>
    <row r="103" spans="1:3" x14ac:dyDescent="0.25">
      <c r="A103" t="s">
        <v>819</v>
      </c>
      <c r="B103" t="s">
        <v>3141</v>
      </c>
      <c r="C103" t="s">
        <v>2380</v>
      </c>
    </row>
    <row r="104" spans="1:3" x14ac:dyDescent="0.25">
      <c r="A104" t="s">
        <v>3142</v>
      </c>
    </row>
    <row r="105" spans="1:3" x14ac:dyDescent="0.25">
      <c r="A105" t="s">
        <v>3143</v>
      </c>
      <c r="B105" t="s">
        <v>3144</v>
      </c>
    </row>
    <row r="106" spans="1:3" x14ac:dyDescent="0.25">
      <c r="A106" t="s">
        <v>512</v>
      </c>
      <c r="B106" t="s">
        <v>3145</v>
      </c>
      <c r="C106" t="s">
        <v>3146</v>
      </c>
    </row>
    <row r="107" spans="1:3" x14ac:dyDescent="0.25">
      <c r="A107" t="s">
        <v>557</v>
      </c>
      <c r="B107" t="s">
        <v>3147</v>
      </c>
    </row>
    <row r="108" spans="1:3" x14ac:dyDescent="0.25">
      <c r="A108" t="s">
        <v>3148</v>
      </c>
    </row>
    <row r="109" spans="1:3" x14ac:dyDescent="0.25">
      <c r="A109" t="s">
        <v>115</v>
      </c>
      <c r="B109" t="s">
        <v>3149</v>
      </c>
    </row>
    <row r="110" spans="1:3" x14ac:dyDescent="0.25">
      <c r="A110" t="s">
        <v>3150</v>
      </c>
      <c r="B110" t="s">
        <v>2578</v>
      </c>
      <c r="C110" t="s">
        <v>3151</v>
      </c>
    </row>
    <row r="111" spans="1:3" x14ac:dyDescent="0.25">
      <c r="A111" t="s">
        <v>147</v>
      </c>
      <c r="B111" t="s">
        <v>1894</v>
      </c>
    </row>
    <row r="112" spans="1:3" x14ac:dyDescent="0.25">
      <c r="A112" t="s">
        <v>3152</v>
      </c>
      <c r="B112" t="s">
        <v>3153</v>
      </c>
      <c r="C112" t="s">
        <v>3154</v>
      </c>
    </row>
    <row r="113" spans="1:3" x14ac:dyDescent="0.25">
      <c r="A113" t="s">
        <v>187</v>
      </c>
    </row>
    <row r="114" spans="1:3" x14ac:dyDescent="0.25">
      <c r="A114" t="s">
        <v>3155</v>
      </c>
      <c r="B114" t="s">
        <v>3156</v>
      </c>
    </row>
    <row r="115" spans="1:3" x14ac:dyDescent="0.25">
      <c r="A115" t="s">
        <v>3157</v>
      </c>
      <c r="B115" t="s">
        <v>3158</v>
      </c>
      <c r="C115" t="s">
        <v>3159</v>
      </c>
    </row>
    <row r="116" spans="1:3" x14ac:dyDescent="0.25">
      <c r="A116" t="s">
        <v>3160</v>
      </c>
    </row>
    <row r="117" spans="1:3" x14ac:dyDescent="0.25">
      <c r="A117" t="s">
        <v>3125</v>
      </c>
      <c r="B117" t="s">
        <v>951</v>
      </c>
    </row>
    <row r="118" spans="1:3" x14ac:dyDescent="0.25">
      <c r="A118" t="s">
        <v>115</v>
      </c>
      <c r="B118" t="s">
        <v>3161</v>
      </c>
      <c r="C118" t="s">
        <v>3162</v>
      </c>
    </row>
    <row r="119" spans="1:3" x14ac:dyDescent="0.25">
      <c r="A119" t="s">
        <v>3163</v>
      </c>
    </row>
    <row r="120" spans="1:3" x14ac:dyDescent="0.25">
      <c r="A120" t="s">
        <v>3164</v>
      </c>
    </row>
    <row r="121" spans="1:3" x14ac:dyDescent="0.25">
      <c r="A121" t="s">
        <v>3165</v>
      </c>
      <c r="B121" t="s">
        <v>3166</v>
      </c>
      <c r="C121" t="s">
        <v>3167</v>
      </c>
    </row>
    <row r="122" spans="1:3" x14ac:dyDescent="0.25">
      <c r="A122" t="s">
        <v>3168</v>
      </c>
      <c r="B122" t="s">
        <v>3169</v>
      </c>
    </row>
    <row r="123" spans="1:3" x14ac:dyDescent="0.25">
      <c r="A123" t="s">
        <v>3170</v>
      </c>
      <c r="B123" t="s">
        <v>3171</v>
      </c>
    </row>
    <row r="124" spans="1:3" x14ac:dyDescent="0.25">
      <c r="A124" t="s">
        <v>115</v>
      </c>
    </row>
    <row r="125" spans="1:3" x14ac:dyDescent="0.25">
      <c r="A125" t="s">
        <v>3172</v>
      </c>
      <c r="B125" t="s">
        <v>3173</v>
      </c>
    </row>
    <row r="126" spans="1:3" x14ac:dyDescent="0.25">
      <c r="A126" t="s">
        <v>3174</v>
      </c>
      <c r="B126" t="s">
        <v>3175</v>
      </c>
    </row>
    <row r="127" spans="1:3" x14ac:dyDescent="0.25">
      <c r="A127" t="s">
        <v>582</v>
      </c>
      <c r="B127" t="s">
        <v>530</v>
      </c>
      <c r="C127" t="s">
        <v>506</v>
      </c>
    </row>
    <row r="128" spans="1:3" x14ac:dyDescent="0.25">
      <c r="A128" t="s">
        <v>3176</v>
      </c>
    </row>
    <row r="129" spans="1:3" x14ac:dyDescent="0.25">
      <c r="A129" t="s">
        <v>3177</v>
      </c>
      <c r="B129" t="s">
        <v>506</v>
      </c>
      <c r="C129" t="s">
        <v>3178</v>
      </c>
    </row>
    <row r="130" spans="1:3" x14ac:dyDescent="0.25">
      <c r="A130" t="s">
        <v>147</v>
      </c>
      <c r="B130" t="s">
        <v>3179</v>
      </c>
      <c r="C130" t="s">
        <v>3180</v>
      </c>
    </row>
    <row r="131" spans="1:3" x14ac:dyDescent="0.25">
      <c r="A131" t="s">
        <v>3181</v>
      </c>
      <c r="B131" t="s">
        <v>781</v>
      </c>
    </row>
    <row r="132" spans="1:3" x14ac:dyDescent="0.25">
      <c r="A132" t="s">
        <v>3182</v>
      </c>
      <c r="B132" t="s">
        <v>3183</v>
      </c>
      <c r="C132" t="s">
        <v>3184</v>
      </c>
    </row>
    <row r="133" spans="1:3" x14ac:dyDescent="0.25">
      <c r="A133" t="s">
        <v>3185</v>
      </c>
      <c r="B133" t="s">
        <v>3186</v>
      </c>
      <c r="C133" t="s">
        <v>3136</v>
      </c>
    </row>
    <row r="134" spans="1:3" x14ac:dyDescent="0.25">
      <c r="A134" t="s">
        <v>3008</v>
      </c>
      <c r="B134" t="s">
        <v>3187</v>
      </c>
      <c r="C134" t="s">
        <v>2380</v>
      </c>
    </row>
    <row r="135" spans="1:3" x14ac:dyDescent="0.25">
      <c r="A135" t="s">
        <v>3188</v>
      </c>
    </row>
    <row r="136" spans="1:3" x14ac:dyDescent="0.25">
      <c r="A136" t="s">
        <v>3189</v>
      </c>
    </row>
    <row r="137" spans="1:3" x14ac:dyDescent="0.25">
      <c r="A137" t="s">
        <v>3190</v>
      </c>
    </row>
    <row r="138" spans="1:3" x14ac:dyDescent="0.25">
      <c r="A138" t="s">
        <v>3191</v>
      </c>
    </row>
    <row r="139" spans="1:3" x14ac:dyDescent="0.25">
      <c r="A139" t="s">
        <v>3192</v>
      </c>
    </row>
    <row r="140" spans="1:3" x14ac:dyDescent="0.25">
      <c r="A140" t="s">
        <v>3193</v>
      </c>
      <c r="B140" t="s">
        <v>3194</v>
      </c>
      <c r="C140" t="s">
        <v>3195</v>
      </c>
    </row>
    <row r="141" spans="1:3" x14ac:dyDescent="0.25">
      <c r="A141" t="s">
        <v>115</v>
      </c>
      <c r="B141" t="s">
        <v>3196</v>
      </c>
    </row>
    <row r="142" spans="1:3" x14ac:dyDescent="0.25">
      <c r="A142" t="s">
        <v>3197</v>
      </c>
      <c r="B142" t="s">
        <v>3198</v>
      </c>
    </row>
    <row r="143" spans="1:3" x14ac:dyDescent="0.25">
      <c r="A143" t="s">
        <v>3199</v>
      </c>
      <c r="B143" t="s">
        <v>3200</v>
      </c>
    </row>
    <row r="144" spans="1:3" x14ac:dyDescent="0.25">
      <c r="A144" t="s">
        <v>3201</v>
      </c>
    </row>
    <row r="145" spans="1:3" x14ac:dyDescent="0.25">
      <c r="A145" t="s">
        <v>3202</v>
      </c>
      <c r="B145" t="s">
        <v>115</v>
      </c>
      <c r="C145" t="s">
        <v>3203</v>
      </c>
    </row>
    <row r="146" spans="1:3" x14ac:dyDescent="0.25">
      <c r="A146" t="s">
        <v>3204</v>
      </c>
    </row>
    <row r="147" spans="1:3" x14ac:dyDescent="0.25">
      <c r="A147" t="s">
        <v>3126</v>
      </c>
      <c r="B147" t="s">
        <v>3205</v>
      </c>
      <c r="C147" t="s">
        <v>3206</v>
      </c>
    </row>
    <row r="148" spans="1:3" x14ac:dyDescent="0.25">
      <c r="A148" t="s">
        <v>85</v>
      </c>
      <c r="B148" t="s">
        <v>3207</v>
      </c>
      <c r="C148" t="s">
        <v>3208</v>
      </c>
    </row>
    <row r="149" spans="1:3" x14ac:dyDescent="0.25">
      <c r="A149" t="s">
        <v>3209</v>
      </c>
    </row>
    <row r="150" spans="1:3" x14ac:dyDescent="0.25">
      <c r="A150" t="s">
        <v>61</v>
      </c>
      <c r="B150" t="s">
        <v>3210</v>
      </c>
    </row>
    <row r="151" spans="1:3" x14ac:dyDescent="0.25">
      <c r="A151" t="s">
        <v>2380</v>
      </c>
      <c r="B151" t="s">
        <v>3211</v>
      </c>
      <c r="C151" t="s">
        <v>3212</v>
      </c>
    </row>
    <row r="152" spans="1:3" x14ac:dyDescent="0.25">
      <c r="A152" t="s">
        <v>3213</v>
      </c>
      <c r="B152" t="s">
        <v>3214</v>
      </c>
    </row>
    <row r="153" spans="1:3" x14ac:dyDescent="0.25">
      <c r="A153" t="s">
        <v>115</v>
      </c>
      <c r="B153" t="s">
        <v>3136</v>
      </c>
      <c r="C153" t="s">
        <v>3113</v>
      </c>
    </row>
    <row r="154" spans="1:3" x14ac:dyDescent="0.25">
      <c r="A154" t="s">
        <v>3201</v>
      </c>
    </row>
    <row r="155" spans="1:3" x14ac:dyDescent="0.25">
      <c r="A155" t="s">
        <v>3125</v>
      </c>
    </row>
    <row r="156" spans="1:3" x14ac:dyDescent="0.25">
      <c r="A156" t="s">
        <v>248</v>
      </c>
      <c r="B156" t="s">
        <v>1538</v>
      </c>
    </row>
    <row r="157" spans="1:3" x14ac:dyDescent="0.25">
      <c r="A157" t="s">
        <v>115</v>
      </c>
      <c r="B157" t="s">
        <v>2380</v>
      </c>
    </row>
    <row r="158" spans="1:3" x14ac:dyDescent="0.25">
      <c r="A158" t="s">
        <v>123</v>
      </c>
      <c r="B158" t="s">
        <v>3215</v>
      </c>
      <c r="C158" t="s">
        <v>3216</v>
      </c>
    </row>
    <row r="159" spans="1:3" x14ac:dyDescent="0.25">
      <c r="A159" t="s">
        <v>3125</v>
      </c>
      <c r="B159" t="s">
        <v>3217</v>
      </c>
      <c r="C159" t="s">
        <v>3218</v>
      </c>
    </row>
    <row r="160" spans="1:3" x14ac:dyDescent="0.25">
      <c r="A160" t="s">
        <v>3219</v>
      </c>
      <c r="B160" t="s">
        <v>3220</v>
      </c>
      <c r="C160" t="s">
        <v>3221</v>
      </c>
    </row>
    <row r="161" spans="1:3" x14ac:dyDescent="0.25">
      <c r="A161" t="s">
        <v>3040</v>
      </c>
      <c r="B161" t="s">
        <v>3222</v>
      </c>
    </row>
    <row r="162" spans="1:3" x14ac:dyDescent="0.25">
      <c r="A162" t="s">
        <v>115</v>
      </c>
    </row>
    <row r="163" spans="1:3" x14ac:dyDescent="0.25">
      <c r="A163" t="s">
        <v>147</v>
      </c>
    </row>
    <row r="164" spans="1:3" x14ac:dyDescent="0.25">
      <c r="A164" t="s">
        <v>3223</v>
      </c>
      <c r="B164" t="s">
        <v>3224</v>
      </c>
      <c r="C164" t="s">
        <v>3225</v>
      </c>
    </row>
    <row r="165" spans="1:3" x14ac:dyDescent="0.25">
      <c r="A165" t="s">
        <v>3226</v>
      </c>
    </row>
    <row r="166" spans="1:3" x14ac:dyDescent="0.25">
      <c r="A166" t="s">
        <v>3227</v>
      </c>
    </row>
    <row r="167" spans="1:3" x14ac:dyDescent="0.25">
      <c r="A167" t="s">
        <v>3033</v>
      </c>
      <c r="B167" t="s">
        <v>3228</v>
      </c>
      <c r="C167" t="s">
        <v>3126</v>
      </c>
    </row>
    <row r="168" spans="1:3" x14ac:dyDescent="0.25">
      <c r="A168" t="s">
        <v>3229</v>
      </c>
      <c r="B168" t="s">
        <v>3230</v>
      </c>
    </row>
    <row r="169" spans="1:3" x14ac:dyDescent="0.25">
      <c r="A169" t="s">
        <v>3231</v>
      </c>
      <c r="B169" t="s">
        <v>506</v>
      </c>
      <c r="C169" t="s">
        <v>3232</v>
      </c>
    </row>
    <row r="170" spans="1:3" x14ac:dyDescent="0.25">
      <c r="A170" t="s">
        <v>115</v>
      </c>
      <c r="B170" t="s">
        <v>2380</v>
      </c>
      <c r="C170" t="s">
        <v>3233</v>
      </c>
    </row>
    <row r="171" spans="1:3" x14ac:dyDescent="0.25">
      <c r="A171" t="s">
        <v>3234</v>
      </c>
    </row>
    <row r="172" spans="1:3" x14ac:dyDescent="0.25">
      <c r="A172" t="s">
        <v>506</v>
      </c>
    </row>
    <row r="173" spans="1:3" x14ac:dyDescent="0.25">
      <c r="A173" t="s">
        <v>3235</v>
      </c>
    </row>
    <row r="174" spans="1:3" x14ac:dyDescent="0.25">
      <c r="A174" t="s">
        <v>115</v>
      </c>
      <c r="B174" t="s">
        <v>3236</v>
      </c>
    </row>
    <row r="175" spans="1:3" x14ac:dyDescent="0.25">
      <c r="A175" t="s">
        <v>115</v>
      </c>
      <c r="B175" t="s">
        <v>2380</v>
      </c>
      <c r="C175" t="s">
        <v>3237</v>
      </c>
    </row>
    <row r="176" spans="1:3" x14ac:dyDescent="0.25">
      <c r="A176" t="s">
        <v>3238</v>
      </c>
      <c r="B176" t="s">
        <v>42</v>
      </c>
      <c r="C176" t="s">
        <v>3239</v>
      </c>
    </row>
    <row r="177" spans="1:3" x14ac:dyDescent="0.25">
      <c r="A177" t="s">
        <v>115</v>
      </c>
      <c r="B177" t="s">
        <v>333</v>
      </c>
      <c r="C177" t="s">
        <v>3240</v>
      </c>
    </row>
    <row r="178" spans="1:3" x14ac:dyDescent="0.25">
      <c r="A178" t="s">
        <v>2380</v>
      </c>
      <c r="B178" t="s">
        <v>115</v>
      </c>
      <c r="C178" t="s">
        <v>3241</v>
      </c>
    </row>
    <row r="179" spans="1:3" x14ac:dyDescent="0.25">
      <c r="A179" t="s">
        <v>422</v>
      </c>
    </row>
    <row r="180" spans="1:3" x14ac:dyDescent="0.25">
      <c r="A180" t="s">
        <v>3242</v>
      </c>
      <c r="B180" t="s">
        <v>3243</v>
      </c>
      <c r="C180" t="s">
        <v>3244</v>
      </c>
    </row>
    <row r="181" spans="1:3" x14ac:dyDescent="0.25">
      <c r="A181" t="s">
        <v>3245</v>
      </c>
    </row>
    <row r="182" spans="1:3" x14ac:dyDescent="0.25">
      <c r="A182" t="s">
        <v>819</v>
      </c>
      <c r="B182" t="s">
        <v>3246</v>
      </c>
    </row>
    <row r="183" spans="1:3" x14ac:dyDescent="0.25">
      <c r="A183" t="s">
        <v>3247</v>
      </c>
    </row>
    <row r="184" spans="1:3" x14ac:dyDescent="0.25">
      <c r="A184" t="s">
        <v>3248</v>
      </c>
    </row>
    <row r="185" spans="1:3" x14ac:dyDescent="0.25">
      <c r="A185" t="s">
        <v>3249</v>
      </c>
    </row>
    <row r="186" spans="1:3" x14ac:dyDescent="0.25">
      <c r="A186" t="s">
        <v>3206</v>
      </c>
      <c r="B186" t="s">
        <v>3250</v>
      </c>
      <c r="C186" t="s">
        <v>3251</v>
      </c>
    </row>
    <row r="187" spans="1:3" x14ac:dyDescent="0.25">
      <c r="A187" t="s">
        <v>3076</v>
      </c>
    </row>
    <row r="188" spans="1:3" x14ac:dyDescent="0.25">
      <c r="A188" t="s">
        <v>3136</v>
      </c>
      <c r="B188" t="s">
        <v>3252</v>
      </c>
    </row>
    <row r="189" spans="1:3" x14ac:dyDescent="0.25">
      <c r="A189" t="s">
        <v>3253</v>
      </c>
    </row>
    <row r="190" spans="1:3" x14ac:dyDescent="0.25">
      <c r="A190" t="s">
        <v>3254</v>
      </c>
      <c r="B190" t="s">
        <v>3255</v>
      </c>
      <c r="C190" t="s">
        <v>3256</v>
      </c>
    </row>
    <row r="191" spans="1:3" x14ac:dyDescent="0.25">
      <c r="A191" t="s">
        <v>3257</v>
      </c>
    </row>
    <row r="192" spans="1:3" x14ac:dyDescent="0.25">
      <c r="A192" t="s">
        <v>3126</v>
      </c>
      <c r="B192" t="s">
        <v>115</v>
      </c>
      <c r="C192" t="s">
        <v>3258</v>
      </c>
    </row>
    <row r="193" spans="1:3" x14ac:dyDescent="0.25">
      <c r="A193" t="s">
        <v>3259</v>
      </c>
      <c r="B193" t="s">
        <v>3260</v>
      </c>
    </row>
    <row r="194" spans="1:3" x14ac:dyDescent="0.25">
      <c r="A194" t="s">
        <v>3261</v>
      </c>
    </row>
    <row r="195" spans="1:3" x14ac:dyDescent="0.25">
      <c r="A195" t="s">
        <v>405</v>
      </c>
    </row>
    <row r="196" spans="1:3" x14ac:dyDescent="0.25">
      <c r="A196" t="s">
        <v>506</v>
      </c>
      <c r="B196" t="s">
        <v>2380</v>
      </c>
      <c r="C196" t="s">
        <v>3262</v>
      </c>
    </row>
    <row r="197" spans="1:3" x14ac:dyDescent="0.25">
      <c r="A197" t="s">
        <v>3263</v>
      </c>
      <c r="B197" t="s">
        <v>3264</v>
      </c>
      <c r="C197" t="s">
        <v>3265</v>
      </c>
    </row>
    <row r="198" spans="1:3" x14ac:dyDescent="0.25">
      <c r="A198" t="s">
        <v>3266</v>
      </c>
    </row>
    <row r="199" spans="1:3" x14ac:dyDescent="0.25">
      <c r="A199" t="s">
        <v>3199</v>
      </c>
    </row>
    <row r="200" spans="1:3" x14ac:dyDescent="0.25">
      <c r="A200" t="s">
        <v>3267</v>
      </c>
    </row>
    <row r="201" spans="1:3" x14ac:dyDescent="0.25">
      <c r="A201" t="s">
        <v>3268</v>
      </c>
      <c r="B201" t="s">
        <v>3269</v>
      </c>
    </row>
    <row r="202" spans="1:3" x14ac:dyDescent="0.25">
      <c r="A202" t="s">
        <v>3270</v>
      </c>
    </row>
    <row r="203" spans="1:3" x14ac:dyDescent="0.25">
      <c r="A203" t="s">
        <v>115</v>
      </c>
    </row>
    <row r="204" spans="1:3" x14ac:dyDescent="0.25">
      <c r="A204" t="s">
        <v>3138</v>
      </c>
      <c r="B204" t="s">
        <v>3271</v>
      </c>
    </row>
    <row r="205" spans="1:3" x14ac:dyDescent="0.25">
      <c r="A205" t="s">
        <v>115</v>
      </c>
      <c r="B205" t="s">
        <v>512</v>
      </c>
    </row>
    <row r="206" spans="1:3" x14ac:dyDescent="0.25">
      <c r="A206" t="s">
        <v>115</v>
      </c>
    </row>
    <row r="207" spans="1:3" x14ac:dyDescent="0.25">
      <c r="A207" t="s">
        <v>3272</v>
      </c>
    </row>
    <row r="208" spans="1:3" x14ac:dyDescent="0.25">
      <c r="A208" t="s">
        <v>3238</v>
      </c>
      <c r="B208" t="s">
        <v>506</v>
      </c>
      <c r="C208" t="s">
        <v>3273</v>
      </c>
    </row>
    <row r="209" spans="1:3" x14ac:dyDescent="0.25">
      <c r="A209" t="s">
        <v>3101</v>
      </c>
    </row>
    <row r="210" spans="1:3" x14ac:dyDescent="0.25">
      <c r="A210" t="s">
        <v>3274</v>
      </c>
    </row>
    <row r="211" spans="1:3" x14ac:dyDescent="0.25">
      <c r="A211" t="s">
        <v>3185</v>
      </c>
    </row>
    <row r="212" spans="1:3" x14ac:dyDescent="0.25">
      <c r="A212" t="s">
        <v>3275</v>
      </c>
      <c r="B212" t="s">
        <v>405</v>
      </c>
      <c r="C212" t="s">
        <v>3276</v>
      </c>
    </row>
    <row r="213" spans="1:3" x14ac:dyDescent="0.25">
      <c r="A213" t="s">
        <v>3277</v>
      </c>
    </row>
    <row r="214" spans="1:3" x14ac:dyDescent="0.25">
      <c r="A214" t="s">
        <v>3101</v>
      </c>
    </row>
    <row r="215" spans="1:3" x14ac:dyDescent="0.25">
      <c r="A215" t="s">
        <v>1713</v>
      </c>
      <c r="B215" t="s">
        <v>3278</v>
      </c>
      <c r="C215" t="s">
        <v>667</v>
      </c>
    </row>
    <row r="216" spans="1:3" x14ac:dyDescent="0.25">
      <c r="A216" t="s">
        <v>3279</v>
      </c>
      <c r="B216" t="s">
        <v>3280</v>
      </c>
      <c r="C216" t="s">
        <v>147</v>
      </c>
    </row>
    <row r="217" spans="1:3" x14ac:dyDescent="0.25">
      <c r="A217" t="s">
        <v>3281</v>
      </c>
      <c r="B217" t="s">
        <v>3282</v>
      </c>
      <c r="C217" t="s">
        <v>3283</v>
      </c>
    </row>
    <row r="218" spans="1:3" x14ac:dyDescent="0.25">
      <c r="A218" t="s">
        <v>3284</v>
      </c>
      <c r="B218" t="s">
        <v>781</v>
      </c>
      <c r="C218" t="s">
        <v>3285</v>
      </c>
    </row>
    <row r="219" spans="1:3" x14ac:dyDescent="0.25">
      <c r="A219" t="s">
        <v>3286</v>
      </c>
    </row>
    <row r="220" spans="1:3" x14ac:dyDescent="0.25">
      <c r="A220" t="s">
        <v>3287</v>
      </c>
      <c r="B220" t="s">
        <v>3288</v>
      </c>
      <c r="C220" t="s">
        <v>3289</v>
      </c>
    </row>
    <row r="221" spans="1:3" x14ac:dyDescent="0.25">
      <c r="A221" t="s">
        <v>3290</v>
      </c>
      <c r="B221" t="s">
        <v>3291</v>
      </c>
    </row>
    <row r="222" spans="1:3" x14ac:dyDescent="0.25">
      <c r="A222" t="s">
        <v>2999</v>
      </c>
      <c r="B222" t="s">
        <v>512</v>
      </c>
    </row>
    <row r="223" spans="1:3" x14ac:dyDescent="0.25">
      <c r="A223" t="s">
        <v>82</v>
      </c>
      <c r="B223" t="s">
        <v>3131</v>
      </c>
    </row>
    <row r="224" spans="1:3" x14ac:dyDescent="0.25">
      <c r="A224" t="s">
        <v>115</v>
      </c>
    </row>
    <row r="225" spans="1:3" x14ac:dyDescent="0.25">
      <c r="A225" t="s">
        <v>115</v>
      </c>
      <c r="B225" t="s">
        <v>3292</v>
      </c>
      <c r="C225" t="s">
        <v>3293</v>
      </c>
    </row>
    <row r="226" spans="1:3" x14ac:dyDescent="0.25">
      <c r="A226" t="s">
        <v>302</v>
      </c>
      <c r="B226" t="s">
        <v>3294</v>
      </c>
      <c r="C226" t="s">
        <v>3295</v>
      </c>
    </row>
    <row r="227" spans="1:3" x14ac:dyDescent="0.25">
      <c r="A227" t="s">
        <v>3296</v>
      </c>
      <c r="B227" t="s">
        <v>3297</v>
      </c>
      <c r="C227" t="s">
        <v>3298</v>
      </c>
    </row>
    <row r="228" spans="1:3" x14ac:dyDescent="0.25">
      <c r="A228" t="s">
        <v>3299</v>
      </c>
      <c r="B228" t="s">
        <v>3300</v>
      </c>
      <c r="C228" t="s">
        <v>3301</v>
      </c>
    </row>
    <row r="229" spans="1:3" x14ac:dyDescent="0.25">
      <c r="A229" t="s">
        <v>3302</v>
      </c>
      <c r="B229" t="s">
        <v>3303</v>
      </c>
    </row>
    <row r="230" spans="1:3" x14ac:dyDescent="0.25">
      <c r="A230" t="s">
        <v>243</v>
      </c>
    </row>
    <row r="231" spans="1:3" x14ac:dyDescent="0.25">
      <c r="A231" t="s">
        <v>3304</v>
      </c>
      <c r="B231" t="s">
        <v>3305</v>
      </c>
    </row>
    <row r="232" spans="1:3" x14ac:dyDescent="0.25">
      <c r="A232" t="s">
        <v>3306</v>
      </c>
      <c r="B232" t="s">
        <v>128</v>
      </c>
      <c r="C232" t="s">
        <v>3307</v>
      </c>
    </row>
    <row r="233" spans="1:3" x14ac:dyDescent="0.25">
      <c r="A233" t="s">
        <v>3308</v>
      </c>
      <c r="B233" t="s">
        <v>405</v>
      </c>
    </row>
    <row r="234" spans="1:3" x14ac:dyDescent="0.25">
      <c r="A234" t="s">
        <v>147</v>
      </c>
      <c r="B234" t="s">
        <v>2380</v>
      </c>
      <c r="C234" t="s">
        <v>115</v>
      </c>
    </row>
    <row r="235" spans="1:3" x14ac:dyDescent="0.25">
      <c r="A235" t="s">
        <v>3014</v>
      </c>
      <c r="B235" t="s">
        <v>3309</v>
      </c>
      <c r="C235" t="s">
        <v>3310</v>
      </c>
    </row>
    <row r="236" spans="1:3" x14ac:dyDescent="0.25">
      <c r="A236" t="s">
        <v>781</v>
      </c>
    </row>
    <row r="237" spans="1:3" x14ac:dyDescent="0.25">
      <c r="A237" t="s">
        <v>3311</v>
      </c>
    </row>
    <row r="238" spans="1:3" x14ac:dyDescent="0.25">
      <c r="A238" t="s">
        <v>115</v>
      </c>
      <c r="B238" t="s">
        <v>3312</v>
      </c>
    </row>
    <row r="239" spans="1:3" x14ac:dyDescent="0.25">
      <c r="A239" t="s">
        <v>3097</v>
      </c>
      <c r="B239" t="s">
        <v>3313</v>
      </c>
      <c r="C239" t="s">
        <v>3314</v>
      </c>
    </row>
    <row r="240" spans="1:3" x14ac:dyDescent="0.25">
      <c r="A240" t="s">
        <v>3031</v>
      </c>
      <c r="B240" t="s">
        <v>3238</v>
      </c>
    </row>
    <row r="241" spans="1:3" x14ac:dyDescent="0.25">
      <c r="A241" t="s">
        <v>1713</v>
      </c>
      <c r="B241" t="s">
        <v>951</v>
      </c>
    </row>
    <row r="242" spans="1:3" x14ac:dyDescent="0.25">
      <c r="A242" t="s">
        <v>3164</v>
      </c>
      <c r="B242" t="s">
        <v>3126</v>
      </c>
    </row>
    <row r="243" spans="1:3" x14ac:dyDescent="0.25">
      <c r="A243" t="s">
        <v>312</v>
      </c>
      <c r="B243" t="s">
        <v>3315</v>
      </c>
      <c r="C243" t="s">
        <v>3316</v>
      </c>
    </row>
    <row r="244" spans="1:3" x14ac:dyDescent="0.25">
      <c r="A244" t="s">
        <v>3317</v>
      </c>
    </row>
    <row r="245" spans="1:3" x14ac:dyDescent="0.25">
      <c r="A245" t="s">
        <v>3318</v>
      </c>
      <c r="B245" t="s">
        <v>3319</v>
      </c>
      <c r="C245" t="s">
        <v>3320</v>
      </c>
    </row>
    <row r="246" spans="1:3" x14ac:dyDescent="0.25">
      <c r="A246" t="s">
        <v>3321</v>
      </c>
    </row>
    <row r="247" spans="1:3" x14ac:dyDescent="0.25">
      <c r="A247" t="s">
        <v>506</v>
      </c>
      <c r="B247" t="s">
        <v>966</v>
      </c>
    </row>
    <row r="248" spans="1:3" x14ac:dyDescent="0.25">
      <c r="A248" t="s">
        <v>3322</v>
      </c>
      <c r="B248" t="s">
        <v>3323</v>
      </c>
      <c r="C248" t="s">
        <v>3324</v>
      </c>
    </row>
    <row r="249" spans="1:3" x14ac:dyDescent="0.25">
      <c r="A249" t="s">
        <v>3149</v>
      </c>
      <c r="B249" t="s">
        <v>3325</v>
      </c>
    </row>
    <row r="250" spans="1:3" x14ac:dyDescent="0.25">
      <c r="A250" t="s">
        <v>951</v>
      </c>
    </row>
    <row r="251" spans="1:3" x14ac:dyDescent="0.25">
      <c r="A251" t="s">
        <v>3326</v>
      </c>
    </row>
    <row r="252" spans="1:3" x14ac:dyDescent="0.25">
      <c r="A252" t="s">
        <v>3327</v>
      </c>
      <c r="B252" t="s">
        <v>3328</v>
      </c>
    </row>
    <row r="253" spans="1:3" x14ac:dyDescent="0.25">
      <c r="A253" t="s">
        <v>3329</v>
      </c>
      <c r="B253" t="s">
        <v>3330</v>
      </c>
    </row>
    <row r="254" spans="1:3" x14ac:dyDescent="0.25">
      <c r="A254" t="s">
        <v>3331</v>
      </c>
      <c r="B254" t="s">
        <v>3332</v>
      </c>
      <c r="C254" t="s">
        <v>3333</v>
      </c>
    </row>
    <row r="255" spans="1:3" x14ac:dyDescent="0.25">
      <c r="A255" t="s">
        <v>3334</v>
      </c>
      <c r="B255" t="s">
        <v>3335</v>
      </c>
      <c r="C255" t="s">
        <v>3336</v>
      </c>
    </row>
    <row r="256" spans="1:3" x14ac:dyDescent="0.25">
      <c r="A256" t="s">
        <v>959</v>
      </c>
    </row>
    <row r="257" spans="1:3" x14ac:dyDescent="0.25">
      <c r="A257" t="s">
        <v>123</v>
      </c>
    </row>
    <row r="258" spans="1:3" x14ac:dyDescent="0.25">
      <c r="A258" t="s">
        <v>3087</v>
      </c>
      <c r="B258" t="s">
        <v>3337</v>
      </c>
    </row>
    <row r="259" spans="1:3" x14ac:dyDescent="0.25">
      <c r="A259" t="s">
        <v>115</v>
      </c>
      <c r="B259" t="s">
        <v>3338</v>
      </c>
    </row>
    <row r="260" spans="1:3" x14ac:dyDescent="0.25">
      <c r="A260" t="s">
        <v>3339</v>
      </c>
      <c r="B260" t="s">
        <v>3340</v>
      </c>
    </row>
    <row r="261" spans="1:3" x14ac:dyDescent="0.25">
      <c r="A261" t="s">
        <v>3126</v>
      </c>
      <c r="B261" t="s">
        <v>3341</v>
      </c>
      <c r="C261" t="s">
        <v>3125</v>
      </c>
    </row>
    <row r="262" spans="1:3" x14ac:dyDescent="0.25">
      <c r="A262" t="s">
        <v>2380</v>
      </c>
      <c r="B262" t="s">
        <v>3342</v>
      </c>
      <c r="C262" t="s">
        <v>3343</v>
      </c>
    </row>
    <row r="263" spans="1:3" x14ac:dyDescent="0.25">
      <c r="A263" t="s">
        <v>3344</v>
      </c>
    </row>
    <row r="264" spans="1:3" x14ac:dyDescent="0.25">
      <c r="A264" t="s">
        <v>2380</v>
      </c>
      <c r="B264" t="s">
        <v>3246</v>
      </c>
      <c r="C264" t="s">
        <v>3000</v>
      </c>
    </row>
    <row r="265" spans="1:3" x14ac:dyDescent="0.25">
      <c r="A265" t="s">
        <v>147</v>
      </c>
    </row>
    <row r="266" spans="1:3" x14ac:dyDescent="0.25">
      <c r="A266" t="s">
        <v>3345</v>
      </c>
    </row>
    <row r="267" spans="1:3" x14ac:dyDescent="0.25">
      <c r="A267" t="s">
        <v>3346</v>
      </c>
    </row>
    <row r="268" spans="1:3" x14ac:dyDescent="0.25">
      <c r="A268" t="s">
        <v>3347</v>
      </c>
      <c r="B268" t="s">
        <v>3348</v>
      </c>
    </row>
    <row r="269" spans="1:3" x14ac:dyDescent="0.25">
      <c r="A269" t="s">
        <v>115</v>
      </c>
      <c r="B269" t="s">
        <v>2380</v>
      </c>
    </row>
    <row r="270" spans="1:3" x14ac:dyDescent="0.25">
      <c r="A270" t="s">
        <v>416</v>
      </c>
    </row>
    <row r="271" spans="1:3" x14ac:dyDescent="0.25">
      <c r="A271" t="s">
        <v>3349</v>
      </c>
    </row>
    <row r="272" spans="1:3" x14ac:dyDescent="0.25">
      <c r="A272" t="s">
        <v>3178</v>
      </c>
      <c r="B272" t="s">
        <v>506</v>
      </c>
      <c r="C272" t="s">
        <v>3350</v>
      </c>
    </row>
    <row r="273" spans="1:3" x14ac:dyDescent="0.25">
      <c r="A273" t="s">
        <v>3351</v>
      </c>
      <c r="B273" t="s">
        <v>3352</v>
      </c>
      <c r="C273" t="s">
        <v>1713</v>
      </c>
    </row>
    <row r="274" spans="1:3" x14ac:dyDescent="0.25">
      <c r="A274" t="s">
        <v>3353</v>
      </c>
      <c r="B274" t="s">
        <v>3354</v>
      </c>
      <c r="C274" t="s">
        <v>506</v>
      </c>
    </row>
    <row r="275" spans="1:3" x14ac:dyDescent="0.25">
      <c r="A275" t="s">
        <v>115</v>
      </c>
      <c r="B275" t="s">
        <v>3355</v>
      </c>
    </row>
    <row r="276" spans="1:3" x14ac:dyDescent="0.25">
      <c r="A276" t="s">
        <v>115</v>
      </c>
      <c r="B276" t="s">
        <v>3356</v>
      </c>
      <c r="C276" t="s">
        <v>3125</v>
      </c>
    </row>
    <row r="277" spans="1:3" x14ac:dyDescent="0.25">
      <c r="A277" t="s">
        <v>3357</v>
      </c>
      <c r="B277" t="s">
        <v>3358</v>
      </c>
      <c r="C277" t="s">
        <v>3359</v>
      </c>
    </row>
    <row r="278" spans="1:3" x14ac:dyDescent="0.25">
      <c r="A278" t="s">
        <v>115</v>
      </c>
      <c r="B278" t="s">
        <v>3360</v>
      </c>
      <c r="C278" t="s">
        <v>3361</v>
      </c>
    </row>
    <row r="279" spans="1:3" x14ac:dyDescent="0.25">
      <c r="A279" t="s">
        <v>3362</v>
      </c>
      <c r="B279" t="s">
        <v>3363</v>
      </c>
      <c r="C279" t="s">
        <v>3364</v>
      </c>
    </row>
    <row r="280" spans="1:3" x14ac:dyDescent="0.25">
      <c r="A280" t="s">
        <v>816</v>
      </c>
      <c r="B280" t="s">
        <v>3365</v>
      </c>
      <c r="C280" t="s">
        <v>3366</v>
      </c>
    </row>
    <row r="281" spans="1:3" x14ac:dyDescent="0.25">
      <c r="A281" t="s">
        <v>3149</v>
      </c>
      <c r="B281" t="s">
        <v>1713</v>
      </c>
      <c r="C281" t="s">
        <v>115</v>
      </c>
    </row>
    <row r="282" spans="1:3" x14ac:dyDescent="0.25">
      <c r="A282" t="s">
        <v>115</v>
      </c>
      <c r="B282" t="s">
        <v>3367</v>
      </c>
      <c r="C282" t="s">
        <v>3368</v>
      </c>
    </row>
    <row r="283" spans="1:3" x14ac:dyDescent="0.25">
      <c r="A283" t="s">
        <v>243</v>
      </c>
    </row>
    <row r="284" spans="1:3" x14ac:dyDescent="0.25">
      <c r="A284" t="s">
        <v>3000</v>
      </c>
      <c r="B284" t="s">
        <v>3077</v>
      </c>
      <c r="C284" t="s">
        <v>3369</v>
      </c>
    </row>
    <row r="285" spans="1:3" x14ac:dyDescent="0.25">
      <c r="A285" t="s">
        <v>115</v>
      </c>
      <c r="B285" t="s">
        <v>2380</v>
      </c>
    </row>
    <row r="286" spans="1:3" x14ac:dyDescent="0.25">
      <c r="A286" t="s">
        <v>147</v>
      </c>
    </row>
    <row r="287" spans="1:3" x14ac:dyDescent="0.25">
      <c r="A287" t="s">
        <v>3370</v>
      </c>
      <c r="B287" t="s">
        <v>3371</v>
      </c>
      <c r="C287" t="s">
        <v>3147</v>
      </c>
    </row>
    <row r="288" spans="1:3" x14ac:dyDescent="0.25">
      <c r="A288" t="s">
        <v>3372</v>
      </c>
      <c r="B288" t="s">
        <v>3373</v>
      </c>
      <c r="C288" t="s">
        <v>512</v>
      </c>
    </row>
    <row r="289" spans="1:3" x14ac:dyDescent="0.25">
      <c r="A289" t="s">
        <v>3374</v>
      </c>
      <c r="B289" t="s">
        <v>123</v>
      </c>
      <c r="C289" t="s">
        <v>3375</v>
      </c>
    </row>
    <row r="290" spans="1:3" x14ac:dyDescent="0.25">
      <c r="A290" t="s">
        <v>3376</v>
      </c>
      <c r="B290" t="s">
        <v>3377</v>
      </c>
      <c r="C290" t="s">
        <v>3378</v>
      </c>
    </row>
    <row r="291" spans="1:3" x14ac:dyDescent="0.25">
      <c r="A291" t="s">
        <v>3379</v>
      </c>
      <c r="B291" t="s">
        <v>557</v>
      </c>
      <c r="C291" t="s">
        <v>3380</v>
      </c>
    </row>
    <row r="292" spans="1:3" x14ac:dyDescent="0.25">
      <c r="A292" t="s">
        <v>147</v>
      </c>
      <c r="B292" t="s">
        <v>3381</v>
      </c>
      <c r="C292" t="s">
        <v>819</v>
      </c>
    </row>
    <row r="293" spans="1:3" x14ac:dyDescent="0.25">
      <c r="A293" t="s">
        <v>506</v>
      </c>
      <c r="B293" t="s">
        <v>3382</v>
      </c>
      <c r="C293" t="s">
        <v>3383</v>
      </c>
    </row>
    <row r="294" spans="1:3" x14ac:dyDescent="0.25">
      <c r="A294" t="s">
        <v>3236</v>
      </c>
      <c r="B294" t="s">
        <v>3384</v>
      </c>
    </row>
    <row r="295" spans="1:3" x14ac:dyDescent="0.25">
      <c r="A295" t="s">
        <v>3185</v>
      </c>
    </row>
    <row r="296" spans="1:3" x14ac:dyDescent="0.25">
      <c r="A296" t="s">
        <v>3385</v>
      </c>
      <c r="B296" t="s">
        <v>3386</v>
      </c>
      <c r="C296" t="s">
        <v>2380</v>
      </c>
    </row>
    <row r="297" spans="1:3" x14ac:dyDescent="0.25">
      <c r="A297" t="s">
        <v>819</v>
      </c>
      <c r="B297" t="s">
        <v>3387</v>
      </c>
      <c r="C297" t="s">
        <v>3388</v>
      </c>
    </row>
    <row r="298" spans="1:3" x14ac:dyDescent="0.25">
      <c r="A298" t="s">
        <v>3389</v>
      </c>
      <c r="B298" t="s">
        <v>3126</v>
      </c>
      <c r="C298" t="s">
        <v>512</v>
      </c>
    </row>
    <row r="299" spans="1:3" x14ac:dyDescent="0.25">
      <c r="A299" t="s">
        <v>3390</v>
      </c>
      <c r="B299" t="s">
        <v>506</v>
      </c>
      <c r="C299" t="s">
        <v>3391</v>
      </c>
    </row>
    <row r="300" spans="1:3" x14ac:dyDescent="0.25">
      <c r="A300" t="s">
        <v>147</v>
      </c>
      <c r="B300" t="s">
        <v>405</v>
      </c>
    </row>
    <row r="301" spans="1:3" x14ac:dyDescent="0.25">
      <c r="A301" t="s">
        <v>3173</v>
      </c>
      <c r="B301" t="s">
        <v>3392</v>
      </c>
    </row>
    <row r="302" spans="1:3" x14ac:dyDescent="0.25">
      <c r="A302" t="s">
        <v>506</v>
      </c>
    </row>
    <row r="303" spans="1:3" x14ac:dyDescent="0.25">
      <c r="A303" t="s">
        <v>3382</v>
      </c>
    </row>
    <row r="304" spans="1:3" x14ac:dyDescent="0.25">
      <c r="A304" t="s">
        <v>3000</v>
      </c>
      <c r="B304" t="s">
        <v>3077</v>
      </c>
      <c r="C304" t="s">
        <v>3149</v>
      </c>
    </row>
    <row r="305" spans="1:3" x14ac:dyDescent="0.25">
      <c r="A305" t="s">
        <v>3325</v>
      </c>
      <c r="B305" t="s">
        <v>3393</v>
      </c>
      <c r="C305" t="s">
        <v>3394</v>
      </c>
    </row>
    <row r="306" spans="1:3" x14ac:dyDescent="0.25">
      <c r="A306" t="s">
        <v>506</v>
      </c>
      <c r="B306" t="s">
        <v>3395</v>
      </c>
    </row>
    <row r="307" spans="1:3" x14ac:dyDescent="0.25">
      <c r="A307" t="s">
        <v>214</v>
      </c>
      <c r="B307" t="s">
        <v>3396</v>
      </c>
    </row>
    <row r="308" spans="1:3" x14ac:dyDescent="0.25">
      <c r="A308" t="s">
        <v>115</v>
      </c>
      <c r="B308" t="s">
        <v>3397</v>
      </c>
      <c r="C308" t="s">
        <v>3398</v>
      </c>
    </row>
    <row r="309" spans="1:3" x14ac:dyDescent="0.25">
      <c r="A309" t="s">
        <v>3399</v>
      </c>
    </row>
    <row r="310" spans="1:3" x14ac:dyDescent="0.25">
      <c r="A310" t="s">
        <v>3400</v>
      </c>
      <c r="B310" t="s">
        <v>3401</v>
      </c>
      <c r="C310" t="s">
        <v>3402</v>
      </c>
    </row>
    <row r="311" spans="1:3" x14ac:dyDescent="0.25">
      <c r="A311" t="s">
        <v>115</v>
      </c>
      <c r="B311" t="s">
        <v>2380</v>
      </c>
      <c r="C311" t="s">
        <v>3173</v>
      </c>
    </row>
    <row r="312" spans="1:3" x14ac:dyDescent="0.25">
      <c r="A312" t="s">
        <v>3403</v>
      </c>
      <c r="B312" t="s">
        <v>506</v>
      </c>
      <c r="C312" t="s">
        <v>3131</v>
      </c>
    </row>
    <row r="313" spans="1:3" x14ac:dyDescent="0.25">
      <c r="A313" t="s">
        <v>3404</v>
      </c>
    </row>
    <row r="314" spans="1:3" x14ac:dyDescent="0.25">
      <c r="A314" t="s">
        <v>3125</v>
      </c>
      <c r="B314" t="s">
        <v>146</v>
      </c>
      <c r="C314" t="s">
        <v>3405</v>
      </c>
    </row>
    <row r="315" spans="1:3" x14ac:dyDescent="0.25">
      <c r="A315" t="s">
        <v>3406</v>
      </c>
    </row>
    <row r="316" spans="1:3" x14ac:dyDescent="0.25">
      <c r="A316" t="s">
        <v>3407</v>
      </c>
      <c r="B316" t="s">
        <v>3408</v>
      </c>
      <c r="C316" t="s">
        <v>3409</v>
      </c>
    </row>
    <row r="317" spans="1:3" x14ac:dyDescent="0.25">
      <c r="A317" t="s">
        <v>115</v>
      </c>
      <c r="B317" t="s">
        <v>512</v>
      </c>
      <c r="C317" t="s">
        <v>3410</v>
      </c>
    </row>
    <row r="318" spans="1:3" x14ac:dyDescent="0.25">
      <c r="A318" t="s">
        <v>115</v>
      </c>
      <c r="B318" t="s">
        <v>3411</v>
      </c>
      <c r="C318" t="s">
        <v>3412</v>
      </c>
    </row>
    <row r="319" spans="1:3" x14ac:dyDescent="0.25">
      <c r="A319" t="s">
        <v>3413</v>
      </c>
      <c r="B319" t="s">
        <v>3414</v>
      </c>
      <c r="C319" t="s">
        <v>3415</v>
      </c>
    </row>
    <row r="320" spans="1:3" x14ac:dyDescent="0.25">
      <c r="A320" t="s">
        <v>3416</v>
      </c>
      <c r="B320" t="s">
        <v>3125</v>
      </c>
    </row>
    <row r="321" spans="1:3" x14ac:dyDescent="0.25">
      <c r="A321" t="s">
        <v>147</v>
      </c>
      <c r="B321" t="s">
        <v>3417</v>
      </c>
    </row>
    <row r="322" spans="1:3" x14ac:dyDescent="0.25">
      <c r="A322" t="s">
        <v>3136</v>
      </c>
      <c r="B322" t="s">
        <v>3418</v>
      </c>
    </row>
    <row r="323" spans="1:3" x14ac:dyDescent="0.25">
      <c r="A323" t="s">
        <v>128</v>
      </c>
      <c r="B323" t="s">
        <v>3419</v>
      </c>
      <c r="C323" t="s">
        <v>3420</v>
      </c>
    </row>
    <row r="324" spans="1:3" x14ac:dyDescent="0.25">
      <c r="A324" t="s">
        <v>3421</v>
      </c>
      <c r="B324" t="s">
        <v>3422</v>
      </c>
      <c r="C324" t="s">
        <v>3423</v>
      </c>
    </row>
    <row r="325" spans="1:3" x14ac:dyDescent="0.25">
      <c r="A325" t="s">
        <v>3000</v>
      </c>
      <c r="B325" t="s">
        <v>3424</v>
      </c>
    </row>
    <row r="326" spans="1:3" x14ac:dyDescent="0.25">
      <c r="A326" t="s">
        <v>506</v>
      </c>
      <c r="B326" t="s">
        <v>3425</v>
      </c>
    </row>
    <row r="327" spans="1:3" x14ac:dyDescent="0.25">
      <c r="A327" t="s">
        <v>3426</v>
      </c>
    </row>
    <row r="328" spans="1:3" x14ac:dyDescent="0.25">
      <c r="A328" t="s">
        <v>3427</v>
      </c>
    </row>
    <row r="329" spans="1:3" x14ac:dyDescent="0.25">
      <c r="A329" t="s">
        <v>3428</v>
      </c>
      <c r="B329" t="s">
        <v>3429</v>
      </c>
      <c r="C329" t="s">
        <v>3430</v>
      </c>
    </row>
    <row r="330" spans="1:3" x14ac:dyDescent="0.25">
      <c r="A330" t="s">
        <v>819</v>
      </c>
      <c r="B330" t="s">
        <v>3431</v>
      </c>
    </row>
    <row r="331" spans="1:3" x14ac:dyDescent="0.25">
      <c r="A331" t="s">
        <v>115</v>
      </c>
      <c r="B331" t="s">
        <v>312</v>
      </c>
      <c r="C331" t="s">
        <v>262</v>
      </c>
    </row>
    <row r="332" spans="1:3" x14ac:dyDescent="0.25">
      <c r="A332" t="s">
        <v>3432</v>
      </c>
      <c r="B332" t="s">
        <v>3433</v>
      </c>
      <c r="C332" t="s">
        <v>3434</v>
      </c>
    </row>
    <row r="333" spans="1:3" x14ac:dyDescent="0.25">
      <c r="A333" t="s">
        <v>3435</v>
      </c>
      <c r="B333" t="s">
        <v>3436</v>
      </c>
    </row>
    <row r="334" spans="1:3" x14ac:dyDescent="0.25">
      <c r="A334" t="s">
        <v>3437</v>
      </c>
    </row>
    <row r="335" spans="1:3" x14ac:dyDescent="0.25">
      <c r="A335" t="s">
        <v>115</v>
      </c>
      <c r="B335" t="s">
        <v>123</v>
      </c>
    </row>
    <row r="336" spans="1:3" x14ac:dyDescent="0.25">
      <c r="A336" t="s">
        <v>115</v>
      </c>
      <c r="B336" t="s">
        <v>3126</v>
      </c>
      <c r="C336" t="s">
        <v>819</v>
      </c>
    </row>
    <row r="337" spans="1:3" x14ac:dyDescent="0.25">
      <c r="A337" t="s">
        <v>3438</v>
      </c>
    </row>
    <row r="338" spans="1:3" x14ac:dyDescent="0.25">
      <c r="A338" t="s">
        <v>187</v>
      </c>
      <c r="B338" t="s">
        <v>510</v>
      </c>
      <c r="C338" t="s">
        <v>3270</v>
      </c>
    </row>
    <row r="339" spans="1:3" x14ac:dyDescent="0.25">
      <c r="A339" t="s">
        <v>1713</v>
      </c>
      <c r="B339" t="s">
        <v>3439</v>
      </c>
      <c r="C339" t="s">
        <v>3440</v>
      </c>
    </row>
    <row r="340" spans="1:3" x14ac:dyDescent="0.25">
      <c r="A340" t="s">
        <v>115</v>
      </c>
      <c r="B340" t="s">
        <v>60</v>
      </c>
      <c r="C340" t="s">
        <v>3441</v>
      </c>
    </row>
    <row r="341" spans="1:3" x14ac:dyDescent="0.25">
      <c r="A341" t="s">
        <v>3442</v>
      </c>
      <c r="B341" t="s">
        <v>3443</v>
      </c>
      <c r="C341" t="s">
        <v>3444</v>
      </c>
    </row>
    <row r="342" spans="1:3" x14ac:dyDescent="0.25">
      <c r="A342" t="s">
        <v>3445</v>
      </c>
      <c r="B342" t="s">
        <v>3446</v>
      </c>
    </row>
    <row r="343" spans="1:3" x14ac:dyDescent="0.25">
      <c r="A343" t="s">
        <v>115</v>
      </c>
      <c r="B343" t="s">
        <v>3447</v>
      </c>
      <c r="C343" t="s">
        <v>3448</v>
      </c>
    </row>
    <row r="344" spans="1:3" x14ac:dyDescent="0.25">
      <c r="A344" t="s">
        <v>3000</v>
      </c>
    </row>
    <row r="345" spans="1:3" x14ac:dyDescent="0.25">
      <c r="A345" t="s">
        <v>405</v>
      </c>
      <c r="B345" t="s">
        <v>115</v>
      </c>
      <c r="C345" t="s">
        <v>3449</v>
      </c>
    </row>
    <row r="346" spans="1:3" x14ac:dyDescent="0.25">
      <c r="A346" t="s">
        <v>506</v>
      </c>
      <c r="B346" t="s">
        <v>348</v>
      </c>
      <c r="C346" t="s">
        <v>3450</v>
      </c>
    </row>
    <row r="347" spans="1:3" x14ac:dyDescent="0.25">
      <c r="A347" t="s">
        <v>115</v>
      </c>
      <c r="B347" t="s">
        <v>3451</v>
      </c>
      <c r="C347" t="s">
        <v>3452</v>
      </c>
    </row>
    <row r="348" spans="1:3" x14ac:dyDescent="0.25">
      <c r="A348" t="s">
        <v>3453</v>
      </c>
    </row>
    <row r="349" spans="1:3" x14ac:dyDescent="0.25">
      <c r="A349" t="s">
        <v>3454</v>
      </c>
      <c r="B349" t="s">
        <v>3455</v>
      </c>
      <c r="C349" t="s">
        <v>3456</v>
      </c>
    </row>
    <row r="350" spans="1:3" x14ac:dyDescent="0.25">
      <c r="A350" t="s">
        <v>3457</v>
      </c>
      <c r="B350" t="s">
        <v>3458</v>
      </c>
      <c r="C350" t="s">
        <v>3459</v>
      </c>
    </row>
    <row r="351" spans="1:3" x14ac:dyDescent="0.25">
      <c r="A351" t="s">
        <v>147</v>
      </c>
    </row>
    <row r="352" spans="1:3" x14ac:dyDescent="0.25">
      <c r="A352" t="s">
        <v>3460</v>
      </c>
    </row>
    <row r="353" spans="1:3" x14ac:dyDescent="0.25">
      <c r="A353" t="s">
        <v>3461</v>
      </c>
      <c r="B353" t="s">
        <v>42</v>
      </c>
    </row>
    <row r="354" spans="1:3" x14ac:dyDescent="0.25">
      <c r="A354" t="s">
        <v>3462</v>
      </c>
      <c r="B354" t="s">
        <v>3463</v>
      </c>
    </row>
    <row r="355" spans="1:3" x14ac:dyDescent="0.25">
      <c r="A355" t="s">
        <v>506</v>
      </c>
      <c r="B355" t="s">
        <v>3464</v>
      </c>
      <c r="C355" t="s">
        <v>221</v>
      </c>
    </row>
    <row r="356" spans="1:3" x14ac:dyDescent="0.25">
      <c r="A356" t="s">
        <v>3465</v>
      </c>
    </row>
    <row r="357" spans="1:3" x14ac:dyDescent="0.25">
      <c r="A357" t="s">
        <v>3206</v>
      </c>
      <c r="B357" t="s">
        <v>3466</v>
      </c>
      <c r="C357" t="s">
        <v>3467</v>
      </c>
    </row>
    <row r="358" spans="1:3" x14ac:dyDescent="0.25">
      <c r="A358" t="s">
        <v>3273</v>
      </c>
    </row>
    <row r="359" spans="1:3" x14ac:dyDescent="0.25">
      <c r="A359" t="s">
        <v>3468</v>
      </c>
      <c r="B359" t="s">
        <v>3469</v>
      </c>
      <c r="C359" t="s">
        <v>3470</v>
      </c>
    </row>
    <row r="360" spans="1:3" x14ac:dyDescent="0.25">
      <c r="A360" t="s">
        <v>247</v>
      </c>
    </row>
    <row r="361" spans="1:3" x14ac:dyDescent="0.25">
      <c r="A361" t="s">
        <v>3132</v>
      </c>
      <c r="B361" t="s">
        <v>3471</v>
      </c>
      <c r="C361" t="s">
        <v>3472</v>
      </c>
    </row>
    <row r="362" spans="1:3" x14ac:dyDescent="0.25">
      <c r="A362" t="s">
        <v>3473</v>
      </c>
    </row>
    <row r="363" spans="1:3" x14ac:dyDescent="0.25">
      <c r="A363" t="s">
        <v>3474</v>
      </c>
    </row>
    <row r="364" spans="1:3" x14ac:dyDescent="0.25">
      <c r="A364" t="s">
        <v>3475</v>
      </c>
    </row>
    <row r="365" spans="1:3" x14ac:dyDescent="0.25">
      <c r="A365" t="s">
        <v>3476</v>
      </c>
      <c r="B365" t="s">
        <v>3477</v>
      </c>
      <c r="C365" t="s">
        <v>3478</v>
      </c>
    </row>
    <row r="366" spans="1:3" x14ac:dyDescent="0.25">
      <c r="A366" t="s">
        <v>3246</v>
      </c>
      <c r="B366" t="s">
        <v>3479</v>
      </c>
    </row>
    <row r="367" spans="1:3" x14ac:dyDescent="0.25">
      <c r="A367" t="s">
        <v>3480</v>
      </c>
    </row>
    <row r="368" spans="1:3" x14ac:dyDescent="0.25">
      <c r="A368" t="s">
        <v>3481</v>
      </c>
      <c r="B368" t="s">
        <v>3482</v>
      </c>
      <c r="C368" t="s">
        <v>3483</v>
      </c>
    </row>
    <row r="369" spans="1:3" x14ac:dyDescent="0.25">
      <c r="A369" t="s">
        <v>3238</v>
      </c>
      <c r="B369" t="s">
        <v>302</v>
      </c>
      <c r="C369" t="s">
        <v>3484</v>
      </c>
    </row>
    <row r="370" spans="1:3" x14ac:dyDescent="0.25">
      <c r="A370" t="s">
        <v>3201</v>
      </c>
    </row>
    <row r="371" spans="1:3" x14ac:dyDescent="0.25">
      <c r="A371" t="s">
        <v>3118</v>
      </c>
      <c r="B371" t="s">
        <v>3000</v>
      </c>
    </row>
    <row r="372" spans="1:3" x14ac:dyDescent="0.25">
      <c r="A372" t="s">
        <v>3378</v>
      </c>
      <c r="B372" t="s">
        <v>3485</v>
      </c>
    </row>
    <row r="373" spans="1:3" x14ac:dyDescent="0.25">
      <c r="A373" t="s">
        <v>3486</v>
      </c>
    </row>
    <row r="374" spans="1:3" x14ac:dyDescent="0.25">
      <c r="A374" t="s">
        <v>3487</v>
      </c>
    </row>
    <row r="375" spans="1:3" x14ac:dyDescent="0.25">
      <c r="A375" t="s">
        <v>115</v>
      </c>
      <c r="B375" t="s">
        <v>1713</v>
      </c>
      <c r="C375" t="s">
        <v>3488</v>
      </c>
    </row>
    <row r="376" spans="1:3" x14ac:dyDescent="0.25">
      <c r="A376" t="s">
        <v>3489</v>
      </c>
    </row>
    <row r="377" spans="1:3" x14ac:dyDescent="0.25">
      <c r="A377" t="s">
        <v>3135</v>
      </c>
      <c r="B377" t="s">
        <v>893</v>
      </c>
      <c r="C377" t="s">
        <v>353</v>
      </c>
    </row>
    <row r="378" spans="1:3" x14ac:dyDescent="0.25">
      <c r="A378" t="s">
        <v>512</v>
      </c>
    </row>
    <row r="379" spans="1:3" x14ac:dyDescent="0.25">
      <c r="A379" t="s">
        <v>3490</v>
      </c>
      <c r="B379" t="s">
        <v>3491</v>
      </c>
      <c r="C379" t="s">
        <v>3492</v>
      </c>
    </row>
    <row r="380" spans="1:3" x14ac:dyDescent="0.25">
      <c r="A380" t="s">
        <v>3391</v>
      </c>
      <c r="B380" t="s">
        <v>115</v>
      </c>
    </row>
    <row r="381" spans="1:3" x14ac:dyDescent="0.25">
      <c r="A381" t="s">
        <v>3493</v>
      </c>
    </row>
    <row r="382" spans="1:3" x14ac:dyDescent="0.25">
      <c r="A382" t="s">
        <v>1713</v>
      </c>
    </row>
    <row r="383" spans="1:3" x14ac:dyDescent="0.25">
      <c r="A383" t="s">
        <v>416</v>
      </c>
    </row>
    <row r="384" spans="1:3" x14ac:dyDescent="0.25">
      <c r="A384" t="s">
        <v>3494</v>
      </c>
      <c r="B384" t="s">
        <v>128</v>
      </c>
    </row>
    <row r="385" spans="1:3" x14ac:dyDescent="0.25">
      <c r="A385" t="s">
        <v>3495</v>
      </c>
      <c r="B385" t="s">
        <v>3031</v>
      </c>
    </row>
    <row r="386" spans="1:3" x14ac:dyDescent="0.25">
      <c r="A386" t="s">
        <v>3496</v>
      </c>
      <c r="B386" t="s">
        <v>3497</v>
      </c>
    </row>
    <row r="387" spans="1:3" x14ac:dyDescent="0.25">
      <c r="A387" t="s">
        <v>3498</v>
      </c>
      <c r="B387" t="s">
        <v>3499</v>
      </c>
      <c r="C387" t="s">
        <v>3500</v>
      </c>
    </row>
    <row r="388" spans="1:3" x14ac:dyDescent="0.25">
      <c r="A388" t="s">
        <v>510</v>
      </c>
    </row>
    <row r="389" spans="1:3" x14ac:dyDescent="0.25">
      <c r="A389" t="s">
        <v>3501</v>
      </c>
    </row>
    <row r="390" spans="1:3" x14ac:dyDescent="0.25">
      <c r="A390" t="s">
        <v>3502</v>
      </c>
    </row>
    <row r="391" spans="1:3" x14ac:dyDescent="0.25">
      <c r="A391" t="s">
        <v>506</v>
      </c>
      <c r="B391" t="s">
        <v>3503</v>
      </c>
    </row>
    <row r="392" spans="1:3" x14ac:dyDescent="0.25">
      <c r="A392" t="s">
        <v>3125</v>
      </c>
      <c r="B392" t="s">
        <v>3000</v>
      </c>
    </row>
    <row r="393" spans="1:3" x14ac:dyDescent="0.25">
      <c r="A393" t="s">
        <v>3504</v>
      </c>
    </row>
    <row r="394" spans="1:3" x14ac:dyDescent="0.25">
      <c r="A394" t="s">
        <v>3505</v>
      </c>
      <c r="B394" t="s">
        <v>3506</v>
      </c>
      <c r="C394" t="s">
        <v>3507</v>
      </c>
    </row>
    <row r="395" spans="1:3" x14ac:dyDescent="0.25">
      <c r="A395" t="s">
        <v>115</v>
      </c>
      <c r="B395" t="s">
        <v>951</v>
      </c>
      <c r="C395" t="s">
        <v>3000</v>
      </c>
    </row>
    <row r="396" spans="1:3" x14ac:dyDescent="0.25">
      <c r="A396" t="s">
        <v>3508</v>
      </c>
      <c r="B396" t="s">
        <v>3509</v>
      </c>
      <c r="C396" t="s">
        <v>3236</v>
      </c>
    </row>
    <row r="397" spans="1:3" x14ac:dyDescent="0.25">
      <c r="A397" t="s">
        <v>3510</v>
      </c>
    </row>
    <row r="398" spans="1:3" x14ac:dyDescent="0.25">
      <c r="A398" t="s">
        <v>3511</v>
      </c>
      <c r="B398" t="s">
        <v>3512</v>
      </c>
      <c r="C398" t="s">
        <v>3513</v>
      </c>
    </row>
    <row r="399" spans="1:3" x14ac:dyDescent="0.25">
      <c r="A399" t="s">
        <v>2464</v>
      </c>
      <c r="B399" t="s">
        <v>147</v>
      </c>
      <c r="C399" t="s">
        <v>3338</v>
      </c>
    </row>
    <row r="400" spans="1:3" x14ac:dyDescent="0.25">
      <c r="A400" t="s">
        <v>115</v>
      </c>
    </row>
    <row r="401" spans="1:3" x14ac:dyDescent="0.25">
      <c r="A401" t="s">
        <v>3514</v>
      </c>
    </row>
    <row r="402" spans="1:3" x14ac:dyDescent="0.25">
      <c r="A402" t="s">
        <v>42</v>
      </c>
    </row>
    <row r="403" spans="1:3" x14ac:dyDescent="0.25">
      <c r="A403" t="s">
        <v>3271</v>
      </c>
    </row>
    <row r="404" spans="1:3" x14ac:dyDescent="0.25">
      <c r="A404" t="s">
        <v>147</v>
      </c>
      <c r="B404" t="s">
        <v>3515</v>
      </c>
    </row>
    <row r="405" spans="1:3" x14ac:dyDescent="0.25">
      <c r="A405" t="s">
        <v>3516</v>
      </c>
    </row>
    <row r="406" spans="1:3" x14ac:dyDescent="0.25">
      <c r="A406" t="s">
        <v>3338</v>
      </c>
      <c r="B406" t="s">
        <v>3517</v>
      </c>
    </row>
    <row r="407" spans="1:3" x14ac:dyDescent="0.25">
      <c r="A407" t="s">
        <v>302</v>
      </c>
      <c r="B407" t="s">
        <v>3518</v>
      </c>
      <c r="C407" t="s">
        <v>369</v>
      </c>
    </row>
    <row r="408" spans="1:3" x14ac:dyDescent="0.25">
      <c r="A408" t="s">
        <v>3519</v>
      </c>
      <c r="B408" t="s">
        <v>3520</v>
      </c>
    </row>
    <row r="409" spans="1:3" x14ac:dyDescent="0.25">
      <c r="A409" t="s">
        <v>3273</v>
      </c>
      <c r="B409" t="s">
        <v>3521</v>
      </c>
      <c r="C409" t="s">
        <v>3522</v>
      </c>
    </row>
    <row r="410" spans="1:3" x14ac:dyDescent="0.25">
      <c r="A410" t="s">
        <v>115</v>
      </c>
      <c r="B410" t="s">
        <v>3066</v>
      </c>
      <c r="C410" t="s">
        <v>3276</v>
      </c>
    </row>
    <row r="411" spans="1:3" x14ac:dyDescent="0.25">
      <c r="A411" t="s">
        <v>3523</v>
      </c>
      <c r="B411" t="s">
        <v>3524</v>
      </c>
    </row>
    <row r="412" spans="1:3" x14ac:dyDescent="0.25">
      <c r="A412" t="s">
        <v>115</v>
      </c>
      <c r="B412" t="s">
        <v>3136</v>
      </c>
    </row>
    <row r="413" spans="1:3" x14ac:dyDescent="0.25">
      <c r="A413" t="s">
        <v>512</v>
      </c>
      <c r="B413" t="s">
        <v>3525</v>
      </c>
    </row>
    <row r="414" spans="1:3" x14ac:dyDescent="0.25">
      <c r="A414" t="s">
        <v>506</v>
      </c>
    </row>
    <row r="415" spans="1:3" x14ac:dyDescent="0.25">
      <c r="A415" t="s">
        <v>3526</v>
      </c>
      <c r="B415" t="s">
        <v>3527</v>
      </c>
      <c r="C415" t="s">
        <v>3528</v>
      </c>
    </row>
    <row r="416" spans="1:3" x14ac:dyDescent="0.25">
      <c r="A416" t="s">
        <v>115</v>
      </c>
      <c r="B416" t="s">
        <v>3529</v>
      </c>
      <c r="C416" t="s">
        <v>3530</v>
      </c>
    </row>
    <row r="417" spans="1:3" x14ac:dyDescent="0.25">
      <c r="A417" t="s">
        <v>115</v>
      </c>
      <c r="B417" t="s">
        <v>177</v>
      </c>
    </row>
    <row r="418" spans="1:3" x14ac:dyDescent="0.25">
      <c r="A418" t="s">
        <v>3531</v>
      </c>
    </row>
    <row r="419" spans="1:3" x14ac:dyDescent="0.25">
      <c r="A419" t="s">
        <v>609</v>
      </c>
    </row>
    <row r="420" spans="1:3" x14ac:dyDescent="0.25">
      <c r="A420" t="s">
        <v>3532</v>
      </c>
      <c r="B420" t="s">
        <v>3533</v>
      </c>
      <c r="C420" t="s">
        <v>3534</v>
      </c>
    </row>
    <row r="421" spans="1:3" x14ac:dyDescent="0.25">
      <c r="A421" t="s">
        <v>333</v>
      </c>
      <c r="B421" t="s">
        <v>243</v>
      </c>
      <c r="C421" t="s">
        <v>3535</v>
      </c>
    </row>
    <row r="422" spans="1:3" x14ac:dyDescent="0.25">
      <c r="A422" t="s">
        <v>3273</v>
      </c>
      <c r="B422" t="s">
        <v>3536</v>
      </c>
      <c r="C422" t="s">
        <v>3450</v>
      </c>
    </row>
    <row r="423" spans="1:3" x14ac:dyDescent="0.25">
      <c r="A423" t="s">
        <v>3125</v>
      </c>
      <c r="B423" t="s">
        <v>3537</v>
      </c>
      <c r="C423" t="s">
        <v>3538</v>
      </c>
    </row>
    <row r="424" spans="1:3" x14ac:dyDescent="0.25">
      <c r="A424" t="s">
        <v>3539</v>
      </c>
    </row>
    <row r="425" spans="1:3" x14ac:dyDescent="0.25">
      <c r="A425" t="s">
        <v>115</v>
      </c>
      <c r="B425" t="s">
        <v>3540</v>
      </c>
      <c r="C425" t="s">
        <v>3541</v>
      </c>
    </row>
    <row r="426" spans="1:3" x14ac:dyDescent="0.25">
      <c r="A426" t="s">
        <v>506</v>
      </c>
      <c r="B426" t="s">
        <v>3101</v>
      </c>
    </row>
    <row r="427" spans="1:3" x14ac:dyDescent="0.25">
      <c r="A427" t="s">
        <v>3344</v>
      </c>
    </row>
    <row r="428" spans="1:3" x14ac:dyDescent="0.25">
      <c r="A428" t="s">
        <v>3530</v>
      </c>
    </row>
    <row r="429" spans="1:3" x14ac:dyDescent="0.25">
      <c r="A429" t="s">
        <v>2380</v>
      </c>
    </row>
    <row r="430" spans="1:3" x14ac:dyDescent="0.25">
      <c r="A430" t="s">
        <v>506</v>
      </c>
      <c r="B430" t="s">
        <v>3542</v>
      </c>
    </row>
    <row r="431" spans="1:3" x14ac:dyDescent="0.25">
      <c r="A431" t="s">
        <v>247</v>
      </c>
    </row>
    <row r="432" spans="1:3" x14ac:dyDescent="0.25">
      <c r="A432" t="s">
        <v>115</v>
      </c>
      <c r="B432" t="s">
        <v>3246</v>
      </c>
      <c r="C432" t="s">
        <v>3543</v>
      </c>
    </row>
    <row r="433" spans="1:3" x14ac:dyDescent="0.25">
      <c r="A433" t="s">
        <v>312</v>
      </c>
    </row>
    <row r="434" spans="1:3" x14ac:dyDescent="0.25">
      <c r="A434" t="s">
        <v>115</v>
      </c>
      <c r="B434" t="s">
        <v>3544</v>
      </c>
      <c r="C434" t="s">
        <v>312</v>
      </c>
    </row>
    <row r="435" spans="1:3" x14ac:dyDescent="0.25">
      <c r="A435" t="s">
        <v>3545</v>
      </c>
    </row>
    <row r="436" spans="1:3" x14ac:dyDescent="0.25">
      <c r="A436" t="s">
        <v>3546</v>
      </c>
      <c r="B436" t="s">
        <v>3547</v>
      </c>
    </row>
    <row r="437" spans="1:3" x14ac:dyDescent="0.25">
      <c r="A437" t="s">
        <v>3548</v>
      </c>
      <c r="B437" t="s">
        <v>3549</v>
      </c>
      <c r="C437" t="s">
        <v>3550</v>
      </c>
    </row>
    <row r="438" spans="1:3" x14ac:dyDescent="0.25">
      <c r="A438" t="s">
        <v>3045</v>
      </c>
      <c r="B438" t="s">
        <v>3236</v>
      </c>
      <c r="C438" t="s">
        <v>115</v>
      </c>
    </row>
    <row r="439" spans="1:3" x14ac:dyDescent="0.25">
      <c r="A439" t="s">
        <v>3004</v>
      </c>
    </row>
    <row r="440" spans="1:3" x14ac:dyDescent="0.25">
      <c r="A440" t="s">
        <v>3551</v>
      </c>
      <c r="B440" t="s">
        <v>3236</v>
      </c>
    </row>
    <row r="441" spans="1:3" x14ac:dyDescent="0.25">
      <c r="A441" t="s">
        <v>3552</v>
      </c>
      <c r="B441" t="s">
        <v>3180</v>
      </c>
      <c r="C441" t="s">
        <v>3164</v>
      </c>
    </row>
    <row r="442" spans="1:3" x14ac:dyDescent="0.25">
      <c r="A442" t="s">
        <v>3553</v>
      </c>
      <c r="B442" t="s">
        <v>3554</v>
      </c>
    </row>
    <row r="443" spans="1:3" x14ac:dyDescent="0.25">
      <c r="A443" t="s">
        <v>3555</v>
      </c>
    </row>
    <row r="444" spans="1:3" x14ac:dyDescent="0.25">
      <c r="A444" t="s">
        <v>506</v>
      </c>
      <c r="B444" t="s">
        <v>3556</v>
      </c>
    </row>
    <row r="445" spans="1:3" x14ac:dyDescent="0.25">
      <c r="A445" t="s">
        <v>115</v>
      </c>
      <c r="B445" t="s">
        <v>3557</v>
      </c>
      <c r="C445" t="s">
        <v>781</v>
      </c>
    </row>
    <row r="446" spans="1:3" x14ac:dyDescent="0.25">
      <c r="A446" t="s">
        <v>2380</v>
      </c>
      <c r="B446" t="s">
        <v>3558</v>
      </c>
    </row>
    <row r="447" spans="1:3" x14ac:dyDescent="0.25">
      <c r="A447" t="s">
        <v>512</v>
      </c>
      <c r="B447" t="s">
        <v>3559</v>
      </c>
      <c r="C447" t="s">
        <v>3087</v>
      </c>
    </row>
    <row r="448" spans="1:3" x14ac:dyDescent="0.25">
      <c r="A448" t="s">
        <v>3560</v>
      </c>
      <c r="B448" t="s">
        <v>3561</v>
      </c>
    </row>
    <row r="449" spans="1:3" x14ac:dyDescent="0.25">
      <c r="A449" t="s">
        <v>3562</v>
      </c>
      <c r="B449" t="s">
        <v>3563</v>
      </c>
      <c r="C449" t="s">
        <v>3564</v>
      </c>
    </row>
    <row r="450" spans="1:3" x14ac:dyDescent="0.25">
      <c r="A450" t="s">
        <v>147</v>
      </c>
      <c r="B450" t="s">
        <v>3565</v>
      </c>
    </row>
    <row r="451" spans="1:3" x14ac:dyDescent="0.25">
      <c r="A451" t="s">
        <v>3566</v>
      </c>
      <c r="B451" t="s">
        <v>3131</v>
      </c>
      <c r="C451" t="s">
        <v>115</v>
      </c>
    </row>
    <row r="452" spans="1:3" x14ac:dyDescent="0.25">
      <c r="A452" t="s">
        <v>3567</v>
      </c>
      <c r="B452" t="s">
        <v>1713</v>
      </c>
    </row>
    <row r="453" spans="1:3" x14ac:dyDescent="0.25">
      <c r="A453" t="s">
        <v>3568</v>
      </c>
      <c r="B453" t="s">
        <v>3569</v>
      </c>
      <c r="C453" t="s">
        <v>3570</v>
      </c>
    </row>
    <row r="454" spans="1:3" x14ac:dyDescent="0.25">
      <c r="A454" t="s">
        <v>115</v>
      </c>
    </row>
    <row r="455" spans="1:3" x14ac:dyDescent="0.25">
      <c r="A455" t="s">
        <v>512</v>
      </c>
      <c r="B455" t="s">
        <v>3571</v>
      </c>
      <c r="C455" t="s">
        <v>3572</v>
      </c>
    </row>
    <row r="456" spans="1:3" x14ac:dyDescent="0.25">
      <c r="A456" t="s">
        <v>3573</v>
      </c>
    </row>
    <row r="457" spans="1:3" x14ac:dyDescent="0.25">
      <c r="A457" t="s">
        <v>115</v>
      </c>
      <c r="B457" t="s">
        <v>3574</v>
      </c>
      <c r="C457" t="s">
        <v>3004</v>
      </c>
    </row>
    <row r="458" spans="1:3" x14ac:dyDescent="0.25">
      <c r="A458" t="s">
        <v>3575</v>
      </c>
      <c r="B458" t="s">
        <v>3576</v>
      </c>
      <c r="C458" t="s">
        <v>3577</v>
      </c>
    </row>
    <row r="459" spans="1:3" x14ac:dyDescent="0.25">
      <c r="A459" t="s">
        <v>3578</v>
      </c>
    </row>
    <row r="460" spans="1:3" x14ac:dyDescent="0.25">
      <c r="A460" t="s">
        <v>3000</v>
      </c>
      <c r="B460" t="s">
        <v>3077</v>
      </c>
      <c r="C460" t="s">
        <v>3579</v>
      </c>
    </row>
    <row r="461" spans="1:3" x14ac:dyDescent="0.25">
      <c r="A461" t="s">
        <v>3020</v>
      </c>
      <c r="B461" t="s">
        <v>2810</v>
      </c>
      <c r="C461" t="s">
        <v>3185</v>
      </c>
    </row>
    <row r="462" spans="1:3" x14ac:dyDescent="0.25">
      <c r="A462" t="s">
        <v>247</v>
      </c>
    </row>
    <row r="463" spans="1:3" x14ac:dyDescent="0.25">
      <c r="A463" t="s">
        <v>3580</v>
      </c>
      <c r="B463" t="s">
        <v>3136</v>
      </c>
      <c r="C463" t="s">
        <v>115</v>
      </c>
    </row>
    <row r="464" spans="1:3" x14ac:dyDescent="0.25">
      <c r="A464" t="s">
        <v>115</v>
      </c>
      <c r="B464" t="s">
        <v>3141</v>
      </c>
    </row>
    <row r="465" spans="1:3" x14ac:dyDescent="0.25">
      <c r="A465" t="s">
        <v>2380</v>
      </c>
      <c r="B465" t="s">
        <v>312</v>
      </c>
    </row>
    <row r="466" spans="1:3" x14ac:dyDescent="0.25">
      <c r="A466" t="s">
        <v>3000</v>
      </c>
      <c r="B466" t="s">
        <v>3581</v>
      </c>
    </row>
    <row r="467" spans="1:3" x14ac:dyDescent="0.25">
      <c r="A467" t="s">
        <v>3149</v>
      </c>
    </row>
    <row r="468" spans="1:3" x14ac:dyDescent="0.25">
      <c r="A468" t="s">
        <v>3378</v>
      </c>
      <c r="B468" t="s">
        <v>3370</v>
      </c>
      <c r="C468" t="s">
        <v>3582</v>
      </c>
    </row>
    <row r="469" spans="1:3" x14ac:dyDescent="0.25">
      <c r="A469" t="s">
        <v>3002</v>
      </c>
      <c r="B469" t="s">
        <v>3583</v>
      </c>
    </row>
    <row r="470" spans="1:3" x14ac:dyDescent="0.25">
      <c r="A470" t="s">
        <v>506</v>
      </c>
      <c r="B470" t="s">
        <v>3294</v>
      </c>
    </row>
    <row r="471" spans="1:3" x14ac:dyDescent="0.25">
      <c r="A471" t="s">
        <v>3251</v>
      </c>
    </row>
    <row r="472" spans="1:3" x14ac:dyDescent="0.25">
      <c r="A472" t="s">
        <v>147</v>
      </c>
    </row>
    <row r="473" spans="1:3" x14ac:dyDescent="0.25">
      <c r="A473" t="s">
        <v>3020</v>
      </c>
      <c r="B473" t="s">
        <v>3584</v>
      </c>
      <c r="C473" t="s">
        <v>3585</v>
      </c>
    </row>
    <row r="474" spans="1:3" x14ac:dyDescent="0.25">
      <c r="A474" t="s">
        <v>3000</v>
      </c>
      <c r="B474" t="s">
        <v>3077</v>
      </c>
      <c r="C474" t="s">
        <v>3586</v>
      </c>
    </row>
    <row r="475" spans="1:3" x14ac:dyDescent="0.25">
      <c r="A475" t="s">
        <v>3587</v>
      </c>
    </row>
    <row r="476" spans="1:3" x14ac:dyDescent="0.25">
      <c r="A476" t="s">
        <v>3588</v>
      </c>
      <c r="B476" t="s">
        <v>3589</v>
      </c>
    </row>
    <row r="477" spans="1:3" x14ac:dyDescent="0.25">
      <c r="A477" t="s">
        <v>3590</v>
      </c>
      <c r="B477" t="s">
        <v>3591</v>
      </c>
    </row>
    <row r="478" spans="1:3" x14ac:dyDescent="0.25">
      <c r="A478" t="s">
        <v>123</v>
      </c>
      <c r="B478" t="s">
        <v>312</v>
      </c>
      <c r="C478" t="s">
        <v>1713</v>
      </c>
    </row>
    <row r="479" spans="1:3" x14ac:dyDescent="0.25">
      <c r="A479" t="s">
        <v>3592</v>
      </c>
      <c r="B479" t="s">
        <v>3593</v>
      </c>
      <c r="C479" t="s">
        <v>3594</v>
      </c>
    </row>
    <row r="480" spans="1:3" x14ac:dyDescent="0.25">
      <c r="A480" t="s">
        <v>3125</v>
      </c>
    </row>
    <row r="481" spans="1:3" x14ac:dyDescent="0.25">
      <c r="A481" t="s">
        <v>3595</v>
      </c>
      <c r="B481" t="s">
        <v>3596</v>
      </c>
    </row>
    <row r="482" spans="1:3" x14ac:dyDescent="0.25">
      <c r="A482" t="s">
        <v>3136</v>
      </c>
      <c r="B482" t="s">
        <v>512</v>
      </c>
    </row>
    <row r="483" spans="1:3" x14ac:dyDescent="0.25">
      <c r="A483" t="s">
        <v>3597</v>
      </c>
      <c r="B483" t="s">
        <v>3598</v>
      </c>
      <c r="C483" t="s">
        <v>3599</v>
      </c>
    </row>
    <row r="484" spans="1:3" x14ac:dyDescent="0.25">
      <c r="A484" t="s">
        <v>147</v>
      </c>
      <c r="B484" t="s">
        <v>3338</v>
      </c>
      <c r="C484" t="s">
        <v>3600</v>
      </c>
    </row>
    <row r="485" spans="1:3" x14ac:dyDescent="0.25">
      <c r="A485" t="s">
        <v>3601</v>
      </c>
      <c r="B485" t="s">
        <v>3602</v>
      </c>
      <c r="C485" t="s">
        <v>3603</v>
      </c>
    </row>
    <row r="486" spans="1:3" x14ac:dyDescent="0.25">
      <c r="A486" t="s">
        <v>3604</v>
      </c>
    </row>
    <row r="487" spans="1:3" x14ac:dyDescent="0.25">
      <c r="A487" t="s">
        <v>3586</v>
      </c>
      <c r="B487" t="s">
        <v>3605</v>
      </c>
      <c r="C487" t="s">
        <v>3606</v>
      </c>
    </row>
    <row r="488" spans="1:3" x14ac:dyDescent="0.25">
      <c r="A488" t="s">
        <v>2380</v>
      </c>
      <c r="B488" t="s">
        <v>61</v>
      </c>
      <c r="C488" t="s">
        <v>3607</v>
      </c>
    </row>
    <row r="489" spans="1:3" x14ac:dyDescent="0.25">
      <c r="A489" t="s">
        <v>3608</v>
      </c>
    </row>
    <row r="490" spans="1:3" x14ac:dyDescent="0.25">
      <c r="A490" t="s">
        <v>3586</v>
      </c>
    </row>
    <row r="491" spans="1:3" x14ac:dyDescent="0.25">
      <c r="A491" t="s">
        <v>3609</v>
      </c>
      <c r="B491" t="s">
        <v>3610</v>
      </c>
      <c r="C491" t="s">
        <v>3611</v>
      </c>
    </row>
    <row r="492" spans="1:3" x14ac:dyDescent="0.25">
      <c r="A492" t="s">
        <v>3612</v>
      </c>
    </row>
    <row r="493" spans="1:3" x14ac:dyDescent="0.25">
      <c r="A493" t="s">
        <v>115</v>
      </c>
      <c r="B493" t="s">
        <v>1713</v>
      </c>
      <c r="C493" t="s">
        <v>3126</v>
      </c>
    </row>
    <row r="494" spans="1:3" x14ac:dyDescent="0.25">
      <c r="A494" t="s">
        <v>3613</v>
      </c>
    </row>
    <row r="495" spans="1:3" x14ac:dyDescent="0.25">
      <c r="A495" t="s">
        <v>3614</v>
      </c>
    </row>
    <row r="496" spans="1:3" x14ac:dyDescent="0.25">
      <c r="A496" t="s">
        <v>3004</v>
      </c>
      <c r="B496" t="s">
        <v>3615</v>
      </c>
      <c r="C496" t="s">
        <v>3616</v>
      </c>
    </row>
    <row r="497" spans="1:3" x14ac:dyDescent="0.25">
      <c r="A497" t="s">
        <v>3617</v>
      </c>
      <c r="B497" t="s">
        <v>3618</v>
      </c>
      <c r="C497" t="s">
        <v>3619</v>
      </c>
    </row>
    <row r="498" spans="1:3" x14ac:dyDescent="0.25">
      <c r="A498" t="s">
        <v>3341</v>
      </c>
      <c r="B498" t="s">
        <v>3185</v>
      </c>
    </row>
    <row r="499" spans="1:3" x14ac:dyDescent="0.25">
      <c r="A499" t="s">
        <v>247</v>
      </c>
    </row>
    <row r="500" spans="1:3" x14ac:dyDescent="0.25">
      <c r="A500" t="s">
        <v>3131</v>
      </c>
      <c r="B500" t="s">
        <v>115</v>
      </c>
      <c r="C500" t="s">
        <v>1713</v>
      </c>
    </row>
    <row r="501" spans="1:3" x14ac:dyDescent="0.25">
      <c r="A501" t="s">
        <v>115</v>
      </c>
    </row>
    <row r="502" spans="1:3" x14ac:dyDescent="0.25">
      <c r="A502" t="s">
        <v>3422</v>
      </c>
      <c r="B502" t="s">
        <v>3620</v>
      </c>
    </row>
    <row r="503" spans="1:3" x14ac:dyDescent="0.25">
      <c r="A503" t="s">
        <v>3621</v>
      </c>
      <c r="B503" t="s">
        <v>3622</v>
      </c>
      <c r="C503" t="s">
        <v>3623</v>
      </c>
    </row>
    <row r="504" spans="1:3" x14ac:dyDescent="0.25">
      <c r="A504" t="s">
        <v>3624</v>
      </c>
    </row>
    <row r="505" spans="1:3" x14ac:dyDescent="0.25">
      <c r="A505" t="s">
        <v>2578</v>
      </c>
      <c r="B505" t="s">
        <v>3625</v>
      </c>
      <c r="C505" t="s">
        <v>333</v>
      </c>
    </row>
    <row r="506" spans="1:3" x14ac:dyDescent="0.25">
      <c r="A506" t="s">
        <v>115</v>
      </c>
      <c r="B506" t="s">
        <v>3626</v>
      </c>
      <c r="C506" t="s">
        <v>3627</v>
      </c>
    </row>
    <row r="507" spans="1:3" x14ac:dyDescent="0.25">
      <c r="A507" t="s">
        <v>3628</v>
      </c>
    </row>
    <row r="508" spans="1:3" x14ac:dyDescent="0.25">
      <c r="A508" t="s">
        <v>115</v>
      </c>
    </row>
    <row r="509" spans="1:3" x14ac:dyDescent="0.25">
      <c r="A509" t="s">
        <v>3629</v>
      </c>
    </row>
    <row r="510" spans="1:3" x14ac:dyDescent="0.25">
      <c r="A510" t="s">
        <v>60</v>
      </c>
    </row>
    <row r="511" spans="1:3" x14ac:dyDescent="0.25">
      <c r="A511" t="s">
        <v>3630</v>
      </c>
    </row>
    <row r="512" spans="1:3" x14ac:dyDescent="0.25">
      <c r="A512" t="s">
        <v>3341</v>
      </c>
    </row>
    <row r="513" spans="1:3" x14ac:dyDescent="0.25">
      <c r="A513" t="s">
        <v>3125</v>
      </c>
    </row>
    <row r="514" spans="1:3" x14ac:dyDescent="0.25">
      <c r="A514" t="s">
        <v>781</v>
      </c>
    </row>
    <row r="515" spans="1:3" x14ac:dyDescent="0.25">
      <c r="A515" t="s">
        <v>3631</v>
      </c>
      <c r="B515" t="s">
        <v>3632</v>
      </c>
      <c r="C515" t="s">
        <v>3633</v>
      </c>
    </row>
    <row r="516" spans="1:3" x14ac:dyDescent="0.25">
      <c r="A516" t="s">
        <v>3634</v>
      </c>
      <c r="B516" t="s">
        <v>2380</v>
      </c>
      <c r="C516" t="s">
        <v>312</v>
      </c>
    </row>
    <row r="517" spans="1:3" x14ac:dyDescent="0.25">
      <c r="A517" t="s">
        <v>3635</v>
      </c>
      <c r="B517" t="s">
        <v>3636</v>
      </c>
      <c r="C517" t="s">
        <v>3145</v>
      </c>
    </row>
    <row r="518" spans="1:3" x14ac:dyDescent="0.25">
      <c r="A518" t="s">
        <v>312</v>
      </c>
      <c r="B518" t="s">
        <v>3637</v>
      </c>
      <c r="C518" t="s">
        <v>3638</v>
      </c>
    </row>
    <row r="519" spans="1:3" x14ac:dyDescent="0.25">
      <c r="A519" t="s">
        <v>3639</v>
      </c>
      <c r="B519" t="s">
        <v>3148</v>
      </c>
      <c r="C519" t="s">
        <v>3640</v>
      </c>
    </row>
    <row r="520" spans="1:3" x14ac:dyDescent="0.25">
      <c r="A520" t="s">
        <v>3641</v>
      </c>
      <c r="B520" t="s">
        <v>3642</v>
      </c>
      <c r="C520" t="s">
        <v>3643</v>
      </c>
    </row>
    <row r="521" spans="1:3" x14ac:dyDescent="0.25">
      <c r="A521" t="s">
        <v>506</v>
      </c>
      <c r="B521" t="s">
        <v>3644</v>
      </c>
      <c r="C521" t="s">
        <v>3645</v>
      </c>
    </row>
    <row r="522" spans="1:3" x14ac:dyDescent="0.25">
      <c r="A522" t="s">
        <v>3646</v>
      </c>
      <c r="B522" t="s">
        <v>3647</v>
      </c>
    </row>
    <row r="523" spans="1:3" x14ac:dyDescent="0.25">
      <c r="A523" t="s">
        <v>3185</v>
      </c>
      <c r="B523" t="s">
        <v>3125</v>
      </c>
      <c r="C523" t="s">
        <v>3648</v>
      </c>
    </row>
    <row r="524" spans="1:3" x14ac:dyDescent="0.25">
      <c r="A524" t="s">
        <v>61</v>
      </c>
    </row>
    <row r="525" spans="1:3" x14ac:dyDescent="0.25">
      <c r="A525" t="s">
        <v>3077</v>
      </c>
      <c r="B525" t="s">
        <v>3649</v>
      </c>
      <c r="C525" t="s">
        <v>3650</v>
      </c>
    </row>
    <row r="526" spans="1:3" x14ac:dyDescent="0.25">
      <c r="A526" t="s">
        <v>3651</v>
      </c>
      <c r="B526" t="s">
        <v>3652</v>
      </c>
    </row>
    <row r="527" spans="1:3" x14ac:dyDescent="0.25">
      <c r="A527" t="s">
        <v>3653</v>
      </c>
      <c r="B527" t="s">
        <v>3654</v>
      </c>
      <c r="C527" t="s">
        <v>3655</v>
      </c>
    </row>
    <row r="528" spans="1:3" x14ac:dyDescent="0.25">
      <c r="A528" t="s">
        <v>3656</v>
      </c>
    </row>
    <row r="529" spans="1:3" x14ac:dyDescent="0.25">
      <c r="A529" t="s">
        <v>3657</v>
      </c>
    </row>
    <row r="530" spans="1:3" x14ac:dyDescent="0.25">
      <c r="A530" t="s">
        <v>3658</v>
      </c>
      <c r="B530" t="s">
        <v>3659</v>
      </c>
    </row>
    <row r="531" spans="1:3" x14ac:dyDescent="0.25">
      <c r="A531" t="s">
        <v>2380</v>
      </c>
      <c r="B531" t="s">
        <v>3236</v>
      </c>
    </row>
    <row r="532" spans="1:3" x14ac:dyDescent="0.25">
      <c r="A532" t="s">
        <v>3660</v>
      </c>
    </row>
    <row r="533" spans="1:3" x14ac:dyDescent="0.25">
      <c r="A533" t="s">
        <v>3661</v>
      </c>
      <c r="B533" t="s">
        <v>3662</v>
      </c>
      <c r="C533" t="s">
        <v>3663</v>
      </c>
    </row>
    <row r="534" spans="1:3" x14ac:dyDescent="0.25">
      <c r="A534" t="s">
        <v>3664</v>
      </c>
      <c r="B534" t="s">
        <v>3665</v>
      </c>
    </row>
    <row r="535" spans="1:3" x14ac:dyDescent="0.25">
      <c r="A535" t="s">
        <v>3666</v>
      </c>
      <c r="B535" t="s">
        <v>3667</v>
      </c>
      <c r="C535" t="s">
        <v>3668</v>
      </c>
    </row>
    <row r="536" spans="1:3" x14ac:dyDescent="0.25">
      <c r="A536" t="s">
        <v>3669</v>
      </c>
    </row>
    <row r="537" spans="1:3" x14ac:dyDescent="0.25">
      <c r="A537" t="s">
        <v>115</v>
      </c>
    </row>
    <row r="538" spans="1:3" x14ac:dyDescent="0.25">
      <c r="A538" t="s">
        <v>3670</v>
      </c>
      <c r="B538" t="s">
        <v>3378</v>
      </c>
    </row>
    <row r="539" spans="1:3" x14ac:dyDescent="0.25">
      <c r="A539" t="s">
        <v>1713</v>
      </c>
      <c r="B539" t="s">
        <v>115</v>
      </c>
      <c r="C539" t="s">
        <v>123</v>
      </c>
    </row>
    <row r="540" spans="1:3" x14ac:dyDescent="0.25">
      <c r="A540" t="s">
        <v>147</v>
      </c>
    </row>
    <row r="541" spans="1:3" x14ac:dyDescent="0.25">
      <c r="A541" t="s">
        <v>3671</v>
      </c>
    </row>
    <row r="542" spans="1:3" x14ac:dyDescent="0.25">
      <c r="A542" t="s">
        <v>3672</v>
      </c>
      <c r="B542" t="s">
        <v>3673</v>
      </c>
    </row>
    <row r="543" spans="1:3" x14ac:dyDescent="0.25">
      <c r="A543" t="s">
        <v>3674</v>
      </c>
      <c r="B543" t="s">
        <v>3675</v>
      </c>
      <c r="C543" t="s">
        <v>3676</v>
      </c>
    </row>
    <row r="544" spans="1:3" x14ac:dyDescent="0.25">
      <c r="A544" t="s">
        <v>3677</v>
      </c>
      <c r="B544" t="s">
        <v>3678</v>
      </c>
      <c r="C544" t="s">
        <v>3679</v>
      </c>
    </row>
    <row r="545" spans="1:3" x14ac:dyDescent="0.25">
      <c r="A545" t="s">
        <v>3020</v>
      </c>
      <c r="B545" t="s">
        <v>3680</v>
      </c>
      <c r="C545" t="s">
        <v>3652</v>
      </c>
    </row>
    <row r="546" spans="1:3" x14ac:dyDescent="0.25">
      <c r="A546" t="s">
        <v>3681</v>
      </c>
      <c r="B546" t="s">
        <v>3643</v>
      </c>
      <c r="C546" t="s">
        <v>3682</v>
      </c>
    </row>
    <row r="547" spans="1:3" x14ac:dyDescent="0.25">
      <c r="A547" t="s">
        <v>115</v>
      </c>
      <c r="B547" t="s">
        <v>2380</v>
      </c>
      <c r="C547" t="s">
        <v>60</v>
      </c>
    </row>
    <row r="548" spans="1:3" x14ac:dyDescent="0.25">
      <c r="A548" t="s">
        <v>3683</v>
      </c>
      <c r="B548" t="s">
        <v>3684</v>
      </c>
    </row>
    <row r="549" spans="1:3" x14ac:dyDescent="0.25">
      <c r="A549" t="s">
        <v>3148</v>
      </c>
      <c r="B549" t="s">
        <v>3685</v>
      </c>
      <c r="C549" t="s">
        <v>3686</v>
      </c>
    </row>
    <row r="550" spans="1:3" x14ac:dyDescent="0.25">
      <c r="A550" t="s">
        <v>3687</v>
      </c>
    </row>
    <row r="551" spans="1:3" x14ac:dyDescent="0.25">
      <c r="A551" t="s">
        <v>3688</v>
      </c>
    </row>
    <row r="552" spans="1:3" x14ac:dyDescent="0.25">
      <c r="A552" t="s">
        <v>3689</v>
      </c>
      <c r="B552" t="s">
        <v>3341</v>
      </c>
      <c r="C552" t="s">
        <v>3690</v>
      </c>
    </row>
    <row r="553" spans="1:3" x14ac:dyDescent="0.25">
      <c r="A553" t="s">
        <v>3691</v>
      </c>
      <c r="B553" t="s">
        <v>3692</v>
      </c>
      <c r="C553" t="s">
        <v>3693</v>
      </c>
    </row>
    <row r="554" spans="1:3" x14ac:dyDescent="0.25">
      <c r="A554" t="s">
        <v>3273</v>
      </c>
    </row>
    <row r="555" spans="1:3" x14ac:dyDescent="0.25">
      <c r="A555" t="s">
        <v>416</v>
      </c>
      <c r="B555" t="s">
        <v>416</v>
      </c>
    </row>
    <row r="556" spans="1:3" x14ac:dyDescent="0.25">
      <c r="A556" t="s">
        <v>3694</v>
      </c>
    </row>
    <row r="557" spans="1:3" x14ac:dyDescent="0.25">
      <c r="A557" t="s">
        <v>115</v>
      </c>
      <c r="B557" t="s">
        <v>3126</v>
      </c>
      <c r="C557" t="s">
        <v>3236</v>
      </c>
    </row>
    <row r="558" spans="1:3" x14ac:dyDescent="0.25">
      <c r="A558" t="s">
        <v>3695</v>
      </c>
      <c r="B558" t="s">
        <v>3147</v>
      </c>
    </row>
    <row r="559" spans="1:3" x14ac:dyDescent="0.25">
      <c r="A559" t="s">
        <v>3236</v>
      </c>
      <c r="B559" t="s">
        <v>3696</v>
      </c>
      <c r="C559" t="s">
        <v>3697</v>
      </c>
    </row>
    <row r="560" spans="1:3" x14ac:dyDescent="0.25">
      <c r="A560" t="s">
        <v>3698</v>
      </c>
      <c r="B560" t="s">
        <v>3132</v>
      </c>
      <c r="C560" t="s">
        <v>506</v>
      </c>
    </row>
    <row r="561" spans="1:3" x14ac:dyDescent="0.25">
      <c r="A561" t="s">
        <v>3699</v>
      </c>
      <c r="B561" t="s">
        <v>3700</v>
      </c>
    </row>
    <row r="562" spans="1:3" x14ac:dyDescent="0.25">
      <c r="A562" t="s">
        <v>3701</v>
      </c>
      <c r="B562" t="s">
        <v>3702</v>
      </c>
      <c r="C562" t="s">
        <v>3703</v>
      </c>
    </row>
    <row r="563" spans="1:3" x14ac:dyDescent="0.25">
      <c r="A563" t="s">
        <v>3236</v>
      </c>
    </row>
    <row r="564" spans="1:3" x14ac:dyDescent="0.25">
      <c r="A564" t="s">
        <v>3704</v>
      </c>
      <c r="B564" t="s">
        <v>3705</v>
      </c>
      <c r="C564" t="s">
        <v>3706</v>
      </c>
    </row>
    <row r="565" spans="1:3" x14ac:dyDescent="0.25">
      <c r="A565" t="s">
        <v>3341</v>
      </c>
      <c r="B565" t="s">
        <v>3185</v>
      </c>
    </row>
    <row r="566" spans="1:3" x14ac:dyDescent="0.25">
      <c r="A566" t="s">
        <v>3236</v>
      </c>
      <c r="B566" t="s">
        <v>2380</v>
      </c>
      <c r="C566" t="s">
        <v>405</v>
      </c>
    </row>
    <row r="567" spans="1:3" x14ac:dyDescent="0.25">
      <c r="A567" t="s">
        <v>1713</v>
      </c>
    </row>
    <row r="568" spans="1:3" x14ac:dyDescent="0.25">
      <c r="A568" t="s">
        <v>3136</v>
      </c>
      <c r="B568" t="s">
        <v>3707</v>
      </c>
    </row>
    <row r="569" spans="1:3" x14ac:dyDescent="0.25">
      <c r="A569" t="s">
        <v>115</v>
      </c>
    </row>
    <row r="570" spans="1:3" x14ac:dyDescent="0.25">
      <c r="A570" t="s">
        <v>2770</v>
      </c>
      <c r="B570" t="s">
        <v>3708</v>
      </c>
      <c r="C570" t="s">
        <v>3709</v>
      </c>
    </row>
    <row r="571" spans="1:3" x14ac:dyDescent="0.25">
      <c r="A571" t="s">
        <v>115</v>
      </c>
    </row>
    <row r="572" spans="1:3" x14ac:dyDescent="0.25">
      <c r="A572" t="s">
        <v>3125</v>
      </c>
      <c r="B572" t="s">
        <v>3710</v>
      </c>
    </row>
    <row r="573" spans="1:3" x14ac:dyDescent="0.25">
      <c r="A573" t="s">
        <v>3711</v>
      </c>
      <c r="B573" t="s">
        <v>3126</v>
      </c>
    </row>
    <row r="574" spans="1:3" x14ac:dyDescent="0.25">
      <c r="A574" t="s">
        <v>312</v>
      </c>
      <c r="B574" t="s">
        <v>3712</v>
      </c>
    </row>
    <row r="575" spans="1:3" x14ac:dyDescent="0.25">
      <c r="A575" t="s">
        <v>3713</v>
      </c>
    </row>
    <row r="576" spans="1:3" x14ac:dyDescent="0.25">
      <c r="A576" t="s">
        <v>3714</v>
      </c>
    </row>
    <row r="577" spans="1:3" x14ac:dyDescent="0.25">
      <c r="A577" t="s">
        <v>3715</v>
      </c>
      <c r="B577" t="s">
        <v>3716</v>
      </c>
    </row>
    <row r="578" spans="1:3" x14ac:dyDescent="0.25">
      <c r="A578" t="s">
        <v>3717</v>
      </c>
    </row>
    <row r="579" spans="1:3" x14ac:dyDescent="0.25">
      <c r="A579" t="s">
        <v>3718</v>
      </c>
      <c r="B579" t="s">
        <v>2464</v>
      </c>
      <c r="C579" t="s">
        <v>3719</v>
      </c>
    </row>
    <row r="580" spans="1:3" x14ac:dyDescent="0.25">
      <c r="A580" t="s">
        <v>3720</v>
      </c>
      <c r="B580" t="s">
        <v>3721</v>
      </c>
      <c r="C580" t="s">
        <v>3722</v>
      </c>
    </row>
    <row r="581" spans="1:3" x14ac:dyDescent="0.25">
      <c r="A581" t="s">
        <v>147</v>
      </c>
    </row>
    <row r="582" spans="1:3" x14ac:dyDescent="0.25">
      <c r="A582" t="s">
        <v>3723</v>
      </c>
      <c r="B582" t="s">
        <v>3724</v>
      </c>
      <c r="C582" t="s">
        <v>3725</v>
      </c>
    </row>
    <row r="583" spans="1:3" x14ac:dyDescent="0.25">
      <c r="A583" t="s">
        <v>3726</v>
      </c>
    </row>
    <row r="584" spans="1:3" x14ac:dyDescent="0.25">
      <c r="A584" t="s">
        <v>3727</v>
      </c>
      <c r="B584" t="s">
        <v>3728</v>
      </c>
      <c r="C584" t="s">
        <v>3422</v>
      </c>
    </row>
    <row r="585" spans="1:3" x14ac:dyDescent="0.25">
      <c r="A585" t="s">
        <v>3729</v>
      </c>
    </row>
    <row r="586" spans="1:3" x14ac:dyDescent="0.25">
      <c r="A586" t="s">
        <v>3730</v>
      </c>
    </row>
    <row r="587" spans="1:3" x14ac:dyDescent="0.25">
      <c r="A587" t="s">
        <v>3164</v>
      </c>
      <c r="B587" t="s">
        <v>3731</v>
      </c>
      <c r="C587" t="s">
        <v>3732</v>
      </c>
    </row>
    <row r="588" spans="1:3" x14ac:dyDescent="0.25">
      <c r="A588" t="s">
        <v>3471</v>
      </c>
      <c r="B588" t="s">
        <v>3733</v>
      </c>
      <c r="C588" t="s">
        <v>3132</v>
      </c>
    </row>
    <row r="589" spans="1:3" x14ac:dyDescent="0.25">
      <c r="A589" t="s">
        <v>115</v>
      </c>
      <c r="B589" t="s">
        <v>2380</v>
      </c>
    </row>
    <row r="590" spans="1:3" x14ac:dyDescent="0.25">
      <c r="A590" t="s">
        <v>3734</v>
      </c>
      <c r="B590" t="s">
        <v>3735</v>
      </c>
      <c r="C590" t="s">
        <v>3736</v>
      </c>
    </row>
    <row r="591" spans="1:3" x14ac:dyDescent="0.25">
      <c r="A591" t="s">
        <v>3737</v>
      </c>
      <c r="B591" t="s">
        <v>3045</v>
      </c>
      <c r="C591" t="s">
        <v>3738</v>
      </c>
    </row>
    <row r="592" spans="1:3" x14ac:dyDescent="0.25">
      <c r="A592" t="s">
        <v>3739</v>
      </c>
      <c r="B592" t="s">
        <v>3740</v>
      </c>
      <c r="C592" t="s">
        <v>3741</v>
      </c>
    </row>
    <row r="593" spans="1:3" x14ac:dyDescent="0.25">
      <c r="A593" t="s">
        <v>3742</v>
      </c>
      <c r="B593" t="s">
        <v>3743</v>
      </c>
      <c r="C593" t="s">
        <v>3744</v>
      </c>
    </row>
    <row r="594" spans="1:3" x14ac:dyDescent="0.25">
      <c r="A594" t="s">
        <v>115</v>
      </c>
      <c r="B594" t="s">
        <v>3745</v>
      </c>
      <c r="C594" t="s">
        <v>3136</v>
      </c>
    </row>
    <row r="595" spans="1:3" x14ac:dyDescent="0.25">
      <c r="A595" t="s">
        <v>3746</v>
      </c>
      <c r="B595" t="s">
        <v>2380</v>
      </c>
      <c r="C595" t="s">
        <v>3747</v>
      </c>
    </row>
    <row r="596" spans="1:3" x14ac:dyDescent="0.25">
      <c r="A596" t="s">
        <v>3008</v>
      </c>
    </row>
    <row r="597" spans="1:3" x14ac:dyDescent="0.25">
      <c r="A597" t="s">
        <v>147</v>
      </c>
    </row>
    <row r="598" spans="1:3" x14ac:dyDescent="0.25">
      <c r="A598" t="s">
        <v>115</v>
      </c>
    </row>
    <row r="599" spans="1:3" x14ac:dyDescent="0.25">
      <c r="A599" t="s">
        <v>3748</v>
      </c>
    </row>
    <row r="600" spans="1:3" x14ac:dyDescent="0.25">
      <c r="A600" t="s">
        <v>3236</v>
      </c>
    </row>
    <row r="601" spans="1:3" x14ac:dyDescent="0.25">
      <c r="A601" t="s">
        <v>3749</v>
      </c>
      <c r="B601" t="s">
        <v>3750</v>
      </c>
    </row>
    <row r="602" spans="1:3" x14ac:dyDescent="0.25">
      <c r="A602" t="s">
        <v>1713</v>
      </c>
    </row>
    <row r="603" spans="1:3" x14ac:dyDescent="0.25">
      <c r="A603" t="s">
        <v>115</v>
      </c>
      <c r="B603" t="s">
        <v>62</v>
      </c>
    </row>
    <row r="604" spans="1:3" x14ac:dyDescent="0.25">
      <c r="A604" t="s">
        <v>115</v>
      </c>
      <c r="B604" t="s">
        <v>147</v>
      </c>
      <c r="C604" t="s">
        <v>3020</v>
      </c>
    </row>
    <row r="605" spans="1:3" x14ac:dyDescent="0.25">
      <c r="A605" t="s">
        <v>3751</v>
      </c>
      <c r="B605" t="s">
        <v>3752</v>
      </c>
      <c r="C605" t="s">
        <v>3753</v>
      </c>
    </row>
    <row r="606" spans="1:3" x14ac:dyDescent="0.25">
      <c r="A606" t="s">
        <v>3754</v>
      </c>
      <c r="B606" t="s">
        <v>3755</v>
      </c>
      <c r="C606" t="s">
        <v>3413</v>
      </c>
    </row>
    <row r="607" spans="1:3" x14ac:dyDescent="0.25">
      <c r="A607" t="s">
        <v>3756</v>
      </c>
    </row>
    <row r="608" spans="1:3" x14ac:dyDescent="0.25">
      <c r="A608" t="s">
        <v>3757</v>
      </c>
      <c r="B608" t="s">
        <v>3758</v>
      </c>
    </row>
    <row r="609" spans="1:3" x14ac:dyDescent="0.25">
      <c r="A609" t="s">
        <v>115</v>
      </c>
      <c r="B609" t="s">
        <v>262</v>
      </c>
      <c r="C609" t="s">
        <v>3759</v>
      </c>
    </row>
    <row r="610" spans="1:3" x14ac:dyDescent="0.25">
      <c r="A610" t="s">
        <v>3760</v>
      </c>
      <c r="B610" t="s">
        <v>3761</v>
      </c>
    </row>
    <row r="611" spans="1:3" x14ac:dyDescent="0.25">
      <c r="A611" t="s">
        <v>3762</v>
      </c>
      <c r="B611" t="s">
        <v>3575</v>
      </c>
      <c r="C611" t="s">
        <v>3763</v>
      </c>
    </row>
    <row r="612" spans="1:3" x14ac:dyDescent="0.25">
      <c r="A612" t="s">
        <v>3251</v>
      </c>
      <c r="B612" t="s">
        <v>3406</v>
      </c>
      <c r="C612" t="s">
        <v>3238</v>
      </c>
    </row>
    <row r="613" spans="1:3" x14ac:dyDescent="0.25">
      <c r="A613" t="s">
        <v>3764</v>
      </c>
      <c r="B613" t="s">
        <v>3765</v>
      </c>
      <c r="C613" t="s">
        <v>3273</v>
      </c>
    </row>
    <row r="614" spans="1:3" x14ac:dyDescent="0.25">
      <c r="A614" t="s">
        <v>123</v>
      </c>
      <c r="B614" t="s">
        <v>3368</v>
      </c>
      <c r="C614" t="s">
        <v>3125</v>
      </c>
    </row>
    <row r="615" spans="1:3" x14ac:dyDescent="0.25">
      <c r="A615" t="s">
        <v>3766</v>
      </c>
      <c r="B615" t="s">
        <v>3767</v>
      </c>
    </row>
    <row r="616" spans="1:3" x14ac:dyDescent="0.25">
      <c r="A616" t="s">
        <v>3768</v>
      </c>
      <c r="B616" t="s">
        <v>3769</v>
      </c>
    </row>
    <row r="617" spans="1:3" x14ac:dyDescent="0.25">
      <c r="A617" t="s">
        <v>3770</v>
      </c>
      <c r="B617" t="s">
        <v>177</v>
      </c>
    </row>
    <row r="618" spans="1:3" x14ac:dyDescent="0.25">
      <c r="A618" t="s">
        <v>3771</v>
      </c>
      <c r="B618" t="s">
        <v>3772</v>
      </c>
      <c r="C618" t="s">
        <v>3341</v>
      </c>
    </row>
    <row r="619" spans="1:3" x14ac:dyDescent="0.25">
      <c r="A619" t="s">
        <v>512</v>
      </c>
      <c r="B619" t="s">
        <v>3773</v>
      </c>
    </row>
    <row r="620" spans="1:3" x14ac:dyDescent="0.25">
      <c r="A620" t="s">
        <v>115</v>
      </c>
      <c r="B620" t="s">
        <v>3136</v>
      </c>
      <c r="C620" t="s">
        <v>3055</v>
      </c>
    </row>
    <row r="621" spans="1:3" x14ac:dyDescent="0.25">
      <c r="A621" t="s">
        <v>3774</v>
      </c>
      <c r="B621" t="s">
        <v>3775</v>
      </c>
      <c r="C621" t="s">
        <v>146</v>
      </c>
    </row>
    <row r="622" spans="1:3" x14ac:dyDescent="0.25">
      <c r="A622" t="s">
        <v>115</v>
      </c>
      <c r="B622" t="s">
        <v>2380</v>
      </c>
    </row>
    <row r="623" spans="1:3" x14ac:dyDescent="0.25">
      <c r="A623" t="s">
        <v>816</v>
      </c>
      <c r="B623" t="s">
        <v>3348</v>
      </c>
    </row>
    <row r="624" spans="1:3" x14ac:dyDescent="0.25">
      <c r="A624" t="s">
        <v>3149</v>
      </c>
      <c r="B624" t="s">
        <v>3714</v>
      </c>
      <c r="C624" t="s">
        <v>3776</v>
      </c>
    </row>
    <row r="625" spans="1:3" x14ac:dyDescent="0.25">
      <c r="A625" t="s">
        <v>3000</v>
      </c>
    </row>
    <row r="626" spans="1:3" x14ac:dyDescent="0.25">
      <c r="A626" t="s">
        <v>61</v>
      </c>
      <c r="B626" t="s">
        <v>3777</v>
      </c>
      <c r="C626" t="s">
        <v>3117</v>
      </c>
    </row>
    <row r="627" spans="1:3" x14ac:dyDescent="0.25">
      <c r="A627" t="s">
        <v>3238</v>
      </c>
    </row>
    <row r="628" spans="1:3" x14ac:dyDescent="0.25">
      <c r="A628" t="s">
        <v>60</v>
      </c>
      <c r="B628" t="s">
        <v>356</v>
      </c>
    </row>
    <row r="629" spans="1:3" x14ac:dyDescent="0.25">
      <c r="A629" t="s">
        <v>3778</v>
      </c>
      <c r="B629" t="s">
        <v>3779</v>
      </c>
      <c r="C629" t="s">
        <v>3780</v>
      </c>
    </row>
    <row r="630" spans="1:3" x14ac:dyDescent="0.25">
      <c r="A630" t="s">
        <v>3781</v>
      </c>
      <c r="B630" t="s">
        <v>3782</v>
      </c>
      <c r="C630" t="s">
        <v>3783</v>
      </c>
    </row>
    <row r="631" spans="1:3" x14ac:dyDescent="0.25">
      <c r="A631" t="s">
        <v>3784</v>
      </c>
      <c r="B631" t="s">
        <v>3118</v>
      </c>
    </row>
    <row r="632" spans="1:3" x14ac:dyDescent="0.25">
      <c r="A632" t="s">
        <v>3125</v>
      </c>
      <c r="B632" t="s">
        <v>2380</v>
      </c>
    </row>
    <row r="633" spans="1:3" x14ac:dyDescent="0.25">
      <c r="A633" t="s">
        <v>3785</v>
      </c>
      <c r="B633" t="s">
        <v>3786</v>
      </c>
      <c r="C633" t="s">
        <v>3787</v>
      </c>
    </row>
    <row r="634" spans="1:3" x14ac:dyDescent="0.25">
      <c r="A634" t="s">
        <v>3136</v>
      </c>
      <c r="B634" t="s">
        <v>115</v>
      </c>
      <c r="C634" t="s">
        <v>123</v>
      </c>
    </row>
    <row r="635" spans="1:3" x14ac:dyDescent="0.25">
      <c r="A635" t="s">
        <v>3629</v>
      </c>
      <c r="B635" t="s">
        <v>3148</v>
      </c>
    </row>
    <row r="636" spans="1:3" x14ac:dyDescent="0.25">
      <c r="A636" t="s">
        <v>247</v>
      </c>
    </row>
    <row r="637" spans="1:3" x14ac:dyDescent="0.25">
      <c r="A637" t="s">
        <v>3788</v>
      </c>
    </row>
    <row r="638" spans="1:3" x14ac:dyDescent="0.25">
      <c r="A638" t="s">
        <v>115</v>
      </c>
      <c r="B638" t="s">
        <v>147</v>
      </c>
    </row>
    <row r="639" spans="1:3" x14ac:dyDescent="0.25">
      <c r="A639" t="s">
        <v>3789</v>
      </c>
      <c r="B639" t="s">
        <v>3790</v>
      </c>
    </row>
    <row r="640" spans="1:3" x14ac:dyDescent="0.25">
      <c r="A640" t="s">
        <v>405</v>
      </c>
    </row>
    <row r="641" spans="1:3" x14ac:dyDescent="0.25">
      <c r="A641" t="s">
        <v>3791</v>
      </c>
      <c r="B641" t="s">
        <v>3236</v>
      </c>
    </row>
    <row r="642" spans="1:3" x14ac:dyDescent="0.25">
      <c r="A642" t="s">
        <v>115</v>
      </c>
    </row>
    <row r="643" spans="1:3" x14ac:dyDescent="0.25">
      <c r="A643" t="s">
        <v>582</v>
      </c>
    </row>
    <row r="644" spans="1:3" x14ac:dyDescent="0.25">
      <c r="A644" t="s">
        <v>3792</v>
      </c>
    </row>
    <row r="645" spans="1:3" x14ac:dyDescent="0.25">
      <c r="A645" t="s">
        <v>115</v>
      </c>
      <c r="B645" t="s">
        <v>3793</v>
      </c>
    </row>
    <row r="646" spans="1:3" x14ac:dyDescent="0.25">
      <c r="A646" t="s">
        <v>115</v>
      </c>
      <c r="B646" t="s">
        <v>815</v>
      </c>
    </row>
    <row r="647" spans="1:3" x14ac:dyDescent="0.25">
      <c r="A647" t="s">
        <v>147</v>
      </c>
    </row>
    <row r="648" spans="1:3" x14ac:dyDescent="0.25">
      <c r="A648" t="s">
        <v>3794</v>
      </c>
      <c r="B648" t="s">
        <v>3795</v>
      </c>
      <c r="C648" t="s">
        <v>3796</v>
      </c>
    </row>
    <row r="649" spans="1:3" x14ac:dyDescent="0.25">
      <c r="A649" t="s">
        <v>3797</v>
      </c>
      <c r="B649" t="s">
        <v>3798</v>
      </c>
    </row>
    <row r="650" spans="1:3" x14ac:dyDescent="0.25">
      <c r="A650" t="s">
        <v>3136</v>
      </c>
      <c r="B650" t="s">
        <v>61</v>
      </c>
    </row>
    <row r="651" spans="1:3" x14ac:dyDescent="0.25">
      <c r="A651" t="s">
        <v>506</v>
      </c>
      <c r="B651" t="s">
        <v>3799</v>
      </c>
      <c r="C651" t="s">
        <v>3800</v>
      </c>
    </row>
    <row r="652" spans="1:3" x14ac:dyDescent="0.25">
      <c r="A652" t="s">
        <v>512</v>
      </c>
      <c r="B652" t="s">
        <v>2585</v>
      </c>
      <c r="C652" t="s">
        <v>115</v>
      </c>
    </row>
    <row r="653" spans="1:3" x14ac:dyDescent="0.25">
      <c r="A653" t="s">
        <v>3020</v>
      </c>
      <c r="B653" t="s">
        <v>3801</v>
      </c>
      <c r="C653" t="s">
        <v>3802</v>
      </c>
    </row>
    <row r="654" spans="1:3" x14ac:dyDescent="0.25">
      <c r="A654" t="s">
        <v>147</v>
      </c>
      <c r="B654" t="s">
        <v>3803</v>
      </c>
      <c r="C654" t="s">
        <v>3804</v>
      </c>
    </row>
    <row r="655" spans="1:3" x14ac:dyDescent="0.25">
      <c r="A655" t="s">
        <v>3805</v>
      </c>
    </row>
    <row r="656" spans="1:3" x14ac:dyDescent="0.25">
      <c r="A656" t="s">
        <v>3806</v>
      </c>
    </row>
    <row r="657" spans="1:3" x14ac:dyDescent="0.25">
      <c r="A657" t="s">
        <v>3807</v>
      </c>
      <c r="B657" t="s">
        <v>3808</v>
      </c>
      <c r="C657" t="s">
        <v>3809</v>
      </c>
    </row>
    <row r="658" spans="1:3" x14ac:dyDescent="0.25">
      <c r="A658" t="s">
        <v>3810</v>
      </c>
    </row>
    <row r="659" spans="1:3" x14ac:dyDescent="0.25">
      <c r="A659" t="s">
        <v>3811</v>
      </c>
    </row>
    <row r="660" spans="1:3" x14ac:dyDescent="0.25">
      <c r="A660" t="s">
        <v>1894</v>
      </c>
      <c r="B660" t="s">
        <v>3164</v>
      </c>
    </row>
    <row r="661" spans="1:3" x14ac:dyDescent="0.25">
      <c r="A661" t="s">
        <v>3812</v>
      </c>
      <c r="B661" t="s">
        <v>3813</v>
      </c>
      <c r="C661" t="s">
        <v>819</v>
      </c>
    </row>
    <row r="662" spans="1:3" x14ac:dyDescent="0.25">
      <c r="A662" t="s">
        <v>3251</v>
      </c>
    </row>
    <row r="663" spans="1:3" x14ac:dyDescent="0.25">
      <c r="A663" t="s">
        <v>115</v>
      </c>
    </row>
    <row r="664" spans="1:3" x14ac:dyDescent="0.25">
      <c r="A664" t="s">
        <v>147</v>
      </c>
      <c r="B664" t="s">
        <v>3814</v>
      </c>
      <c r="C664" t="s">
        <v>3815</v>
      </c>
    </row>
    <row r="665" spans="1:3" x14ac:dyDescent="0.25">
      <c r="A665" t="s">
        <v>815</v>
      </c>
      <c r="B665" t="s">
        <v>115</v>
      </c>
      <c r="C665" t="s">
        <v>512</v>
      </c>
    </row>
    <row r="666" spans="1:3" x14ac:dyDescent="0.25">
      <c r="A666" t="s">
        <v>82</v>
      </c>
    </row>
    <row r="667" spans="1:3" x14ac:dyDescent="0.25">
      <c r="A667" t="s">
        <v>3816</v>
      </c>
      <c r="B667" t="s">
        <v>3058</v>
      </c>
    </row>
    <row r="668" spans="1:3" x14ac:dyDescent="0.25">
      <c r="A668" t="s">
        <v>115</v>
      </c>
      <c r="B668" t="s">
        <v>3817</v>
      </c>
      <c r="C668" t="s">
        <v>187</v>
      </c>
    </row>
    <row r="669" spans="1:3" x14ac:dyDescent="0.25">
      <c r="A669" t="s">
        <v>3118</v>
      </c>
      <c r="B669" t="s">
        <v>3341</v>
      </c>
    </row>
    <row r="670" spans="1:3" x14ac:dyDescent="0.25">
      <c r="A670" t="s">
        <v>3149</v>
      </c>
    </row>
    <row r="671" spans="1:3" x14ac:dyDescent="0.25">
      <c r="A671" t="s">
        <v>3818</v>
      </c>
    </row>
    <row r="672" spans="1:3" x14ac:dyDescent="0.25">
      <c r="A672" t="s">
        <v>3819</v>
      </c>
      <c r="B672" t="s">
        <v>3820</v>
      </c>
      <c r="C672" t="s">
        <v>3821</v>
      </c>
    </row>
    <row r="673" spans="1:3" x14ac:dyDescent="0.25">
      <c r="A673" t="s">
        <v>3822</v>
      </c>
      <c r="B673" t="s">
        <v>3823</v>
      </c>
    </row>
    <row r="674" spans="1:3" x14ac:dyDescent="0.25">
      <c r="A674" t="s">
        <v>147</v>
      </c>
      <c r="B674" t="s">
        <v>3020</v>
      </c>
    </row>
    <row r="675" spans="1:3" x14ac:dyDescent="0.25">
      <c r="A675" t="s">
        <v>3824</v>
      </c>
      <c r="B675" t="s">
        <v>3825</v>
      </c>
      <c r="C675" t="s">
        <v>3826</v>
      </c>
    </row>
    <row r="676" spans="1:3" x14ac:dyDescent="0.25">
      <c r="A676" t="s">
        <v>2380</v>
      </c>
      <c r="B676" t="s">
        <v>3097</v>
      </c>
    </row>
    <row r="677" spans="1:3" x14ac:dyDescent="0.25">
      <c r="A677" t="s">
        <v>3236</v>
      </c>
      <c r="B677" t="s">
        <v>3827</v>
      </c>
      <c r="C677" t="s">
        <v>3076</v>
      </c>
    </row>
    <row r="678" spans="1:3" x14ac:dyDescent="0.25">
      <c r="A678" t="s">
        <v>2380</v>
      </c>
    </row>
    <row r="679" spans="1:3" x14ac:dyDescent="0.25">
      <c r="A679" t="s">
        <v>3828</v>
      </c>
    </row>
    <row r="680" spans="1:3" x14ac:dyDescent="0.25">
      <c r="A680" t="s">
        <v>3125</v>
      </c>
      <c r="B680" t="s">
        <v>3829</v>
      </c>
      <c r="C680" t="s">
        <v>3830</v>
      </c>
    </row>
    <row r="681" spans="1:3" x14ac:dyDescent="0.25">
      <c r="A681" t="s">
        <v>3831</v>
      </c>
      <c r="B681" t="s">
        <v>3832</v>
      </c>
    </row>
    <row r="682" spans="1:3" x14ac:dyDescent="0.25">
      <c r="A682" t="s">
        <v>3113</v>
      </c>
      <c r="B682" t="s">
        <v>3114</v>
      </c>
      <c r="C682" t="s">
        <v>3740</v>
      </c>
    </row>
    <row r="683" spans="1:3" x14ac:dyDescent="0.25">
      <c r="A683" t="s">
        <v>3833</v>
      </c>
      <c r="B683" t="s">
        <v>3834</v>
      </c>
      <c r="C683" t="s">
        <v>3045</v>
      </c>
    </row>
    <row r="684" spans="1:3" x14ac:dyDescent="0.25">
      <c r="A684" t="s">
        <v>506</v>
      </c>
      <c r="B684" t="s">
        <v>3835</v>
      </c>
      <c r="C684" t="s">
        <v>3836</v>
      </c>
    </row>
    <row r="685" spans="1:3" x14ac:dyDescent="0.25">
      <c r="A685" t="s">
        <v>147</v>
      </c>
      <c r="B685" t="s">
        <v>3837</v>
      </c>
      <c r="C685" t="s">
        <v>262</v>
      </c>
    </row>
    <row r="686" spans="1:3" x14ac:dyDescent="0.25">
      <c r="A686" t="s">
        <v>312</v>
      </c>
      <c r="B686" t="s">
        <v>819</v>
      </c>
    </row>
    <row r="687" spans="1:3" x14ac:dyDescent="0.25">
      <c r="A687" t="s">
        <v>512</v>
      </c>
      <c r="B687" t="s">
        <v>3838</v>
      </c>
      <c r="C687" t="s">
        <v>147</v>
      </c>
    </row>
    <row r="688" spans="1:3" x14ac:dyDescent="0.25">
      <c r="A688" t="s">
        <v>3148</v>
      </c>
      <c r="B688" t="s">
        <v>3839</v>
      </c>
      <c r="C688" t="s">
        <v>3840</v>
      </c>
    </row>
    <row r="689" spans="1:3" x14ac:dyDescent="0.25">
      <c r="A689" t="s">
        <v>3125</v>
      </c>
      <c r="B689" t="s">
        <v>3233</v>
      </c>
    </row>
    <row r="690" spans="1:3" x14ac:dyDescent="0.25">
      <c r="A690" t="s">
        <v>3841</v>
      </c>
      <c r="B690" t="s">
        <v>3842</v>
      </c>
    </row>
    <row r="691" spans="1:3" x14ac:dyDescent="0.25">
      <c r="A691" t="s">
        <v>512</v>
      </c>
      <c r="B691" t="s">
        <v>115</v>
      </c>
      <c r="C691" t="s">
        <v>3843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Tabulka</vt:lpstr>
      <vt:lpstr>proc_horsi</vt:lpstr>
      <vt:lpstr>proc_lepsi</vt:lpstr>
      <vt:lpstr>co_delat</vt:lpstr>
      <vt:lpstr>sucho_jak</vt:lpstr>
      <vt:lpstr>ovzdusi_jak</vt:lpstr>
      <vt:lpstr>recall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Lucie</dc:creator>
  <cp:lastModifiedBy>Lucie</cp:lastModifiedBy>
  <dcterms:created xsi:type="dcterms:W3CDTF">2020-07-21T12:12:07Z</dcterms:created>
  <dcterms:modified xsi:type="dcterms:W3CDTF">2020-07-21T12:45:22Z</dcterms:modified>
</cp:coreProperties>
</file>