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DATA\DEBA\SON\"/>
    </mc:Choice>
  </mc:AlternateContent>
  <xr:revisionPtr revIDLastSave="0" documentId="13_ncr:1_{7A16564E-27C8-49F8-A058-8DA49492A563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세대갈등" sheetId="1" r:id="rId1"/>
    <sheet name="세대차이" sheetId="2" r:id="rId2"/>
    <sheet name="노인혐오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" i="3" l="1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333333"/>
      <name val="Consolas"/>
    </font>
    <font>
      <sz val="8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ews.google.com/rss/articles/CBMiVGh0dHBzOi8vbmV3cy5rb3JlYWRhaWx5LmNvbS8yMDIzLzAzLzE1L2Vjb25vbXkvZWNvbm9teWdlbmVyYWwvMjAyMzAzMTUyMTQxMzAxNTguaHRtbNIBAA?oc=5" TargetMode="External"/><Relationship Id="rId21" Type="http://schemas.openxmlformats.org/officeDocument/2006/relationships/hyperlink" Target="https://news.google.com/rss/articles/CBMiLmh0dHBzOi8vd3d3Lmhhbmt5dW5nLmNvbS9hcnRpY2xlLzIwMjMwOTAzOTg1NWnSAQA?oc=5" TargetMode="External"/><Relationship Id="rId42" Type="http://schemas.openxmlformats.org/officeDocument/2006/relationships/hyperlink" Target="https://news.google.com/rss/articles/CBMiPmh0dHA6Ly93d3cudHluZXdzcGFwZXIuY28ua3IvbmV3cy9hcnRpY2xlVmlldy5odG1sP2lkeG5vPTI2ODgy0gEA?oc=5" TargetMode="External"/><Relationship Id="rId63" Type="http://schemas.openxmlformats.org/officeDocument/2006/relationships/hyperlink" Target="https://news.google.com/rss/articles/CBMiOGh0dHBzOi8vbS5oYW5rb29raWxiby5jb20vTmV3cy9SZWFkL0EyMDIzMDgyNDE1MDMwMDAxNzY20gEA?oc=5" TargetMode="External"/><Relationship Id="rId84" Type="http://schemas.openxmlformats.org/officeDocument/2006/relationships/hyperlink" Target="https://news.google.com/rss/articles/CBMiS2h0dHBzOi8vd3d3LmVkYWlseS5jby5rci9uZXdzL3JlYWQ_bmV3c0lkPTAzMjY2ODg2NjM1NzExOTEyJm1lZGlhQ29kZU5vPTI1N9IBSGh0dHBzOi8vbS5lZGFpbHkuY28ua3IvYW1wL3JlYWQ_bmV3c0lkPTAzMjY2ODg2NjM1NzExOTEyJm1lZGlhQ29kZU5vPTI1Nw?oc=5" TargetMode="External"/><Relationship Id="rId138" Type="http://schemas.openxmlformats.org/officeDocument/2006/relationships/hyperlink" Target="https://news.google.com/rss/articles/CBMiTGh0dHA6Ly93d3cuaW52ZXN0Y2hvc3VuLmNvbS9zaXRlL2RhdGEvaHRtbF9kaXIvMjAyMy8wMy8wMi8yMDIzMDMwMjgwMjM1Lmh0bWzSAQA?oc=5" TargetMode="External"/><Relationship Id="rId159" Type="http://schemas.openxmlformats.org/officeDocument/2006/relationships/hyperlink" Target="https://news.google.com/rss/articles/CBMiPGh0dHBzOi8vbWFnYXppbmUuaGFua3l1bmcuY29tL2J1c2luZXNzL2FydGljbGUvMjAyMzAzMDg0ODU4YtIBOGh0dHBzOi8vbWFnYXppbmUuaGFua3l1bmcuY29tL2J1c2luZXNzL2FtcC8yMDIzMDMwODQ4NThi?oc=5" TargetMode="External"/><Relationship Id="rId107" Type="http://schemas.openxmlformats.org/officeDocument/2006/relationships/hyperlink" Target="https://news.google.com/rss/articles/CBMiN2h0dHBzOi8vbmV3cy5tdC5jby5rci9tdHZpZXcucGhwP25vPTIwMjMwODI1MDYzOTQ3NTkwNzTSAT1odHRwczovL20ubXQuY28ua3IvcmVuZXcvdmlld19hbXAuaHRtbD9ubz0yMDIzMDgyNTA2Mzk0NzU5MDc0?oc=5" TargetMode="External"/><Relationship Id="rId11" Type="http://schemas.openxmlformats.org/officeDocument/2006/relationships/hyperlink" Target="https://news.google.com/rss/articles/CBMiOmh0dHBzOi8vd3d3Lmt1bmV3cy5hYy5rci9uZXdzL2FydGljbGVWaWV3Lmh0bWw_aWR4bm89NDEyODfSATxodHRwOi8vd3d3Lmt1bmV3cy5hYy5rci9uZXdzL2FydGljbGVWaWV3QW1wLmh0bWw_aWR4bm89NDEyODc?oc=5" TargetMode="External"/><Relationship Id="rId32" Type="http://schemas.openxmlformats.org/officeDocument/2006/relationships/hyperlink" Target="https://news.google.com/rss/articles/CBMiO2h0dHA6Ly93d3cucG9saWNldHYuY28ua3IvbmV3cy9hcnRpY2xlVmlldy5odG1sP2lkeG5vPTQ2MTA00gEA?oc=5" TargetMode="External"/><Relationship Id="rId53" Type="http://schemas.openxmlformats.org/officeDocument/2006/relationships/hyperlink" Target="https://news.google.com/rss/articles/CBMiMWh0dHBzOi8vd3d3Lmt1a2luZXdzLmNvbS9uZXdzVmlldy9rdWsyMDIzMDgzMTAxODPSAQA?oc=5" TargetMode="External"/><Relationship Id="rId74" Type="http://schemas.openxmlformats.org/officeDocument/2006/relationships/hyperlink" Target="https://news.google.com/rss/articles/CBMiR2h0dHBzOi8vd3d3LmRhaWx5c3BvcnRzaGFua29vay5jby5rci9uZXdzL2FydGljbGVWaWV3Lmh0bWw_aWR4bm89MzEwNjkw0gFKaHR0cHM6Ly93d3cuZGFpbHlzcG9ydHNoYW5rb29rLmNvLmtyL25ld3MvYXJ0aWNsZVZpZXdBbXAuaHRtbD9pZHhubz0zMTA2OTA?oc=5" TargetMode="External"/><Relationship Id="rId128" Type="http://schemas.openxmlformats.org/officeDocument/2006/relationships/hyperlink" Target="https://news.google.com/rss/articles/CBMiN2h0dHBzOi8vbmV3cy5tdC5jby5rci9tdHZpZXcucGhwP25vPTIwMjMwMjA3MTgwMzM4OTk3NDPSAT1odHRwczovL20ubXQuY28ua3IvcmVuZXcvdmlld19hbXAuaHRtbD9ubz0yMDIzMDIwNzE4MDMzODk5NzQz?oc=5" TargetMode="External"/><Relationship Id="rId149" Type="http://schemas.openxmlformats.org/officeDocument/2006/relationships/hyperlink" Target="https://news.google.com/rss/articles/CBMiOGh0dHBzOi8vbS5oYW5rb29raWxiby5jb20vTmV3cy9SZWFkL0EyMDIzMDQzMDE1NDgwMDAwNzE20gEA?oc=5" TargetMode="External"/><Relationship Id="rId5" Type="http://schemas.openxmlformats.org/officeDocument/2006/relationships/hyperlink" Target="https://news.google.com/rss/articles/CBMiUmh0dHBzOi8vYml6LmNob3N1bi5jb20vdG9waWNzL3RvcGljc19zb2NpYWwvMjAyMy8wOS8wMy9OQVFYRUFNVUFSQlBSQ0dQVE1SMk9VNjRYQS_SAWFodHRwczovL2Jpei5jaG9zdW4uY29tL3RvcGljcy90b3BpY3Nfc29jaWFsLzIwMjMvMDkvMDMvTkFRWEVBTVVBUkJQUkNHUFRNUjJPVTY0WEEvP291dHB1dFR5cGU9YW1w?oc=5" TargetMode="External"/><Relationship Id="rId95" Type="http://schemas.openxmlformats.org/officeDocument/2006/relationships/hyperlink" Target="https://news.google.com/rss/articles/CBMiTmh0dHBzOi8vd3d3LmNob3N1bi5jb20vbmF0aW9uYWwvd2Vla2VuZC8yMDIzLzA4LzI2L0lIRUJDSVdNNU5CWk5HTVU2UFBBWUdZUVlRL9IBXWh0dHBzOi8vd3d3LmNob3N1bi5jb20vbmF0aW9uYWwvd2Vla2VuZC8yMDIzLzA4LzI2L0lIRUJDSVdNNU5CWk5HTVU2UFBBWUdZUVlRLz9vdXRwdXRUeXBlPWFtcA?oc=5" TargetMode="External"/><Relationship Id="rId160" Type="http://schemas.openxmlformats.org/officeDocument/2006/relationships/hyperlink" Target="https://news.google.com/rss/articles/CBMiPWh0dHBzOi8vd3d3LmJyYW5kYnJpZWYuY28ua3IvbmV3cy9hcnRpY2xlVmlldy5odG1sP2lkeG5vPTU0NDbSAQA?oc=5" TargetMode="External"/><Relationship Id="rId22" Type="http://schemas.openxmlformats.org/officeDocument/2006/relationships/hyperlink" Target="https://news.google.com/rss/articles/CBMiL2h0dHBzOi8vbS5la24ua3Ivdmlldy5waHA_a2V5PTIwMjMwOTAxMDEwMDAwMjQx0gEA?oc=5" TargetMode="External"/><Relationship Id="rId43" Type="http://schemas.openxmlformats.org/officeDocument/2006/relationships/hyperlink" Target="https://news.google.com/rss/articles/CBMiNWh0dHA6Ly9tLmJpZ3RhbmV3cy5jby5rci9hcnRpY2xlL3ZpZXcvYmlnMjAyMzA4MDMwMDE00gEA?oc=5" TargetMode="External"/><Relationship Id="rId64" Type="http://schemas.openxmlformats.org/officeDocument/2006/relationships/hyperlink" Target="https://news.google.com/rss/articles/CBMiLGh0dHBzOi8vd3d3LmRhaWxpYW4uY28ua3IvbmV3cy92aWV3LzEyNjgwODcv0gEtaHR0cHM6Ly9tLmRhaWxpYW4uY28ua3IvYW1wL25ld3Mvdmlldy8xMjY4MDg3?oc=5" TargetMode="External"/><Relationship Id="rId118" Type="http://schemas.openxmlformats.org/officeDocument/2006/relationships/hyperlink" Target="https://news.google.com/rss/articles/CBMiK2h0dHBzOi8vemRuZXQuY28ua3Ivdmlldy8_bm89MjAyMzA3MDMwODA4MjfSAQA?oc=5" TargetMode="External"/><Relationship Id="rId139" Type="http://schemas.openxmlformats.org/officeDocument/2006/relationships/hyperlink" Target="https://news.google.com/rss/articles/CBMiTmh0dHBzOi8vd3d3LmNob3N1bi5jb20vbmF0aW9uYWwvd2Vla2VuZC8yMDIzLzAyLzExL1ZXU1FQNkUySjVBQUpIRVhQU09YQUVBSDJFL9IBXWh0dHBzOi8vd3d3LmNob3N1bi5jb20vbmF0aW9uYWwvd2Vla2VuZC8yMDIzLzAyLzExL1ZXU1FQNkUySjVBQUpIRVhQU09YQUVBSDJFLz9vdXRwdXRUeXBlPWFtcA?oc=5" TargetMode="External"/><Relationship Id="rId85" Type="http://schemas.openxmlformats.org/officeDocument/2006/relationships/hyperlink" Target="https://news.google.com/rss/articles/CBMiLmh0dHBzOi8vd3d3LnBlb3BsZXBvd2VyMjEub3JnL21hZ2F6aW5lLzE5NDYzMTPSAQA?oc=5" TargetMode="External"/><Relationship Id="rId150" Type="http://schemas.openxmlformats.org/officeDocument/2006/relationships/hyperlink" Target="https://news.google.com/rss/articles/CBMiOGh0dHBzOi8vbS5oYW5rb29raWxiby5jb20vTmV3cy9SZWFkL0EyMDIzMDMyMjEwMDkwMDAwODk00gEA?oc=5" TargetMode="External"/><Relationship Id="rId12" Type="http://schemas.openxmlformats.org/officeDocument/2006/relationships/hyperlink" Target="https://news.google.com/rss/articles/CBMiLGh0dHBzOi8vbS5raGFuLmNvLmtyL2FydGljbGUvMjAyMzA5MDMxNjM5MDEx0gFKaHR0cHM6Ly9tLmtoYW4uY28ua3IvcG9saXRpY3MvcG9saXRpY3MtZ2VuZXJhbC9hcnRpY2xlLzIwMjMwOTAzMTYzOTAxMS9hbXA?oc=5" TargetMode="External"/><Relationship Id="rId17" Type="http://schemas.openxmlformats.org/officeDocument/2006/relationships/hyperlink" Target="https://news.google.com/rss/articles/CBMiM2h0dHBzOi8vd3d3Lm1ldHJvc2VvdWwuY28ua3IvYXJ0aWNsZS8yMDIzMDkwMzUwMDMxNNIBAA?oc=5" TargetMode="External"/><Relationship Id="rId33" Type="http://schemas.openxmlformats.org/officeDocument/2006/relationships/hyperlink" Target="https://news.google.com/rss/articles/CBMiQ2h0dHBzOi8vd3d3LmRvbmdhLmNvbS9uZXdzL1NvY2lldHkvYXJ0aWNsZS9hbGwvMjAyMzAzMDMvMTE4MTU0OTEyLzHSATdodHRwczovL3d3dy5kb25nYS5jb20vbmV3cy9hbXAvYWxsLzIwMjMwMzAzLzExODE1NDkxMi8x?oc=5" TargetMode="External"/><Relationship Id="rId38" Type="http://schemas.openxmlformats.org/officeDocument/2006/relationships/hyperlink" Target="https://news.google.com/rss/articles/CBMiLmh0dHBzOi8vd3d3LmFqdW5ld3MuY29tL3ZpZXcvMjAyMzA4MDIxMDM2NTQ5NDLSAStodHRwczovL20uYWp1bmV3cy5jb20vYW1wLzIwMjMwODAyMTAzNjU0OTQy?oc=5" TargetMode="External"/><Relationship Id="rId59" Type="http://schemas.openxmlformats.org/officeDocument/2006/relationships/hyperlink" Target="https://news.google.com/rss/articles/CBMiK2h0dHBzOi8vd3d3LmJpemhhbmtvb2suY29tL2JrL2FydGljbGUvMjYxOTXSAQA?oc=5" TargetMode="External"/><Relationship Id="rId103" Type="http://schemas.openxmlformats.org/officeDocument/2006/relationships/hyperlink" Target="https://news.google.com/rss/articles/CBMiJ2h0dHBzOi8vaHJjb3Bpbmlvbi5jby5rci9hcmNoaXZlcy8yNTk3OdIBK2h0dHBzOi8vaHJjb3Bpbmlvbi5jby5rci9hcmNoaXZlcy8yNTk3OS9hbXA?oc=5" TargetMode="External"/><Relationship Id="rId108" Type="http://schemas.openxmlformats.org/officeDocument/2006/relationships/hyperlink" Target="https://news.google.com/rss/articles/CBMiS2h0dHA6Ly93ZWVrbHkua2hhbi5jby5rci9raG5tLmh0bWw_bW9kZT12aWV3JmFydGlkPTIwMjMwODI1MTA1NTE3MSZjb2RlPTExNdIBAA?oc=5" TargetMode="External"/><Relationship Id="rId124" Type="http://schemas.openxmlformats.org/officeDocument/2006/relationships/hyperlink" Target="https://news.google.com/rss/articles/CBMiL2h0dHBzOi8vbm93LnJlbWVtYmVyYXBwLmNvLmtyLzIwMjIvMTIvMjUvMjQ3NTkv0gEA?oc=5" TargetMode="External"/><Relationship Id="rId129" Type="http://schemas.openxmlformats.org/officeDocument/2006/relationships/hyperlink" Target="https://news.google.com/rss/articles/CBMiP2h0dHBzOi8vd3d3LmxlY3R1cmVybmV3cy5jb20vbmV3cy9hcnRpY2xlVmlldy5odG1sP2lkeG5vPTEyMDY1N9IBAA?oc=5" TargetMode="External"/><Relationship Id="rId54" Type="http://schemas.openxmlformats.org/officeDocument/2006/relationships/hyperlink" Target="https://news.google.com/rss/articles/CBMiOmh0dHA6Ly93d3cuaWdvb2RuZXdzLm5ldC9uZXdzL2FydGljbGVWaWV3Lmh0bWw_aWR4bm89NzM5OTDSAQA?oc=5" TargetMode="External"/><Relationship Id="rId70" Type="http://schemas.openxmlformats.org/officeDocument/2006/relationships/hyperlink" Target="https://news.google.com/rss/articles/CBMiOmh0dHA6Ly93d3cuc2lzYXdlZWsuY29tL25ld3MvYXJ0aWNsZVZpZXcuaHRtbD9pZHhubz0yMDc0ODnSAQA?oc=5" TargetMode="External"/><Relationship Id="rId75" Type="http://schemas.openxmlformats.org/officeDocument/2006/relationships/hyperlink" Target="https://news.google.com/rss/articles/CBMiM2h0dHBzOi8vd3d3LmFzaWFlLmNvLmtyL2FydGljbGUvMjAyMzA4MDIxMDM3MjI5NzE5MNIBAA?oc=5" TargetMode="External"/><Relationship Id="rId91" Type="http://schemas.openxmlformats.org/officeDocument/2006/relationships/hyperlink" Target="https://news.google.com/rss/articles/CBMiKmh0dHBzOi8vd3d3LmpqYW4ua3IvYXJ0aWNsZS8yMDIzMDgyNzU4MDE2M9IBLWh0dHBzOi8vd3d3LmpqYW4ua3IvYXJ0aWNsZUFtcC8yMDIzMDgyNzU4MDE2Mw?oc=5" TargetMode="External"/><Relationship Id="rId96" Type="http://schemas.openxmlformats.org/officeDocument/2006/relationships/hyperlink" Target="https://news.google.com/rss/articles/CBMiP2h0dHBzOi8vd3d3Lm91dHNvdXJjaW5nLmNvLmtyL25ld3MvYXJ0aWNsZVZpZXcuaHRtbD9pZHhubz05NzI1NdIBAA?oc=5" TargetMode="External"/><Relationship Id="rId140" Type="http://schemas.openxmlformats.org/officeDocument/2006/relationships/hyperlink" Target="https://news.google.com/rss/articles/CBMiOmh0dHA6Ly93d3cuZ25uZXdzLmNvLmtyL25ld3MvYXJ0aWNsZVZpZXcuaHRtbD9pZHhubz01MTQ3MDPSAQA?oc=5" TargetMode="External"/><Relationship Id="rId145" Type="http://schemas.openxmlformats.org/officeDocument/2006/relationships/hyperlink" Target="https://news.google.com/rss/articles/CBMiOmh0dHBzOi8vd3d3LmFzaWF0b2RheS5jby5rci92aWV3LnBocD9rZXk9MjAyMzA3MTEwMDE3MzUyNzLSAQA?oc=5" TargetMode="External"/><Relationship Id="rId161" Type="http://schemas.openxmlformats.org/officeDocument/2006/relationships/hyperlink" Target="https://news.google.com/rss/articles/CBMiOWh0dHA6Ly93d3cua3VuZXdzLmFjLmtyL25ld3MvYXJ0aWNsZVZpZXcuaHRtbD9pZHhubz00MDU1ONIBPGh0dHA6Ly93d3cua3VuZXdzLmFjLmtyL25ld3MvYXJ0aWNsZVZpZXdBbXAuaHRtbD9pZHhubz00MDU1OA?oc=5" TargetMode="External"/><Relationship Id="rId1" Type="http://schemas.openxmlformats.org/officeDocument/2006/relationships/hyperlink" Target="https://news.google.com/rss/articles/CBMiK2h0dHBzOi8vd3d3LmRhaWxpYW4uY28ua3IvbmV3cy92aWV3LzEyNjgwODfSAS1odHRwczovL20uZGFpbGlhbi5jby5rci9hbXAvbmV3cy92aWV3LzEyNjgwODc?oc=5" TargetMode="External"/><Relationship Id="rId6" Type="http://schemas.openxmlformats.org/officeDocument/2006/relationships/hyperlink" Target="https://news.google.com/rss/articles/CBMiNGh0dHBzOi8vd3d3LmtnbmV3cy5jby5rci9uZXdzL2FydGljbGUuaHRtbD9ubz03NjE1MzLSAQA?oc=5" TargetMode="External"/><Relationship Id="rId23" Type="http://schemas.openxmlformats.org/officeDocument/2006/relationships/hyperlink" Target="https://news.google.com/rss/articles/CBMiJGh0dHA6Ly93d3cubWRpbGJvLmNvbS9kZXRhaWwvLzcwMjAwNNIBAA?oc=5" TargetMode="External"/><Relationship Id="rId28" Type="http://schemas.openxmlformats.org/officeDocument/2006/relationships/hyperlink" Target="https://news.google.com/rss/articles/CBMiKmh0dHBzOi8vd3d3LmpqYW4ua3IvYXJ0aWNsZS8yMDIzMDkwMzU4MDEzNNIBLWh0dHBzOi8vd3d3LmpqYW4ua3IvYXJ0aWNsZUFtcC8yMDIzMDkwMzU4MDEzNA?oc=5" TargetMode="External"/><Relationship Id="rId49" Type="http://schemas.openxmlformats.org/officeDocument/2006/relationships/hyperlink" Target="https://news.google.com/rss/articles/CBMiJ2h0dHBzOi8vbS5zZWd5ZS5jb20vdmlldy8yMDIzMDgyOTUxMDczN9IBKmh0dHBzOi8vbS5zZWd5ZS5jb20vYW1wVmlldy8yMDIzMDgyOTUxMDczNw?oc=5" TargetMode="External"/><Relationship Id="rId114" Type="http://schemas.openxmlformats.org/officeDocument/2006/relationships/hyperlink" Target="https://news.google.com/rss/articles/CBMiL2h0dHBzOi8vd3d3LmlkYWVndS5jb20vbmV3c1ZpZXcvaWRnMjAyMzA4MjgwMTEw0gEA?oc=5" TargetMode="External"/><Relationship Id="rId119" Type="http://schemas.openxmlformats.org/officeDocument/2006/relationships/hyperlink" Target="https://news.google.com/rss/articles/CBMiNWh0dHA6Ly9uZXdzLmhlcmFsZGNvcnAuY29tL3ZpZXcucGhwP3VkPTIwMjMwODMwMDAwMTkx0gEA?oc=5" TargetMode="External"/><Relationship Id="rId44" Type="http://schemas.openxmlformats.org/officeDocument/2006/relationships/hyperlink" Target="https://news.google.com/rss/articles/CBMiUGh0dHBzOi8vYml6LmNob3N1bi5jb20vb3Bpbmlvbi9qb3VybmFsaXN0LzIwMjMvMDgvMzEvSk5ZM0VQUkcyRkRHUEkyNkgzNFBYS1U2V1Ev0gFfaHR0cHM6Ly9iaXouY2hvc3VuLmNvbS9vcGluaW9uL2pvdXJuYWxpc3QvMjAyMy8wOC8zMS9KTlkzRVBSRzJGREdQSTI2SDM0UFhLVTZXUS8_b3V0cHV0VHlwZT1hbXA?oc=5" TargetMode="External"/><Relationship Id="rId60" Type="http://schemas.openxmlformats.org/officeDocument/2006/relationships/hyperlink" Target="https://news.google.com/rss/articles/CBMiJ2h0dHBzOi8vbS5zZWd5ZS5jb20vdmlldy8yMDIzMDgwMjUxODA4MtIBKmh0dHBzOi8vbS5zZWd5ZS5jb20vYW1wVmlldy8yMDIzMDgwMjUxODA4Mg?oc=5" TargetMode="External"/><Relationship Id="rId65" Type="http://schemas.openxmlformats.org/officeDocument/2006/relationships/hyperlink" Target="https://news.google.com/rss/articles/CBMiPGh0dHA6Ly93d3cuaWNvbnN1bWVyLm9yLmtyL25ld3MvYXJ0aWNsZVZpZXcuaHRtbD9pZHhubz0yNTYyMdIBAA?oc=5" TargetMode="External"/><Relationship Id="rId81" Type="http://schemas.openxmlformats.org/officeDocument/2006/relationships/hyperlink" Target="https://news.google.com/rss/articles/CBMiM2h0dHBzOi8vd3d3Lmhhbmt5dW5nLmNvbS9saWZlL2FydGljbGUvMjAyMzA3Mjc3NzU5adIBL2h0dHBzOi8vd3d3Lmhhbmt5dW5nLmNvbS9saWZlL2FtcC8yMDIzMDcyNzc3NTlp?oc=5" TargetMode="External"/><Relationship Id="rId86" Type="http://schemas.openxmlformats.org/officeDocument/2006/relationships/hyperlink" Target="https://news.google.com/rss/articles/CBMiP2h0dHA6Ly93d3cubW9udGhseXBlb3BsZS5jb20vbmV3cy9hcnRpY2xlVmlldy5odG1sP2lkeG5vPTYzODYwN9IBAA?oc=5" TargetMode="External"/><Relationship Id="rId130" Type="http://schemas.openxmlformats.org/officeDocument/2006/relationships/hyperlink" Target="https://news.google.com/rss/articles/CBMiLmh0dHBzOi8vd3d3LmZubmV3cy5jb20vbmV3cy8yMDIzMDgwNzE3NTk0ODk4NjLSATFodHRwczovL3d3dy5mbm5ld3MuY29tL2FtcE5ld3MvMjAyMzA4MDcxNzU5NDg5ODYy?oc=5" TargetMode="External"/><Relationship Id="rId135" Type="http://schemas.openxmlformats.org/officeDocument/2006/relationships/hyperlink" Target="https://news.google.com/rss/articles/CBMiP2h0dHBzOi8vd3d3Lm11bmh3YS5jb20vbmV3cy92aWV3Lmh0bWw_bm89MjAyMzA1MDIwMTAzMDMyMTA4MDAwMdIBAA?oc=5" TargetMode="External"/><Relationship Id="rId151" Type="http://schemas.openxmlformats.org/officeDocument/2006/relationships/hyperlink" Target="https://news.google.com/rss/articles/CBMiJ2h0dHBzOi8vaHJjb3Bpbmlvbi5jby5rci9hcmNoaXZlcy8yNjY4N9IBK2h0dHBzOi8vaHJjb3Bpbmlvbi5jby5rci9hcmNoaXZlcy8yNjY4Ny9hbXA?oc=5" TargetMode="External"/><Relationship Id="rId156" Type="http://schemas.openxmlformats.org/officeDocument/2006/relationships/hyperlink" Target="https://news.google.com/rss/articles/CBMiPmh0dHA6Ly93d3cubWVkaWF0b2RheS5jby5rci9uZXdzL2FydGljbGVWaWV3Lmh0bWw_aWR4bm89MzA2Mjc30gFBaHR0cDovL3d3dy5tZWRpYXRvZGF5LmNvLmtyL25ld3MvYXJ0aWNsZVZpZXdBbXAuaHRtbD9pZHhubz0zMDYyNzc?oc=5" TargetMode="External"/><Relationship Id="rId13" Type="http://schemas.openxmlformats.org/officeDocument/2006/relationships/hyperlink" Target="https://news.google.com/rss/articles/CBMiK2h0dHBzOi8vd3d3LnNlZGFpbHkuY29tL05ld3NWaWV3LzI5VUlYU0tRRTfSASxodHRwczovL20uc2VkYWlseS5jb20vTmV3c1ZpZXdBbXAvMjlVSVhTS1FFNw?oc=5" TargetMode="External"/><Relationship Id="rId18" Type="http://schemas.openxmlformats.org/officeDocument/2006/relationships/hyperlink" Target="https://news.google.com/rss/articles/CBMiNmh0dHA6Ly93d3cuZGFpbHlkZ25ld3MuY29tL25ld3MvYXJ0aWNsZS5odG1sP25vPTE2NDExMtIBAA?oc=5" TargetMode="External"/><Relationship Id="rId39" Type="http://schemas.openxmlformats.org/officeDocument/2006/relationships/hyperlink" Target="https://news.google.com/rss/articles/CBMiUWh0dHBzOi8vd3d3LmNob3N1bi5jb20vZWNvbm9teS9yZWFsX2VzdGF0ZS8yMDIzLzA4LzI3L1kzUkNTVUZVTk5CREpCTUlWS0hMQlpSM0lZL9IBYGh0dHBzOi8vd3d3LmNob3N1bi5jb20vZWNvbm9teS9yZWFsX2VzdGF0ZS8yMDIzLzA4LzI3L1kzUkNTVUZVTk5CREpCTUlWS0hMQlpSM0lZLz9vdXRwdXRUeXBlPWFtcA?oc=5" TargetMode="External"/><Relationship Id="rId109" Type="http://schemas.openxmlformats.org/officeDocument/2006/relationships/hyperlink" Target="https://news.google.com/rss/articles/CBMiOGh0dHBzOi8vbS5oYW5rb29raWxiby5jb20vTmV3cy9SZWFkL0EyMDIzMDQyNTAxMzQwMDAwMTk30gEA?oc=5" TargetMode="External"/><Relationship Id="rId34" Type="http://schemas.openxmlformats.org/officeDocument/2006/relationships/hyperlink" Target="https://news.google.com/rss/articles/CBMiO2h0dHBzOi8vbXVuaHdhLmNvbS9uZXdzL3ZpZXcuaHRtbD9ubz0yMDIzMDYwNTAxMDcwODI3MjcwMDAx0gEA?oc=5" TargetMode="External"/><Relationship Id="rId50" Type="http://schemas.openxmlformats.org/officeDocument/2006/relationships/hyperlink" Target="https://news.google.com/rss/articles/CBMiM2h0dHBzOi8vbmV3cy5uYXRlLmNvbS92aWV3LzIwMjMwODMxbjI5Nzk4P21pZD1uMTEwMdIBAA?oc=5" TargetMode="External"/><Relationship Id="rId55" Type="http://schemas.openxmlformats.org/officeDocument/2006/relationships/hyperlink" Target="https://news.google.com/rss/articles/CBMiQGh0dHA6Ly93d3cuaGVhZGxpbmVqZWp1LmNvLmtyL25ld3MvYXJ0aWNsZVZpZXcuaHRtbD9pZHhubz01MjM1NjPSAQA?oc=5" TargetMode="External"/><Relationship Id="rId76" Type="http://schemas.openxmlformats.org/officeDocument/2006/relationships/hyperlink" Target="https://news.google.com/rss/articles/CBMiNWh0dHA6Ly9tLmdqdGxpbmUua3IvbmV3cy9hcnRpY2xlVmlldy5odG1sP2lkeG5vPTM5MDE40gEA?oc=5" TargetMode="External"/><Relationship Id="rId97" Type="http://schemas.openxmlformats.org/officeDocument/2006/relationships/hyperlink" Target="https://news.google.com/rss/articles/CBMiV2h0dHBzOi8vd3d3LmNob3N1bi5jb20vb3Bpbmlvbi9zcGVjaWFsaXN0X2NvbHVtbi8yMDIzLzA4LzI2L0hNM0hCSERQWTVHSkpGVFRSNkdWNUdIUUVNL9IBZmh0dHBzOi8vd3d3LmNob3N1bi5jb20vb3Bpbmlvbi9zcGVjaWFsaXN0X2NvbHVtbi8yMDIzLzA4LzI2L0hNM0hCSERQWTVHSkpGVFRSNkdWNUdIUUVNLz9vdXRwdXRUeXBlPWFtcA?oc=5" TargetMode="External"/><Relationship Id="rId104" Type="http://schemas.openxmlformats.org/officeDocument/2006/relationships/hyperlink" Target="https://news.google.com/rss/articles/CBMiQmh0dHBzOi8vbS5kdC5jby5rci9jb250ZW50cy5odG1sP2FydGljbGVfbm89MjAyMzA4MDcwMjEwOTk1ODA0NDAwM9IBAA?oc=5" TargetMode="External"/><Relationship Id="rId120" Type="http://schemas.openxmlformats.org/officeDocument/2006/relationships/hyperlink" Target="https://news.google.com/rss/articles/CBMiMWh0dHBzOi8vd3d3Lnl0bi5jby5rci9fbG4vMDEwM18yMDIzMDgyOTE2NDUzNzQ5NjbSAUNodHRwczovL20ueXRuLmNvLmtyL25ld3Nfdmlldy5hbXAucGhwP3BhcmFtPTAxMDNfMjAyMzA4MjkxNjQ1Mzc0OTY2?oc=5" TargetMode="External"/><Relationship Id="rId125" Type="http://schemas.openxmlformats.org/officeDocument/2006/relationships/hyperlink" Target="https://news.google.com/rss/articles/CBMiNmh0dHBzOi8vbS55b25oYXBuZXdzdHYuY28ua3IvbmV3cy9NWUgyMDIyMTAwOTAwODIwMDY0MdIBAA?oc=5" TargetMode="External"/><Relationship Id="rId141" Type="http://schemas.openxmlformats.org/officeDocument/2006/relationships/hyperlink" Target="https://news.google.com/rss/articles/CBMiNmh0dHBzOi8vd3d3Lmhhbmt5dW5nLmNvbS9vcGluaW9uL2FydGljbGUvMjAyMzAzMjkyNzA2MdIBMmh0dHBzOi8vd3d3Lmhhbmt5dW5nLmNvbS9vcGluaW9uL2FtcC8yMDIzMDMyOTI3MDYx?oc=5" TargetMode="External"/><Relationship Id="rId146" Type="http://schemas.openxmlformats.org/officeDocument/2006/relationships/hyperlink" Target="https://news.google.com/rss/articles/CBMiOmh0dHBzOi8vbmV3cy5zYnMuY28ua3IvbmV3cy9lbmRQYWdlLmRvP25ld3NfaWQ9TjEwMDcyOTU3NDDSATdodHRwczovL25ld3Muc2JzLmNvLmtyL2FtcC9uZXdzLmFtcD9uZXdzX2lkPU4xMDA3Mjk1NzQw?oc=5" TargetMode="External"/><Relationship Id="rId7" Type="http://schemas.openxmlformats.org/officeDocument/2006/relationships/hyperlink" Target="https://news.google.com/rss/articles/CBMiN2h0dHA6Ly93d3cua2Fkby5uZXQvbmV3cy9hcnRpY2xlVmlldy5odG1sP2lkeG5vPTEyMDE4NjXSAQA?oc=5" TargetMode="External"/><Relationship Id="rId71" Type="http://schemas.openxmlformats.org/officeDocument/2006/relationships/hyperlink" Target="https://news.google.com/rss/articles/CBMiLWh0dHBzOi8vd3d3Lm1rLmNvLmtyL25ld3Mvam91cm5hbGlzdC8xMDgwNDQyOdIBH2h0dHBzOi8vbS5tay5jby5rci9hbXAvMTA4MDQ0Mjk?oc=5" TargetMode="External"/><Relationship Id="rId92" Type="http://schemas.openxmlformats.org/officeDocument/2006/relationships/hyperlink" Target="https://news.google.com/rss/articles/CBMiOmh0dHBzOi8vd3d3Lm50b2RheS5jby5rci9uZXdzL2FydGljbGVWaWV3Lmh0bWw_aWR4bm89OTc1MTHSAT1odHRwczovL3d3dy5udG9kYXkuY28ua3IvbmV3cy9hcnRpY2xlVmlld0FtcC5odG1sP2lkeG5vPTk3NTEx?oc=5" TargetMode="External"/><Relationship Id="rId162" Type="http://schemas.openxmlformats.org/officeDocument/2006/relationships/hyperlink" Target="https://news.google.com/rss/articles/CBMiJ2h0dHBzOi8vaHJjb3Bpbmlvbi5jby5rci9hcmNoaXZlcy8yNjA3MtIBK2h0dHBzOi8vaHJjb3Bpbmlvbi5jby5rci9hcmNoaXZlcy8yNjA3Mi9hbXA?oc=5" TargetMode="External"/><Relationship Id="rId2" Type="http://schemas.openxmlformats.org/officeDocument/2006/relationships/hyperlink" Target="https://news.google.com/rss/articles/CBMiO2h0dHBzOi8vd3d3Lnllb25nbmFtLmNvbS93ZWIvdmlldy5waHA_a2V5PTIwMjMwODMxMDEwMDA0MTM00gEA?oc=5" TargetMode="External"/><Relationship Id="rId29" Type="http://schemas.openxmlformats.org/officeDocument/2006/relationships/hyperlink" Target="https://news.google.com/rss/articles/CBMiOGh0dHBzOi8vbS5tZWRpY2FsdGltZXMuY29tL05ld3MvTmV3c1ZpZXcuaHRtbD9JRD0xMTU1MjEw0gEA?oc=5" TargetMode="External"/><Relationship Id="rId24" Type="http://schemas.openxmlformats.org/officeDocument/2006/relationships/hyperlink" Target="https://news.google.com/rss/articles/CBMiPmh0dHBzOi8va3IuaW52ZXN0aW5nLmNvbS9uZXdzL3N0b2NrLW1hcmtldC1uZXdzL2FydGljbGUtOTQzMzc10gFKaHR0cHM6Ly9tLmtyLmludmVzdGluZy5jb20vbmV3cy9zdG9jay1tYXJrZXQtbmV3cy9hcnRpY2xlLTk0MzM3NT9hbXBNb2RlPTE?oc=5" TargetMode="External"/><Relationship Id="rId40" Type="http://schemas.openxmlformats.org/officeDocument/2006/relationships/hyperlink" Target="https://news.google.com/rss/articles/CBMizAFodHRwczovL3d3dy52b2d1ZS5jby5rci8yMDIzLzA4LzMxLyVFQyVBMCU4NCVFQiVBQyVCOCVFQSVCMCU4MCVFQSVCMCU4MC0lRUIlQTclOTAlRUQlOTUlOTglRUIlOEElOTQtJUVDJUI2JTlDJUVDJTgzJTlELSVFQyU4OCU5QyVFQyU4NCU5QyVFQyU5NyU5MC0lRUIlOTQlQjAlRUIlQTUlQjgtJUVDJTg0JUIxJUVBJUIyJUE5LSVFQyVCMCVBOCVFQyU5RCVCNC_SAQA?oc=5" TargetMode="External"/><Relationship Id="rId45" Type="http://schemas.openxmlformats.org/officeDocument/2006/relationships/hyperlink" Target="https://news.google.com/rss/articles/CBMiQWh0dHBzOi8vd3d3LmJ1c2luZXNzcG9zdC5jby5rci9CUD9jb21tYW5kPWFydGljbGVfdmlldyZudW09MzI1OTI00gEA?oc=5" TargetMode="External"/><Relationship Id="rId66" Type="http://schemas.openxmlformats.org/officeDocument/2006/relationships/hyperlink" Target="https://news.google.com/rss/articles/CBMiMWh0dHBzOi8vd3d3Lmt1a2luZXdzLmNvbS9uZXdzVmlldy9rdWsyMDIzMDgyMjAxNzjSAQA?oc=5" TargetMode="External"/><Relationship Id="rId87" Type="http://schemas.openxmlformats.org/officeDocument/2006/relationships/hyperlink" Target="https://news.google.com/rss/articles/CBMiNGh0dHBzOi8vd3d3LnR0aW1lcy5jby5rci9hcnRpY2xlLzIwMjMwODE2MTgwOTc3NzgxMjjSAQA?oc=5" TargetMode="External"/><Relationship Id="rId110" Type="http://schemas.openxmlformats.org/officeDocument/2006/relationships/hyperlink" Target="https://news.google.com/rss/articles/CBMiJ2h0dHBzOi8vbS5zZWd5ZS5jb20vdmlldy8yMDIzMDcxNjUxMzIyONIBKmh0dHBzOi8vbS5zZWd5ZS5jb20vYW1wVmlldy8yMDIzMDcxNjUxMzIyOA?oc=5" TargetMode="External"/><Relationship Id="rId115" Type="http://schemas.openxmlformats.org/officeDocument/2006/relationships/hyperlink" Target="https://news.google.com/rss/articles/CBMiPGh0dHBzOi8vd3d3Lm1vdG9yZ3JhcGguY29tL25ld3MvYXJ0aWNsZVZpZXcuaHRtbD9pZHhubz0zMjQ4N9IBAA?oc=5" TargetMode="External"/><Relationship Id="rId131" Type="http://schemas.openxmlformats.org/officeDocument/2006/relationships/hyperlink" Target="https://news.google.com/rss/articles/CBMiHmh0dHBzOi8vYnJ1bmNoLmNvLmtyL0BANzRRYy83NdIBAA?oc=5" TargetMode="External"/><Relationship Id="rId136" Type="http://schemas.openxmlformats.org/officeDocument/2006/relationships/hyperlink" Target="https://news.google.com/rss/articles/CBMiOGh0dHBzOi8vd3d3LnNqc29yaS5jb20vbmV3cy9hcnRpY2xlVmlldy5odG1sP2lkeG5vPTYzNDYx0gEA?oc=5" TargetMode="External"/><Relationship Id="rId157" Type="http://schemas.openxmlformats.org/officeDocument/2006/relationships/hyperlink" Target="https://news.google.com/rss/articles/CBMiP2h0dHBzOi8vd3d3Lndpa2lsZWFrcy1rci5vcmcvbmV3cy9hcnRpY2xlVmlldy5odG1sP2lkeG5vPTEzNTYwNdIBAA?oc=5" TargetMode="External"/><Relationship Id="rId61" Type="http://schemas.openxmlformats.org/officeDocument/2006/relationships/hyperlink" Target="https://news.google.com/rss/articles/CBMiQWh0dHBzOi8vd3d3LmJ1c2luZXNzcG9zdC5jby5rci9CUD9jb21tYW5kPWFydGljbGVfdmlldyZudW09MzI1OTY40gEA?oc=5" TargetMode="External"/><Relationship Id="rId82" Type="http://schemas.openxmlformats.org/officeDocument/2006/relationships/hyperlink" Target="https://news.google.com/rss/articles/CBMiL2h0dHA6Ly93d3cueWJzdHYubmV0L25ld3MvYXJ0aWNsZS5odG1sP25vPTU0OTU10gEA?oc=5" TargetMode="External"/><Relationship Id="rId152" Type="http://schemas.openxmlformats.org/officeDocument/2006/relationships/hyperlink" Target="https://news.google.com/rss/articles/CBMiOmh0dHBzOi8vbmV3cy5zYnMuY28ua3IvbmV3cy9lbmRQYWdlLmRvP25ld3NfaWQ9TjEwMDY5Mjg4NzXSATdodHRwczovL25ld3Muc2JzLmNvLmtyL2FtcC9uZXdzLmFtcD9uZXdzX2lkPU4xMDA2OTI4ODc1?oc=5" TargetMode="External"/><Relationship Id="rId19" Type="http://schemas.openxmlformats.org/officeDocument/2006/relationships/hyperlink" Target="https://news.google.com/rss/articles/CBMiNGh0dHBzOi8vYXNlYW5leHByZXNzLmNvLmtyL25ld3MvYXJ0aWNsZS5odG1sP25vPTkyMDDSAQA?oc=5" TargetMode="External"/><Relationship Id="rId14" Type="http://schemas.openxmlformats.org/officeDocument/2006/relationships/hyperlink" Target="https://news.google.com/rss/articles/CBMiOmh0dHBzOi8vd3d3Lmt1bmV3cy5hYy5rci9uZXdzL2FydGljbGVWaWV3Lmh0bWw_aWR4bm89NDEzMDHSATxodHRwOi8vd3d3Lmt1bmV3cy5hYy5rci9uZXdzL2FydGljbGVWaWV3QW1wLmh0bWw_aWR4bm89NDEzMDE?oc=5" TargetMode="External"/><Relationship Id="rId30" Type="http://schemas.openxmlformats.org/officeDocument/2006/relationships/hyperlink" Target="https://news.google.com/rss/articles/CBMiOGh0dHA6Ly93d3cuZ3luZXQuY28ua3IvbmV3cy9hcnRpY2xlVmlldy5odG1sP2lkeG5vPTUxODk00gEA?oc=5" TargetMode="External"/><Relationship Id="rId35" Type="http://schemas.openxmlformats.org/officeDocument/2006/relationships/hyperlink" Target="https://news.google.com/rss/articles/CBMiPmh0dHBzOi8vd3d3LnNpc2Fqb3VybmFsLmNvbS9uZXdzL2FydGljbGVWaWV3Lmh0bWw_aWR4bm89MjcxMzQ00gEA?oc=5" TargetMode="External"/><Relationship Id="rId56" Type="http://schemas.openxmlformats.org/officeDocument/2006/relationships/hyperlink" Target="https://news.google.com/rss/articles/CBMiTWh0dHBzOi8vd2Vla2x5LmtoYW4uY28ua3Iva2hubS5odG1sP21vZGU9dmlldyZkZXB0PTExNSZhcnRfaWQ9MjAyMzA4MjUxMDU1MTcx0gEA?oc=5" TargetMode="External"/><Relationship Id="rId77" Type="http://schemas.openxmlformats.org/officeDocument/2006/relationships/hyperlink" Target="https://news.google.com/rss/articles/CBMiM2h0dHBzOi8vd3d3Lmhhbmt5dW5nLmNvbS9saWZlL2FydGljbGUvMjAyMzA4MjE3MzU1adIBL2h0dHBzOi8vd3d3Lmhhbmt5dW5nLmNvbS9saWZlL2FtcC8yMDIzMDgyMTczNTVp?oc=5" TargetMode="External"/><Relationship Id="rId100" Type="http://schemas.openxmlformats.org/officeDocument/2006/relationships/hyperlink" Target="https://news.google.com/rss/articles/CBMiMGh0dHBzOi8vd3d3Lm5ld3NwaW0uY29tL25ld3Mvdmlldy8yMDIzMDgyNTAwMDA4NtIBMWh0dHBzOi8vbS5uZXdzcGltLmNvbS9uZXdzYW1wL3ZpZXcvMjAyMzA4MjUwMDAwODY?oc=5" TargetMode="External"/><Relationship Id="rId105" Type="http://schemas.openxmlformats.org/officeDocument/2006/relationships/hyperlink" Target="https://news.google.com/rss/articles/CBMiJ2h0dHBzOi8vaHJjb3Bpbmlvbi5jby5rci9hcmNoaXZlcy8yNjYxONIBK2h0dHBzOi8vaHJjb3Bpbmlvbi5jby5rci9hcmNoaXZlcy8yNjYxOC9hbXA?oc=5" TargetMode="External"/><Relationship Id="rId126" Type="http://schemas.openxmlformats.org/officeDocument/2006/relationships/hyperlink" Target="https://news.google.com/rss/articles/CBMiLGh0dHBzOi8vbS5raGFuLmNvLmtyL2FydGljbGUvMjAyMzAzMTAwMzAwMDA10gE_aHR0cHM6Ly9tLmtoYW4uY28ua3Ivb3Bpbmlvbi9jb2x1bW4vYXJ0aWNsZS8yMDIzMDMxMDAzMDAwMDUvYW1w?oc=5" TargetMode="External"/><Relationship Id="rId147" Type="http://schemas.openxmlformats.org/officeDocument/2006/relationships/hyperlink" Target="https://news.google.com/rss/articles/CBMiNmh0dHBzOi8vd3d3Lmhhbmt5dW5nLmNvbS9vcGluaW9uL2FydGljbGUvMjAyMzA2MjgwOTE3MdIBMmh0dHBzOi8vd3d3Lmhhbmt5dW5nLmNvbS9vcGluaW9uL2FtcC8yMDIzMDYyODA5MTcx?oc=5" TargetMode="External"/><Relationship Id="rId8" Type="http://schemas.openxmlformats.org/officeDocument/2006/relationships/hyperlink" Target="https://news.google.com/rss/articles/CBMiOGh0dHA6Ly93d3cubm9uZ2Flay5jb20vbmV3cy9hcnRpY2xlVmlldy5odG1sP2lkeG5vPTg2MzYy0gE7aHR0cDovL3d3dy5ub25nYWVrLmNvbS9uZXdzL2FydGljbGVWaWV3QW1wLmh0bWw_aWR4bm89ODYzNjI?oc=5" TargetMode="External"/><Relationship Id="rId51" Type="http://schemas.openxmlformats.org/officeDocument/2006/relationships/hyperlink" Target="https://news.google.com/rss/articles/CBMiOmh0dHBzOi8vbmV3cy5tdC5jby5rci9tdHZpZXcucGhwP25vPTIwMjMwODMxMDk0NzE2NDE0MTEmVk7SAT1odHRwczovL20ubXQuY28ua3IvcmVuZXcvdmlld19hbXAuaHRtbD9ubz0yMDIzMDgzMTA5NDcxNjQxNDEx?oc=5" TargetMode="External"/><Relationship Id="rId72" Type="http://schemas.openxmlformats.org/officeDocument/2006/relationships/hyperlink" Target="https://news.google.com/rss/articles/CBMiVGh0dHBzOi8vbmV3cy5rb3JlYWRhaWx5LmNvbS8yMDIzLzA4LzIzL2Vjb25vbXkvZWNvbm9teWdlbmVyYWwvMjAyMzA4MjMwMjI2MDY3MTMuaHRtbNIBAA?oc=5" TargetMode="External"/><Relationship Id="rId93" Type="http://schemas.openxmlformats.org/officeDocument/2006/relationships/hyperlink" Target="https://news.google.com/rss/articles/CBMiO2h0dHA6Ly93d3cuaWxnYW5qZWp1LmNvbS9uZXdzL2FydGljbGVWaWV3Lmh0bWw_aWR4bm89MTE2MDA50gEA?oc=5" TargetMode="External"/><Relationship Id="rId98" Type="http://schemas.openxmlformats.org/officeDocument/2006/relationships/hyperlink" Target="https://news.google.com/rss/articles/CBMiOmh0dHBzOi8vd3d3Lm50b2RheS5jby5rci9uZXdzL2FydGljbGVWaWV3Lmh0bWw_aWR4bm89OTc1MDHSAT1odHRwczovL3d3dy5udG9kYXkuY28ua3IvbmV3cy9hcnRpY2xlVmlld0FtcC5odG1sP2lkeG5vPTk3NTAx?oc=5" TargetMode="External"/><Relationship Id="rId121" Type="http://schemas.openxmlformats.org/officeDocument/2006/relationships/hyperlink" Target="https://news.google.com/rss/articles/CBMiO2h0dHBzOi8vd3d3LnNlb3VsLmNvLmtyL25ld3MvbmV3c1ZpZXcucGhwP2lkPTIwMjMwNDEyMDE1MDAx0gEsaHR0cHM6Ly9hbXAuc2VvdWwuY28ua3Ivc2VvdWwvMjAyMzA0MTIwMTUwMDE?oc=5" TargetMode="External"/><Relationship Id="rId142" Type="http://schemas.openxmlformats.org/officeDocument/2006/relationships/hyperlink" Target="https://news.google.com/rss/articles/CBMiK2h0dHBzOi8vd3d3Lm1rLmNvLmtyL25ld3MvYnVzaW5lc3MvMTA0NjMxMznSAR9odHRwczovL20ubWsuY28ua3IvYW1wLzEwNDYzMTM5?oc=5" TargetMode="External"/><Relationship Id="rId3" Type="http://schemas.openxmlformats.org/officeDocument/2006/relationships/hyperlink" Target="https://news.google.com/rss/articles/CBMiVWh0dHBzOi8vd3d3Lmtvb2tqZS5jby5rci9uZXdzMjAxMS9hc3AvbmV3c2JvZHkuYXNwP2NvZGU9MDEwMCZrZXk9MjAyMzA5MDEuMjIwMDMwMDg2ODLSAQA?oc=5" TargetMode="External"/><Relationship Id="rId25" Type="http://schemas.openxmlformats.org/officeDocument/2006/relationships/hyperlink" Target="https://news.google.com/rss/articles/CBMiN2h0dHBzOi8vbmV3cy5tdC5jby5rci9tdHZpZXcucGhwP25vPTIwMjMwOTAzMTY1NjE4MzIzNDTSAT1odHRwczovL20ubXQuY28ua3IvcmVuZXcvdmlld19hbXAuaHRtbD9ubz0yMDIzMDkwMzE2NTYxODMyMzQ0?oc=5" TargetMode="External"/><Relationship Id="rId46" Type="http://schemas.openxmlformats.org/officeDocument/2006/relationships/hyperlink" Target="https://news.google.com/rss/articles/CBMiMWh0dHBzOi8vd3d3Lmt1a2luZXdzLmNvbS9uZXdzVmlldy9rdWsyMDIzMDgzMDAyMzbSAQA?oc=5" TargetMode="External"/><Relationship Id="rId67" Type="http://schemas.openxmlformats.org/officeDocument/2006/relationships/hyperlink" Target="https://news.google.com/rss/articles/CBMiRWh0dHBzOi8vaW1uZXdzLmltYmMuY29tL25ld3MvMjAyMy9wb2xpdGljcy9hcnRpY2xlLzY1MTAxMjRfMzYxMTkuaHRtbNIBRWh0dHBzOi8vaW1uZXdzLmltYmMuY29tL25ld3MvMjAyMy9wb2xpdGljcy9hcnRpY2xlLzY1MTAxMjRfMzYxMjAuaHRtbA?oc=5" TargetMode="External"/><Relationship Id="rId116" Type="http://schemas.openxmlformats.org/officeDocument/2006/relationships/hyperlink" Target="https://news.google.com/rss/articles/CBMiNmh0dHBzOi8vd3d3Lm0taS5rci9uZXdzL2FydGljbGVWaWV3Lmh0bWw_aWR4bm89MTAyNDc5MtIBAA?oc=5" TargetMode="External"/><Relationship Id="rId137" Type="http://schemas.openxmlformats.org/officeDocument/2006/relationships/hyperlink" Target="https://news.google.com/rss/articles/CBMiOGh0dHBzOi8vd3d3Lm1lZGlmb25ld3MuY29tL21vYmlsZS9hcnRpY2xlLmh0bWw_bm89MTcxMjI00gEA?oc=5" TargetMode="External"/><Relationship Id="rId158" Type="http://schemas.openxmlformats.org/officeDocument/2006/relationships/hyperlink" Target="https://news.google.com/rss/articles/CBMiP2h0dHA6Ly93d3cuZW5ld3N0b2RheS5jby5rci9uZXdzL2FydGljbGVWaWV3Lmh0bWw_aWR4bm89MjAxMTQ2ONIBQmh0dHA6Ly93d3cuZW5ld3N0b2RheS5jby5rci9uZXdzL2FydGljbGVWaWV3QW1wLmh0bWw_aWR4bm89MjAxMTQ2OA?oc=5" TargetMode="External"/><Relationship Id="rId20" Type="http://schemas.openxmlformats.org/officeDocument/2006/relationships/hyperlink" Target="https://news.google.com/rss/articles/CBMiQmh0dHBzOi8vd3d3LmJ1c2FuLmNvbS92aWV3L2J1c2FuL3ZpZXcucGhwP2NvZGU9MjAyMzA4MjkxODQ3MTY5NDM2OdIBAA?oc=5" TargetMode="External"/><Relationship Id="rId41" Type="http://schemas.openxmlformats.org/officeDocument/2006/relationships/hyperlink" Target="https://news.google.com/rss/articles/CBMiPGh0dHA6Ly93d3cuamVvbGxhaWxiby5jb20vbmV3cy9hcnRpY2xlVmlldy5odG1sP2lkeG5vPTcwMzcwNNIBP2h0dHA6Ly93d3cuamVvbGxhaWxiby5jb20vbmV3cy9hcnRpY2xlVmlld0FtcC5odG1sP2lkeG5vPTcwMzcwNA?oc=5" TargetMode="External"/><Relationship Id="rId62" Type="http://schemas.openxmlformats.org/officeDocument/2006/relationships/hyperlink" Target="https://news.google.com/rss/articles/CBMiT2h0dHBzOi8vbmV3cy5rb3JlYWRhaWx5LmNvbS8yMDIzLzA4LzMwL3NvY2lldHkvY29tbXVuaXR5LzIwMjMwODMwMTkxMDA5NTgzLmh0bWzSAQA?oc=5" TargetMode="External"/><Relationship Id="rId83" Type="http://schemas.openxmlformats.org/officeDocument/2006/relationships/hyperlink" Target="https://news.google.com/rss/articles/CBMiU2h0dHBzOi8vd3d3Lmtvb2tqZS5jby5rci9uZXdzMjAxMS9hc3AvbmV3c2JvZHkuYXNwP2NvZGU9MDAma2V5PTIwMjMwODMwLjIyMDE4MDA5Mjcx0gEA?oc=5" TargetMode="External"/><Relationship Id="rId88" Type="http://schemas.openxmlformats.org/officeDocument/2006/relationships/hyperlink" Target="https://news.google.com/rss/articles/CBMiMmh0dHBzOi8va3duZXdzLmNvLmtyL3BhZ2Uvdmlldy8yMDIzMDgyODE3NTkxNjQ1MjY30gEA?oc=5" TargetMode="External"/><Relationship Id="rId111" Type="http://schemas.openxmlformats.org/officeDocument/2006/relationships/hyperlink" Target="https://news.google.com/rss/articles/CBMiPGh0dHBzOi8vd3d3Lml0Yml6bmV3cy5jb20vbmV3cy9hcnRpY2xlVmlldy5odG1sP2lkeG5vPTEwOTA2MtIBAA?oc=5" TargetMode="External"/><Relationship Id="rId132" Type="http://schemas.openxmlformats.org/officeDocument/2006/relationships/hyperlink" Target="https://news.google.com/rss/articles/CBMiPGh0dHBzOi8vd3d3LnBzbmV3cy5jby5rci9uZXdzL2FydGljbGVWaWV3Lmh0bWw_aWR4bm89MjAyNDUwNdIBAA?oc=5" TargetMode="External"/><Relationship Id="rId153" Type="http://schemas.openxmlformats.org/officeDocument/2006/relationships/hyperlink" Target="https://news.google.com/rss/articles/CBMiNGh0dHBzOi8vbS5kZGFpbHkuY28ua3IvcGFnZS92aWV3LzIwMjIwOTAxMTcyOTM2MzU2NDHSAQA?oc=5" TargetMode="External"/><Relationship Id="rId15" Type="http://schemas.openxmlformats.org/officeDocument/2006/relationships/hyperlink" Target="https://news.google.com/rss/articles/CBMiN2h0dHA6Ly93d3cudWplaWwuY29tL25ld3MvYXJ0aWNsZVZpZXcuaHRtbD9pZHhubz0zMzI5NjTSAQA?oc=5" TargetMode="External"/><Relationship Id="rId36" Type="http://schemas.openxmlformats.org/officeDocument/2006/relationships/hyperlink" Target="https://news.google.com/rss/articles/CBMiNGh0dHBzOi8vZWNvbm9taXN0LmNvLmtyL2FydGljbGUvdmlldy9lY24yMDIzMDgyOTAwMjfSAQA?oc=5" TargetMode="External"/><Relationship Id="rId57" Type="http://schemas.openxmlformats.org/officeDocument/2006/relationships/hyperlink" Target="https://news.google.com/rss/articles/CBMiR2h0dHBzOi8vYml6Lm5ld2RhaWx5LmNvLmtyL3NpdGUvZGF0YS9odG1sLzIwMjMvMDgvMzAvMjAyMzA4MzAwMDA5Ny5odG1s0gEA?oc=5" TargetMode="External"/><Relationship Id="rId106" Type="http://schemas.openxmlformats.org/officeDocument/2006/relationships/hyperlink" Target="https://news.google.com/rss/articles/CBMiOGh0dHBzOi8vd3d3LmtpZG9rLmNvbS9uZXdzL2FydGljbGVWaWV3Lmh0bWw_aWR4bm89MjE5MjQ40gE7aHR0cHM6Ly93d3cua2lkb2suY29tL25ld3MvYXJ0aWNsZVZpZXdBbXAuaHRtbD9pZHhubz0yMTkyNDg?oc=5" TargetMode="External"/><Relationship Id="rId127" Type="http://schemas.openxmlformats.org/officeDocument/2006/relationships/hyperlink" Target="https://news.google.com/rss/articles/CBMiP2h0dHBzOi8vbmV3cy5laW5mb21heC5jby5rci9uZXdzL2FydGljbGVWaWV3Lmh0bWw_aWR4bm89NDI3OTIwMtIBAA?oc=5" TargetMode="External"/><Relationship Id="rId10" Type="http://schemas.openxmlformats.org/officeDocument/2006/relationships/hyperlink" Target="https://news.google.com/rss/articles/CBMiQ2h0dHBzOi8vd3d3LmRvbmdhLmNvbS9uZXdzL1NvY2lldHkvYXJ0aWNsZS9hbGwvMjAyMzA5MDQvMTIxMDAwMDAxLzHSATdodHRwczovL3d3dy5kb25nYS5jb20vbmV3cy9hbXAvYWxsLzIwMjMwOTA0LzEyMTAwMDAwMS8x?oc=5" TargetMode="External"/><Relationship Id="rId31" Type="http://schemas.openxmlformats.org/officeDocument/2006/relationships/hyperlink" Target="https://news.google.com/rss/articles/CBMiNGh0dHBzOi8vZWNvbm9taXN0LmNvLmtyL2FydGljbGUvdmlldy9lY24yMDIzMDgyODAwMzLSAQA?oc=5" TargetMode="External"/><Relationship Id="rId52" Type="http://schemas.openxmlformats.org/officeDocument/2006/relationships/hyperlink" Target="https://news.google.com/rss/articles/CBMiP2h0dHBzOi8vd3d3Lm11bmh3YS5jb20vbmV3cy92aWV3Lmh0bWw_bm89MjAyMzA4MzEwMTAzOTkwNzAxODAwMtIBAA?oc=5" TargetMode="External"/><Relationship Id="rId73" Type="http://schemas.openxmlformats.org/officeDocument/2006/relationships/hyperlink" Target="https://news.google.com/rss/articles/CBMiP2h0dHA6Ly93d3cuZW5ld3N0b2RheS5jby5rci9uZXdzL2FydGljbGVWaWV3Lmh0bWw_aWR4bm89MjAyODkzMtIBQmh0dHA6Ly93d3cuZW5ld3N0b2RheS5jby5rci9uZXdzL2FydGljbGVWaWV3QW1wLmh0bWw_aWR4bm89MjAyODkzMg?oc=5" TargetMode="External"/><Relationship Id="rId78" Type="http://schemas.openxmlformats.org/officeDocument/2006/relationships/hyperlink" Target="https://news.google.com/rss/articles/CBMiOmh0dHBzOi8vd3d3LmFzaWF0b2RheS5jby5rci92aWV3LnBocD9rZXk9MjAyMzA4MDIwMTAwMDEwNTDSAQA?oc=5" TargetMode="External"/><Relationship Id="rId94" Type="http://schemas.openxmlformats.org/officeDocument/2006/relationships/hyperlink" Target="https://news.google.com/rss/articles/CBMiO2h0dHBzOi8vd3d3LmlkYWVndS5jby5rci9uZXdzL2FydGljbGVWaWV3Lmh0bWw_aWR4bm89NDI5Mjg20gEA?oc=5" TargetMode="External"/><Relationship Id="rId99" Type="http://schemas.openxmlformats.org/officeDocument/2006/relationships/hyperlink" Target="https://news.google.com/rss/articles/CBMiOmh0dHBzOi8vd3d3LmFpdGltZXMuY29tL25ld3MvYXJ0aWNsZVZpZXcuaHRtbD9pZHhubz0xNTMxMzHSAQA?oc=5" TargetMode="External"/><Relationship Id="rId101" Type="http://schemas.openxmlformats.org/officeDocument/2006/relationships/hyperlink" Target="https://news.google.com/rss/articles/CBMiJWh0dHBzOi8vd3d3LmV0bmV3cy5jb20vMjAyMzA4MDQwMDAwNjHSAQA?oc=5" TargetMode="External"/><Relationship Id="rId122" Type="http://schemas.openxmlformats.org/officeDocument/2006/relationships/hyperlink" Target="https://news.google.com/rss/articles/CBMiOWh0dHA6Ly93d3cubmV3c3RudC5jb20vbmV3cy9hcnRpY2xlVmlldy5odG1sP2lkeG5vPTIzMDE3MNIBPGh0dHA6Ly93d3cubmV3c3RudC5jb20vbmV3cy9hcnRpY2xlVmlld0FtcC5odG1sP2lkeG5vPTIzMDE3MA?oc=5" TargetMode="External"/><Relationship Id="rId143" Type="http://schemas.openxmlformats.org/officeDocument/2006/relationships/hyperlink" Target="https://news.google.com/rss/articles/CBMiQ2h0dHBzOi8vd3d3LmRvbmdhLmNvbS9uZXdzL1NvY2lldHkvYXJ0aWNsZS9hbGwvMjAyMzAxMDMvMTE3MjY0Nzc1LzHSATdodHRwczovL3d3dy5kb25nYS5jb20vbmV3cy9hbXAvYWxsLzIwMjMwMTAzLzExNzI2NDc3NS8x?oc=5" TargetMode="External"/><Relationship Id="rId148" Type="http://schemas.openxmlformats.org/officeDocument/2006/relationships/hyperlink" Target="https://news.google.com/rss/articles/CBMiK2h0dHBzOi8vd3d3LnNlZGFpbHkuY29tL05ld3NWaWV3LzI5T0UxNkQwMTfSASxodHRwczovL20uc2VkYWlseS5jb20vTmV3c1ZpZXdBbXAvMjlPRTE2RDAxNw?oc=5" TargetMode="External"/><Relationship Id="rId4" Type="http://schemas.openxmlformats.org/officeDocument/2006/relationships/hyperlink" Target="https://news.google.com/rss/articles/CBMiKmh0dHBzOi8vd3d3Lm1rLmNvLmtyL25ld3MvZWNvbm9teS8xMDgxNzkwMtIBH2h0dHBzOi8vbS5tay5jby5rci9hbXAvMTA4MTc5MDI?oc=5" TargetMode="External"/><Relationship Id="rId9" Type="http://schemas.openxmlformats.org/officeDocument/2006/relationships/hyperlink" Target="https://news.google.com/rss/articles/CBMiO2h0dHBzOi8vd3d3Lnllb25nbmFtLmNvbS93ZWIvdmlldy5waHA_a2V5PTIwMjMwOTA0MDEwMDAwMjY50gEA?oc=5" TargetMode="External"/><Relationship Id="rId26" Type="http://schemas.openxmlformats.org/officeDocument/2006/relationships/hyperlink" Target="https://news.google.com/rss/articles/CBMiLmh0dHBzOi8vd3d3Lmhhbmt5dW5nLmNvbS9hcnRpY2xlLzIwMjMwOTA0MDQ2MUjSASpodHRwczovL3d3dy5oYW5reXVuZy5jb20vYW1wLzIwMjMwOTA0MDQ2MUg?oc=5" TargetMode="External"/><Relationship Id="rId47" Type="http://schemas.openxmlformats.org/officeDocument/2006/relationships/hyperlink" Target="https://news.google.com/rss/articles/CBMiMWh0dHBzOi8vd3d3Lmt1a2luZXdzLmNvbS9uZXdzVmlldy9rdWsyMDIzMDgyOTAwMjTSAQA?oc=5" TargetMode="External"/><Relationship Id="rId68" Type="http://schemas.openxmlformats.org/officeDocument/2006/relationships/hyperlink" Target="https://news.google.com/rss/articles/CBMiRWh0dHBzOi8vd3d3LmlseW93ZWVrbHkuY28ua3IvbmV3cy9uZXdzdmlldy5waHA_bmNvZGU9MTA2NTU5MjgxNzM3MjMzONIBAA?oc=5" TargetMode="External"/><Relationship Id="rId89" Type="http://schemas.openxmlformats.org/officeDocument/2006/relationships/hyperlink" Target="https://news.google.com/rss/articles/CBMiVGh0dHA6Ly93d3cua29va2plLmNvLmtyL25ld3MyMDExL2FzcC9uZXdzYm9keS5hc3A_Y29kZT0wNTAwJmtleT0yMDIzMDgwMi4yMjAxMzAwMDA4N9IBAA?oc=5" TargetMode="External"/><Relationship Id="rId112" Type="http://schemas.openxmlformats.org/officeDocument/2006/relationships/hyperlink" Target="https://news.google.com/rss/articles/CBMiN2h0dHBzOi8vbmV3cy5tdC5jby5rci9tdHZpZXcucGhwP25vPTIwMjMwODI5MTU0NjA3OTIyOTXSAT1odHRwczovL20ubXQuY28ua3IvcmVuZXcvdmlld19hbXAuaHRtbD9ubz0yMDIzMDgyOTE1NDYwNzkyMjk1?oc=5" TargetMode="External"/><Relationship Id="rId133" Type="http://schemas.openxmlformats.org/officeDocument/2006/relationships/hyperlink" Target="https://news.google.com/rss/articles/CBMiPmh0dHA6Ly93d3cubWVkaWF0b2RheS5jby5rci9uZXdzL2FydGljbGVWaWV3Lmh0bWw_aWR4bm89MzA3MTYy0gFBaHR0cDovL3d3dy5tZWRpYXRvZGF5LmNvLmtyL25ld3MvYXJ0aWNsZVZpZXdBbXAuaHRtbD9pZHhubz0zMDcxNjI?oc=5" TargetMode="External"/><Relationship Id="rId154" Type="http://schemas.openxmlformats.org/officeDocument/2006/relationships/hyperlink" Target="https://news.google.com/rss/articles/CBMiN2h0dHBzOi8vd3d3LmVkcGwuY28ua3IvbmV3cy9hcnRpY2xlVmlldy5odG1sP2lkeG5vPTg2OTHSAQA?oc=5" TargetMode="External"/><Relationship Id="rId16" Type="http://schemas.openxmlformats.org/officeDocument/2006/relationships/hyperlink" Target="https://news.google.com/rss/articles/CBMiO2h0dHBzOi8vd3d3Lm1pbmRsZW5ld3MuY29tL25ld3MvYXJ0aWNsZVZpZXcuaHRtbD9pZHhubz00OTc20gEA?oc=5" TargetMode="External"/><Relationship Id="rId37" Type="http://schemas.openxmlformats.org/officeDocument/2006/relationships/hyperlink" Target="https://news.google.com/rss/articles/CBMiJ2h0dHBzOi8vaHJjb3Bpbmlvbi5jby5rci9hcmNoaXZlcy8yMTM1ONIBK2h0dHBzOi8vaHJjb3Bpbmlvbi5jby5rci9hcmNoaXZlcy8yMTM1OC9hbXA?oc=5" TargetMode="External"/><Relationship Id="rId58" Type="http://schemas.openxmlformats.org/officeDocument/2006/relationships/hyperlink" Target="https://news.google.com/rss/articles/CBMiQ2h0dHBzOi8vd3d3LmRvbmdhLmNvbS9uZXdzL0Vjb25vbXkvYXJ0aWNsZS9hbGwvMjAyMzA4MzEvMTIwOTU4NTQ0LzHSATdodHRwczovL3d3dy5kb25nYS5jb20vbmV3cy9hbXAvYWxsLzIwMjMwODMxLzEyMDk1ODU0NC8x?oc=5" TargetMode="External"/><Relationship Id="rId79" Type="http://schemas.openxmlformats.org/officeDocument/2006/relationships/hyperlink" Target="https://news.google.com/rss/articles/CBMiO2h0dHA6Ly93d3cubmV3c3JvYWQuY28ua3IvbmV3cy9hcnRpY2xlVmlldy5odG1sP2lkeG5vPTI0ODg10gE-aHR0cDovL3d3dy5uZXdzcm9hZC5jby5rci9uZXdzL2FydGljbGVWaWV3QW1wLmh0bWw_aWR4bm89MjQ4ODU?oc=5" TargetMode="External"/><Relationship Id="rId102" Type="http://schemas.openxmlformats.org/officeDocument/2006/relationships/hyperlink" Target="https://news.google.com/rss/articles/CBMiNmh0dHBzOi8vd3d3Lmhhbmt5dW5nLmNvbS9vcGluaW9uL2FydGljbGUvMjAyMzA4MjU5OTI2MdIBMmh0dHBzOi8vd3d3Lmhhbmt5dW5nLmNvbS9vcGluaW9uL2FtcC8yMDIzMDgyNTk5MjYx?oc=5" TargetMode="External"/><Relationship Id="rId123" Type="http://schemas.openxmlformats.org/officeDocument/2006/relationships/hyperlink" Target="https://news.google.com/rss/articles/CBMiNmh0dHBzOi8vbS55b25oYXBuZXdzdHYuY28ua3IvbmV3cy9NWUgyMDIzMDUyMDAwMjEwMDY0MdIBAA?oc=5" TargetMode="External"/><Relationship Id="rId144" Type="http://schemas.openxmlformats.org/officeDocument/2006/relationships/hyperlink" Target="https://news.google.com/rss/articles/CBMiNWh0dHBzOi8vd3d3Lm0taS5rci9uZXdzL2FydGljbGVWaWV3Lmh0bWw_aWR4bm89OTI4NDAz0gEA?oc=5" TargetMode="External"/><Relationship Id="rId90" Type="http://schemas.openxmlformats.org/officeDocument/2006/relationships/hyperlink" Target="https://news.google.com/rss/articles/CBMiOGh0dHBzOi8vd3d3LmthZG8ubmV0L25ld3MvYXJ0aWNsZVZpZXcuaHRtbD9pZHhubz0xMTczNTgy0gEA?oc=5" TargetMode="External"/><Relationship Id="rId27" Type="http://schemas.openxmlformats.org/officeDocument/2006/relationships/hyperlink" Target="https://news.google.com/rss/articles/CBMiJmh0dHBzOi8vd3d3Lm5ld3MxLmtyL2FydGljbGVzLz81MTU5MDgy0gEqaHR0cHM6Ly93d3cubmV3czEua3IvYW1wL2FydGljbGVzLz81MTU5MDgy?oc=5" TargetMode="External"/><Relationship Id="rId48" Type="http://schemas.openxmlformats.org/officeDocument/2006/relationships/hyperlink" Target="https://news.google.com/rss/articles/CBMiS2h0dHBzOi8vd3d3LmVkYWlseS5jby5rci9uZXdzL3JlYWQ_bWVkaWFDb2RlTm89MjU3Jm5ld3NJZD0wMTY0MDAwNjYzNTcxMjI0MNIBAA?oc=5" TargetMode="External"/><Relationship Id="rId69" Type="http://schemas.openxmlformats.org/officeDocument/2006/relationships/hyperlink" Target="https://news.google.com/rss/articles/CBMiN2h0dHBzOi8vd3d3LmVyb3VuLm5ldC9uZXdzL2FydGljbGVWaWV3Lmh0bWw_aWR4bm89MzY2MzjSAQA?oc=5" TargetMode="External"/><Relationship Id="rId113" Type="http://schemas.openxmlformats.org/officeDocument/2006/relationships/hyperlink" Target="https://news.google.com/rss/articles/CBMiJ2h0dHA6Ly9rcGVuZXdzLmNvbS9WaWV3LmFzcHg_Tm89MjkyNTE0ONIBAA?oc=5" TargetMode="External"/><Relationship Id="rId134" Type="http://schemas.openxmlformats.org/officeDocument/2006/relationships/hyperlink" Target="https://news.google.com/rss/articles/CBMiNGh0dHBzOi8vd3d3LmtnbmV3cy5jby5rci9uZXdzL2FydGljbGUuaHRtbD9ubz03MzE1MzfSAQA?oc=5" TargetMode="External"/><Relationship Id="rId80" Type="http://schemas.openxmlformats.org/officeDocument/2006/relationships/hyperlink" Target="https://news.google.com/rss/articles/CBMiMGh0dHBzOi8vd3d3Lm5ld3NwaW0uY29tL25ld3Mvdmlldy8yMDIzMDgyOTAwMDIxN9IBMWh0dHBzOi8vbS5uZXdzcGltLmNvbS9uZXdzYW1wL3ZpZXcvMjAyMzA4MjkwMDAyMTc?oc=5" TargetMode="External"/><Relationship Id="rId155" Type="http://schemas.openxmlformats.org/officeDocument/2006/relationships/hyperlink" Target="https://news.google.com/rss/articles/CBMiPGh0dHBzOi8vd3d3LmplanVuZXdzLmNvbS9uZXdzL2FydGljbGVWaWV3Lmh0bWw_aWR4bm89MjE4MzQ3NtIBAA?oc=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ews.google.com/rss/articles/CBMiO2h0dHBzOi8vd3d3LnRvcC1yaWRlci5jb20vbmV3cy9hcnRpY2xlVmlldy5odG1sP2lkeG5vPTYzNzU10gEA?oc=5" TargetMode="External"/><Relationship Id="rId21" Type="http://schemas.openxmlformats.org/officeDocument/2006/relationships/hyperlink" Target="https://news.google.com/rss/articles/CBMiQGh0dHBzOi8vd3d3LmtvcmVhaGVhbHRobG9nLmNvbS9uZXdzL2FydGljbGVWaWV3Lmh0bWw_aWR4bm89NDI0ODbSAUNodHRwczovL3d3dy5rb3JlYWhlYWx0aGxvZy5jb20vbmV3cy9hcnRpY2xlVmlld0FtcC5odG1sP2lkeG5vPTQyNDg2?oc=5" TargetMode="External"/><Relationship Id="rId42" Type="http://schemas.openxmlformats.org/officeDocument/2006/relationships/hyperlink" Target="https://news.google.com/rss/articles/CBMiNmh0dHA6Ly93d3cuZGFpbHlkZ25ld3MuY29tL25ld3MvYXJ0aWNsZS5odG1sP25vPTE2NDE0MtIBAA?oc=5" TargetMode="External"/><Relationship Id="rId63" Type="http://schemas.openxmlformats.org/officeDocument/2006/relationships/hyperlink" Target="https://news.google.com/rss/articles/CBMiNmh0dHBzOi8vd3d3Lmhhbmt5dW5nLmNvbS9vcGluaW9uL2FydGljbGUvMjAyMzAzMjkyNzA2MdIBMmh0dHBzOi8vd3d3Lmhhbmt5dW5nLmNvbS9vcGluaW9uL2FtcC8yMDIzMDMyOTI3MDYx?oc=5" TargetMode="External"/><Relationship Id="rId84" Type="http://schemas.openxmlformats.org/officeDocument/2006/relationships/hyperlink" Target="https://news.google.com/rss/articles/CBMiJ2h0dHBzOi8vbS5zZWd5ZS5jb20vdmlldy8yMDIzMDgzMTUxMjg5M9IBKmh0dHBzOi8vbS5zZWd5ZS5jb20vYW1wVmlldy8yMDIzMDgzMTUxMjg5Mw?oc=5" TargetMode="External"/><Relationship Id="rId138" Type="http://schemas.openxmlformats.org/officeDocument/2006/relationships/hyperlink" Target="https://news.google.com/rss/articles/CBMiK2h0dHBzOi8vd3d3Lm1rLmNvLmtyL25ld3MvYnVzaW5lc3MvMTA4MTY3NTbSAR9odHRwczovL20ubWsuY28ua3IvYW1wLzEwODE2NzU2?oc=5" TargetMode="External"/><Relationship Id="rId159" Type="http://schemas.openxmlformats.org/officeDocument/2006/relationships/hyperlink" Target="https://news.google.com/rss/articles/CBMiPGh0dHBzOi8vd3d3LmVjb25vdmlsbC5jb20vbmV3cy9hcnRpY2xlVmlldy5odG1sP2lkeG5vPTYyMTc2NNIBAA?oc=5" TargetMode="External"/><Relationship Id="rId107" Type="http://schemas.openxmlformats.org/officeDocument/2006/relationships/hyperlink" Target="https://news.google.com/rss/articles/CBMiJ2h0dHBzOi8vaHJjb3Bpbmlvbi5jby5rci9hcmNoaXZlcy8yNjYxONIBK2h0dHBzOi8vaHJjb3Bpbmlvbi5jby5rci9hcmNoaXZlcy8yNjYxOC9hbXA?oc=5" TargetMode="External"/><Relationship Id="rId11" Type="http://schemas.openxmlformats.org/officeDocument/2006/relationships/hyperlink" Target="https://news.google.com/rss/articles/CBMiO2h0dHBzOi8vd3d3Lnllb25nbmFtLmNvbS93ZWIvdmlldy5waHA_a2V5PTIwMjMwOTAzMDEwMDAwMjIz0gEA?oc=5" TargetMode="External"/><Relationship Id="rId32" Type="http://schemas.openxmlformats.org/officeDocument/2006/relationships/hyperlink" Target="https://news.google.com/rss/articles/CBMiMWh0dHBzOi8vd3d3Lnl0bi5jby5rci9fbG4vMDEwMV8yMDIzMDkwMzEwMzYzNTMyODnSAUNodHRwczovL20ueXRuLmNvLmtyL25ld3Nfdmlldy5hbXAucGhwP3BhcmFtPTAxMDFfMjAyMzA5MDMxMDM2MzUzMjg5?oc=5" TargetMode="External"/><Relationship Id="rId53" Type="http://schemas.openxmlformats.org/officeDocument/2006/relationships/hyperlink" Target="https://news.google.com/rss/articles/CBMiJ2h0dHBzOi8vbS5zZWd5ZS5jb20vdmlldy8yMDIzMDkwMTUxMTU1NdIBKmh0dHBzOi8vbS5zZWd5ZS5jb20vYW1wVmlldy8yMDIzMDkwMTUxMTU1NQ?oc=5" TargetMode="External"/><Relationship Id="rId74" Type="http://schemas.openxmlformats.org/officeDocument/2006/relationships/hyperlink" Target="https://news.google.com/rss/articles/CBMiNWh0dHBzOi8vbmV3cy5pbWFlaWwuY29tL3BhZ2Uvdmlldy8yMDIzMDgzMTE4NTYwNzUzNjk00gEA?oc=5" TargetMode="External"/><Relationship Id="rId128" Type="http://schemas.openxmlformats.org/officeDocument/2006/relationships/hyperlink" Target="https://news.google.com/rss/articles/CBMiN2h0dHBzOi8vbmV3cy5tdC5jby5rci9tdHZpZXcucGhwP25vPTIwMjMwMjA3MTgwMzM4OTk3NDPSAT1odHRwczovL20ubXQuY28ua3IvcmVuZXcvdmlld19hbXAuaHRtbD9ubz0yMDIzMDIwNzE4MDMzODk5NzQz?oc=5" TargetMode="External"/><Relationship Id="rId149" Type="http://schemas.openxmlformats.org/officeDocument/2006/relationships/hyperlink" Target="https://news.google.com/rss/articles/CBMiJmh0dHBzOi8vbS5iZXRhbmV3cy5uZXQvYXJ0aWNsZS8xNDM3MTQw0gEA?oc=5" TargetMode="External"/><Relationship Id="rId5" Type="http://schemas.openxmlformats.org/officeDocument/2006/relationships/hyperlink" Target="https://news.google.com/rss/articles/CBMiK2h0dHBzOi8vd3d3LmRhaWxpYW4uY28ua3IvbmV3cy92aWV3LzEyNjg3MjHSAS1odHRwczovL20uZGFpbGlhbi5jby5rci9hbXAvbmV3cy92aWV3LzEyNjg3MjE?oc=5" TargetMode="External"/><Relationship Id="rId95" Type="http://schemas.openxmlformats.org/officeDocument/2006/relationships/hyperlink" Target="https://news.google.com/rss/articles/CBMiOmh0dHBzOi8vd3d3LmFpdGltZXMuY29tL25ld3MvYXJ0aWNsZVZpZXcuaHRtbD9pZHhubz0xNTMxMzHSAQA?oc=5" TargetMode="External"/><Relationship Id="rId160" Type="http://schemas.openxmlformats.org/officeDocument/2006/relationships/hyperlink" Target="https://news.google.com/rss/articles/CBMiVGh0dHBzOi8vbmV3cy5rb3JlYWRhaWx5LmNvbS8yMDIzLzAzLzE1L2Vjb25vbXkvZWNvbm9teWdlbmVyYWwvMjAyMzAzMTUyMTQxMzAxNTguaHRtbNIBAA?oc=5" TargetMode="External"/><Relationship Id="rId22" Type="http://schemas.openxmlformats.org/officeDocument/2006/relationships/hyperlink" Target="https://news.google.com/rss/articles/CBMiPGh0dHBzOi8vd3d3LmdldG5ld3MuY28ua3IvbmV3cy9hcnRpY2xlVmlldy5odG1sP2lkeG5vPTYwOTg2NtIBP2h0dHBzOi8vd3d3LmdldG5ld3MuY28ua3IvbmV3cy9hcnRpY2xlVmlld0FtcC5odG1sP2lkeG5vPTYwOTg2Ng?oc=5" TargetMode="External"/><Relationship Id="rId43" Type="http://schemas.openxmlformats.org/officeDocument/2006/relationships/hyperlink" Target="https://news.google.com/rss/articles/CBMiN2h0dHA6Ly93d3cuaWdqLmNvLmtyL25ld3MvYXJ0aWNsZVZpZXcuaHRtbD9pZHhubz0yMDcyMTPSAQA?oc=5" TargetMode="External"/><Relationship Id="rId64" Type="http://schemas.openxmlformats.org/officeDocument/2006/relationships/hyperlink" Target="https://news.google.com/rss/articles/CBMiVmh0dHBzOi8vd3d3LmNob3N1bi5jb20vZW50ZXJ0YWlubWVudHMvYnJvYWRjYXN0LzIwMjMvMDcvMDYvSEdVS1oyNURJTFJFRzVYUlBVTVFUUDNaRkkv0gFlaHR0cHM6Ly93d3cuY2hvc3VuLmNvbS9lbnRlcnRhaW5tZW50cy9icm9hZGNhc3QvMjAyMy8wNy8wNi9IR1VLWjI1RElMUkVHNVhSUFVNUVRQM1pGSS8_b3V0cHV0VHlwZT1hbXA?oc=5" TargetMode="External"/><Relationship Id="rId118" Type="http://schemas.openxmlformats.org/officeDocument/2006/relationships/hyperlink" Target="https://news.google.com/rss/articles/CBMiOmh0dHA6Ly93d3cuaGl0bmV3cy5jby5rci9uZXdzL2FydGljbGVWaWV3Lmh0bWw_aWR4bm89NDc4NDLSAQA?oc=5" TargetMode="External"/><Relationship Id="rId139" Type="http://schemas.openxmlformats.org/officeDocument/2006/relationships/hyperlink" Target="https://news.google.com/rss/articles/CBMiO2h0dHBzOi8vd3d3LnNlb3VsLmNvLmtyL25ld3MvbmV3c1ZpZXcucGhwP2lkPTIwMjMwODMxMDE2MDAz0gEsaHR0cHM6Ly9hbXAuc2VvdWwuY28ua3Ivc2VvdWwvMjAyMzA4MzEwMTYwMDM?oc=5" TargetMode="External"/><Relationship Id="rId85" Type="http://schemas.openxmlformats.org/officeDocument/2006/relationships/hyperlink" Target="https://news.google.com/rss/articles/CBMiOGh0dHBzOi8vd3d3LmtpZG9rLmNvbS9uZXdzL2FydGljbGVWaWV3Lmh0bWw_aWR4bm89MzAxNTU10gE7aHR0cHM6Ly93d3cua2lkb2suY29tL25ld3MvYXJ0aWNsZVZpZXdBbXAuaHRtbD9pZHhubz0zMDE1NTU?oc=5" TargetMode="External"/><Relationship Id="rId150" Type="http://schemas.openxmlformats.org/officeDocument/2006/relationships/hyperlink" Target="https://news.google.com/rss/articles/CBMiJ2h0dHBzOi8vaHJjb3Bpbmlvbi5jby5rci9hcmNoaXZlcy8yNTk3OdIBK2h0dHBzOi8vaHJjb3Bpbmlvbi5jby5rci9hcmNoaXZlcy8yNTk3OS9hbXA?oc=5" TargetMode="External"/><Relationship Id="rId12" Type="http://schemas.openxmlformats.org/officeDocument/2006/relationships/hyperlink" Target="https://news.google.com/rss/articles/CBMiNGh0dHBzOi8vd3d3LmluZXdzMzY1LmNvbS9uZXdzL2FydGljbGUuaHRtbD9ubz03NzgwOTTSAQA?oc=5" TargetMode="External"/><Relationship Id="rId17" Type="http://schemas.openxmlformats.org/officeDocument/2006/relationships/hyperlink" Target="https://news.google.com/rss/articles/CBMiOmh0dHBzOi8vd3d3Lmt1bmV3cy5hYy5rci9uZXdzL2FydGljbGVWaWV3Lmh0bWw_aWR4bm89NDEyODfSATxodHRwOi8vd3d3Lmt1bmV3cy5hYy5rci9uZXdzL2FydGljbGVWaWV3QW1wLmh0bWw_aWR4bm89NDEyODc?oc=5" TargetMode="External"/><Relationship Id="rId33" Type="http://schemas.openxmlformats.org/officeDocument/2006/relationships/hyperlink" Target="https://news.google.com/rss/articles/CBMiN2h0dHBzOi8vbmV3cy5tdC5jby5rci9tdHZpZXcucGhwP25vPTIwMjMwODMxMTYxOTE0OTYxMjjSAT1odHRwczovL20ubXQuY28ua3IvcmVuZXcvdmlld19hbXAuaHRtbD9ubz0yMDIzMDgzMTE2MTkxNDk2MTI4?oc=5" TargetMode="External"/><Relationship Id="rId38" Type="http://schemas.openxmlformats.org/officeDocument/2006/relationships/hyperlink" Target="https://news.google.com/rss/articles/CBMiSWh0dHBzOi8vc3Rhci5vaG15bmV3cy5jb20vTldTX1dlYi9PaG15U3Rhci9hdF9wZy5hc3B4P0NOVE5fQ0Q9QTAwMDI5NTgxMTLSAUJodHRwczovL20ub2hteW5ld3MuY29tL05XU19XZWIvTW9iaWxlL2FtcC5hc3B4P0NOVE5fQ0Q9QTAwMDI5NTgxMTI?oc=5" TargetMode="External"/><Relationship Id="rId59" Type="http://schemas.openxmlformats.org/officeDocument/2006/relationships/hyperlink" Target="https://news.google.com/rss/articles/CBMiL2h0dHBzOi8vam1hZ2F6aW5lLmpvaW5zLmNvbS9tb250aGx5L3ZpZXcvMzM4Mjcz0gEA?oc=5" TargetMode="External"/><Relationship Id="rId103" Type="http://schemas.openxmlformats.org/officeDocument/2006/relationships/hyperlink" Target="https://news.google.com/rss/articles/CBMiOGh0dHBzOi8vbS5oYW5rb29raWxiby5jb20vTmV3cy9SZWFkL0EyMDIzMDQyNTAxMzQwMDAwMTk30gEA?oc=5" TargetMode="External"/><Relationship Id="rId108" Type="http://schemas.openxmlformats.org/officeDocument/2006/relationships/hyperlink" Target="https://news.google.com/rss/articles/CBMiJWh0dHBzOi8vd3d3Lml0d29ybGQuY28ua3IvbmV3cy8zMDU3NDPSAQA?oc=5" TargetMode="External"/><Relationship Id="rId124" Type="http://schemas.openxmlformats.org/officeDocument/2006/relationships/hyperlink" Target="https://news.google.com/rss/articles/CBMiQWh0dHBzOi8vd3d3LmJ1c2luZXNzcG9zdC5jby5rci9CUD9jb21tYW5kPWFydGljbGVfdmlldyZudW09MzI1NTY10gEA?oc=5" TargetMode="External"/><Relationship Id="rId129" Type="http://schemas.openxmlformats.org/officeDocument/2006/relationships/hyperlink" Target="https://news.google.com/rss/articles/CBMiOmh0dHBzOi8vd3d3Lm5ld3N3YXkuY28ua3IvbmV3cy92aWV3P3VkPTIwMjMwOTAxMTQxOTIxMjM1NDbSAQA?oc=5" TargetMode="External"/><Relationship Id="rId54" Type="http://schemas.openxmlformats.org/officeDocument/2006/relationships/hyperlink" Target="https://news.google.com/rss/articles/CBMiNmh0dHA6Ly93d3cuY2FyZ3V5LmtyL25ld3MvYXJ0aWNsZVZpZXcuaHRtbD9pZHhubz00Njc3NdIBAA?oc=5" TargetMode="External"/><Relationship Id="rId70" Type="http://schemas.openxmlformats.org/officeDocument/2006/relationships/hyperlink" Target="https://news.google.com/rss/articles/CBMiQGh0dHBzOi8vYmFza2V0a29yZWEuY29tL25ld3MvbmV3c3ZpZXcucGhwP25jb2RlPTEwNjU1ODY0NTg5ODk3NTbSAQA?oc=5" TargetMode="External"/><Relationship Id="rId75" Type="http://schemas.openxmlformats.org/officeDocument/2006/relationships/hyperlink" Target="https://news.google.com/rss/articles/CBMiNGh0dHBzOi8vd3d3LmtnbmV3cy5jby5rci9uZXdzL2FydGljbGUuaHRtbD9ubz03NjEwMjjSAQA?oc=5" TargetMode="External"/><Relationship Id="rId91" Type="http://schemas.openxmlformats.org/officeDocument/2006/relationships/hyperlink" Target="https://news.google.com/rss/articles/CBMiW2h0dHBzOi8vd3d3LmNob3N1bi5jb20vY3VsdHVyZS1saWZlL3BlcmZvcm1hbmNlLWFydHMvMjAyMy8wOC8yOS9FSzczV0lCNTY1R09ET1lWQ1BCMlRSSFVNUS_SAWpodHRwczovL3d3dy5jaG9zdW4uY29tL2N1bHR1cmUtbGlmZS9wZXJmb3JtYW5jZS1hcnRzLzIwMjMvMDgvMjkvRUs3M1dJQjU2NUdPRE9ZVkNQQjJUUkhVTVEvP291dHB1dFR5cGU9YW1w?oc=5" TargetMode="External"/><Relationship Id="rId96" Type="http://schemas.openxmlformats.org/officeDocument/2006/relationships/hyperlink" Target="https://news.google.com/rss/articles/CBMiL2h0dHBzOi8vbS5la24ua3Ivdmlldy5waHA_a2V5PTIwMjMwODMwMDEwMDA3OTk10gEA?oc=5" TargetMode="External"/><Relationship Id="rId140" Type="http://schemas.openxmlformats.org/officeDocument/2006/relationships/hyperlink" Target="https://news.google.com/rss/articles/CBMiN2h0dHBzOi8vd3d3LmVkcGwuY28ua3IvbmV3cy9hcnRpY2xlVmlldy5odG1sP2lkeG5vPTg2OTHSAQA?oc=5" TargetMode="External"/><Relationship Id="rId145" Type="http://schemas.openxmlformats.org/officeDocument/2006/relationships/hyperlink" Target="https://news.google.com/rss/articles/CBMiOmh0dHA6Ly93d3cuZ25uZXdzLmNvLmtyL25ld3MvYXJ0aWNsZVZpZXcuaHRtbD9pZHhubz01MTQ3MDPSAQA?oc=5" TargetMode="External"/><Relationship Id="rId161" Type="http://schemas.openxmlformats.org/officeDocument/2006/relationships/hyperlink" Target="https://news.google.com/rss/articles/CBMiOmh0dHBzOi8vd3d3Lm50b2RheS5jby5rci9uZXdzL2FydGljbGVWaWV3Lmh0bWw_aWR4bm89OTc1MDHSAT1odHRwczovL3d3dy5udG9kYXkuY28ua3IvbmV3cy9hcnRpY2xlVmlld0FtcC5odG1sP2lkeG5vPTk3NTAx?oc=5" TargetMode="External"/><Relationship Id="rId166" Type="http://schemas.openxmlformats.org/officeDocument/2006/relationships/hyperlink" Target="https://news.google.com/rss/articles/CBMiM2h0dHBzOi8vd3d3Lmhhbmt5dW5nLmNvbS9saWZlL2FydGljbGUvMjAyMzA2MDI2OTM0MdIBL2h0dHBzOi8vd3d3Lmhhbmt5dW5nLmNvbS9saWZlL2FtcC8yMDIzMDYwMjY5MzQx?oc=5" TargetMode="External"/><Relationship Id="rId1" Type="http://schemas.openxmlformats.org/officeDocument/2006/relationships/hyperlink" Target="https://news.google.com/rss/articles/CBMiS2h0dHA6Ly93ZWVrbHkua2hhbi5jby5rci9raG5tLmh0bWw_bW9kZT12aWV3JmFydGlkPTIwMjMwOTAxMTA1NjUyMSZjb2RlPTExNNIBAA?oc=5" TargetMode="External"/><Relationship Id="rId6" Type="http://schemas.openxmlformats.org/officeDocument/2006/relationships/hyperlink" Target="https://news.google.com/rss/articles/CBMiQGh0dHBzOi8vd3d3Lm1vbnRobHlwZW9wbGUuY29tL25ld3MvYXJ0aWNsZVZpZXcuaHRtbD9pZHhubz02NDY2NjDSAQA?oc=5" TargetMode="External"/><Relationship Id="rId23" Type="http://schemas.openxmlformats.org/officeDocument/2006/relationships/hyperlink" Target="https://news.google.com/rss/articles/CBMiLmh0dHBzOi8vd3d3LmZubmV3cy5jb20vbmV3cy8yMDIzMDkwMzE4MDEzNzQxMTHSATFodHRwczovL3d3dy5mbm5ld3MuY29tL2FtcE5ld3MvMjAyMzA5MDMxODAxMzc0MTEx?oc=5" TargetMode="External"/><Relationship Id="rId28" Type="http://schemas.openxmlformats.org/officeDocument/2006/relationships/hyperlink" Target="https://news.google.com/rss/articles/CBMiPGh0dHBzOi8vd3d3LmVjb25vdmlsbC5jb20vbmV3cy9hcnRpY2xlVmlldy5odG1sP2lkeG5vPTYyMjA3OdIBAA?oc=5" TargetMode="External"/><Relationship Id="rId49" Type="http://schemas.openxmlformats.org/officeDocument/2006/relationships/hyperlink" Target="https://news.google.com/rss/articles/CBMiLmh0dHBzOi8vd3d3Lmhhbmt5dW5nLmNvbS9hcnRpY2xlLzIwMjMwOTAxNzQ4OVnSASpodHRwczovL3d3dy5oYW5reXVuZy5jb20vYW1wLzIwMjMwOTAxNzQ4OVk?oc=5" TargetMode="External"/><Relationship Id="rId114" Type="http://schemas.openxmlformats.org/officeDocument/2006/relationships/hyperlink" Target="https://news.google.com/rss/articles/CBMiPmh0dHA6Ly93d3cuZG9jZG9jZG9jLmNvLmtyL25ld3MvYXJ0aWNsZVZpZXcuaHRtbD9pZHhubz0zMDA4NDQz0gFBaHR0cDovL3d3dy5kb2Nkb2Nkb2MuY28ua3IvbmV3cy9hcnRpY2xlVmlld0FtcC5odG1sP2lkeG5vPTMwMDg0NDM?oc=5" TargetMode="External"/><Relationship Id="rId119" Type="http://schemas.openxmlformats.org/officeDocument/2006/relationships/hyperlink" Target="https://news.google.com/rss/articles/CBMiOGh0dHA6Ly93d3cuaGFwdC5jby5rci9uZXdzL2FydGljbGVWaWV3Lmh0bWw_aWR4bm89MTU5ODQx0gEA?oc=5" TargetMode="External"/><Relationship Id="rId44" Type="http://schemas.openxmlformats.org/officeDocument/2006/relationships/hyperlink" Target="https://news.google.com/rss/articles/CBMiLmh0dHBzOi8vd3d3Lmhhbmt5dW5nLmNvbS9hcnRpY2xlLzIwMjMwOTAxODA2NTHSASpodHRwczovL3d3dy5oYW5reXVuZy5jb20vYW1wLzIwMjMwOTAxODA2NTE?oc=5" TargetMode="External"/><Relationship Id="rId60" Type="http://schemas.openxmlformats.org/officeDocument/2006/relationships/hyperlink" Target="https://news.google.com/rss/articles/CBMiQGh0dHBzOi8vd3d3LmZvcnR1bmVrb3JlYS5jby5rci9uZXdzL2FydGljbGVWaWV3Lmh0bWw_aWR4bm89Mjg0NzLSAUNodHRwczovL3d3dy5mb3J0dW5la29yZWEuY28ua3IvbmV3cy9hcnRpY2xlVmlld0FtcC5odG1sP2lkeG5vPTI4NDcy?oc=5" TargetMode="External"/><Relationship Id="rId65" Type="http://schemas.openxmlformats.org/officeDocument/2006/relationships/hyperlink" Target="https://news.google.com/rss/articles/CBMiOWh0dHA6Ly93d3cud2Vla2x5cG9zdC5rci9uZXdzL2FydGljbGVWaWV3Lmh0bWw_aWR4bm89NTMwMtIBAA?oc=5" TargetMode="External"/><Relationship Id="rId81" Type="http://schemas.openxmlformats.org/officeDocument/2006/relationships/hyperlink" Target="https://news.google.com/rss/articles/CBMiNGh0dHBzOi8vZWNvbm9taXN0LmNvLmtyL2FydGljbGUvdmlldy9lY24yMDIzMDkwMTAwMTDSAQA?oc=5" TargetMode="External"/><Relationship Id="rId86" Type="http://schemas.openxmlformats.org/officeDocument/2006/relationships/hyperlink" Target="https://news.google.com/rss/articles/CBMiJWh0dHBzOi8vd3d3LmV0bmV3cy5jb20vMjAyMzA4MDQwMDAwNjHSAQA?oc=5" TargetMode="External"/><Relationship Id="rId130" Type="http://schemas.openxmlformats.org/officeDocument/2006/relationships/hyperlink" Target="https://news.google.com/rss/articles/CBMiKWh0dHBzOi8vbmV3cy5uYXRlLmNvbS92aWV3LzIwMjMwODI1bjE3NDEz0gEA?oc=5" TargetMode="External"/><Relationship Id="rId135" Type="http://schemas.openxmlformats.org/officeDocument/2006/relationships/hyperlink" Target="https://news.google.com/rss/articles/CBMiOWh0dHA6Ly93d3cubmV3c3RudC5jb20vbmV3cy9hcnRpY2xlVmlldy5odG1sP2lkeG5vPTIzMDE3MNIBPGh0dHA6Ly93d3cubmV3c3RudC5jb20vbmV3cy9hcnRpY2xlVmlld0FtcC5odG1sP2lkeG5vPTIzMDE3MA?oc=5" TargetMode="External"/><Relationship Id="rId151" Type="http://schemas.openxmlformats.org/officeDocument/2006/relationships/hyperlink" Target="https://news.google.com/rss/articles/CBMiRmh0dHBzOi8vaXQuY2hvc3VuLmNvbS9zaXRlL2RhdGEvaHRtbF9kaXIvMjAyMy8wOC8yNS8yMDIzMDgyNTAwMzY3Lmh0bWzSAQA?oc=5" TargetMode="External"/><Relationship Id="rId156" Type="http://schemas.openxmlformats.org/officeDocument/2006/relationships/hyperlink" Target="https://news.google.com/rss/articles/CBMioQFodHRwczovL3d3dy5uZXdzcm8ua3IvJUVBJUI5JTgwJUVCJUFGJUJDJUVDJTlEJTk4LSVFQiU5RCVCQyVFQiU5NiVCQyVFQiVCMyU4NCVFQSVCMyVBMS0lRUMlODQlQjglRUIlOEMlODAlRUMlQjAlQTglRUMlOUQlQjQtJUVEJTgzJTg4JUVEJTk0JUJDJUVEJTk1JTk4JUVBJUI4JUIwL9IBAA?oc=5" TargetMode="External"/><Relationship Id="rId13" Type="http://schemas.openxmlformats.org/officeDocument/2006/relationships/hyperlink" Target="https://news.google.com/rss/articles/CBMiQGh0dHBzOi8vd3d3LmhhbmkuY28ua3IvYXJ0aS9jdWx0dXJlL2N1bHR1cmVfZ2VuZXJhbC8xMTA1ODY4Lmh0bWzSAQA?oc=5" TargetMode="External"/><Relationship Id="rId18" Type="http://schemas.openxmlformats.org/officeDocument/2006/relationships/hyperlink" Target="https://news.google.com/rss/articles/CBMiOmh0dHA6Ly93d3cuZG9taW4uY28ua3IvbmV3cy9hcnRpY2xlVmlldy5odG1sP2lkeG5vPTE0MzgzMjDSAQA?oc=5" TargetMode="External"/><Relationship Id="rId39" Type="http://schemas.openxmlformats.org/officeDocument/2006/relationships/hyperlink" Target="https://news.google.com/rss/articles/CBMitgFodHRwczovL2tvcm1lZGkuY29tLzE2MTY2MzUvJUVDJUI5JTk4JUVCJUE3JUE1LSVFQiU5NSU4QyVFQiVBQyVCOC1teiVFQyU4NCVCOCVFQiU4QyU4MCVFQiU4RiU4NC0lRUQlOTQlQkMlRUQlOTUlQTAtJUVDJTg4JTk4LSVFQyU5NyU4NiVFQiU4QSU5NC0lRUQlODYlQjUlRUQlOTIlOEQlRUMlOUQlOTgtJUVCJThBJUFBL9IBAA?oc=5" TargetMode="External"/><Relationship Id="rId109" Type="http://schemas.openxmlformats.org/officeDocument/2006/relationships/hyperlink" Target="https://news.google.com/rss/articles/CBMiS2h0dHBzOi8vd3d3LmVkYWlseS5jby5rci9uZXdzL3JlYWQ_bmV3c0lkPTAyMDkyNjQ2NjM1NzM1ODU2Jm1lZGlhQ29kZU5vPTI1N9IBSGh0dHBzOi8vbS5lZGFpbHkuY28ua3IvYW1wL3JlYWQ_bmV3c0lkPTAyMDkyNjQ2NjM1NzM1ODU2Jm1lZGlhQ29kZU5vPTI1Nw?oc=5" TargetMode="External"/><Relationship Id="rId34" Type="http://schemas.openxmlformats.org/officeDocument/2006/relationships/hyperlink" Target="https://news.google.com/rss/articles/CBMiOmh0dHA6Ly93d3cuaGl0bmV3cy5jby5rci9uZXdzL2FydGljbGVWaWV3Lmh0bWw_aWR4bm89NDc5MTTSAQA?oc=5" TargetMode="External"/><Relationship Id="rId50" Type="http://schemas.openxmlformats.org/officeDocument/2006/relationships/hyperlink" Target="https://news.google.com/rss/articles/CBMiNWh0dHBzOi8vYml6LmhlcmFsZGNvcnAuY29tL3ZpZXcucGhwP3VkPTIwMjMwOTAyMDAwMDI10gE6aHR0cHM6Ly9tYml6LmhlcmFsZGNvcnAuY29tL2FtcC92aWV3LnBocD91ZD0yMDIzMDkwMjAwMDAyNQ?oc=5" TargetMode="External"/><Relationship Id="rId55" Type="http://schemas.openxmlformats.org/officeDocument/2006/relationships/hyperlink" Target="https://news.google.com/rss/articles/CBMiJGh0dHBzOi8vbS5tYm4uY28ua3IvbmV3cy1hbXAvNDk1OTQzN9IBAA?oc=5" TargetMode="External"/><Relationship Id="rId76" Type="http://schemas.openxmlformats.org/officeDocument/2006/relationships/hyperlink" Target="https://news.google.com/rss/articles/CBMiN2h0dHBzOi8vd3d3LnRlY2htLmtyL25ld3MvYXJ0aWNsZVZpZXcuaHRtbD9pZHhubz0xMTQwMDTSATpodHRwczovL3d3dy50ZWNobS5rci9uZXdzL2FydGljbGVWaWV3QW1wLmh0bWw_aWR4bm89MTE0MDA0?oc=5" TargetMode="External"/><Relationship Id="rId97" Type="http://schemas.openxmlformats.org/officeDocument/2006/relationships/hyperlink" Target="https://news.google.com/rss/articles/CBMiL2h0dHA6Ly93d3cueWJzdHYubmV0L25ld3MvYXJ0aWNsZS5odG1sP25vPTU0OTU10gEA?oc=5" TargetMode="External"/><Relationship Id="rId104" Type="http://schemas.openxmlformats.org/officeDocument/2006/relationships/hyperlink" Target="https://news.google.com/rss/articles/CBMiNWh0dHA6Ly93d3cuaWtsZC5rci9uZXdzL2FydGljbGVWaWV3Lmh0bWw_aWR4bm89MjgwMjA20gEA?oc=5" TargetMode="External"/><Relationship Id="rId120" Type="http://schemas.openxmlformats.org/officeDocument/2006/relationships/hyperlink" Target="https://news.google.com/rss/articles/CBMiTWh0dHBzOi8vbmV3cy5rb3JlYWRhaWx5LmNvbS8yMDIzLzA4LzEwL3NvY2lldHkvb3Bpbmlvbi8yMDIzMDgxMDE5MjYzMjczOC5odG1s0gEA?oc=5" TargetMode="External"/><Relationship Id="rId125" Type="http://schemas.openxmlformats.org/officeDocument/2006/relationships/hyperlink" Target="https://news.google.com/rss/articles/CBMiNWh0dHBzOi8vd3d3Lm1rLmNvLmtyL3N0YXIvbW92aWVzL3ZpZXcvMjAyMy8wOC81OTEzNTcv0gEA?oc=5" TargetMode="External"/><Relationship Id="rId141" Type="http://schemas.openxmlformats.org/officeDocument/2006/relationships/hyperlink" Target="https://news.google.com/rss/articles/CBMiMWh0dHBzOi8vd3d3LmludmVuLmNvLmtyL3dlYnppbmUvbmV3cy8_bmV3cz0yODgyNjHSAQA?oc=5" TargetMode="External"/><Relationship Id="rId146" Type="http://schemas.openxmlformats.org/officeDocument/2006/relationships/hyperlink" Target="https://news.google.com/rss/articles/CBMiOWh0dHBzOi8vd3d3LmltcGFjdG9uLm5ldC9uZXdzL2FydGljbGVWaWV3Lmh0bWw_aWR4bm89NzE0MNIBAA?oc=5" TargetMode="External"/><Relationship Id="rId7" Type="http://schemas.openxmlformats.org/officeDocument/2006/relationships/hyperlink" Target="https://news.google.com/rss/articles/CBMiUGh0dHBzOi8vYml6LmNob3N1bi5jb20vc2NpZW5jZS1jaG9zdW4vYmlvLzIwMjMvMDkvMDMvUVlUSDRLQlJNVkRKSkY3WUw3Q1dZVUMyRlkv0gFfaHR0cHM6Ly9iaXouY2hvc3VuLmNvbS9zY2llbmNlLWNob3N1bi9iaW8vMjAyMy8wOS8wMy9RWVRINEtCUk1WREpKRjdZTDdDV1lVQzJGWS8_b3V0cHV0VHlwZT1hbXA?oc=5" TargetMode="External"/><Relationship Id="rId71" Type="http://schemas.openxmlformats.org/officeDocument/2006/relationships/hyperlink" Target="https://news.google.com/rss/articles/CBMiPGh0dHA6Ly93d3cudGhpbmtmb29kLmNvLmtyL25ld3MvYXJ0aWNsZVZpZXcuaHRtbD9pZHhubz05ODYxNtIBAA?oc=5" TargetMode="External"/><Relationship Id="rId92" Type="http://schemas.openxmlformats.org/officeDocument/2006/relationships/hyperlink" Target="https://news.google.com/rss/articles/CBMiPGh0dHA6Ly9tLnRyYXZlbGRhaWx5LmNvLmtyL25ld3MvYXJ0aWNsZVZpZXcuaHRtbD9pZHhubz00NjQ1NtIBAA?oc=5" TargetMode="External"/><Relationship Id="rId162" Type="http://schemas.openxmlformats.org/officeDocument/2006/relationships/hyperlink" Target="https://news.google.com/rss/articles/CBMiM2h0dHBzOi8vd3d3Lm1ldHJvc2VvdWwuY28ua3IvYXJ0aWNsZS8yMDIzMDkwMTUwMDEzMtIBAA?oc=5" TargetMode="External"/><Relationship Id="rId2" Type="http://schemas.openxmlformats.org/officeDocument/2006/relationships/hyperlink" Target="https://news.google.com/rss/articles/CBMiUmh0dHBzOi8vYml6LmNob3N1bi5jb20vdG9waWNzL3RvcGljc19zb2NpYWwvMjAyMy8wOS8wMy9OQVFYRUFNVUFSQlBSQ0dQVE1SMk9VNjRYQS_SAWFodHRwczovL2Jpei5jaG9zdW4uY29tL3RvcGljcy90b3BpY3Nfc29jaWFsLzIwMjMvMDkvMDMvTkFRWEVBTVVBUkJQUkNHUFRNUjJPVTY0WEEvP291dHB1dFR5cGU9YW1w?oc=5" TargetMode="External"/><Relationship Id="rId29" Type="http://schemas.openxmlformats.org/officeDocument/2006/relationships/hyperlink" Target="https://news.google.com/rss/articles/CBMiPmh0dHBzOi8va3IuaW52ZXN0aW5nLmNvbS9uZXdzL3N0b2NrLW1hcmtldC1uZXdzL2FydGljbGUtOTQzNDE20gEA?oc=5" TargetMode="External"/><Relationship Id="rId24" Type="http://schemas.openxmlformats.org/officeDocument/2006/relationships/hyperlink" Target="https://news.google.com/rss/articles/CBMiL2h0dHBzOi8vd3d3LnRlY2hub2xvZ3lyZXZpZXcua3IvY2xpbWF0ZS1jcmlzaXMv0gEA?oc=5" TargetMode="External"/><Relationship Id="rId40" Type="http://schemas.openxmlformats.org/officeDocument/2006/relationships/hyperlink" Target="https://news.google.com/rss/articles/CBMiM2h0dHBzOi8vd3d3Lmhhbmt5dW5nLmNvbS9saWZlL2FydGljbGUvMjAyMzA3Mjc3NzU5adIBL2h0dHBzOi8vd3d3Lmhhbmt5dW5nLmNvbS9saWZlL2FtcC8yMDIzMDcyNzc3NTlp?oc=5" TargetMode="External"/><Relationship Id="rId45" Type="http://schemas.openxmlformats.org/officeDocument/2006/relationships/hyperlink" Target="https://news.google.com/rss/articles/CBMiPmh0dHA6Ly93d3cubWVkaWF0b2RheS5jby5rci9uZXdzL2FydGljbGVWaWV3Lmh0bWw_aWR4bm89MzEyMTQ10gFBaHR0cDovL3d3dy5tZWRpYXRvZGF5LmNvLmtyL25ld3MvYXJ0aWNsZVZpZXdBbXAuaHRtbD9pZHhubz0zMTIxNDU?oc=5" TargetMode="External"/><Relationship Id="rId66" Type="http://schemas.openxmlformats.org/officeDocument/2006/relationships/hyperlink" Target="https://news.google.com/rss/articles/CBMiNmh0dHBzOi8vd3d3Lm0taS5rci9uZXdzL2FydGljbGVWaWV3Lmh0bWw_aWR4bm89MTAyNDc5MtIBAA?oc=5" TargetMode="External"/><Relationship Id="rId87" Type="http://schemas.openxmlformats.org/officeDocument/2006/relationships/hyperlink" Target="https://news.google.com/rss/articles/CBMiO2h0dHA6Ly93d3cubmV3c2tvcmVhLm5lLmtyL25ld3MvYXJ0aWNsZVZpZXcuaHRtbD9pZHhubz04NDIy0gEA?oc=5" TargetMode="External"/><Relationship Id="rId110" Type="http://schemas.openxmlformats.org/officeDocument/2006/relationships/hyperlink" Target="https://news.google.com/rss/articles/CBMiTWh0dHBzOi8vd2Vla2x5LmtoYW4uY28ua3Iva2hubS5odG1sP21vZGU9dmlldyZkZXB0PTExNSZhcnRfaWQ9MjAyMzA4MjUxMDU1MTcx0gEA?oc=5" TargetMode="External"/><Relationship Id="rId115" Type="http://schemas.openxmlformats.org/officeDocument/2006/relationships/hyperlink" Target="https://news.google.com/rss/articles/CBMiOGh0dHBzOi8vd3d3LmthZG8ubmV0L25ld3MvYXJ0aWNsZVZpZXcuaHRtbD9pZHhubz0xMTczNTgy0gEA?oc=5" TargetMode="External"/><Relationship Id="rId131" Type="http://schemas.openxmlformats.org/officeDocument/2006/relationships/hyperlink" Target="https://news.google.com/rss/articles/CBMiHGh0dHBzOi8vaXQuZG9uZ2EuY29tLzEwNDI0Mi_SAQA?oc=5" TargetMode="External"/><Relationship Id="rId136" Type="http://schemas.openxmlformats.org/officeDocument/2006/relationships/hyperlink" Target="https://news.google.com/rss/articles/CBMiRWh0dHBzOi8vd3d3LmlseW93ZWVrbHkuY28ua3IvbmV3cy9uZXdzdmlldy5waHA_bmNvZGU9MTA2NTU3MjMxMDMyMzM5MtIBAA?oc=5" TargetMode="External"/><Relationship Id="rId157" Type="http://schemas.openxmlformats.org/officeDocument/2006/relationships/hyperlink" Target="https://news.google.com/rss/articles/CBMiVWh0dHBzOi8vd3d3LmNob3N1bi5jb20vc3BlY2lhbC9zcGVjaWFsX3NlY3Rpb24vMjAyMi8xMi8yMC9VVUNCS1dNVllCR1FQRUdPRDdFWFI2WEhSWS_SAWRodHRwczovL3d3dy5jaG9zdW4uY29tL3NwZWNpYWwvc3BlY2lhbF9zZWN0aW9uLzIwMjIvMTIvMjAvVVVDQktXTVZZQkdRUEVHT0Q3RVhSNlhIUlkvP291dHB1dFR5cGU9YW1w?oc=5" TargetMode="External"/><Relationship Id="rId61" Type="http://schemas.openxmlformats.org/officeDocument/2006/relationships/hyperlink" Target="https://news.google.com/rss/articles/CBMiMGh0dHBzOi8vd3d3Lm5ld3NwaW0uY29tL25ld3Mvdmlldy8yMDIzMDgzMDAwMDkzN9IBMWh0dHBzOi8vbS5uZXdzcGltLmNvbS9uZXdzYW1wL3ZpZXcvMjAyMzA4MzAwMDA5Mzc?oc=5" TargetMode="External"/><Relationship Id="rId82" Type="http://schemas.openxmlformats.org/officeDocument/2006/relationships/hyperlink" Target="https://news.google.com/rss/articles/CBMiQGh0dHBzOi8vd3d3Lmh1ZmZpbmd0b25wb3N0LmtyL25ld3MvYXJ0aWNsZVZpZXcuaHRtbD9pZHhubz0yMTI1ODTSAUNodHRwczovL3d3dy5odWZmaW5ndG9ucG9zdC5rci9uZXdzL2FydGljbGVWaWV3QW1wLmh0bWw_aWR4bm89MjEyNTg0?oc=5" TargetMode="External"/><Relationship Id="rId152" Type="http://schemas.openxmlformats.org/officeDocument/2006/relationships/hyperlink" Target="https://news.google.com/rss/articles/CBMiHmh0dHBzOi8vYnJ1bmNoLmNvLmtyL0BAN3lkLzEzNNIBAA?oc=5" TargetMode="External"/><Relationship Id="rId19" Type="http://schemas.openxmlformats.org/officeDocument/2006/relationships/hyperlink" Target="https://news.google.com/rss/articles/CBMiP2h0dHBzOi8vd3d3Lndpa2lsZWFrcy1rci5vcmcvbmV3cy9hcnRpY2xlVmlldy5odG1sP2lkeG5vPTE0MjgwOdIBAA?oc=5" TargetMode="External"/><Relationship Id="rId14" Type="http://schemas.openxmlformats.org/officeDocument/2006/relationships/hyperlink" Target="https://news.google.com/rss/articles/CBMiOmh0dHBzOi8vd3d3Lm1hZHRpbWVzLm9yZy9uZXdzL2FydGljbGVWaWV3Lmh0bWw_aWR4bm89MTg2NTHSAQA?oc=5" TargetMode="External"/><Relationship Id="rId30" Type="http://schemas.openxmlformats.org/officeDocument/2006/relationships/hyperlink" Target="https://news.google.com/rss/articles/CBMiPmh0dHBzOi8vd3d3LnNpc2Fqb3VybmFsLmNvbS9uZXdzL2FydGljbGVWaWV3Lmh0bWw_aWR4bm89MjcxMzQ00gEA?oc=5" TargetMode="External"/><Relationship Id="rId35" Type="http://schemas.openxmlformats.org/officeDocument/2006/relationships/hyperlink" Target="https://news.google.com/rss/articles/CBMiTmh0dHBzOi8vd3d3LmNob3N1bi5jb20vbmF0aW9uYWwvd2Vla2VuZC8yMDIzLzA5LzAyL01PNFNYTEpYTEpCS05KUU5TNU9RWjcyUVVFL9IBXWh0dHBzOi8vd3d3LmNob3N1bi5jb20vbmF0aW9uYWwvd2Vla2VuZC8yMDIzLzA5LzAyL01PNFNYTEpYTEpCS05KUU5TNU9RWjcyUVVFLz9vdXRwdXRUeXBlPWFtcA?oc=5" TargetMode="External"/><Relationship Id="rId56" Type="http://schemas.openxmlformats.org/officeDocument/2006/relationships/hyperlink" Target="https://news.google.com/rss/articles/CBMiK2h0dHBzOi8vd2Vla2x5LmRvbmdhLmNvbS8zL2FsbC8xMS80Mzk2ODQ2LzHSAQA?oc=5" TargetMode="External"/><Relationship Id="rId77" Type="http://schemas.openxmlformats.org/officeDocument/2006/relationships/hyperlink" Target="https://news.google.com/rss/articles/CBMiOWh0dHBzOi8vbS5uZXdzZW4uY29tL25ld3Nfdmlldy5waHA_dWlkPTIwMjMwODEzMTgwNzU4MTExMNIBAA?oc=5" TargetMode="External"/><Relationship Id="rId100" Type="http://schemas.openxmlformats.org/officeDocument/2006/relationships/hyperlink" Target="https://news.google.com/rss/articles/CBMiOGh0dHA6Ly93d3cuYXB0bi5jby5rci9uZXdzL2FydGljbGVWaWV3Lmh0bWw_aWR4bm89MTA0MTU50gE7aHR0cDovL3d3dy5hcHRuLmNvLmtyL25ld3MvYXJ0aWNsZVZpZXdBbXAuaHRtbD9pZHhubz0xMDQxNTk?oc=5" TargetMode="External"/><Relationship Id="rId105" Type="http://schemas.openxmlformats.org/officeDocument/2006/relationships/hyperlink" Target="https://news.google.com/rss/articles/CBMiMWh0dHBzOi8vd3d3Lnl0bi5jby5rci9fbG4vMDEwNl8yMDIzMDgxNTAyMDg1ODgzMzbSAUNodHRwczovL20ueXRuLmNvLmtyL25ld3Nfdmlldy5hbXAucGhwP3BhcmFtPTAxMDZfMjAyMzA4MTUwMjA4NTg4MzM2?oc=5" TargetMode="External"/><Relationship Id="rId126" Type="http://schemas.openxmlformats.org/officeDocument/2006/relationships/hyperlink" Target="https://news.google.com/rss/articles/CBMiPWh0dHBzOi8vbS5ib2FubmV3cy5jb20vaHRtbC9kZXRhaWwuaHRtbD90YWJfdHlwZT0xJmlkeD0xMjEzNTLSAQA?oc=5" TargetMode="External"/><Relationship Id="rId147" Type="http://schemas.openxmlformats.org/officeDocument/2006/relationships/hyperlink" Target="https://news.google.com/rss/articles/CBMiTWh0dHBzOi8vd2Vla2x5LmtoYW4uY28ua3Iva2hubS5odG1sP21vZGU9dmlldyZkZXB0PTExNSZhcnRfaWQ9MjAyMzA4MjUxMDU0NDEx0gEA?oc=5" TargetMode="External"/><Relationship Id="rId8" Type="http://schemas.openxmlformats.org/officeDocument/2006/relationships/hyperlink" Target="https://news.google.com/rss/articles/CBMiN2h0dHBzOi8vbmV3cy5tdC5jby5rci9tdHZpZXcucGhwP25vPTIwMjMwOTAzMTYwODMwNTcwMTTSAT1odHRwczovL20ubXQuY28ua3IvcmVuZXcvdmlld19hbXAuaHRtbD9ubz0yMDIzMDkwMzE2MDgzMDU3MDE0?oc=5" TargetMode="External"/><Relationship Id="rId51" Type="http://schemas.openxmlformats.org/officeDocument/2006/relationships/hyperlink" Target="https://news.google.com/rss/articles/CBMiN2h0dHBzOi8vbmV3cy5tdC5jby5rci9tdHZpZXcucGhwP25vPTIwMjMwOTAxMTgwNzM4MzE4NDXSAT1odHRwczovL20ubXQuY28ua3IvcmVuZXcvdmlld19hbXAuaHRtbD9ubz0yMDIzMDkwMTE4MDczODMxODQ1?oc=5" TargetMode="External"/><Relationship Id="rId72" Type="http://schemas.openxmlformats.org/officeDocument/2006/relationships/hyperlink" Target="https://news.google.com/rss/articles/CBMiOWh0dHBzOi8vd3d3Lm1rLmNvLmtyL3N0YXIvaG90LWlzc3Vlcy92aWV3LzIwMjMvMDgvNjA2MDAwL9IBAA?oc=5" TargetMode="External"/><Relationship Id="rId93" Type="http://schemas.openxmlformats.org/officeDocument/2006/relationships/hyperlink" Target="https://news.google.com/rss/articles/CBMiI2h0dHBzOi8vd3d3LmJiYy5jb20va29yZWFuLzY2NDI1Mjc40gEnaHR0cHM6Ly93d3cuYmJjLmNvbS9rb3JlYW4vNjY0MjUyNzguYW1w?oc=5" TargetMode="External"/><Relationship Id="rId98" Type="http://schemas.openxmlformats.org/officeDocument/2006/relationships/hyperlink" Target="https://news.google.com/rss/articles/CBMiQ2h0dHBzOi8vd3d3LmRvbmdhLmNvbS9uZXdzL1NvY2lldHkvYXJ0aWNsZS9hbGwvMjAyMzA4MzAvMTIwOTM3ODM1LzHSATdodHRwczovL3d3dy5kb25nYS5jb20vbmV3cy9hbXAvYWxsLzIwMjMwODMwLzEyMDkzNzgzNS8x?oc=5" TargetMode="External"/><Relationship Id="rId121" Type="http://schemas.openxmlformats.org/officeDocument/2006/relationships/hyperlink" Target="https://news.google.com/rss/articles/CBMiTGh0dHBzOi8vd3d3LmFzaWFlLmNvLmtyL3JlYWx0aW1lL3Nva2JvX3ZpZXdOZXcuaHRtP2lkeG5vPTIwMjMwODMwMTE0MTE4NTM4MDHSAQA?oc=5" TargetMode="External"/><Relationship Id="rId142" Type="http://schemas.openxmlformats.org/officeDocument/2006/relationships/hyperlink" Target="https://news.google.com/rss/articles/CBMiOmh0dHBzOi8vd3d3LmFpdGltZXMuY29tL25ld3MvYXJ0aWNsZVZpZXcuaHRtbD9pZHhubz0xNTMyMznSAQA?oc=5" TargetMode="External"/><Relationship Id="rId163" Type="http://schemas.openxmlformats.org/officeDocument/2006/relationships/hyperlink" Target="https://news.google.com/rss/articles/CBMiLGh0dHBzOi8vbS5raGFuLmNvLmtyL2FydGljbGUvMjAyMzA4MTkwNjAxMDAx0gFCaHR0cHM6Ly9tLmtoYW4uY28ua3IvbGlmZS9saWZlLWdlbmVyYWwvYXJ0aWNsZS8yMDIzMDgxOTA2MDEwMDEvYW1w?oc=5" TargetMode="External"/><Relationship Id="rId3" Type="http://schemas.openxmlformats.org/officeDocument/2006/relationships/hyperlink" Target="https://news.google.com/rss/articles/CBMiO2h0dHBzOi8vd3d3Lnllb25nbmFtLmNvbS93ZWIvdmlldy5waHA_a2V5PTIwMjMwOTA0MDEwMDAwMjY50gEA?oc=5" TargetMode="External"/><Relationship Id="rId25" Type="http://schemas.openxmlformats.org/officeDocument/2006/relationships/hyperlink" Target="https://news.google.com/rss/articles/CBMiQWh0dHBzOi8vbW9iaWxlLm5ld3Npcy5jb20vdmlldy5odG1sP2FyX2lkPU5JU1gyMDIzMDkwNF8wMDAyNDM2MTg40gFFaHR0cHM6Ly9tb2JpbGUubmV3c2lzLmNvbS92aWV3X2FtcC5odG1sP2FyX2lkPU5JU1gyMDIzMDkwNF8wMDAyNDM2MTg4?oc=5" TargetMode="External"/><Relationship Id="rId46" Type="http://schemas.openxmlformats.org/officeDocument/2006/relationships/hyperlink" Target="https://news.google.com/rss/articles/CBMiPmh0dHBzOi8vd3d3LmF1dG90cmlidW5lLmNvLmtyL25ld3MvYXJ0aWNsZVZpZXcuaHRtbD9pZHhubz05NDY50gEA?oc=5" TargetMode="External"/><Relationship Id="rId67" Type="http://schemas.openxmlformats.org/officeDocument/2006/relationships/hyperlink" Target="https://news.google.com/rss/articles/CBMiPWh0dHBzOi8vd3d3LnBvbGluZXdzLmNvLmtyL25ld3MvYXJ0aWNsZVZpZXcuaHRtbD9pZHhubz02MTAzMDHSAUBodHRwczovL3d3dy5wb2xpbmV3cy5jby5rci9uZXdzL2FydGljbGVWaWV3QW1wLmh0bWw_aWR4bm89NjEwMzAx?oc=5" TargetMode="External"/><Relationship Id="rId116" Type="http://schemas.openxmlformats.org/officeDocument/2006/relationships/hyperlink" Target="https://news.google.com/rss/articles/CBMiN2h0dHBzOi8vbmV3cy5tdC5jby5rci9tdHZpZXcucGhwP25vPTIwMjMwODMxMDk0NzE2NDE0MTHSAT1odHRwczovL20ubXQuY28ua3IvcmVuZXcvdmlld19hbXAuaHRtbD9ubz0yMDIzMDgzMTA5NDcxNjQxNDEx?oc=5" TargetMode="External"/><Relationship Id="rId137" Type="http://schemas.openxmlformats.org/officeDocument/2006/relationships/hyperlink" Target="https://news.google.com/rss/articles/CBMiN2h0dHBzOi8vbmV3cy5tdC5jby5rci9tdHZpZXcucGhwP25vPTIwMjMwODI5MTQyNDA2MTM4MDDSAT1odHRwczovL20ubXQuY28ua3IvcmVuZXcvdmlld19hbXAuaHRtbD9ubz0yMDIzMDgyOTE0MjQwNjEzODAw?oc=5" TargetMode="External"/><Relationship Id="rId158" Type="http://schemas.openxmlformats.org/officeDocument/2006/relationships/hyperlink" Target="https://news.google.com/rss/articles/CBMiLGh0dHBzOi8vbS5raGFuLmNvLmtyL2FydGljbGUvMjAyMzA4MDMxMzUzMDAx0gFCaHR0cHM6Ly9tLmtoYW4uY28ua3IvbGlmZS9saWZlLWdlbmVyYWwvYXJ0aWNsZS8yMDIzMDgwMzEzNTMwMDEvYW1w?oc=5" TargetMode="External"/><Relationship Id="rId20" Type="http://schemas.openxmlformats.org/officeDocument/2006/relationships/hyperlink" Target="https://news.google.com/rss/articles/CBMiQmh0dHBzOi8va3IuaW52ZXN0aW5nLmNvbS9uZXdzL3BlcnNvbmFsLWZpbmFuY2UtbmV3cy9hcnRpY2xlLTk0MzQwMNIBTmh0dHBzOi8vbS5rci5pbnZlc3RpbmcuY29tL25ld3MvcGVyc29uYWwtZmluYW5jZS1uZXdzL2FydGljbGUtOTQzNDAwP2FtcE1vZGU9MQ?oc=5" TargetMode="External"/><Relationship Id="rId41" Type="http://schemas.openxmlformats.org/officeDocument/2006/relationships/hyperlink" Target="https://news.google.com/rss/articles/CBMiN2h0dHBzOi8vbmV3cy5tdC5jby5rci9tdHZpZXcucGhwP25vPTIwMjMwOTAxMTUyNTQwNzg0OTjSAT1odHRwczovL20ubXQuY28ua3IvcmVuZXcvdmlld19hbXAuaHRtbD9ubz0yMDIzMDkwMTE1MjU0MDc4NDk4?oc=5" TargetMode="External"/><Relationship Id="rId62" Type="http://schemas.openxmlformats.org/officeDocument/2006/relationships/hyperlink" Target="https://news.google.com/rss/articles/CBMiPGh0dHBzOi8vbWFnYXppbmUuaGFua3l1bmcuY29tL2J1c2luZXNzL2FydGljbGUvMjAyMzAzMDg0ODU4YtIBOGh0dHBzOi8vbWFnYXppbmUuaGFua3l1bmcuY29tL2J1c2luZXNzL2FtcC8yMDIzMDMwODQ4NThi?oc=5" TargetMode="External"/><Relationship Id="rId83" Type="http://schemas.openxmlformats.org/officeDocument/2006/relationships/hyperlink" Target="https://news.google.com/rss/articles/CBMiNGh0dHA6Ly93d3cuZ2d0b3BuZXdzLmNvbS9uZXdzL2FydGljbGUuaHRtbD9ubz0xMjk5NTDSAQA?oc=5" TargetMode="External"/><Relationship Id="rId88" Type="http://schemas.openxmlformats.org/officeDocument/2006/relationships/hyperlink" Target="https://news.google.com/rss/articles/CBMiL2h0dHBzOi8vd3d3LnluYS5jby5rci92aWV3L0FLUjIwMjMwOTAxMDk5OTAwMDU10gExaHR0cHM6Ly9tLnluYS5jby5rci9hbXAvdmlldy9BS1IyMDIzMDkwMTA5OTkwMDA1NQ?oc=5" TargetMode="External"/><Relationship Id="rId111" Type="http://schemas.openxmlformats.org/officeDocument/2006/relationships/hyperlink" Target="https://news.google.com/rss/articles/CBMiNWh0dHBzOi8vYmxvZy50b3NzLmltL2FydGljbGUvZ2lybC1ncm91cHMtZWNvbm9taWNzLTAx0gEA?oc=5" TargetMode="External"/><Relationship Id="rId132" Type="http://schemas.openxmlformats.org/officeDocument/2006/relationships/hyperlink" Target="https://news.google.com/rss/articles/CBMiO2h0dHBzOi8vd3d3Lm1pbmRsZW5ld3MuY29tL25ld3MvYXJ0aWNsZVZpZXcuaHRtbD9pZHhubz0zNTE10gEA?oc=5" TargetMode="External"/><Relationship Id="rId153" Type="http://schemas.openxmlformats.org/officeDocument/2006/relationships/hyperlink" Target="https://news.google.com/rss/articles/CBMiMWh0dHBzOi8vd3d3Lm5ld3MyZGF5LmNvLmtyL2FydGljbGUvMjAyMzA5MDE1MDAxODXSAQA?oc=5" TargetMode="External"/><Relationship Id="rId15" Type="http://schemas.openxmlformats.org/officeDocument/2006/relationships/hyperlink" Target="https://news.google.com/rss/articles/CBMiQWh0dHBzOi8vd3d3Lm5ld3NmcmVlem9uZS5jby5rci9uZXdzL2FydGljbGVWaWV3Lmh0bWw_aWR4bm89NTA5NzM50gFEaHR0cHM6Ly93d3cubmV3c2ZyZWV6b25lLmNvLmtyL25ld3MvYXJ0aWNsZVZpZXdBbXAuaHRtbD9pZHhubz01MDk3Mzk?oc=5" TargetMode="External"/><Relationship Id="rId36" Type="http://schemas.openxmlformats.org/officeDocument/2006/relationships/hyperlink" Target="https://news.google.com/rss/articles/CBMiQmh0dHBzOi8vd3d3LmhhbmkuY28ua3IvYXJ0aS9wb2xpdGljcy9wb2xpdGljc19nZW5lcmFsLzExMDY4MDkuaHRtbNIBAA?oc=5" TargetMode="External"/><Relationship Id="rId57" Type="http://schemas.openxmlformats.org/officeDocument/2006/relationships/hyperlink" Target="https://news.google.com/rss/articles/CBMiP2h0dHBzOi8vd3d3Lndpa2lsZWFrcy1rci5vcmcvbmV3cy9hcnRpY2xlVmlldy5odG1sP2lkeG5vPTE0MjcwNNIBAA?oc=5" TargetMode="External"/><Relationship Id="rId106" Type="http://schemas.openxmlformats.org/officeDocument/2006/relationships/hyperlink" Target="https://news.google.com/rss/articles/CBMiLGh0dHBzOi8vbS5raGFuLmNvLmtyL2FydGljbGUvMjAyMzA4MTExNjM5MDAx0gE9aHR0cHM6Ly9tLmtoYW4uY28ua3IvY3VsdHVyZS9ib29rL2FydGljbGUvMjAyMzA4MTExNjM5MDAxL2FtcA?oc=5" TargetMode="External"/><Relationship Id="rId127" Type="http://schemas.openxmlformats.org/officeDocument/2006/relationships/hyperlink" Target="https://news.google.com/rss/articles/CBMiSmh0dHBzOi8vcmVhbHR5LmNob3N1bi5jb20vc2l0ZS9kYXRhL2h0bWxfZGlyLzIwMjMvMDgvMzEvMjAyMzA4MzEwMjMzNy5odG1s0gFBaHR0cHM6Ly9yZWFsdHkuY2hvc3VuLmNvbS9tL2FydGljbGUuYW1wLmh0bWw_Y29udGlkPTIwMjMwODMxMDIzMzc?oc=5" TargetMode="External"/><Relationship Id="rId10" Type="http://schemas.openxmlformats.org/officeDocument/2006/relationships/hyperlink" Target="https://news.google.com/rss/articles/CBMiLmh0dHBzOi8vd3d3Lmhhbmt5dW5nLmNvbS9hcnRpY2xlLzIwMjMwOTAzMDE4MDHSASpodHRwczovL3d3dy5oYW5reXVuZy5jb20vYW1wLzIwMjMwOTAzMDE4MDE?oc=5" TargetMode="External"/><Relationship Id="rId31" Type="http://schemas.openxmlformats.org/officeDocument/2006/relationships/hyperlink" Target="https://news.google.com/rss/articles/CBMiUWh0dHBzOi8vd3d3LmNob3N1bi5jb20vaW50ZXJuYXRpb25hbC9jaGluYS8yMDIzLzA5LzAzL1haQ1BaVUJJVEpIWUZQRExBQUUyWk5YT1ZRL9IBYGh0dHBzOi8vd3d3LmNob3N1bi5jb20vaW50ZXJuYXRpb25hbC9jaGluYS8yMDIzLzA5LzAzL1haQ1BaVUJJVEpIWUZQRExBQUUyWk5YT1ZRLz9vdXRwdXRUeXBlPWFtcA?oc=5" TargetMode="External"/><Relationship Id="rId52" Type="http://schemas.openxmlformats.org/officeDocument/2006/relationships/hyperlink" Target="https://news.google.com/rss/articles/CBMiN2h0dHBzOi8vbmV3cy5tdC5jby5rci9tdHZpZXcucGhwP25vPTIwMjMwODI4MTEwODMxNzg0MjDSAT1odHRwczovL20ubXQuY28ua3IvcmVuZXcvdmlld19hbXAuaHRtbD9ubz0yMDIzMDgyODExMDgzMTc4NDIw?oc=5" TargetMode="External"/><Relationship Id="rId73" Type="http://schemas.openxmlformats.org/officeDocument/2006/relationships/hyperlink" Target="https://news.google.com/rss/articles/CBMiPWh0dHA6Ly93d3cuZWNvbm9uZXdzLmNvLmtyL25ld3MvYXJ0aWNsZVZpZXcuaHRtbD9pZHhubz0zMDE0MDnSAQA?oc=5" TargetMode="External"/><Relationship Id="rId78" Type="http://schemas.openxmlformats.org/officeDocument/2006/relationships/hyperlink" Target="https://news.google.com/rss/articles/CBMiMWh0dHBzOi8vd3d3Lnl0bi5jby5rci9fbG4vMDEwM18yMDIzMDkwMTE1MDE0MDk2MjXSAUNodHRwczovL20ueXRuLmNvLmtyL25ld3Nfdmlldy5hbXAucGhwP3BhcmFtPTAxMDNfMjAyMzA5MDExNTAxNDA5NjI1?oc=5" TargetMode="External"/><Relationship Id="rId94" Type="http://schemas.openxmlformats.org/officeDocument/2006/relationships/hyperlink" Target="https://news.google.com/rss/articles/CBMiL2h0dHBzOi8vd3d3LnluYS5jby5rci92aWV3L0FLUjIwMjMwOTAxMDU0NTUxNTMw0gEA?oc=5" TargetMode="External"/><Relationship Id="rId99" Type="http://schemas.openxmlformats.org/officeDocument/2006/relationships/hyperlink" Target="https://news.google.com/rss/articles/CBMiVWh0dHBzOi8vd3d3LmNob3N1bi5jb20vc3BlY2lhbC9zcGVjaWFsX3NlY3Rpb24vMjAyMy8wOC8zMS9TSFdWV1JJQllSSFFaTjRIVzU1M0kzTUE1TS_SAWRodHRwczovL3d3dy5jaG9zdW4uY29tL3NwZWNpYWwvc3BlY2lhbF9zZWN0aW9uLzIwMjMvMDgvMzEvU0hXVldSSUJZUkhRWk40SFc1NTNJM01BNU0vP291dHB1dFR5cGU9YW1w?oc=5" TargetMode="External"/><Relationship Id="rId101" Type="http://schemas.openxmlformats.org/officeDocument/2006/relationships/hyperlink" Target="https://news.google.com/rss/articles/CBMiOWh0dHA6Ly93d3cuaGlkb21pbi5jb20vbmV3cy9hcnRpY2xlVmlldy5odG1sP2lkeG5vPTUyNTE1OdIBAA?oc=5" TargetMode="External"/><Relationship Id="rId122" Type="http://schemas.openxmlformats.org/officeDocument/2006/relationships/hyperlink" Target="https://news.google.com/rss/articles/CBMiMWh0dHBzOi8vd3d3LmludmVuLmNvLmtyL3dlYnppbmUvbmV3cy8_bmV3cz0yODgxOTHSAQA?oc=5" TargetMode="External"/><Relationship Id="rId143" Type="http://schemas.openxmlformats.org/officeDocument/2006/relationships/hyperlink" Target="https://news.google.com/rss/articles/CBMiOWh0dHA6Ly93d3cudGhlYmsuY28ua3IvbmV3cy9hcnRpY2xlVmlldy5odG1sP2lkeG5vPTIwNTEzNNIBAA?oc=5" TargetMode="External"/><Relationship Id="rId148" Type="http://schemas.openxmlformats.org/officeDocument/2006/relationships/hyperlink" Target="https://news.google.com/rss/articles/CBMiKWh0dHBzOi8vbmV3cy5uYXRlLmNvbS92aWV3LzIwMjMwODI1bjA2MDM00gEA?oc=5" TargetMode="External"/><Relationship Id="rId164" Type="http://schemas.openxmlformats.org/officeDocument/2006/relationships/hyperlink" Target="https://news.google.com/rss/articles/CBMiPmh0dHBzOi8vd3d3Lmt5b25nYnVrLmNvLmtyL25ld3MvYXJ0aWNsZVZpZXcuaHRtbD9pZHhubz0yMTE2MTAx0gEA?oc=5" TargetMode="External"/><Relationship Id="rId4" Type="http://schemas.openxmlformats.org/officeDocument/2006/relationships/hyperlink" Target="https://news.google.com/rss/articles/CBMiLmh0dHBzOi8vd3d3Lmhhbmt5dW5nLmNvbS9hcnRpY2xlLzIwMjMwOTAzMDA4NjHSASpodHRwczovL3d3dy5oYW5reXVuZy5jb20vYW1wLzIwMjMwOTAzMDA4NjE?oc=5" TargetMode="External"/><Relationship Id="rId9" Type="http://schemas.openxmlformats.org/officeDocument/2006/relationships/hyperlink" Target="https://news.google.com/rss/articles/CBMiM2h0dHBzOi8vd3d3Lm1ldHJvc2VvdWwuY28ua3IvYXJ0aWNsZS8yMDIzMDkwMzUwMDEyMNIBAA?oc=5" TargetMode="External"/><Relationship Id="rId26" Type="http://schemas.openxmlformats.org/officeDocument/2006/relationships/hyperlink" Target="https://news.google.com/rss/articles/CBMiOmh0dHBzOi8vbmV3cy5zYnMuY28ua3IvbmV3cy9lbmRQYWdlLmRvP25ld3NfaWQ9TjEwMDczMzEzMznSATdodHRwczovL25ld3Muc2JzLmNvLmtyL2FtcC9uZXdzLmFtcD9uZXdzX2lkPU4xMDA3MzMxMzM5?oc=5" TargetMode="External"/><Relationship Id="rId47" Type="http://schemas.openxmlformats.org/officeDocument/2006/relationships/hyperlink" Target="https://news.google.com/rss/articles/CBMiRGh0dHBzOi8vd3d3Lm9obXluZXdzLmNvbS9OV1NfV2ViL1ZpZXcvYXRfcGcuYXNweD9DTlROX0NEPUEwMDAyOTU4MTQx0gFCaHR0cHM6Ly9tLm9obXluZXdzLmNvbS9OV1NfV2ViL01vYmlsZS9hbXAuYXNweD9DTlROX0NEPUEwMDAyOTU4MTQx?oc=5" TargetMode="External"/><Relationship Id="rId68" Type="http://schemas.openxmlformats.org/officeDocument/2006/relationships/hyperlink" Target="https://news.google.com/rss/articles/CBMiOWh0dHBzOi8vd3d3LmltcGFjdG9uLm5ldC9uZXdzL2FydGljbGVWaWV3Lmh0bWw_aWR4bm89NzEzM9IBAA?oc=5" TargetMode="External"/><Relationship Id="rId89" Type="http://schemas.openxmlformats.org/officeDocument/2006/relationships/hyperlink" Target="https://news.google.com/rss/articles/CBMiWWh0dHBzOi8vYml6LmNob3N1bi5jb20vZW50ZXJ0YWlubWVudC9lbnRlcl9nZW5lcmFsLzIwMjMvMDgvMjgvVkwyVU1CWFAzV0RLRk5KTzROMzc2NklGVTQv0gFoaHR0cHM6Ly9iaXouY2hvc3VuLmNvbS9lbnRlcnRhaW5tZW50L2VudGVyX2dlbmVyYWwvMjAyMy8wOC8yOC9WTDJVTUJYUDNXREtGTkpPNE4zNzY2SUZVNC8_b3V0cHV0VHlwZT1hbXA?oc=5" TargetMode="External"/><Relationship Id="rId112" Type="http://schemas.openxmlformats.org/officeDocument/2006/relationships/hyperlink" Target="https://news.google.com/rss/articles/CBMiOGh0dHBzOi8vbS5oYW5rb29raWxiby5jb20vTmV3cy9SZWFkL0EyMDIzMDgyOTA3MjEwMDAxNTMw0gEA?oc=5" TargetMode="External"/><Relationship Id="rId133" Type="http://schemas.openxmlformats.org/officeDocument/2006/relationships/hyperlink" Target="https://news.google.com/rss/articles/CBMiLGh0dHBzOi8vbS5raGFuLmNvLmtyL2FydGljbGUvMjAyMzA4MDgyMDI0MDA10gE7aHR0cHM6Ly9tLmtoYW4uY28ua3IvY3VsdHVyZS90di9hcnRpY2xlLzIwMjMwODA4MjAyNDAwNS9hbXA?oc=5" TargetMode="External"/><Relationship Id="rId154" Type="http://schemas.openxmlformats.org/officeDocument/2006/relationships/hyperlink" Target="https://news.google.com/rss/articles/CBMiS2h0dHA6Ly93ZWVrbHkua2hhbi5jby5rci9raG5tLmh0bWw_bW9kZT12aWV3JmFydGlkPTIwMjMwODI1MTA1NDM5MSZjb2RlPTExNNIBAA?oc=5" TargetMode="External"/><Relationship Id="rId16" Type="http://schemas.openxmlformats.org/officeDocument/2006/relationships/hyperlink" Target="https://news.google.com/rss/articles/CBMiM2h0dHA6Ly93d3cuc3BvcnRzd29ybGRpLmNvbS9uZXdzVmlldy8yMDIzMDkwMzUwNzg5MtIBAA?oc=5" TargetMode="External"/><Relationship Id="rId37" Type="http://schemas.openxmlformats.org/officeDocument/2006/relationships/hyperlink" Target="https://news.google.com/rss/articles/CBMiLGh0dHBzOi8vbS5raGFuLmNvLmtyL2FydGljbGUvMjAyMzA5MDExNTQyMDAx0gFIaHR0cHM6Ly9tLmtoYW4uY28ua3IvbmF0aW9uYWwvaGVhbHRoLXdlbGZhcmUvYXJ0aWNsZS8yMDIzMDkwMTE1NDIwMDEvYW1w?oc=5" TargetMode="External"/><Relationship Id="rId58" Type="http://schemas.openxmlformats.org/officeDocument/2006/relationships/hyperlink" Target="https://news.google.com/rss/articles/CBMiOGh0dHBzOi8vd3d3LmtpZG9rLmNvbS9uZXdzL2FydGljbGVWaWV3Lmh0bWw_aWR4bm89MjE5MjQ40gE7aHR0cHM6Ly93d3cua2lkb2suY29tL25ld3MvYXJ0aWNsZVZpZXdBbXAuaHRtbD9pZHhubz0yMTkyNDg?oc=5" TargetMode="External"/><Relationship Id="rId79" Type="http://schemas.openxmlformats.org/officeDocument/2006/relationships/hyperlink" Target="https://news.google.com/rss/articles/CBMiOWh0dHBzOi8vd3d3LnJjYXN0LmNvLmtyL25ld3MvYXJ0aWNsZVZpZXcuaHRtbD9pZHhubz0yMjYxMdIBPGh0dHBzOi8vd3d3LnJjYXN0LmNvLmtyL25ld3MvYXJ0aWNsZVZpZXdBbXAuaHRtbD9pZHhubz0yMjYxMQ?oc=5" TargetMode="External"/><Relationship Id="rId102" Type="http://schemas.openxmlformats.org/officeDocument/2006/relationships/hyperlink" Target="https://news.google.com/rss/articles/CBMiP2h0dHA6Ly93d3cuZm9vdGJhbGxpc3QuY28ua3IvbmV3cy9hcnRpY2xlVmlldy5odG1sP2lkeG5vPTE3MjM5MtIBAA?oc=5" TargetMode="External"/><Relationship Id="rId123" Type="http://schemas.openxmlformats.org/officeDocument/2006/relationships/hyperlink" Target="https://news.google.com/rss/articles/CBMiK2h0dHBzOi8vemRuZXQuY28ua3Ivdmlldy8_bm89MjAyMzA4MjkxNDQ2MDTSAQA?oc=5" TargetMode="External"/><Relationship Id="rId144" Type="http://schemas.openxmlformats.org/officeDocument/2006/relationships/hyperlink" Target="https://news.google.com/rss/articles/CBMiPmh0dHBzOi8vd3d3LmF1dG9kYWlseS5jby5rci9uZXdzL2FydGljbGVWaWV3Lmh0bWw_aWR4bm89NTA5MTA00gFBaHR0cHM6Ly93d3cuYXV0b2RhaWx5LmNvLmtyL25ld3MvYXJ0aWNsZVZpZXdBbXAuaHRtbD9pZHhubz01MDkxMDQ?oc=5" TargetMode="External"/><Relationship Id="rId90" Type="http://schemas.openxmlformats.org/officeDocument/2006/relationships/hyperlink" Target="https://news.google.com/rss/articles/CBMiQ2h0dHA6Ly93d3cuZHQuY28ua3IvY29udGVudHMuaHRtbD9hcnRpY2xlX25vPTIwMjMwODMwMDIxMDk5NjMwNzYwMDHSAQA?oc=5" TargetMode="External"/><Relationship Id="rId165" Type="http://schemas.openxmlformats.org/officeDocument/2006/relationships/hyperlink" Target="https://news.google.com/rss/articles/CBMivQFodHRwczovL3d3dy5hbGx1cmVrb3JlYS5jb20vMjAyMy8wOC8zMS8lRUIlQTclQTQlRUMlOUQlQkMtJUVEJTk1JUE4JUVBJUJCJTk4JUVEJTk1JUEwLSVFRCU4QyU4QyVFQyU5RCVCOC0lRUMlQTMlQkMlRUMlOTYlQkMlRUIlQTYlQUMlRUMlOUQlOTgtJUVCJTg4JTg4JUVCJUI2JTgwJUVDJThCJUEwLSVFQiVBNyVBNCVFQiVBMCVBNS_SAQA?oc=5" TargetMode="External"/><Relationship Id="rId27" Type="http://schemas.openxmlformats.org/officeDocument/2006/relationships/hyperlink" Target="https://news.google.com/rss/articles/CBMiNGh0dHBzOi8vbS5kZGFpbHkuY28ua3IvcGFnZS92aWV3LzIwMjMwOTAzMTcxNjIxNDE2NzbSAQA?oc=5" TargetMode="External"/><Relationship Id="rId48" Type="http://schemas.openxmlformats.org/officeDocument/2006/relationships/hyperlink" Target="https://news.google.com/rss/articles/CBMiOmh0dHA6Ly93d3cuZm9jdXNpLmNvLmtyL25ld3MvYXJ0aWNsZVZpZXcuaHRtbD9pZHhubz0yODYxNDXSAT1odHRwOi8vd3d3LmZvY3VzaS5jby5rci9uZXdzL2FydGljbGVWaWV3QW1wLmh0bWw_aWR4bm89Mjg2MTQ1?oc=5" TargetMode="External"/><Relationship Id="rId69" Type="http://schemas.openxmlformats.org/officeDocument/2006/relationships/hyperlink" Target="https://news.google.com/rss/articles/CBMizAFodHRwczovL3d3dy52b2d1ZS5jby5rci8yMDIzLzA4LzMxLyVFQyVBMCU4NCVFQiVBQyVCOCVFQSVCMCU4MCVFQSVCMCU4MC0lRUIlQTclOTAlRUQlOTUlOTglRUIlOEElOTQtJUVDJUI2JTlDJUVDJTgzJTlELSVFQyU4OCU5QyVFQyU4NCU5QyVFQyU5NyU5MC0lRUIlOTQlQjAlRUIlQTUlQjgtJUVDJTg0JUIxJUVBJUIyJUE5LSVFQyVCMCVBOCVFQyU5RCVCNC_SAQA?oc=5" TargetMode="External"/><Relationship Id="rId113" Type="http://schemas.openxmlformats.org/officeDocument/2006/relationships/hyperlink" Target="https://news.google.com/rss/articles/CBMiP2h0dHBzOi8vd3d3Lm1vbmV5cy5jby5rci9uZXdzL213Vmlldy5waHA_bm89MjAyMzA4MzExNzM1MzE1ODExMtIBAA?oc=5" TargetMode="External"/><Relationship Id="rId134" Type="http://schemas.openxmlformats.org/officeDocument/2006/relationships/hyperlink" Target="https://news.google.com/rss/articles/CBMiLmh0dHBzOi8vbS5rbWliLmNvLmtyL3ZpZXcuYXNwP2FyY2lkPTA5MjQyODM3MTLSATJodHRwczovL20ua21pYi5jby5rci92aWV3X2FtcC5hc3A_YXJjaWQ9MDkyNDI4MzcxMg?oc=5" TargetMode="External"/><Relationship Id="rId80" Type="http://schemas.openxmlformats.org/officeDocument/2006/relationships/hyperlink" Target="https://news.google.com/rss/articles/CBMiOmh0dHA6Ly93d3cuc2lzYXdlZWsuY29tL25ld3MvYXJ0aWNsZVZpZXcuaHRtbD9pZHhubz0yMDc0ODnSAQA?oc=5" TargetMode="External"/><Relationship Id="rId155" Type="http://schemas.openxmlformats.org/officeDocument/2006/relationships/hyperlink" Target="https://news.google.com/rss/articles/CBMiMWh0dHBzOi8vd3d3Lnl0bi5jby5rci9fbG4vMDEwMl8yMDIyMTIxNjEzNDcwOTU4MTLSAUNodHRwczovL20ueXRuLmNvLmtyL25ld3Nfdmlldy5hbXAucGhwP3BhcmFtPTAxMDJfMjAyMjEyMTYxMzQ3MDk1ODEy?oc=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news.google.com/rss/articles/CBMiOGh0dHBzOi8vbS5oYW5rb29raWxiby5jb20vTmV3cy9SZWFkL0EyMDIzMDgwNjEyNDgwMDA1OTY50gEA?oc=5" TargetMode="External"/><Relationship Id="rId117" Type="http://schemas.openxmlformats.org/officeDocument/2006/relationships/hyperlink" Target="https://news.google.com/rss/articles/CBMiKGh0dHBzOi8vd3d3Lm5vY3V0bmV3cy5jby5rci9uZXdzLzU5ODcwNznSASpodHRwczovL20ubm9jdXRuZXdzLmNvLmtyL25ld3MvYW1wLzU5ODcwNzk?oc=5" TargetMode="External"/><Relationship Id="rId21" Type="http://schemas.openxmlformats.org/officeDocument/2006/relationships/hyperlink" Target="https://news.google.com/rss/articles/CBMiNmh0dHBzOi8vd3d3Lmhhbmt5dW5nLmNvbS9vcGluaW9uL2FydGljbGUvMjAyMzA4MDIwNjc0MdIBMmh0dHBzOi8vd3d3Lmhhbmt5dW5nLmNvbS9vcGluaW9uL2FtcC8yMDIzMDgwMjA2NzQx?oc=5" TargetMode="External"/><Relationship Id="rId42" Type="http://schemas.openxmlformats.org/officeDocument/2006/relationships/hyperlink" Target="https://news.google.com/rss/articles/CBMiQWh0dHBzOi8vd3d3LmRvbmdhLmNvbS9uZXdzL0ludGVyL2FydGljbGUvYWxsLzIwMjMwMjA5LzExNzgwMzA3OC8y0gE3aHR0cHM6Ly93d3cuZG9uZ2EuY29tL25ld3MvYW1wL2FsbC8yMDIzMDIwOS8xMTc4MDMwNzgvMg?oc=5" TargetMode="External"/><Relationship Id="rId47" Type="http://schemas.openxmlformats.org/officeDocument/2006/relationships/hyperlink" Target="https://news.google.com/rss/articles/CBMiLmh0dHBzOi8vYnJhdm8uZXRvZGF5LmNvLmtyL3ZpZXcvYXRjX3ZpZXcvMTM2NzbSAQA?oc=5" TargetMode="External"/><Relationship Id="rId63" Type="http://schemas.openxmlformats.org/officeDocument/2006/relationships/hyperlink" Target="https://news.google.com/rss/articles/CBMiPGh0dHBzOi8vd3d3LmplanVuZXdzLmNvbS9uZXdzL2FydGljbGVWaWV3Lmh0bWw_aWR4bm89MjIwMjAyMNIBAA?oc=5" TargetMode="External"/><Relationship Id="rId68" Type="http://schemas.openxmlformats.org/officeDocument/2006/relationships/hyperlink" Target="https://news.google.com/rss/articles/CBMiLmh0dHBzOi8vYnJhdm8uZXRvZGF5LmNvLmtyL3ZpZXcvYXRjX3ZpZXcvMTQzMzPSAQA?oc=5" TargetMode="External"/><Relationship Id="rId84" Type="http://schemas.openxmlformats.org/officeDocument/2006/relationships/hyperlink" Target="https://news.google.com/rss/articles/CBMiN2h0dHBzOi8vbmV3cy5tdC5jby5rci9tdHZpZXcucGhwP25vPTIwMTgwODIzMTgzODUyNDAxMzHSAT1odHRwczovL20ubXQuY28ua3IvcmVuZXcvdmlld19hbXAuaHRtbD9ubz0yMDE4MDgyMzE4Mzg1MjQwMTMx?oc=5" TargetMode="External"/><Relationship Id="rId89" Type="http://schemas.openxmlformats.org/officeDocument/2006/relationships/hyperlink" Target="https://news.google.com/rss/articles/CBMiMmh0dHBzOi8va2duZXdzLmNvLmtyL21vYmlsZS9hcnRpY2xlLmh0bWw_bm89NzU3ODU00gEA?oc=5" TargetMode="External"/><Relationship Id="rId112" Type="http://schemas.openxmlformats.org/officeDocument/2006/relationships/hyperlink" Target="https://news.google.com/rss/articles/CBMiPmh0dHA6Ly93d3cubWVkaWF0b2RheS5jby5rci9uZXdzL2FydGljbGVWaWV3Lmh0bWw_aWR4bm89MzA1NzI10gFBaHR0cDovL3d3dy5tZWRpYXRvZGF5LmNvLmtyL25ld3MvYXJ0aWNsZVZpZXdBbXAuaHRtbD9pZHhubz0zMDU3MjU?oc=5" TargetMode="External"/><Relationship Id="rId16" Type="http://schemas.openxmlformats.org/officeDocument/2006/relationships/hyperlink" Target="https://news.google.com/rss/articles/CBMiPGh0dHBzOi8vd3d3LnRoZXNjb29wLmNvLmtyL25ld3MvYXJ0aWNsZVZpZXcuaHRtbD9pZHhubz01ODQ3NtIBAA?oc=5" TargetMode="External"/><Relationship Id="rId107" Type="http://schemas.openxmlformats.org/officeDocument/2006/relationships/hyperlink" Target="https://news.google.com/rss/articles/CBMiLmh0dHBzOi8vd3d3LmZubmV3cy5jb20vbmV3cy8yMDE4MTAyNTA5MTUxNzU0ODfSATFodHRwczovL3d3dy5mbm5ld3MuY29tL2FtcE5ld3MvMjAxODEwMjUwOTE1MTc1NDg3?oc=5" TargetMode="External"/><Relationship Id="rId11" Type="http://schemas.openxmlformats.org/officeDocument/2006/relationships/hyperlink" Target="https://news.google.com/rss/articles/CBMiM2h0dHBzOi8vbmV3cy5uYXRlLmNvbS92aWV3LzIwMjMwOTAybjAwNjI1P21pZD1uMDEwMNIBAA?oc=5" TargetMode="External"/><Relationship Id="rId32" Type="http://schemas.openxmlformats.org/officeDocument/2006/relationships/hyperlink" Target="https://news.google.com/rss/articles/CBMiO2h0dHBzOi8vd3d3LnNlb3VsLmNvLmtyL25ld3MvbmV3c1ZpZXcucGhwP2lkPTIwMjMwNTA5NTAwMTI50gEsaHR0cHM6Ly9hbXAuc2VvdWwuY28ua3Ivc2VvdWwvMjAyMzA1MDk1MDAxMjk?oc=5" TargetMode="External"/><Relationship Id="rId37" Type="http://schemas.openxmlformats.org/officeDocument/2006/relationships/hyperlink" Target="https://news.google.com/rss/articles/CBMiPmh0dHBzOi8vd3d3LnJlYWRlcnNuZXdzLmNvbS9uZXdzL2FydGljbGVWaWV3Lmh0bWw_aWR4bm89MTA4OTY00gEA?oc=5" TargetMode="External"/><Relationship Id="rId53" Type="http://schemas.openxmlformats.org/officeDocument/2006/relationships/hyperlink" Target="https://news.google.com/rss/articles/CBMiM2h0dHBzOi8vbmV3cy5uYXRlLmNvbS92aWV3LzIwMjMwOTAxbjE5MzEyP21pZD1uMTEwMdIBAA?oc=5" TargetMode="External"/><Relationship Id="rId58" Type="http://schemas.openxmlformats.org/officeDocument/2006/relationships/hyperlink" Target="https://news.google.com/rss/articles/CBMiOmh0dHBzOi8vd3d3LmtibWFlaWwuY29tL25ld3MvYXJ0aWNsZVZpZXcuaHRtbD9pZHhubz05NjY0MznSAQA?oc=5" TargetMode="External"/><Relationship Id="rId74" Type="http://schemas.openxmlformats.org/officeDocument/2006/relationships/hyperlink" Target="https://news.google.com/rss/articles/CBMiOmh0dHBzOi8vd3d3LmRoZGFpbHkuY28ua3IvbmV3cy9hcnRpY2xlVmlldy5odG1sP2lkeG5vPTI4ODHSAQA?oc=5" TargetMode="External"/><Relationship Id="rId79" Type="http://schemas.openxmlformats.org/officeDocument/2006/relationships/hyperlink" Target="https://news.google.com/rss/articles/CBMiN2h0dHBzOi8vd3d3LmVkcGwuY28ua3IvbmV3cy9hcnRpY2xlVmlldy5odG1sP2lkeG5vPTgxOTPSAQA?oc=5" TargetMode="External"/><Relationship Id="rId102" Type="http://schemas.openxmlformats.org/officeDocument/2006/relationships/hyperlink" Target="https://news.google.com/rss/articles/CBMiO2h0dHBzOi8vd3d3LnByZXNzaWFuLmNvbS9wYWdlcy9hcnRpY2xlcy8yMDIzMDMyMTE3MjcxNjA3OTA40gEA?oc=5" TargetMode="External"/><Relationship Id="rId5" Type="http://schemas.openxmlformats.org/officeDocument/2006/relationships/hyperlink" Target="https://news.google.com/rss/articles/CBMiS2h0dHBzOi8vd3d3LmVkYWlseS5jby5rci9uZXdzL3JlYWQ_bmV3c0lkPTAxMTA1MzY2NjM1NzA5OTQ0Jm1lZGlhQ29kZU5vPTI1N9IBSGh0dHBzOi8vbS5lZGFpbHkuY28ua3IvYW1wL3JlYWQ_bmV3c0lkPTAxMTA1MzY2NjM1NzA5OTQ0Jm1lZGlhQ29kZU5vPTI1Nw?oc=5" TargetMode="External"/><Relationship Id="rId90" Type="http://schemas.openxmlformats.org/officeDocument/2006/relationships/hyperlink" Target="https://news.google.com/rss/articles/CBMiS2h0dHBzOi8vd3d3LmNob3N1bi5jb20vZWNvbm9teS9tb25leS8yMDIyLzEyLzAxL1pPTzJMNlpTQlZIN0RNRkUzVkVMRUtHVVM0L9IBWmh0dHBzOi8vd3d3LmNob3N1bi5jb20vZWNvbm9teS9tb25leS8yMDIyLzEyLzAxL1pPTzJMNlpTQlZIN0RNRkUzVkVMRUtHVVM0Lz9vdXRwdXRUeXBlPWFtcA?oc=5" TargetMode="External"/><Relationship Id="rId95" Type="http://schemas.openxmlformats.org/officeDocument/2006/relationships/hyperlink" Target="https://news.google.com/rss/articles/CBMiOGh0dHBzOi8vd3d3Lmhhbmtvb2tpbGJvLmNvbS9OZXdzL1JlYWQvMjAyMDAzMjMxMDUwMDczMzgw0gEA?oc=5" TargetMode="External"/><Relationship Id="rId22" Type="http://schemas.openxmlformats.org/officeDocument/2006/relationships/hyperlink" Target="https://news.google.com/rss/articles/CBMiN2h0dHBzOi8vbmV3cy5tdC5jby5rci9tdHZpZXcucGhwP25vPTIwMjMwODAyMjAzODA2NjUyMTnSAT1odHRwczovL20ubXQuY28ua3IvcmVuZXcvdmlld19hbXAuaHRtbD9ubz0yMDIzMDgwMjIwMzgwNjY1MjE5?oc=5" TargetMode="External"/><Relationship Id="rId27" Type="http://schemas.openxmlformats.org/officeDocument/2006/relationships/hyperlink" Target="https://news.google.com/rss/articles/CBMiK2h0dHBzOi8vd3d3LnNlZGFpbHkuY29tL05ld3NWaWV3LzI5UzdVM0dXQVbSASxodHRwczovL20uc2VkYWlseS5jb20vTmV3c1ZpZXdBbXAvMjlTN1UzR1dBVg?oc=5" TargetMode="External"/><Relationship Id="rId43" Type="http://schemas.openxmlformats.org/officeDocument/2006/relationships/hyperlink" Target="https://news.google.com/rss/articles/CBMiO2h0dHA6Ly93d3cubWVkaWF1cy5jby5rci9uZXdzL2FydGljbGVWaWV3Lmh0bWw_aWR4bm89MzA2MTM00gE-aHR0cDovL3d3dy5tZWRpYXVzLmNvLmtyL25ld3MvYXJ0aWNsZVZpZXdBbXAuaHRtbD9pZHhubz0zMDYxMzQ?oc=5" TargetMode="External"/><Relationship Id="rId48" Type="http://schemas.openxmlformats.org/officeDocument/2006/relationships/hyperlink" Target="https://news.google.com/rss/articles/CBMiQGh0dHBzOi8vd3d3Lmh1ZmZpbmd0b25wb3N0LmtyL25ld3MvYXJ0aWNsZVZpZXcuaHRtbD9pZHhubz0yMDc2MDHSAUNodHRwczovL3d3dy5odWZmaW5ndG9ucG9zdC5rci9uZXdzL2FydGljbGVWaWV3QW1wLmh0bWw_aWR4bm89MjA3NjAx?oc=5" TargetMode="External"/><Relationship Id="rId64" Type="http://schemas.openxmlformats.org/officeDocument/2006/relationships/hyperlink" Target="https://news.google.com/rss/articles/CBMiLmh0dHBzOi8vYnJhdm8uZXRvZGF5LmNvLmtyL3ZpZXcvYXRjX3ZpZXcvMTQ1MDTSAQA?oc=5" TargetMode="External"/><Relationship Id="rId69" Type="http://schemas.openxmlformats.org/officeDocument/2006/relationships/hyperlink" Target="https://news.google.com/rss/articles/CBMiV2h0dHBzOi8vd3d3LmNob3N1bi5jb20vbmF0aW9uYWwvbmF0aW9uYWxfZ2VuZXJhbC8yMDIxLzA1LzA5L0tHUEFIWVFQS0JBWDNNQ1FZTTQyVE5UVEpJL9IBZmh0dHBzOi8vd3d3LmNob3N1bi5jb20vbmF0aW9uYWwvbmF0aW9uYWxfZ2VuZXJhbC8yMDIxLzA1LzA5L0tHUEFIWVFQS0JBWDNNQ1FZTTQyVE5UVEpJLz9vdXRwdXRUeXBlPWFtcA?oc=5" TargetMode="External"/><Relationship Id="rId113" Type="http://schemas.openxmlformats.org/officeDocument/2006/relationships/hyperlink" Target="https://news.google.com/rss/articles/CBMiLmh0dHBzOi8vd3d3LmZubmV3cy5jb20vbmV3cy8yMDIzMDUxMTA5NTczMjU0MTDSATFodHRwczovL3d3dy5mbm5ld3MuY29tL2FtcE5ld3MvMjAyMzA1MTEwOTU3MzI1NDEw?oc=5" TargetMode="External"/><Relationship Id="rId118" Type="http://schemas.openxmlformats.org/officeDocument/2006/relationships/hyperlink" Target="https://news.google.com/rss/articles/CBMiKGh0dHBzOi8vd3d3Lm5vY3V0bmV3cy5jby5rci9uZXdzLzU5ODY4MTDSASpodHRwczovL20ubm9jdXRuZXdzLmNvLmtyL25ld3MvYW1wLzU5ODY4MTA?oc=5" TargetMode="External"/><Relationship Id="rId80" Type="http://schemas.openxmlformats.org/officeDocument/2006/relationships/hyperlink" Target="https://news.google.com/rss/articles/CBMiLmh0dHBzOi8vYnJhdm8uZXRvZGF5LmNvLmtyL3ZpZXcvYXRjX3ZpZXcvMTM3NjfSAQA?oc=5" TargetMode="External"/><Relationship Id="rId85" Type="http://schemas.openxmlformats.org/officeDocument/2006/relationships/hyperlink" Target="https://news.google.com/rss/articles/CBMiKmh0dHBzOi8vd3d3Lm1rLmNvLmtyL25ld3Mvc29jaWV0eS8xMDM0OTU1OdIBH2h0dHBzOi8vbS5tay5jby5rci9hbXAvMTAzNDk1NTk?oc=5" TargetMode="External"/><Relationship Id="rId12" Type="http://schemas.openxmlformats.org/officeDocument/2006/relationships/hyperlink" Target="https://news.google.com/rss/articles/CBMiTWh0dHBzOi8vd2Vla2x5LmtoYW4uY28ua3Iva2hubS5odG1sP21vZGU9dmlldyZkZXB0PTExNSZhcnRfaWQ9MjAyMzA4MjUxMDU1MTcx0gEA?oc=5" TargetMode="External"/><Relationship Id="rId17" Type="http://schemas.openxmlformats.org/officeDocument/2006/relationships/hyperlink" Target="https://news.google.com/rss/articles/CBMiKWh0dHBzOi8vbmV3cy5uYXRlLmNvbS92aWV3LzIwMjMwODE5bjA2NDY30gEA?oc=5" TargetMode="External"/><Relationship Id="rId33" Type="http://schemas.openxmlformats.org/officeDocument/2006/relationships/hyperlink" Target="https://news.google.com/rss/articles/CBMiOmh0dHA6Ly93d3cuZGFuYmluZXdzLmNvbS9uZXdzL2FydGljbGVWaWV3Lmh0bWw_aWR4bm89MjQxOTfSAT1odHRwOi8vd3d3LmRhbmJpbmV3cy5jb20vbmV3cy9hcnRpY2xlVmlld0FtcC5odG1sP2lkeG5vPTI0MTk3?oc=5" TargetMode="External"/><Relationship Id="rId38" Type="http://schemas.openxmlformats.org/officeDocument/2006/relationships/hyperlink" Target="https://news.google.com/rss/articles/CBMiOGh0dHBzOi8vd3d3LmlnaW1wby5jb20vbmV3cy9hcnRpY2xlVmlldy5odG1sP2lkeG5vPTc4MzUw0gE7aHR0cHM6Ly93d3cuaWdpbXBvLmNvbS9uZXdzL2FydGljbGVWaWV3QW1wLmh0bWw_aWR4bm89NzgzNTA?oc=5" TargetMode="External"/><Relationship Id="rId59" Type="http://schemas.openxmlformats.org/officeDocument/2006/relationships/hyperlink" Target="https://news.google.com/rss/articles/CBMiO2h0dHBzOi8vd3d3Lmdvb2RuZXdzMS5jb20vbmV3cy9hcnRpY2xlVmlldy5odG1sP2lkeG5vPTk5NzI50gE-aHR0cHM6Ly93d3cuZ29vZG5ld3MxLmNvbS9uZXdzL2FydGljbGVWaWV3QW1wLmh0bWw_aWR4bm89OTk3Mjk?oc=5" TargetMode="External"/><Relationship Id="rId103" Type="http://schemas.openxmlformats.org/officeDocument/2006/relationships/hyperlink" Target="https://news.google.com/rss/articles/CBMiL2h0dHBzOi8vd3d3Lmt5ZW9uZ2dpLmNvbS9hcnRpY2xlLzIwMjMwNTE1NTgwMzAw0gEyaHR0cHM6Ly93d3cua3llb25nZ2kuY29tL2FydGljbGVBbXAvMjAyMzA1MTU1ODAzMDA?oc=5" TargetMode="External"/><Relationship Id="rId108" Type="http://schemas.openxmlformats.org/officeDocument/2006/relationships/hyperlink" Target="https://news.google.com/rss/articles/CBMiOmh0dHBzOi8vbmV3cy5zYnMuY28ua3IvbmV3cy9lbmRQYWdlLmRvP25ld3NfaWQ9TjEwMDcyOTU3NDDSATdodHRwczovL25ld3Muc2JzLmNvLmtyL2FtcC9uZXdzLmFtcD9uZXdzX2lkPU4xMDA3Mjk1NzQw?oc=5" TargetMode="External"/><Relationship Id="rId54" Type="http://schemas.openxmlformats.org/officeDocument/2006/relationships/hyperlink" Target="https://news.google.com/rss/articles/CBMiKWh0dHBzOi8vbmV3cy5uYXRlLmNvbS92aWV3LzIwMjMwODI0bjAyNTg00gEA?oc=5" TargetMode="External"/><Relationship Id="rId70" Type="http://schemas.openxmlformats.org/officeDocument/2006/relationships/hyperlink" Target="https://news.google.com/rss/articles/CBMiP2h0dHBzOi8vd3d3LmRlbWVudGlhbmV3cy5jby5rci9uZXdzL2FydGljbGVWaWV3Lmh0bWw_aWR4bm89NDI4NdIBAA?oc=5" TargetMode="External"/><Relationship Id="rId75" Type="http://schemas.openxmlformats.org/officeDocument/2006/relationships/hyperlink" Target="https://news.google.com/rss/articles/CBMiLmh0dHBzOi8vYnJhdm8uZXRvZGF5LmNvLmtyL3ZpZXcvYXRjX3ZpZXcvMTQzMTjSAQA?oc=5" TargetMode="External"/><Relationship Id="rId91" Type="http://schemas.openxmlformats.org/officeDocument/2006/relationships/hyperlink" Target="https://news.google.com/rss/articles/CBMiLmh0dHBzOi8vYnJhdm8uZXRvZGF5LmNvLmtyL3ZpZXcvYXRjX3ZpZXcvMTQ1NTHSAQA?oc=5" TargetMode="External"/><Relationship Id="rId96" Type="http://schemas.openxmlformats.org/officeDocument/2006/relationships/hyperlink" Target="https://news.google.com/rss/articles/CBMiPmh0dHBzOi8vaDIxLmhhbmkuY28ua3IvYXJ0aS9zb2NpZXR5L3NvY2lldHlfZ2VuZXJhbC81MjcyMS5odG1s0gEA?oc=5" TargetMode="External"/><Relationship Id="rId1" Type="http://schemas.openxmlformats.org/officeDocument/2006/relationships/hyperlink" Target="https://news.google.com/rss/articles/CBMiNmh0dHA6Ly93d3cuYWJja3IubmV0L25ld3MvYXJ0aWNsZVZpZXcuaHRtbD9pZHhubz01MDM3N9IBAA?oc=5" TargetMode="External"/><Relationship Id="rId6" Type="http://schemas.openxmlformats.org/officeDocument/2006/relationships/hyperlink" Target="https://news.google.com/rss/articles/CBMiM2h0dHBzOi8vd3d3LmFzaWFlLmNvLmtyL2FydGljbGUvMjAyMDAxMTcxNDM4MzY5ODM2OdIBAA?oc=5" TargetMode="External"/><Relationship Id="rId23" Type="http://schemas.openxmlformats.org/officeDocument/2006/relationships/hyperlink" Target="https://news.google.com/rss/articles/CBMiRGh0dHBzOi8vd3d3LmR0LmNvLmtyL2NvbnRlbnRzLmh0bWw_YXJ0aWNsZV9ubz0yMDIzMDgwMjAyMTA5OTU4MDUxMDA00gEA?oc=5" TargetMode="External"/><Relationship Id="rId28" Type="http://schemas.openxmlformats.org/officeDocument/2006/relationships/hyperlink" Target="https://news.google.com/rss/articles/CBMiN2h0dHBzOi8vd3d3LmhhbmkuY28ua3IvYXJ0aS9vcGluaW9uL2NvbHVtbi8xMTAzMjE2Lmh0bWzSAQA?oc=5" TargetMode="External"/><Relationship Id="rId49" Type="http://schemas.openxmlformats.org/officeDocument/2006/relationships/hyperlink" Target="https://news.google.com/rss/articles/CBMiLmh0dHBzOi8vYnJhdm8uZXRvZGF5LmNvLmtyL3ZpZXcvYXRjX3ZpZXcvMTM2NzfSAQA?oc=5" TargetMode="External"/><Relationship Id="rId114" Type="http://schemas.openxmlformats.org/officeDocument/2006/relationships/hyperlink" Target="https://news.google.com/rss/articles/CBMiLmh0dHBzOi8vd3d3LmZubmV3cy5jb20vbmV3cy8yMDE4MTAyNTE2NTEzNjYzNjDSATFodHRwczovL3d3dy5mbm5ld3MuY29tL2FtcE5ld3MvMjAxODEwMjUxNjUxMzY2MzYw?oc=5" TargetMode="External"/><Relationship Id="rId119" Type="http://schemas.openxmlformats.org/officeDocument/2006/relationships/hyperlink" Target="https://news.google.com/rss/articles/CBMiKGh0dHBzOi8vd3d3Lm5vY3V0bmV3cy5jby5rci9uZXdzLzU5NjY0MjPSASpodHRwczovL20ubm9jdXRuZXdzLmNvLmtyL25ld3MvYW1wLzU5NjY0MjM?oc=5" TargetMode="External"/><Relationship Id="rId10" Type="http://schemas.openxmlformats.org/officeDocument/2006/relationships/hyperlink" Target="https://news.google.com/rss/articles/CBMiQ2h0dHBzOi8vd3d3LmRvbmdhLmNvbS9uZXdzL0N1bHR1cmUvYXJ0aWNsZS9hbGwvMjAyMzA5MDEvMTIwOTc5NDUxLzHSATdodHRwczovL3d3dy5kb25nYS5jb20vbmV3cy9hbXAvYWxsLzIwMjMwOTAxLzEyMDk3OTQ1MS8x?oc=5" TargetMode="External"/><Relationship Id="rId31" Type="http://schemas.openxmlformats.org/officeDocument/2006/relationships/hyperlink" Target="https://news.google.com/rss/articles/CBMiL2h0dHBzOi8vd3d3LnluYS5jby5rci92aWV3L0FLUjIwMjMwODI5MTQ5MzAwNTE40gExaHR0cHM6Ly9tLnluYS5jby5rci9hbXAvdmlldy9BS1IyMDIzMDgyOTE0OTMwMDUxOA?oc=5" TargetMode="External"/><Relationship Id="rId44" Type="http://schemas.openxmlformats.org/officeDocument/2006/relationships/hyperlink" Target="https://news.google.com/rss/articles/CBMiLmh0dHBzOi8vc2hpbmRvbmdhLmRvbmdhLmNvbS8zL2FsbC8xMy8zMTE0NTg2LzHSAQA?oc=5" TargetMode="External"/><Relationship Id="rId52" Type="http://schemas.openxmlformats.org/officeDocument/2006/relationships/hyperlink" Target="https://news.google.com/rss/articles/CBMiLmh0dHBzOi8vYnJhdm8uZXRvZGF5LmNvLmtyL3ZpZXcvYXRjX3ZpZXcvMTM3MDHSAQA?oc=5" TargetMode="External"/><Relationship Id="rId60" Type="http://schemas.openxmlformats.org/officeDocument/2006/relationships/hyperlink" Target="https://news.google.com/rss/articles/CBMiLmh0dHBzOi8vYnJhdm8uZXRvZGF5LmNvLmtyL3ZpZXcvYXRjX3ZpZXcvMTQ0MDjSAQA?oc=5" TargetMode="External"/><Relationship Id="rId65" Type="http://schemas.openxmlformats.org/officeDocument/2006/relationships/hyperlink" Target="https://news.google.com/rss/articles/CBMiRGh0dHBzOi8vd3d3Lm9obXluZXdzLmNvbS9OV1NfV2ViL1ZpZXcvYXRfcGcuYXNweD9DTlROX0NEPUEwMDAyNzc0NDQ40gFCaHR0cHM6Ly9tLm9obXluZXdzLmNvbS9OV1NfV2ViL01vYmlsZS9hbXAuYXNweD9DTlROX0NEPUEwMDAyNzc0NDQ4?oc=5" TargetMode="External"/><Relationship Id="rId73" Type="http://schemas.openxmlformats.org/officeDocument/2006/relationships/hyperlink" Target="https://news.google.com/rss/articles/CBMiNmh0dHBzOi8vbS55b25oYXBuZXdzdHYuY28ua3IvbmV3cy9NWUgyMDIzMDIyNDAxNDAwMDY0MdIBAA?oc=5" TargetMode="External"/><Relationship Id="rId78" Type="http://schemas.openxmlformats.org/officeDocument/2006/relationships/hyperlink" Target="https://news.google.com/rss/articles/CBMiSmh0dHA6Ly9tb250aGx5LmNob3N1bi5jb20vY2xpZW50L25ld3Mvdml3LmFzcD9jdGNkPSZuTmV3c051bWI9MjAyMzAxMTAwMDM40gEA?oc=5" TargetMode="External"/><Relationship Id="rId81" Type="http://schemas.openxmlformats.org/officeDocument/2006/relationships/hyperlink" Target="https://news.google.com/rss/articles/CBMiJ2h0dHBzOi8vbS5zZWd5ZS5jb20vdmlldy8yMDE5MDMzMTUwODIzNNIBKmh0dHBzOi8vbS5zZWd5ZS5jb20vYW1wVmlldy8yMDE5MDMzMTUwODIzNA?oc=5" TargetMode="External"/><Relationship Id="rId86" Type="http://schemas.openxmlformats.org/officeDocument/2006/relationships/hyperlink" Target="https://news.google.com/rss/articles/CBMiMWh0dHBzOi8vd3d3Lnl0bi5jby5rci9fbG4vMDEwM18yMDE1MTAwMjE1MDAwODMyNzDSAUNodHRwczovL20ueXRuLmNvLmtyL25ld3Nfdmlldy5hbXAucGhwP3BhcmFtPTAxMDNfMjAxNTEwMDIxNTAwMDgzMjcw?oc=5" TargetMode="External"/><Relationship Id="rId94" Type="http://schemas.openxmlformats.org/officeDocument/2006/relationships/hyperlink" Target="https://news.google.com/rss/articles/CBMiPWh0dHBzOi8vbWJuLmNvLmtyL3BhZ2VzL25ld3MvbmV3c1ZpZXcucGhwP25ld3Nfc2VxX25vPTQ1OTk3MTPSASRodHRwczovL20ubWJuLmNvLmtyL25ld3MtYW1wLzQ1OTk3MTM?oc=5" TargetMode="External"/><Relationship Id="rId99" Type="http://schemas.openxmlformats.org/officeDocument/2006/relationships/hyperlink" Target="https://news.google.com/rss/articles/CBMiLGh0dHBzOi8vbS5raGFuLmNvLmtyL2FydGljbGUvMjAyMzA4MTcyMDMxMDA10gFIaHR0cHM6Ly9tLmtoYW4uY28ua3IvY3VsdHVyZS9jdWx0dXJlLWdlbmVyYWwvYXJ0aWNsZS8yMDIzMDgxNzIwMzEwMDUvYW1w?oc=5" TargetMode="External"/><Relationship Id="rId101" Type="http://schemas.openxmlformats.org/officeDocument/2006/relationships/hyperlink" Target="https://news.google.com/rss/articles/CBMiOGh0dHBzOi8vbS5oYW5rb29raWxiby5jb20vTmV3cy9SZWFkL0EyMDIyMTAwOTE2MzYwMDAwODUx0gEA?oc=5" TargetMode="External"/><Relationship Id="rId4" Type="http://schemas.openxmlformats.org/officeDocument/2006/relationships/hyperlink" Target="https://news.google.com/rss/articles/CBMiMWh0dHBzOi8vd3d3Lmt1a2luZXdzLmNvbS9uZXdzVmlldy9rdWsyMDIzMDgxODAxNTTSAQA?oc=5" TargetMode="External"/><Relationship Id="rId9" Type="http://schemas.openxmlformats.org/officeDocument/2006/relationships/hyperlink" Target="https://news.google.com/rss/articles/CBMiKGh0dHBzOi8vd3d3Lm5vY3V0bmV3cy5jby5rci9uZXdzLzU5ODcyNDTSASpodHRwczovL20ubm9jdXRuZXdzLmNvLmtyL25ld3MvYW1wLzU5ODcyNDQ?oc=5" TargetMode="External"/><Relationship Id="rId13" Type="http://schemas.openxmlformats.org/officeDocument/2006/relationships/hyperlink" Target="https://news.google.com/rss/articles/CBMiO2h0dHBzOi8vd3d3LmRvbWluaWxiby5jb20vbmV3cy9hcnRpY2xlVmlldy5odG1sP2lkeG5vPTcxNTQw0gEA?oc=5" TargetMode="External"/><Relationship Id="rId18" Type="http://schemas.openxmlformats.org/officeDocument/2006/relationships/hyperlink" Target="https://news.google.com/rss/articles/CBMiPmh0dHBzOi8vd3d3LndvbWVubmV3cy5jby5rci9uZXdzL2FydGljbGVWaWV3Lmh0bWw_aWR4bm89MjM5NDEx0gEA?oc=5" TargetMode="External"/><Relationship Id="rId39" Type="http://schemas.openxmlformats.org/officeDocument/2006/relationships/hyperlink" Target="https://news.google.com/rss/articles/CBMiO2h0dHBzOi8vd3d3LnByZXNzaWFuLmNvbS9wYWdlcy9hcnRpY2xlcy8yMDIzMDgyNzE0NDIyOTMwOTMw0gEA?oc=5" TargetMode="External"/><Relationship Id="rId109" Type="http://schemas.openxmlformats.org/officeDocument/2006/relationships/hyperlink" Target="https://news.google.com/rss/articles/CBMiMmh0dHBzOi8vd3d3LmhhbmkuY28ua3IvYXJ0aS9hcmVhL2planUvMTA2NjUxNi5odG1s0gEA?oc=5" TargetMode="External"/><Relationship Id="rId34" Type="http://schemas.openxmlformats.org/officeDocument/2006/relationships/hyperlink" Target="https://news.google.com/rss/articles/CBMiOmh0dHBzOi8vd3d3LmtibWFlaWwuY29tL25ld3MvYXJ0aWNsZVZpZXcuaHRtbD9pZHhubz05NjYyNjLSAQA?oc=5" TargetMode="External"/><Relationship Id="rId50" Type="http://schemas.openxmlformats.org/officeDocument/2006/relationships/hyperlink" Target="https://news.google.com/rss/articles/CBMiPWh0dHA6Ly93d3cuY29uc3VtZXJ3aWRlLmNvbS9uZXdzL2FydGljbGVWaWV3Lmh0bWw_aWR4bm89NTA0MzTSAQA?oc=5" TargetMode="External"/><Relationship Id="rId55" Type="http://schemas.openxmlformats.org/officeDocument/2006/relationships/hyperlink" Target="https://news.google.com/rss/articles/CBMiL2h0dHBzOi8vd3d3LnBlb3BsZXBvd2VyMjEub3JnL3B1YmxpY2xhdy8xOTQ2NDEz0gEA?oc=5" TargetMode="External"/><Relationship Id="rId76" Type="http://schemas.openxmlformats.org/officeDocument/2006/relationships/hyperlink" Target="https://news.google.com/rss/articles/CBMiPmh0dHBzOi8vd3d3LmlseW9zZW91bC5jby5rci9uZXdzL2FydGljbGVWaWV3Lmh0bWw_aWR4bm89NDI2OTEy0gEA?oc=5" TargetMode="External"/><Relationship Id="rId97" Type="http://schemas.openxmlformats.org/officeDocument/2006/relationships/hyperlink" Target="https://news.google.com/rss/articles/CBMiOGh0dHBzOi8vd3d3Lm5leHRwbGF5LmtyL25ld3MvYXJ0aWNsZVZpZXcuaHRtbD9pZHhubz01ODM30gEA?oc=5" TargetMode="External"/><Relationship Id="rId104" Type="http://schemas.openxmlformats.org/officeDocument/2006/relationships/hyperlink" Target="https://news.google.com/rss/articles/CBMiKGh0dHBzOi8vd3d3Lm5vY3V0bmV3cy5jby5rci9uZXdzLzU5ODY5MjXSASpodHRwczovL20ubm9jdXRuZXdzLmNvLmtyL25ld3MvYW1wLzU5ODY5MjU?oc=5" TargetMode="External"/><Relationship Id="rId120" Type="http://schemas.openxmlformats.org/officeDocument/2006/relationships/hyperlink" Target="https://news.google.com/rss/articles/CBMiKGh0dHBzOi8vd3d3Lm5vY3V0bmV3cy5jby5rci9uZXdzLzU5ODI5NjXSASpodHRwczovL20ubm9jdXRuZXdzLmNvLmtyL25ld3MvYW1wLzU5ODI5NjU?oc=5" TargetMode="External"/><Relationship Id="rId7" Type="http://schemas.openxmlformats.org/officeDocument/2006/relationships/hyperlink" Target="https://news.google.com/rss/articles/CBMiKGh0dHBzOi8vd3d3Lm5vY3V0bmV3cy5jby5rci9uZXdzLzU5ODcwMTnSASpodHRwczovL20ubm9jdXRuZXdzLmNvLmtyL25ld3MvYW1wLzU5ODcwMTk?oc=5" TargetMode="External"/><Relationship Id="rId71" Type="http://schemas.openxmlformats.org/officeDocument/2006/relationships/hyperlink" Target="https://news.google.com/rss/articles/CBMiP2h0dHBzOi8vd3d3LmRlbWVudGlhbmV3cy5jby5rci9uZXdzL2FydGljbGVWaWV3Lmh0bWw_aWR4bm89MjQ0MtIBAA?oc=5" TargetMode="External"/><Relationship Id="rId92" Type="http://schemas.openxmlformats.org/officeDocument/2006/relationships/hyperlink" Target="https://news.google.com/rss/articles/CBMiMGh0dHBzOi8vd3d3Lm5ld3NwaW0uY29tL25ld3Mvdmlldy8yMDE4MDcyNTAwMDI1NdIBMWh0dHBzOi8vbS5uZXdzcGltLmNvbS9uZXdzYW1wL3ZpZXcvMjAxODA3MjUwMDAyNTU?oc=5" TargetMode="External"/><Relationship Id="rId2" Type="http://schemas.openxmlformats.org/officeDocument/2006/relationships/hyperlink" Target="https://news.google.com/rss/articles/CBMiS2h0dHBzOi8vd3d3LmVkYWlseS5jby5rci9uZXdzL3JlYWQ_bmV3c0lkPTAxMTM0ODg2NjM1NjQ2MzEyJm1lZGlhQ29kZU5vPTI1N9IBSGh0dHBzOi8vbS5lZGFpbHkuY28ua3IvYW1wL3JlYWQ_bmV3c0lkPTAxMTM0ODg2NjM1NjQ2MzEyJm1lZGlhQ29kZU5vPTI1Nw?oc=5" TargetMode="External"/><Relationship Id="rId29" Type="http://schemas.openxmlformats.org/officeDocument/2006/relationships/hyperlink" Target="https://news.google.com/rss/articles/CBMiTmh0dHBzOi8vd3d3LmNob3N1bi5jb20vbmF0aW9uYWwvd2Vla2VuZC8yMDIzLzA4LzI2L0lIRUJDSVdNNU5CWk5HTVU2UFBBWUdZUVlRL9IBXWh0dHBzOi8vd3d3LmNob3N1bi5jb20vbmF0aW9uYWwvd2Vla2VuZC8yMDIzLzA4LzI2L0lIRUJDSVdNNU5CWk5HTVU2UFBBWUdZUVlRLz9vdXRwdXRUeXBlPWFtcA?oc=5" TargetMode="External"/><Relationship Id="rId24" Type="http://schemas.openxmlformats.org/officeDocument/2006/relationships/hyperlink" Target="https://news.google.com/rss/articles/CBMiO2h0dHBzOi8vd3d3LmR0bmV3czI0LmNvbS9uZXdzL2FydGljbGVWaWV3Lmh0bWw_aWR4bm89NzUyNDg30gEA?oc=5" TargetMode="External"/><Relationship Id="rId40" Type="http://schemas.openxmlformats.org/officeDocument/2006/relationships/hyperlink" Target="https://news.google.com/rss/articles/CBMiRGh0dHBzOi8vd3d3Lm9obXluZXdzLmNvbS9OV1NfV2ViL1ZpZXcvYXRfcGcuYXNweD9DTlROX0NEPUEwMDAyOTMyOTA30gFCaHR0cHM6Ly9tLm9obXluZXdzLmNvbS9OV1NfV2ViL01vYmlsZS9hbXAuYXNweD9DTlROX0NEPUEwMDAyOTMyOTA3?oc=5" TargetMode="External"/><Relationship Id="rId45" Type="http://schemas.openxmlformats.org/officeDocument/2006/relationships/hyperlink" Target="https://news.google.com/rss/articles/CBMiKmh0dHBzOi8vd3d3Lm1rLmNvLmtyL25ld3MvY3VsdHVyZS8xMDgxMTYzNtIBH2h0dHBzOi8vbS5tay5jby5rci9hbXAvMTA4MTE2MzY?oc=5" TargetMode="External"/><Relationship Id="rId66" Type="http://schemas.openxmlformats.org/officeDocument/2006/relationships/hyperlink" Target="https://news.google.com/rss/articles/CBMiOGh0dHBzOi8vbS5oYW5rb29raWxiby5jb20vTmV3cy9SZWFkL0EyMDIzMDEwMzA5NTIwMDAyMTQy0gEA?oc=5" TargetMode="External"/><Relationship Id="rId87" Type="http://schemas.openxmlformats.org/officeDocument/2006/relationships/hyperlink" Target="https://news.google.com/rss/articles/CBMiKGh0dHBzOi8vd3d3Lm5vY3V0bmV3cy5jby5rci9uZXdzLzUwNjUzMDfSASpodHRwczovL20ubm9jdXRuZXdzLmNvLmtyL25ld3MvYW1wLzUwNjUzMDc?oc=5" TargetMode="External"/><Relationship Id="rId110" Type="http://schemas.openxmlformats.org/officeDocument/2006/relationships/hyperlink" Target="https://news.google.com/rss/articles/CBMiKGh0dHBzOi8vd3d3Lm5vY3V0bmV3cy5jby5rci9uZXdzLzU5Nzk5MTbSASpodHRwczovL20ubm9jdXRuZXdzLmNvLmtyL25ld3MvYW1wLzU5Nzk5MTY?oc=5" TargetMode="External"/><Relationship Id="rId115" Type="http://schemas.openxmlformats.org/officeDocument/2006/relationships/hyperlink" Target="https://news.google.com/rss/articles/CBMiMWh0dHBzOi8vd3d3Lmt1a2luZXdzLmNvbS9uZXdzVmlldy9rdWsyMDIzMDQxOTAyMTnSAQA?oc=5" TargetMode="External"/><Relationship Id="rId61" Type="http://schemas.openxmlformats.org/officeDocument/2006/relationships/hyperlink" Target="https://news.google.com/rss/articles/CBMiP2h0dHBzOi8vbm93bmV3cy5zZW91bC5jby5rci9uZXdzL25ld3NWaWV3LnBocD9pZD0yMDIzMDIxNDYwMTAxNtIBLmh0dHBzOi8vYW1wLnNlb3VsLmNvLmtyL25vd25ld3MvMjAyMzAyMTQ2MDEwMTY?oc=5" TargetMode="External"/><Relationship Id="rId82" Type="http://schemas.openxmlformats.org/officeDocument/2006/relationships/hyperlink" Target="https://news.google.com/rss/articles/CBMiRGh0dHBzOi8vd3d3Lm9obXluZXdzLmNvbS9OV1NfV2ViL1ZpZXcvYXRfcGcuYXNweD9DTlROX0NEPUEwMDAyNjcyNTQ30gFCaHR0cHM6Ly9tLm9obXluZXdzLmNvbS9OV1NfV2ViL01vYmlsZS9hbXAuYXNweD9DTlROX0NEPUEwMDAyNjcyNTQ3?oc=5" TargetMode="External"/><Relationship Id="rId19" Type="http://schemas.openxmlformats.org/officeDocument/2006/relationships/hyperlink" Target="https://news.google.com/rss/articles/CBMiS2h0dHBzOi8vd3d3LmVkYWlseS5jby5rci9uZXdzL3JlYWQ_bmV3c0lkPTAxMTY3Njg2NjMyNDg4OTg0Jm1lZGlhQ29kZU5vPTI1N9IBSGh0dHBzOi8vbS5lZGFpbHkuY28ua3IvYW1wL3JlYWQ_bmV3c0lkPTAxMTY3Njg2NjMyNDg4OTg0Jm1lZGlhQ29kZU5vPTI1Nw?oc=5" TargetMode="External"/><Relationship Id="rId14" Type="http://schemas.openxmlformats.org/officeDocument/2006/relationships/hyperlink" Target="https://news.google.com/rss/articles/CBMiJmh0dHBzOi8vd3d3Lm5ld3MxLmtyL2FydGljbGVzLz81MTU4NTA10gEqaHR0cHM6Ly93d3cubmV3czEua3IvYW1wL2FydGljbGVzLz81MTU4NTA1?oc=5" TargetMode="External"/><Relationship Id="rId30" Type="http://schemas.openxmlformats.org/officeDocument/2006/relationships/hyperlink" Target="https://news.google.com/rss/articles/CBMiPmh0dHA6Ly93d3cuMWNvbm9teW5ld3MuY28ua3IvbmV3cy9hcnRpY2xlVmlldy5odG1sP2lkeG5vPTI0MzU10gFBaHR0cDovL3d3dy4xY29ub215bmV3cy5jby5rci9uZXdzL2FydGljbGVWaWV3QW1wLmh0bWw_aWR4bm89MjQzNTU?oc=5" TargetMode="External"/><Relationship Id="rId35" Type="http://schemas.openxmlformats.org/officeDocument/2006/relationships/hyperlink" Target="https://news.google.com/rss/articles/CBMiNWh0dHBzOi8vd3d3LmhhbmkuY28ua3IvYXJ0aS9jdWx0dXJlL2Jvb2svMTEwNjY4OC5odG1s0gEA?oc=5" TargetMode="External"/><Relationship Id="rId56" Type="http://schemas.openxmlformats.org/officeDocument/2006/relationships/hyperlink" Target="https://news.google.com/rss/articles/CBMiOmh0dHBzOi8vd3d3Lm50b2RheS5jby5rci9uZXdzL2FydGljbGVWaWV3Lmh0bWw_aWR4bm89NzgwNjjSAT1odHRwczovL3d3dy5udG9kYXkuY28ua3IvbmV3cy9hcnRpY2xlVmlld0FtcC5odG1sP2lkeG5vPTc4MDY4?oc=5" TargetMode="External"/><Relationship Id="rId77" Type="http://schemas.openxmlformats.org/officeDocument/2006/relationships/hyperlink" Target="https://news.google.com/rss/articles/CBMiKWh0dHBzOi8vd3d3Lm1lZGlhcGVuLmNvbS9uZXdzL3ZpZXcvODUwMDUy0gEA?oc=5" TargetMode="External"/><Relationship Id="rId100" Type="http://schemas.openxmlformats.org/officeDocument/2006/relationships/hyperlink" Target="https://news.google.com/rss/articles/CBMiKGh0dHBzOi8vd3d3Lm5vY3V0bmV3cy5jby5rci9uZXdzLzU5ODIwMTjSASpodHRwczovL20ubm9jdXRuZXdzLmNvLmtyL25ld3MvYW1wLzU5ODIwMTg?oc=5" TargetMode="External"/><Relationship Id="rId105" Type="http://schemas.openxmlformats.org/officeDocument/2006/relationships/hyperlink" Target="https://news.google.com/rss/articles/CBMiKGh0dHBzOi8vd3d3Lm5vY3V0bmV3cy5jby5rci9uZXdzLzU5ODY5NjbSASpodHRwczovL20ubm9jdXRuZXdzLmNvLmtyL25ld3MvYW1wLzU5ODY5NjY?oc=5" TargetMode="External"/><Relationship Id="rId8" Type="http://schemas.openxmlformats.org/officeDocument/2006/relationships/hyperlink" Target="https://news.google.com/rss/articles/CBMiQWh0dHBzOi8vd3d3LmhlYWRsaW5lamVqdS5jby5rci9uZXdzL2FydGljbGVWaWV3Lmh0bWw_aWR4bm89NTIxMzg30gEA?oc=5" TargetMode="External"/><Relationship Id="rId51" Type="http://schemas.openxmlformats.org/officeDocument/2006/relationships/hyperlink" Target="https://news.google.com/rss/articles/CBMiLmh0dHBzOi8vYnJhdm8uZXRvZGF5LmNvLmtyL3ZpZXcvYXRjX3ZpZXcvMTM2NTHSAQA?oc=5" TargetMode="External"/><Relationship Id="rId72" Type="http://schemas.openxmlformats.org/officeDocument/2006/relationships/hyperlink" Target="https://news.google.com/rss/articles/CBMiPmh0dHBzOi8vd3d3LndvbWVubmV3cy5jby5rci9uZXdzL2FydGljbGVWaWV3Lmh0bWw_aWR4bm89MjM2NTAw0gEA?oc=5" TargetMode="External"/><Relationship Id="rId93" Type="http://schemas.openxmlformats.org/officeDocument/2006/relationships/hyperlink" Target="https://news.google.com/rss/articles/CBMiKGh0dHBzOi8vd3d3Lm5vY3V0bmV3cy5jby5rci9uZXdzLzU5ODcyMjXSASpodHRwczovL20ubm9jdXRuZXdzLmNvLmtyL25ld3MvYW1wLzU5ODcyMjU?oc=5" TargetMode="External"/><Relationship Id="rId98" Type="http://schemas.openxmlformats.org/officeDocument/2006/relationships/hyperlink" Target="https://news.google.com/rss/articles/CBMiPmh0dHBzOi8vd3d3LmF1dG90cmlidW5lLmNvLmtyL25ld3MvYXJ0aWNsZVZpZXcuaHRtbD9pZHhubz04MzMy0gEA?oc=5" TargetMode="External"/><Relationship Id="rId3" Type="http://schemas.openxmlformats.org/officeDocument/2006/relationships/hyperlink" Target="https://news.google.com/rss/articles/CBMiTWh0dHBzOi8vbmV3cy5rb3JlYWRhaWx5LmNvbS8yMDIzLzA5LzAzL3NvY2lldHkvb3Bpbmlvbi8yMDIzMDkwMzA3MDA0MDE5Ni5odG1s0gEA?oc=5" TargetMode="External"/><Relationship Id="rId25" Type="http://schemas.openxmlformats.org/officeDocument/2006/relationships/hyperlink" Target="https://news.google.com/rss/articles/CBMiS2h0dHA6Ly93ZWVrbHkua2hhbi5jby5rci9raG5tLmh0bWw_bW9kZT12aWV3JmFydGlkPTIwMjMwODI1MTA1NTE3MSZjb2RlPTExNdIBAA?oc=5" TargetMode="External"/><Relationship Id="rId46" Type="http://schemas.openxmlformats.org/officeDocument/2006/relationships/hyperlink" Target="https://news.google.com/rss/articles/CBMiK2h0dHBzOi8vd3d3Lm1rLmNvLmtyL25ld3MvYnVzaW5lc3MvMTA4MTMzNjbSAR9odHRwczovL20ubWsuY28ua3IvYW1wLzEwODEzMzY2?oc=5" TargetMode="External"/><Relationship Id="rId67" Type="http://schemas.openxmlformats.org/officeDocument/2006/relationships/hyperlink" Target="https://news.google.com/rss/articles/CBMiQ2h0dHBzOi8vd3d3LmRvbmdhLmNvbS9uZXdzL1NvY2lldHkvYXJ0aWNsZS9hbGwvMjAyMTA0MDcvMTA2Mjg3NDkwLzHSATdodHRwczovL3d3dy5kb25nYS5jb20vbmV3cy9hbXAvYWxsLzIwMjEwNDA3LzEwNjI4NzQ5MC8x?oc=5" TargetMode="External"/><Relationship Id="rId116" Type="http://schemas.openxmlformats.org/officeDocument/2006/relationships/hyperlink" Target="https://news.google.com/rss/articles/CBMiN2h0dHBzOi8vd3d3LmhhbmkuY28ua3IvYXJ0aS9vcGluaW9uL2NvbHVtbi8xMDUzNDI3Lmh0bWzSAQA?oc=5" TargetMode="External"/><Relationship Id="rId20" Type="http://schemas.openxmlformats.org/officeDocument/2006/relationships/hyperlink" Target="https://news.google.com/rss/articles/CBMiPGh0dHBzOi8vd3d3Lm5ld3Nrb3JlYS5uZS5rci9uZXdzL2FydGljbGVWaWV3Lmh0bWw_aWR4bm89NzU4MdIBAA?oc=5" TargetMode="External"/><Relationship Id="rId41" Type="http://schemas.openxmlformats.org/officeDocument/2006/relationships/hyperlink" Target="https://news.google.com/rss/articles/CBMiLWh0dHBzOi8vd3d3LnBlb3BsZXBvd2VyMjEub3JnL3dlbGZhcmUvMTkzODc4NtIBAA?oc=5" TargetMode="External"/><Relationship Id="rId62" Type="http://schemas.openxmlformats.org/officeDocument/2006/relationships/hyperlink" Target="https://news.google.com/rss/articles/CBMiPmh0dHA6Ly93d3cuMWNvbm9teW5ld3MuY28ua3IvbmV3cy9hcnRpY2xlVmlldy5odG1sP2lkeG5vPTE0MDk10gFBaHR0cDovL3d3dy4xY29ub215bmV3cy5jby5rci9uZXdzL2FydGljbGVWaWV3QW1wLmh0bWw_aWR4bm89MTQwOTU?oc=5" TargetMode="External"/><Relationship Id="rId83" Type="http://schemas.openxmlformats.org/officeDocument/2006/relationships/hyperlink" Target="https://news.google.com/rss/articles/CBMiN2h0dHBzOi8vbmV3cy5tdC5jby5rci9tdHZpZXcucGhwP25vPTIwMjMwMjA3MTMyNzQ3NjgxMjbSAT1odHRwczovL20ubXQuY28ua3IvcmVuZXcvdmlld19hbXAuaHRtbD9ubz0yMDIzMDIwNzEzMjc0NzY4MTI2?oc=5" TargetMode="External"/><Relationship Id="rId88" Type="http://schemas.openxmlformats.org/officeDocument/2006/relationships/hyperlink" Target="https://news.google.com/rss/articles/CBMiO2h0dHBzOi8vd3d3LmlkYWVndS5jby5rci9uZXdzL2FydGljbGVWaWV3Lmh0bWw_aWR4bm89NDE1OTk20gEA?oc=5" TargetMode="External"/><Relationship Id="rId111" Type="http://schemas.openxmlformats.org/officeDocument/2006/relationships/hyperlink" Target="https://news.google.com/rss/articles/CBMiKGh0dHBzOi8vd3d3Lm5vY3V0bmV3cy5jby5rci9uZXdzLzU5ODcyMzTSASpodHRwczovL20ubm9jdXRuZXdzLmNvLmtyL25ld3MvYW1wLzU5ODcyMzQ?oc=5" TargetMode="External"/><Relationship Id="rId15" Type="http://schemas.openxmlformats.org/officeDocument/2006/relationships/hyperlink" Target="https://news.google.com/rss/articles/CBMiNmh0dHBzOi8vd3d3Lm1lZGlmb25ld3MuY29tL25ld3MvYXJ0aWNsZS5odG1sP25vPTE4MTkyNdIBAA?oc=5" TargetMode="External"/><Relationship Id="rId36" Type="http://schemas.openxmlformats.org/officeDocument/2006/relationships/hyperlink" Target="https://news.google.com/rss/articles/CBMiLmh0dHBzOi8vYnJhdm8uZXRvZGF5LmNvLmtyL3ZpZXcvYXRjX3ZpZXcvMTM2ODLSAQA?oc=5" TargetMode="External"/><Relationship Id="rId57" Type="http://schemas.openxmlformats.org/officeDocument/2006/relationships/hyperlink" Target="https://news.google.com/rss/articles/CBMiO2h0dHBzOi8vd3d3LnByZXNzaWFuLmNvbS9wYWdlcy9hcnRpY2xlcy8yMDIzMDkwMTA5NTUxODE3ODk40gEA?oc=5" TargetMode="External"/><Relationship Id="rId106" Type="http://schemas.openxmlformats.org/officeDocument/2006/relationships/hyperlink" Target="https://news.google.com/rss/articles/CBMiOmh0dHBzOi8vd3d3LmxhZmVudC5jb20vaW5ld3MvbmV3c192aWV3Lmh0bWw_bmV3c19pZD0xMzIwMTjSAQA?oc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3"/>
  <sheetViews>
    <sheetView topLeftCell="A151" workbookViewId="0"/>
  </sheetViews>
  <sheetFormatPr defaultColWidth="12.6328125" defaultRowHeight="15.75" customHeight="1" x14ac:dyDescent="0.25"/>
  <cols>
    <col min="1" max="1" width="108.36328125" customWidth="1"/>
    <col min="2" max="2" width="289.7265625" customWidth="1"/>
    <col min="3" max="3" width="26.08984375" customWidth="1"/>
    <col min="4" max="4" width="82.7265625" customWidth="1"/>
  </cols>
  <sheetData>
    <row r="1" spans="1:4" ht="15.75" customHeight="1" x14ac:dyDescent="0.25">
      <c r="A1" s="1" t="str">
        <f ca="1">IFERROR(__xludf.DUMMYFUNCTION("importfeed(""https://news.google.com/rss/search?hl=ko&amp;gl=KR&amp;ie=UTF-8&amp;output=rss&amp;q=세대갈등"","""",true,250)"),"Title")</f>
        <v>Title</v>
      </c>
      <c r="B1" s="1" t="str">
        <f ca="1">IFERROR(__xludf.DUMMYFUNCTION("""COMPUTED_VALUE"""),"URL")</f>
        <v>URL</v>
      </c>
      <c r="C1" s="1" t="str">
        <f ca="1">IFERROR(__xludf.DUMMYFUNCTION("""COMPUTED_VALUE"""),"Date Created")</f>
        <v>Date Created</v>
      </c>
      <c r="D1" s="1" t="str">
        <f ca="1">IFERROR(__xludf.DUMMYFUNCTION("""COMPUTED_VALUE"""),"Summary")</f>
        <v>Summary</v>
      </c>
    </row>
    <row r="2" spans="1:4" ht="15.75" customHeight="1" x14ac:dyDescent="0.25">
      <c r="A2" s="1" t="str">
        <f ca="1">IFERROR(__xludf.DUMMYFUNCTION("""COMPUTED_VALUE"""),"""돈이냐, 정년연장이냐""…현대차 노조 '세대갈등' - 데일리안")</f>
        <v>"돈이냐, 정년연장이냐"…현대차 노조 '세대갈등' - 데일리안</v>
      </c>
      <c r="B2" s="2" t="str">
        <f ca="1">IFERROR(__xludf.DUMMYFUNCTION("""COMPUTED_VALUE"""),"https://news.google.com/rss/articles/CBMiK2h0dHBzOi8vd3d3LmRhaWxpYW4uY28ua3IvbmV3cy92aWV3LzEyNjgwODfSAS1odHRwczovL20uZGFpbGlhbi5jby5rci9hbXAvbmV3cy92aWV3LzEyNjgwODc?oc=5")</f>
        <v>https://news.google.com/rss/articles/CBMiK2h0dHBzOi8vd3d3LmRhaWxpYW4uY28ua3IvbmV3cy92aWV3LzEyNjgwODfSAS1odHRwczovL20uZGFpbGlhbi5jby5rci9hbXAvbmV3cy92aWV3LzEyNjgwODc?oc=5</v>
      </c>
      <c r="C2" s="1" t="str">
        <f ca="1">IFERROR(__xludf.DUMMYFUNCTION("""COMPUTED_VALUE"""),"Wed, 30 Aug 2023 02:31:00 GMT")</f>
        <v>Wed, 30 Aug 2023 02:31:00 GMT</v>
      </c>
      <c r="D2" s="1" t="str">
        <f ca="1">IFERROR(__xludf.DUMMYFUNCTION("""COMPUTED_VALUE"""),"""돈이냐, 정년연장이냐""…현대차 노조 '세대갈등'  데일리안")</f>
        <v>"돈이냐, 정년연장이냐"…현대차 노조 '세대갈등'  데일리안</v>
      </c>
    </row>
    <row r="3" spans="1:4" ht="15.75" customHeight="1" x14ac:dyDescent="0.25">
      <c r="A3" s="1" t="str">
        <f ca="1">IFERROR(__xludf.DUMMYFUNCTION("""COMPUTED_VALUE"""),"[하프타임] 불안의 시대, 갈등부터 풀어야 - 영남일보")</f>
        <v>[하프타임] 불안의 시대, 갈등부터 풀어야 - 영남일보</v>
      </c>
      <c r="B3" s="2" t="str">
        <f ca="1">IFERROR(__xludf.DUMMYFUNCTION("""COMPUTED_VALUE"""),"https://news.google.com/rss/articles/CBMiO2h0dHBzOi8vd3d3Lnllb25nbmFtLmNvbS93ZWIvdmlldy5waHA_a2V5PTIwMjMwODMxMDEwMDA0MTM00gEA?oc=5")</f>
        <v>https://news.google.com/rss/articles/CBMiO2h0dHBzOi8vd3d3Lnllb25nbmFtLmNvbS93ZWIvdmlldy5waHA_a2V5PTIwMjMwODMxMDEwMDA0MTM00gEA?oc=5</v>
      </c>
      <c r="C3" s="1" t="str">
        <f ca="1">IFERROR(__xludf.DUMMYFUNCTION("""COMPUTED_VALUE"""),"Thu, 31 Aug 2023 21:52:00 GMT")</f>
        <v>Thu, 31 Aug 2023 21:52:00 GMT</v>
      </c>
      <c r="D3" s="1" t="str">
        <f ca="1">IFERROR(__xludf.DUMMYFUNCTION("""COMPUTED_VALUE"""),"[하프타임] 불안의 시대, 갈등부터 풀어야  영남일보")</f>
        <v>[하프타임] 불안의 시대, 갈등부터 풀어야  영남일보</v>
      </c>
    </row>
    <row r="4" spans="1:4" ht="15.75" customHeight="1" x14ac:dyDescent="0.25">
      <c r="A4" s="1" t="str">
        <f ca="1">IFERROR(__xludf.DUMMYFUNCTION("""COMPUTED_VALUE"""),"39% “빈부갈등이 가장 심각”…정년연장·연금개혁 우호적 - 국제신문")</f>
        <v>39% “빈부갈등이 가장 심각”…정년연장·연금개혁 우호적 - 국제신문</v>
      </c>
      <c r="B4" s="2" t="str">
        <f ca="1">IFERROR(__xludf.DUMMYFUNCTION("""COMPUTED_VALUE"""),"https://news.google.com/rss/articles/CBMiVWh0dHBzOi8vd3d3Lmtvb2tqZS5jby5rci9uZXdzMjAxMS9hc3AvbmV3c2JvZHkuYXNwP2NvZGU9MDEwMCZrZXk9MjAyMzA5MDEuMjIwMDMwMDg2ODLSAQA?oc=5")</f>
        <v>https://news.google.com/rss/articles/CBMiVWh0dHBzOi8vd3d3Lmtvb2tqZS5jby5rci9uZXdzMjAxMS9hc3AvbmV3c2JvZHkuYXNwP2NvZGU9MDEwMCZrZXk9MjAyMzA5MDEuMjIwMDMwMDg2ODLSAQA?oc=5</v>
      </c>
      <c r="C4" s="1" t="str">
        <f ca="1">IFERROR(__xludf.DUMMYFUNCTION("""COMPUTED_VALUE"""),"Thu, 31 Aug 2023 10:52:00 GMT")</f>
        <v>Thu, 31 Aug 2023 10:52:00 GMT</v>
      </c>
      <c r="D4" s="1" t="str">
        <f ca="1">IFERROR(__xludf.DUMMYFUNCTION("""COMPUTED_VALUE"""),"39% “빈부갈등이 가장 심각”…정년연장·연금개혁 우호적  국제신문")</f>
        <v>39% “빈부갈등이 가장 심각”…정년연장·연금개혁 우호적  국제신문</v>
      </c>
    </row>
    <row r="5" spans="1:4" ht="15.75" customHeight="1" x14ac:dyDescent="0.25">
      <c r="A5" s="1" t="str">
        <f ca="1">IFERROR(__xludf.DUMMYFUNCTION("""COMPUTED_VALUE"""),"“MZ세대 고민 모두 담았다”…신협, 웹예능·웹드라마 소통 ‘눈길’ - 매일경제")</f>
        <v>“MZ세대 고민 모두 담았다”…신협, 웹예능·웹드라마 소통 ‘눈길’ - 매일경제</v>
      </c>
      <c r="B5" s="2" t="str">
        <f ca="1">IFERROR(__xludf.DUMMYFUNCTION("""COMPUTED_VALUE"""),"https://news.google.com/rss/articles/CBMiKmh0dHBzOi8vd3d3Lm1rLmNvLmtyL25ld3MvZWNvbm9teS8xMDgxNzkwMtIBH2h0dHBzOi8vbS5tay5jby5rci9hbXAvMTA4MTc5MDI?oc=5")</f>
        <v>https://news.google.com/rss/articles/CBMiKmh0dHBzOi8vd3d3Lm1rLmNvLmtyL25ld3MvZWNvbm9teS8xMDgxNzkwMtIBH2h0dHBzOi8vbS5tay5jby5rci9hbXAvMTA4MTc5MDI?oc=5</v>
      </c>
      <c r="C5" s="1" t="str">
        <f ca="1">IFERROR(__xludf.DUMMYFUNCTION("""COMPUTED_VALUE"""),"Tue, 29 Aug 2023 09:29:46 GMT")</f>
        <v>Tue, 29 Aug 2023 09:29:46 GMT</v>
      </c>
      <c r="D5" s="1" t="str">
        <f ca="1">IFERROR(__xludf.DUMMYFUNCTION("""COMPUTED_VALUE"""),"“MZ세대 고민 모두 담았다”…신협, 웹예능·웹드라마 소통 ‘눈길’  매일경제")</f>
        <v>“MZ세대 고민 모두 담았다”…신협, 웹예능·웹드라마 소통 ‘눈길’  매일경제</v>
      </c>
    </row>
    <row r="6" spans="1:4" ht="15.75" customHeight="1" x14ac:dyDescent="0.25">
      <c r="A6" s="1" t="str">
        <f ca="1">IFERROR(__xludf.DUMMYFUNCTION("""COMPUTED_VALUE"""),"“열받지만 재밌어” 젊은층 사로잡은 ‘맑눈광·99대장’ 인기비결은 - 조선비즈 - 조선비즈")</f>
        <v>“열받지만 재밌어” 젊은층 사로잡은 ‘맑눈광·99대장’ 인기비결은 - 조선비즈 - 조선비즈</v>
      </c>
      <c r="B6" s="2" t="str">
        <f ca="1">IFERROR(__xludf.DUMMYFUNCTION("""COMPUTED_VALUE"""),"https://news.google.com/rss/articles/CBMiUmh0dHBzOi8vYml6LmNob3N1bi5jb20vdG9waWNzL3RvcGljc19zb2NpYWwvMjAyMy8wOS8wMy9OQVFYRUFNVUFSQlBSQ0dQVE1SMk9VNjRYQS_SAWFodHRwczovL2Jpei5jaG9zdW4uY29tL3RvcGljcy90b3BpY3Nfc29jaWFsLzIwMjMvMDkvMDMvTkFRWEVBTVVBUkJQUkNHUFRNUj"&amp;"JPVTY0WEEvP291dHB1dFR5cGU9YW1w?oc=5")</f>
        <v>https://news.google.com/rss/articles/CBMiUmh0dHBzOi8vYml6LmNob3N1bi5jb20vdG9waWNzL3RvcGljc19zb2NpYWwvMjAyMy8wOS8wMy9OQVFYRUFNVUFSQlBSQ0dQVE1SMk9VNjRYQS_SAWFodHRwczovL2Jpei5jaG9zdW4uY29tL3RvcGljcy90b3BpY3Nfc29jaWFsLzIwMjMvMDkvMDMvTkFRWEVBTVVBUkJQUkNHUFRNUjJPVTY0WEEvP291dHB1dFR5cGU9YW1w?oc=5</v>
      </c>
      <c r="C6" s="1" t="str">
        <f ca="1">IFERROR(__xludf.DUMMYFUNCTION("""COMPUTED_VALUE"""),"Sat, 02 Sep 2023 21:00:00 GMT")</f>
        <v>Sat, 02 Sep 2023 21:00:00 GMT</v>
      </c>
      <c r="D6" s="1" t="str">
        <f ca="1">IFERROR(__xludf.DUMMYFUNCTION("""COMPUTED_VALUE"""),"“열받지만 재밌어” 젊은층 사로잡은 ‘맑눈광·99대장’ 인기비결은 - 조선비즈  조선비즈")</f>
        <v>“열받지만 재밌어” 젊은층 사로잡은 ‘맑눈광·99대장’ 인기비결은 - 조선비즈  조선비즈</v>
      </c>
    </row>
    <row r="7" spans="1:4" ht="15.75" customHeight="1" x14ac:dyDescent="0.25">
      <c r="A7" s="1" t="str">
        <f ca="1">IFERROR(__xludf.DUMMYFUNCTION("""COMPUTED_VALUE"""),"신진 영화인 조명…제2회 의정부레드카펫영화제 개최 - 경기신문")</f>
        <v>신진 영화인 조명…제2회 의정부레드카펫영화제 개최 - 경기신문</v>
      </c>
      <c r="B7" s="2" t="str">
        <f ca="1">IFERROR(__xludf.DUMMYFUNCTION("""COMPUTED_VALUE"""),"https://news.google.com/rss/articles/CBMiNGh0dHBzOi8vd3d3LmtnbmV3cy5jby5rci9uZXdzL2FydGljbGUuaHRtbD9ubz03NjE1MzLSAQA?oc=5")</f>
        <v>https://news.google.com/rss/articles/CBMiNGh0dHBzOi8vd3d3LmtnbmV3cy5jby5rci9uZXdzL2FydGljbGUuaHRtbD9ubz03NjE1MzLSAQA?oc=5</v>
      </c>
      <c r="C7" s="1" t="str">
        <f ca="1">IFERROR(__xludf.DUMMYFUNCTION("""COMPUTED_VALUE"""),"Fri, 01 Sep 2023 23:57:23 GMT")</f>
        <v>Fri, 01 Sep 2023 23:57:23 GMT</v>
      </c>
      <c r="D7" s="1" t="str">
        <f ca="1">IFERROR(__xludf.DUMMYFUNCTION("""COMPUTED_VALUE"""),"신진 영화인 조명…제2회 의정부레드카펫영화제 개최  경기신문")</f>
        <v>신진 영화인 조명…제2회 의정부레드카펫영화제 개최  경기신문</v>
      </c>
    </row>
    <row r="8" spans="1:4" ht="15.75" customHeight="1" x14ac:dyDescent="0.25">
      <c r="A8" s="1" t="str">
        <f ca="1">IFERROR(__xludf.DUMMYFUNCTION("""COMPUTED_VALUE"""),"춘천에 울려 퍼진 세대공감 하모니 피날레 - 강원도민일보")</f>
        <v>춘천에 울려 퍼진 세대공감 하모니 피날레 - 강원도민일보</v>
      </c>
      <c r="B8" s="2" t="str">
        <f ca="1">IFERROR(__xludf.DUMMYFUNCTION("""COMPUTED_VALUE"""),"https://news.google.com/rss/articles/CBMiN2h0dHA6Ly93d3cua2Fkby5uZXQvbmV3cy9hcnRpY2xlVmlldy5odG1sP2lkeG5vPTEyMDE4NjXSAQA?oc=5")</f>
        <v>https://news.google.com/rss/articles/CBMiN2h0dHA6Ly93d3cua2Fkby5uZXQvbmV3cy9hcnRpY2xlVmlldy5odG1sP2lkeG5vPTEyMDE4NjXSAQA?oc=5</v>
      </c>
      <c r="C8" s="1" t="str">
        <f ca="1">IFERROR(__xludf.DUMMYFUNCTION("""COMPUTED_VALUE"""),"Sun, 03 Sep 2023 15:02:02 GMT")</f>
        <v>Sun, 03 Sep 2023 15:02:02 GMT</v>
      </c>
      <c r="D8" s="1" t="str">
        <f ca="1">IFERROR(__xludf.DUMMYFUNCTION("""COMPUTED_VALUE"""),"춘천에 울려 퍼진 세대공감 하모니 피날레  강원도민일보")</f>
        <v>춘천에 울려 퍼진 세대공감 하모니 피날레  강원도민일보</v>
      </c>
    </row>
    <row r="9" spans="1:4" ht="15.75" customHeight="1" x14ac:dyDescent="0.25">
      <c r="A9" s="1" t="str">
        <f ca="1">IFERROR(__xludf.DUMMYFUNCTION("""COMPUTED_VALUE"""),"[윤유진 칼럼] 롤랑 바르트의 현대적 신화③ - 논객닷컴")</f>
        <v>[윤유진 칼럼] 롤랑 바르트의 현대적 신화③ - 논객닷컴</v>
      </c>
      <c r="B9" s="2" t="str">
        <f ca="1">IFERROR(__xludf.DUMMYFUNCTION("""COMPUTED_VALUE"""),"https://news.google.com/rss/articles/CBMiOGh0dHA6Ly93d3cubm9uZ2Flay5jb20vbmV3cy9hcnRpY2xlVmlldy5odG1sP2lkeG5vPTg2MzYy0gE7aHR0cDovL3d3dy5ub25nYWVrLmNvbS9uZXdzL2FydGljbGVWaWV3QW1wLmh0bWw_aWR4bm89ODYzNjI?oc=5")</f>
        <v>https://news.google.com/rss/articles/CBMiOGh0dHA6Ly93d3cubm9uZ2Flay5jb20vbmV3cy9hcnRpY2xlVmlldy5odG1sP2lkeG5vPTg2MzYy0gE7aHR0cDovL3d3dy5ub25nYWVrLmNvbS9uZXdzL2FydGljbGVWaWV3QW1wLmh0bWw_aWR4bm89ODYzNjI?oc=5</v>
      </c>
      <c r="C9" s="1" t="str">
        <f ca="1">IFERROR(__xludf.DUMMYFUNCTION("""COMPUTED_VALUE"""),"Thu, 31 Aug 2023 23:04:07 GMT")</f>
        <v>Thu, 31 Aug 2023 23:04:07 GMT</v>
      </c>
      <c r="D9" s="1" t="str">
        <f ca="1">IFERROR(__xludf.DUMMYFUNCTION("""COMPUTED_VALUE"""),"[윤유진 칼럼] 롤랑 바르트의 현대적 신화③  논객닷컴")</f>
        <v>[윤유진 칼럼] 롤랑 바르트의 현대적 신화③  논객닷컴</v>
      </c>
    </row>
    <row r="10" spans="1:4" ht="15.75" customHeight="1" x14ac:dyDescent="0.25">
      <c r="A10" s="1" t="str">
        <f ca="1">IFERROR(__xludf.DUMMYFUNCTION("""COMPUTED_VALUE"""),"소통·화합' 勞使로 경영위기 극복…경북경제 든든한 일꾼들 - 영남일보")</f>
        <v>소통·화합' 勞使로 경영위기 극복…경북경제 든든한 일꾼들 - 영남일보</v>
      </c>
      <c r="B10" s="2" t="str">
        <f ca="1">IFERROR(__xludf.DUMMYFUNCTION("""COMPUTED_VALUE"""),"https://news.google.com/rss/articles/CBMiO2h0dHBzOi8vd3d3Lnllb25nbmFtLmNvbS93ZWIvdmlldy5waHA_a2V5PTIwMjMwOTA0MDEwMDAwMjY50gEA?oc=5")</f>
        <v>https://news.google.com/rss/articles/CBMiO2h0dHBzOi8vd3d3Lnllb25nbmFtLmNvbS93ZWIvdmlldy5waHA_a2V5PTIwMjMwOTA0MDEwMDAwMjY50gEA?oc=5</v>
      </c>
      <c r="C10" s="1" t="str">
        <f ca="1">IFERROR(__xludf.DUMMYFUNCTION("""COMPUTED_VALUE"""),"Sun, 03 Sep 2023 23:46:00 GMT")</f>
        <v>Sun, 03 Sep 2023 23:46:00 GMT</v>
      </c>
      <c r="D10" s="1" t="str">
        <f ca="1">IFERROR(__xludf.DUMMYFUNCTION("""COMPUTED_VALUE"""),"소통·화합' 勞使로 경영위기 극복…경북경제 든든한 일꾼들  영남일보")</f>
        <v>소통·화합' 勞使로 경영위기 극복…경북경제 든든한 일꾼들  영남일보</v>
      </c>
    </row>
    <row r="11" spans="1:4" ht="15.75" customHeight="1" x14ac:dyDescent="0.25">
      <c r="A11" s="1" t="str">
        <f ca="1">IFERROR(__xludf.DUMMYFUNCTION("""COMPUTED_VALUE"""),"국민연금 받는돈 10%P 늘리면, 미래세대 급여 37% ‘보험료 폭탄’ - 동아일보")</f>
        <v>국민연금 받는돈 10%P 늘리면, 미래세대 급여 37% ‘보험료 폭탄’ - 동아일보</v>
      </c>
      <c r="B11" s="2" t="str">
        <f ca="1">IFERROR(__xludf.DUMMYFUNCTION("""COMPUTED_VALUE"""),"https://news.google.com/rss/articles/CBMiQ2h0dHBzOi8vd3d3LmRvbmdhLmNvbS9uZXdzL1NvY2lldHkvYXJ0aWNsZS9hbGwvMjAyMzA5MDQvMTIxMDAwMDAxLzHSATdodHRwczovL3d3dy5kb25nYS5jb20vbmV3cy9hbXAvYWxsLzIwMjMwOTA0LzEyMTAwMDAwMS8x?oc=5")</f>
        <v>https://news.google.com/rss/articles/CBMiQ2h0dHBzOi8vd3d3LmRvbmdhLmNvbS9uZXdzL1NvY2lldHkvYXJ0aWNsZS9hbGwvMjAyMzA5MDQvMTIxMDAwMDAxLzHSATdodHRwczovL3d3dy5kb25nYS5jb20vbmV3cy9hbXAvYWxsLzIwMjMwOTA0LzEyMTAwMDAwMS8x?oc=5</v>
      </c>
      <c r="C11" s="1" t="str">
        <f ca="1">IFERROR(__xludf.DUMMYFUNCTION("""COMPUTED_VALUE"""),"Sun, 03 Sep 2023 18:00:00 GMT")</f>
        <v>Sun, 03 Sep 2023 18:00:00 GMT</v>
      </c>
      <c r="D11" s="1" t="str">
        <f ca="1">IFERROR(__xludf.DUMMYFUNCTION("""COMPUTED_VALUE"""),"국민연금 받는돈 10%P 늘리면, 미래세대 급여 37% ‘보험료 폭탄’  동아일보")</f>
        <v>국민연금 받는돈 10%P 늘리면, 미래세대 급여 37% ‘보험료 폭탄’  동아일보</v>
      </c>
    </row>
    <row r="12" spans="1:4" ht="15.75" customHeight="1" x14ac:dyDescent="0.25">
      <c r="A12" s="1" t="str">
        <f ca="1">IFERROR(__xludf.DUMMYFUNCTION("""COMPUTED_VALUE"""),"“1차원적 ‘공정’은 구조적 불평등 해결 못해” - 고대신문")</f>
        <v>“1차원적 ‘공정’은 구조적 불평등 해결 못해” - 고대신문</v>
      </c>
      <c r="B12" s="2" t="str">
        <f ca="1">IFERROR(__xludf.DUMMYFUNCTION("""COMPUTED_VALUE"""),"https://news.google.com/rss/articles/CBMiOmh0dHBzOi8vd3d3Lmt1bmV3cy5hYy5rci9uZXdzL2FydGljbGVWaWV3Lmh0bWw_aWR4bm89NDEyODfSATxodHRwOi8vd3d3Lmt1bmV3cy5hYy5rci9uZXdzL2FydGljbGVWaWV3QW1wLmh0bWw_aWR4bm89NDEyODc?oc=5")</f>
        <v>https://news.google.com/rss/articles/CBMiOmh0dHBzOi8vd3d3Lmt1bmV3cy5hYy5rci9uZXdzL2FydGljbGVWaWV3Lmh0bWw_aWR4bm89NDEyODfSATxodHRwOi8vd3d3Lmt1bmV3cy5hYy5rci9uZXdzL2FydGljbGVWaWV3QW1wLmh0bWw_aWR4bm89NDEyODc?oc=5</v>
      </c>
      <c r="C12" s="1" t="str">
        <f ca="1">IFERROR(__xludf.DUMMYFUNCTION("""COMPUTED_VALUE"""),"Sun, 03 Sep 2023 15:30:56 GMT")</f>
        <v>Sun, 03 Sep 2023 15:30:56 GMT</v>
      </c>
      <c r="D12" s="1" t="str">
        <f ca="1">IFERROR(__xludf.DUMMYFUNCTION("""COMPUTED_VALUE"""),"“1차원적 ‘공정’은 구조적 불평등 해결 못해”  고대신문")</f>
        <v>“1차원적 ‘공정’은 구조적 불평등 해결 못해”  고대신문</v>
      </c>
    </row>
    <row r="13" spans="1:4" ht="15.75" customHeight="1" x14ac:dyDescent="0.25">
      <c r="A13" s="1" t="str">
        <f ca="1">IFERROR(__xludf.DUMMYFUNCTION("""COMPUTED_VALUE"""),"이준석 “대구서 겨룬다면 가장 나쁜 놈과 붙겠다”···그렇다면 누구와? - 경향신문")</f>
        <v>이준석 “대구서 겨룬다면 가장 나쁜 놈과 붙겠다”···그렇다면 누구와? - 경향신문</v>
      </c>
      <c r="B13" s="2" t="str">
        <f ca="1">IFERROR(__xludf.DUMMYFUNCTION("""COMPUTED_VALUE"""),"https://news.google.com/rss/articles/CBMiLGh0dHBzOi8vbS5raGFuLmNvLmtyL2FydGljbGUvMjAyMzA5MDMxNjM5MDEx0gFKaHR0cHM6Ly9tLmtoYW4uY28ua3IvcG9saXRpY3MvcG9saXRpY3MtZ2VuZXJhbC9hcnRpY2xlLzIwMjMwOTAzMTYzOTAxMS9hbXA?oc=5")</f>
        <v>https://news.google.com/rss/articles/CBMiLGh0dHBzOi8vbS5raGFuLmNvLmtyL2FydGljbGUvMjAyMzA5MDMxNjM5MDEx0gFKaHR0cHM6Ly9tLmtoYW4uY28ua3IvcG9saXRpY3MvcG9saXRpY3MtZ2VuZXJhbC9hcnRpY2xlLzIwMjMwOTAzMTYzOTAxMS9hbXA?oc=5</v>
      </c>
      <c r="C13" s="1" t="str">
        <f ca="1">IFERROR(__xludf.DUMMYFUNCTION("""COMPUTED_VALUE"""),"Sun, 03 Sep 2023 07:39:00 GMT")</f>
        <v>Sun, 03 Sep 2023 07:39:00 GMT</v>
      </c>
      <c r="D13" s="1" t="str">
        <f ca="1">IFERROR(__xludf.DUMMYFUNCTION("""COMPUTED_VALUE"""),"이준석 “대구서 겨룬다면 가장 나쁜 놈과 붙겠다”···그렇다면 누구와?  경향신문")</f>
        <v>이준석 “대구서 겨룬다면 가장 나쁜 놈과 붙겠다”···그렇다면 누구와?  경향신문</v>
      </c>
    </row>
    <row r="14" spans="1:4" ht="15.75" customHeight="1" x14ac:dyDescent="0.25">
      <c r="A14" s="1" t="str">
        <f ca="1">IFERROR(__xludf.DUMMYFUNCTION("""COMPUTED_VALUE"""),"[사설] 63년 만의 사과… 4·19 세대와 이승만 대통령의 화해·통합 계기로 - 서울경제 - 서울경제신문")</f>
        <v>[사설] 63년 만의 사과… 4·19 세대와 이승만 대통령의 화해·통합 계기로 - 서울경제 - 서울경제신문</v>
      </c>
      <c r="B14" s="2" t="str">
        <f ca="1">IFERROR(__xludf.DUMMYFUNCTION("""COMPUTED_VALUE"""),"https://news.google.com/rss/articles/CBMiK2h0dHBzOi8vd3d3LnNlZGFpbHkuY29tL05ld3NWaWV3LzI5VUlYU0tRRTfSASxodHRwczovL20uc2VkYWlseS5jb20vTmV3c1ZpZXdBbXAvMjlVSVhTS1FFNw?oc=5")</f>
        <v>https://news.google.com/rss/articles/CBMiK2h0dHBzOi8vd3d3LnNlZGFpbHkuY29tL05ld3NWaWV3LzI5VUlYU0tRRTfSASxodHRwczovL20uc2VkYWlseS5jb20vTmV3c1ZpZXdBbXAvMjlVSVhTS1FFNw?oc=5</v>
      </c>
      <c r="C14" s="1" t="str">
        <f ca="1">IFERROR(__xludf.DUMMYFUNCTION("""COMPUTED_VALUE"""),"Fri, 01 Sep 2023 15:05:00 GMT")</f>
        <v>Fri, 01 Sep 2023 15:05:00 GMT</v>
      </c>
      <c r="D14" s="1" t="str">
        <f ca="1">IFERROR(__xludf.DUMMYFUNCTION("""COMPUTED_VALUE"""),"[사설] 63년 만의 사과… 4·19 세대와 이승만 대통령의 화해·통합 계기로 - 서울경제  서울경제신문")</f>
        <v>[사설] 63년 만의 사과… 4·19 세대와 이승만 대통령의 화해·통합 계기로 - 서울경제  서울경제신문</v>
      </c>
    </row>
    <row r="15" spans="1:4" ht="15.75" customHeight="1" x14ac:dyDescent="0.25">
      <c r="A15" s="1" t="str">
        <f ca="1">IFERROR(__xludf.DUMMYFUNCTION("""COMPUTED_VALUE"""),"[사설] 급금불청필망국 - 고대신문")</f>
        <v>[사설] 급금불청필망국 - 고대신문</v>
      </c>
      <c r="B15" s="2" t="str">
        <f ca="1">IFERROR(__xludf.DUMMYFUNCTION("""COMPUTED_VALUE"""),"https://news.google.com/rss/articles/CBMiOmh0dHBzOi8vd3d3Lmt1bmV3cy5hYy5rci9uZXdzL2FydGljbGVWaWV3Lmh0bWw_aWR4bm89NDEzMDHSATxodHRwOi8vd3d3Lmt1bmV3cy5hYy5rci9uZXdzL2FydGljbGVWaWV3QW1wLmh0bWw_aWR4bm89NDEzMDE?oc=5")</f>
        <v>https://news.google.com/rss/articles/CBMiOmh0dHBzOi8vd3d3Lmt1bmV3cy5hYy5rci9uZXdzL2FydGljbGVWaWV3Lmh0bWw_aWR4bm89NDEzMDHSATxodHRwOi8vd3d3Lmt1bmV3cy5hYy5rci9uZXdzL2FydGljbGVWaWV3QW1wLmh0bWw_aWR4bm89NDEzMDE?oc=5</v>
      </c>
      <c r="C15" s="1" t="str">
        <f ca="1">IFERROR(__xludf.DUMMYFUNCTION("""COMPUTED_VALUE"""),"Sun, 03 Sep 2023 15:30:56 GMT")</f>
        <v>Sun, 03 Sep 2023 15:30:56 GMT</v>
      </c>
      <c r="D15" s="1" t="str">
        <f ca="1">IFERROR(__xludf.DUMMYFUNCTION("""COMPUTED_VALUE"""),"[사설] 급금불청필망국  고대신문")</f>
        <v>[사설] 급금불청필망국  고대신문</v>
      </c>
    </row>
    <row r="16" spans="1:4" ht="15.75" customHeight="1" x14ac:dyDescent="0.25">
      <c r="A16" s="1" t="str">
        <f ca="1">IFERROR(__xludf.DUMMYFUNCTION("""COMPUTED_VALUE"""),"서이초 교사 49재' 울산도 추모 열기 - 울산제일일보")</f>
        <v>서이초 교사 49재' 울산도 추모 열기 - 울산제일일보</v>
      </c>
      <c r="B16" s="2" t="str">
        <f ca="1">IFERROR(__xludf.DUMMYFUNCTION("""COMPUTED_VALUE"""),"https://news.google.com/rss/articles/CBMiN2h0dHA6Ly93d3cudWplaWwuY29tL25ld3MvYXJ0aWNsZVZpZXcuaHRtbD9pZHhubz0zMzI5NjTSAQA?oc=5")</f>
        <v>https://news.google.com/rss/articles/CBMiN2h0dHA6Ly93d3cudWplaWwuY29tL25ld3MvYXJ0aWNsZVZpZXcuaHRtbD9pZHhubz0zMzI5NjTSAQA?oc=5</v>
      </c>
      <c r="C16" s="1" t="str">
        <f ca="1">IFERROR(__xludf.DUMMYFUNCTION("""COMPUTED_VALUE"""),"Sun, 03 Sep 2023 13:15:09 GMT")</f>
        <v>Sun, 03 Sep 2023 13:15:09 GMT</v>
      </c>
      <c r="D16" s="1" t="str">
        <f ca="1">IFERROR(__xludf.DUMMYFUNCTION("""COMPUTED_VALUE"""),"서이초 교사 49재' 울산도 추모 열기  울산제일일보")</f>
        <v>서이초 교사 49재' 울산도 추모 열기  울산제일일보</v>
      </c>
    </row>
    <row r="17" spans="1:4" ht="15.75" customHeight="1" x14ac:dyDescent="0.25">
      <c r="A17" s="1" t="str">
        <f ca="1">IFERROR(__xludf.DUMMYFUNCTION("""COMPUTED_VALUE"""),"중·일 핵 오염수 갈등 확산일로…""일본 우익 협박 편지"" - 시민언론 민들레")</f>
        <v>중·일 핵 오염수 갈등 확산일로…"일본 우익 협박 편지" - 시민언론 민들레</v>
      </c>
      <c r="B17" s="2" t="str">
        <f ca="1">IFERROR(__xludf.DUMMYFUNCTION("""COMPUTED_VALUE"""),"https://news.google.com/rss/articles/CBMiO2h0dHBzOi8vd3d3Lm1pbmRsZW5ld3MuY29tL25ld3MvYXJ0aWNsZVZpZXcuaHRtbD9pZHhubz00OTc20gEA?oc=5")</f>
        <v>https://news.google.com/rss/articles/CBMiO2h0dHBzOi8vd3d3Lm1pbmRsZW5ld3MuY29tL25ld3MvYXJ0aWNsZVZpZXcuaHRtbD9pZHhubz00OTc20gEA?oc=5</v>
      </c>
      <c r="C17" s="1" t="str">
        <f ca="1">IFERROR(__xludf.DUMMYFUNCTION("""COMPUTED_VALUE"""),"Sat, 02 Sep 2023 09:15:00 GMT")</f>
        <v>Sat, 02 Sep 2023 09:15:00 GMT</v>
      </c>
      <c r="D17" s="1" t="str">
        <f ca="1">IFERROR(__xludf.DUMMYFUNCTION("""COMPUTED_VALUE"""),"중·일 핵 오염수 갈등 확산일로…""일본 우익 협박 편지""  시민언론 민들레")</f>
        <v>중·일 핵 오염수 갈등 확산일로…"일본 우익 협박 편지"  시민언론 민들레</v>
      </c>
    </row>
    <row r="18" spans="1:4" ht="15.75" customHeight="1" x14ac:dyDescent="0.25">
      <c r="A18" s="1" t="str">
        <f ca="1">IFERROR(__xludf.DUMMYFUNCTION("""COMPUTED_VALUE"""),"메트로신문 9월 4일자 한줄뉴스 - 메트로신문-중산층과 서민을 위한 알찬 정보")</f>
        <v>메트로신문 9월 4일자 한줄뉴스 - 메트로신문-중산층과 서민을 위한 알찬 정보</v>
      </c>
      <c r="B18" s="2" t="str">
        <f ca="1">IFERROR(__xludf.DUMMYFUNCTION("""COMPUTED_VALUE"""),"https://news.google.com/rss/articles/CBMiM2h0dHBzOi8vd3d3Lm1ldHJvc2VvdWwuY28ua3IvYXJ0aWNsZS8yMDIzMDkwMzUwMDMxNNIBAA?oc=5")</f>
        <v>https://news.google.com/rss/articles/CBMiM2h0dHBzOi8vd3d3Lm1ldHJvc2VvdWwuY28ua3IvYXJ0aWNsZS8yMDIzMDkwMzUwMDMxNNIBAA?oc=5</v>
      </c>
      <c r="C18" s="1" t="str">
        <f ca="1">IFERROR(__xludf.DUMMYFUNCTION("""COMPUTED_VALUE"""),"Sun, 03 Sep 2023 20:30:06 GMT")</f>
        <v>Sun, 03 Sep 2023 20:30:06 GMT</v>
      </c>
      <c r="D18" s="1" t="str">
        <f ca="1">IFERROR(__xludf.DUMMYFUNCTION("""COMPUTED_VALUE"""),"메트로신문 9월 4일자 한줄뉴스  메트로신문-중산층과 서민을 위한 알찬 정보")</f>
        <v>메트로신문 9월 4일자 한줄뉴스  메트로신문-중산층과 서민을 위한 알찬 정보</v>
      </c>
    </row>
    <row r="19" spans="1:4" ht="15.75" customHeight="1" x14ac:dyDescent="0.25">
      <c r="A19" s="1" t="str">
        <f ca="1">IFERROR(__xludf.DUMMYFUNCTION("""COMPUTED_VALUE"""),"“툭 터놓고 이야기합시다!” - 데일리대구경북뉴스")</f>
        <v>“툭 터놓고 이야기합시다!” - 데일리대구경북뉴스</v>
      </c>
      <c r="B19" s="2" t="str">
        <f ca="1">IFERROR(__xludf.DUMMYFUNCTION("""COMPUTED_VALUE"""),"https://news.google.com/rss/articles/CBMiNmh0dHA6Ly93d3cuZGFpbHlkZ25ld3MuY29tL25ld3MvYXJ0aWNsZS5odG1sP25vPTE2NDExMtIBAA?oc=5")</f>
        <v>https://news.google.com/rss/articles/CBMiNmh0dHA6Ly93d3cuZGFpbHlkZ25ld3MuY29tL25ld3MvYXJ0aWNsZS5odG1sP25vPTE2NDExMtIBAA?oc=5</v>
      </c>
      <c r="C19" s="1" t="str">
        <f ca="1">IFERROR(__xludf.DUMMYFUNCTION("""COMPUTED_VALUE"""),"Fri, 01 Sep 2023 06:22:53 GMT")</f>
        <v>Fri, 01 Sep 2023 06:22:53 GMT</v>
      </c>
      <c r="D19" s="1" t="str">
        <f ca="1">IFERROR(__xludf.DUMMYFUNCTION("""COMPUTED_VALUE"""),"“툭 터놓고 이야기합시다!”  데일리대구경북뉴스")</f>
        <v>“툭 터놓고 이야기합시다!”  데일리대구경북뉴스</v>
      </c>
    </row>
    <row r="20" spans="1:4" ht="15.75" customHeight="1" x14ac:dyDescent="0.25">
      <c r="A20" s="1" t="str">
        <f ca="1">IFERROR(__xludf.DUMMYFUNCTION("""COMPUTED_VALUE"""),"서강대 '한-태국 수교 65주년 초청강연' 시리즈 '시선집중' - 아세안익스프레스")</f>
        <v>서강대 '한-태국 수교 65주년 초청강연' 시리즈 '시선집중' - 아세안익스프레스</v>
      </c>
      <c r="B20" s="2" t="str">
        <f ca="1">IFERROR(__xludf.DUMMYFUNCTION("""COMPUTED_VALUE"""),"https://news.google.com/rss/articles/CBMiNGh0dHBzOi8vYXNlYW5leHByZXNzLmNvLmtyL25ld3MvYXJ0aWNsZS5odG1sP25vPTkyMDDSAQA?oc=5")</f>
        <v>https://news.google.com/rss/articles/CBMiNGh0dHBzOi8vYXNlYW5leHByZXNzLmNvLmtyL25ld3MvYXJ0aWNsZS5odG1sP25vPTkyMDDSAQA?oc=5</v>
      </c>
      <c r="C20" s="1" t="str">
        <f ca="1">IFERROR(__xludf.DUMMYFUNCTION("""COMPUTED_VALUE"""),"Sun, 03 Sep 2023 01:21:28 GMT")</f>
        <v>Sun, 03 Sep 2023 01:21:28 GMT</v>
      </c>
      <c r="D20" s="1" t="str">
        <f ca="1">IFERROR(__xludf.DUMMYFUNCTION("""COMPUTED_VALUE"""),"서강대 '한-태국 수교 65주년 초청강연' 시리즈 '시선집중'  아세안익스프레스")</f>
        <v>서강대 '한-태국 수교 65주년 초청강연' 시리즈 '시선집중'  아세안익스프레스</v>
      </c>
    </row>
    <row r="21" spans="1:4" ht="15.75" customHeight="1" x14ac:dyDescent="0.25">
      <c r="A21" s="1" t="str">
        <f ca="1">IFERROR(__xludf.DUMMYFUNCTION("""COMPUTED_VALUE"""),"정부 '긴축 예산' 놓고 여야 충돌… 부산도 타격 우려 - 부산일보")</f>
        <v>정부 '긴축 예산' 놓고 여야 충돌… 부산도 타격 우려 - 부산일보</v>
      </c>
      <c r="B21" s="2" t="str">
        <f ca="1">IFERROR(__xludf.DUMMYFUNCTION("""COMPUTED_VALUE"""),"https://news.google.com/rss/articles/CBMiQmh0dHBzOi8vd3d3LmJ1c2FuLmNvbS92aWV3L2J1c2FuL3ZpZXcucGhwP2NvZGU9MjAyMzA4MjkxODQ3MTY5NDM2OdIBAA?oc=5")</f>
        <v>https://news.google.com/rss/articles/CBMiQmh0dHBzOi8vd3d3LmJ1c2FuLmNvbS92aWV3L2J1c2FuL3ZpZXcucGhwP2NvZGU9MjAyMzA4MjkxODQ3MTY5NDM2OdIBAA?oc=5</v>
      </c>
      <c r="C21" s="1" t="str">
        <f ca="1">IFERROR(__xludf.DUMMYFUNCTION("""COMPUTED_VALUE"""),"Tue, 29 Aug 2023 09:49:24 GMT")</f>
        <v>Tue, 29 Aug 2023 09:49:24 GMT</v>
      </c>
      <c r="D21" s="1" t="str">
        <f ca="1">IFERROR(__xludf.DUMMYFUNCTION("""COMPUTED_VALUE"""),"정부 '긴축 예산' 놓고 여야 충돌… 부산도 타격 우려  부산일보")</f>
        <v>정부 '긴축 예산' 놓고 여야 충돌… 부산도 타격 우려  부산일보</v>
      </c>
    </row>
    <row r="22" spans="1:4" ht="15.75" customHeight="1" x14ac:dyDescent="0.25">
      <c r="A22" s="1" t="str">
        <f ca="1">IFERROR(__xludf.DUMMYFUNCTION("""COMPUTED_VALUE"""),"정치 무풍지대' 동안구의 평촌신도시, 호계1동이 승부처라는데… - 한국경제")</f>
        <v>정치 무풍지대' 동안구의 평촌신도시, 호계1동이 승부처라는데… - 한국경제</v>
      </c>
      <c r="B22" s="2" t="str">
        <f ca="1">IFERROR(__xludf.DUMMYFUNCTION("""COMPUTED_VALUE"""),"https://news.google.com/rss/articles/CBMiLmh0dHBzOi8vd3d3Lmhhbmt5dW5nLmNvbS9hcnRpY2xlLzIwMjMwOTAzOTg1NWnSAQA?oc=5")</f>
        <v>https://news.google.com/rss/articles/CBMiLmh0dHBzOi8vd3d3Lmhhbmt5dW5nLmNvbS9hcnRpY2xlLzIwMjMwOTAzOTg1NWnSAQA?oc=5</v>
      </c>
      <c r="C22" s="1" t="str">
        <f ca="1">IFERROR(__xludf.DUMMYFUNCTION("""COMPUTED_VALUE"""),"Sun, 03 Sep 2023 22:00:04 GMT")</f>
        <v>Sun, 03 Sep 2023 22:00:04 GMT</v>
      </c>
      <c r="D22" s="1" t="str">
        <f ca="1">IFERROR(__xludf.DUMMYFUNCTION("""COMPUTED_VALUE"""),"정치 무풍지대' 동안구의 평촌신도시, 호계1동이 승부처라는데…  한국경제")</f>
        <v>정치 무풍지대' 동안구의 평촌신도시, 호계1동이 승부처라는데…  한국경제</v>
      </c>
    </row>
    <row r="23" spans="1:4" ht="12.5" x14ac:dyDescent="0.25">
      <c r="A23" s="1" t="str">
        <f ca="1">IFERROR(__xludf.DUMMYFUNCTION("""COMPUTED_VALUE"""),"이상일 용인시장, ""여성의 꿈을 펼칠 수 있는 차별없는 도시 조성할 것"" - 에너지경제")</f>
        <v>이상일 용인시장, "여성의 꿈을 펼칠 수 있는 차별없는 도시 조성할 것" - 에너지경제</v>
      </c>
      <c r="B23" s="2" t="str">
        <f ca="1">IFERROR(__xludf.DUMMYFUNCTION("""COMPUTED_VALUE"""),"https://news.google.com/rss/articles/CBMiL2h0dHBzOi8vbS5la24ua3Ivdmlldy5waHA_a2V5PTIwMjMwOTAxMDEwMDAwMjQx0gEA?oc=5")</f>
        <v>https://news.google.com/rss/articles/CBMiL2h0dHBzOi8vbS5la24ua3Ivdmlldy5waHA_a2V5PTIwMjMwOTAxMDEwMDAwMjQx0gEA?oc=5</v>
      </c>
      <c r="C23" s="1" t="str">
        <f ca="1">IFERROR(__xludf.DUMMYFUNCTION("""COMPUTED_VALUE"""),"Fri, 01 Sep 2023 10:24:41 GMT")</f>
        <v>Fri, 01 Sep 2023 10:24:41 GMT</v>
      </c>
      <c r="D23" s="1" t="str">
        <f ca="1">IFERROR(__xludf.DUMMYFUNCTION("""COMPUTED_VALUE"""),"이상일 용인시장, ""여성의 꿈을 펼칠 수 있는 차별없는 도시 조성할 것""  에너지경제")</f>
        <v>이상일 용인시장, "여성의 꿈을 펼칠 수 있는 차별없는 도시 조성할 것"  에너지경제</v>
      </c>
    </row>
    <row r="24" spans="1:4" ht="12.5" x14ac:dyDescent="0.25">
      <c r="A24" s="1" t="str">
        <f ca="1">IFERROR(__xludf.DUMMYFUNCTION("""COMPUTED_VALUE"""),"´담배 피우면 과태료´ 금연아파트, 관리·단속은 누가? - 무등일보")</f>
        <v>´담배 피우면 과태료´ 금연아파트, 관리·단속은 누가? - 무등일보</v>
      </c>
      <c r="B24" s="2" t="str">
        <f ca="1">IFERROR(__xludf.DUMMYFUNCTION("""COMPUTED_VALUE"""),"https://news.google.com/rss/articles/CBMiJGh0dHA6Ly93d3cubWRpbGJvLmNvbS9kZXRhaWwvLzcwMjAwNNIBAA?oc=5")</f>
        <v>https://news.google.com/rss/articles/CBMiJGh0dHA6Ly93d3cubWRpbGJvLmNvbS9kZXRhaWwvLzcwMjAwNNIBAA?oc=5</v>
      </c>
      <c r="C24" s="1" t="str">
        <f ca="1">IFERROR(__xludf.DUMMYFUNCTION("""COMPUTED_VALUE"""),"Fri, 01 Sep 2023 09:54:00 GMT")</f>
        <v>Fri, 01 Sep 2023 09:54:00 GMT</v>
      </c>
      <c r="D24" s="1" t="str">
        <f ca="1">IFERROR(__xludf.DUMMYFUNCTION("""COMPUTED_VALUE"""),"´담배 피우면 과태료´ 금연아파트, 관리·단속은 누가?  무등일보")</f>
        <v>´담배 피우면 과태료´ 금연아파트, 관리·단속은 누가?  무등일보</v>
      </c>
    </row>
    <row r="25" spans="1:4" ht="12.5" x14ac:dyDescent="0.25">
      <c r="A25" s="1" t="str">
        <f ca="1">IFERROR(__xludf.DUMMYFUNCTION("""COMPUTED_VALUE"""),"뉴욕증시 주간 상승…고용시장 냉각에 투자심리 회복 [이완수의 ... - Investing.com")</f>
        <v>뉴욕증시 주간 상승…고용시장 냉각에 투자심리 회복 [이완수의 ... - Investing.com</v>
      </c>
      <c r="B25" s="2" t="str">
        <f ca="1">IFERROR(__xludf.DUMMYFUNCTION("""COMPUTED_VALUE"""),"https://news.google.com/rss/articles/CBMiPmh0dHBzOi8va3IuaW52ZXN0aW5nLmNvbS9uZXdzL3N0b2NrLW1hcmtldC1uZXdzL2FydGljbGUtOTQzMzc10gFKaHR0cHM6Ly9tLmtyLmludmVzdGluZy5jb20vbmV3cy9zdG9jay1tYXJrZXQtbmV3cy9hcnRpY2xlLTk0MzM3NT9hbXBNb2RlPTE?oc=5")</f>
        <v>https://news.google.com/rss/articles/CBMiPmh0dHBzOi8va3IuaW52ZXN0aW5nLmNvbS9uZXdzL3N0b2NrLW1hcmtldC1uZXdzL2FydGljbGUtOTQzMzc10gFKaHR0cHM6Ly9tLmtyLmludmVzdGluZy5jb20vbmV3cy9zdG9jay1tYXJrZXQtbmV3cy9hcnRpY2xlLTk0MzM3NT9hbXBNb2RlPTE?oc=5</v>
      </c>
      <c r="C25" s="1" t="str">
        <f ca="1">IFERROR(__xludf.DUMMYFUNCTION("""COMPUTED_VALUE"""),"Sun, 03 Sep 2023 22:17:01 GMT")</f>
        <v>Sun, 03 Sep 2023 22:17:01 GMT</v>
      </c>
      <c r="D25" s="1" t="str">
        <f ca="1">IFERROR(__xludf.DUMMYFUNCTION("""COMPUTED_VALUE"""),"뉴욕증시 주간 상승…고용시장 냉각에 투자심리 회복 [이완수의 ...  Investing.com")</f>
        <v>뉴욕증시 주간 상승…고용시장 냉각에 투자심리 회복 [이완수의 ...  Investing.com</v>
      </c>
    </row>
    <row r="26" spans="1:4" ht="12.5" x14ac:dyDescent="0.25">
      <c r="A26" s="1" t="str">
        <f ca="1">IFERROR(__xludf.DUMMYFUNCTION("""COMPUTED_VALUE"""),"중국어 간판 다닥다닥 그 동네…""이런, 짱깨"" 이 말 사라졌지만 - 머니투데이")</f>
        <v>중국어 간판 다닥다닥 그 동네…"이런, 짱깨" 이 말 사라졌지만 - 머니투데이</v>
      </c>
      <c r="B26" s="2" t="str">
        <f ca="1">IFERROR(__xludf.DUMMYFUNCTION("""COMPUTED_VALUE"""),"https://news.google.com/rss/articles/CBMiN2h0dHBzOi8vbmV3cy5tdC5jby5rci9tdHZpZXcucGhwP25vPTIwMjMwOTAzMTY1NjE4MzIzNDTSAT1odHRwczovL20ubXQuY28ua3IvcmVuZXcvdmlld19hbXAuaHRtbD9ubz0yMDIzMDkwMzE2NTYxODMyMzQ0?oc=5")</f>
        <v>https://news.google.com/rss/articles/CBMiN2h0dHBzOi8vbmV3cy5tdC5jby5rci9tdHZpZXcucGhwP25vPTIwMjMwOTAzMTY1NjE4MzIzNDTSAT1odHRwczovL20ubXQuY28ua3IvcmVuZXcvdmlld19hbXAuaHRtbD9ubz0yMDIzMDkwMzE2NTYxODMyMzQ0?oc=5</v>
      </c>
      <c r="C26" s="1" t="str">
        <f ca="1">IFERROR(__xludf.DUMMYFUNCTION("""COMPUTED_VALUE"""),"Sun, 03 Sep 2023 23:00:00 GMT")</f>
        <v>Sun, 03 Sep 2023 23:00:00 GMT</v>
      </c>
      <c r="D26" s="1" t="str">
        <f ca="1">IFERROR(__xludf.DUMMYFUNCTION("""COMPUTED_VALUE"""),"중국어 간판 다닥다닥 그 동네…""이런, 짱깨"" 이 말 사라졌지만  머니투데이")</f>
        <v>중국어 간판 다닥다닥 그 동네…"이런, 짱깨" 이 말 사라졌지만  머니투데이</v>
      </c>
    </row>
    <row r="27" spans="1:4" ht="12.5" x14ac:dyDescent="0.25">
      <c r="A27" s="1" t="str">
        <f ca="1">IFERROR(__xludf.DUMMYFUNCTION("""COMPUTED_VALUE"""),"강풀 ""왜 '무빙' 대본을 쓴다고 그래서…잠도 안 왔죠"" [인터뷰+] - 한국경제")</f>
        <v>강풀 "왜 '무빙' 대본을 쓴다고 그래서…잠도 안 왔죠" [인터뷰+] - 한국경제</v>
      </c>
      <c r="B27" s="2" t="str">
        <f ca="1">IFERROR(__xludf.DUMMYFUNCTION("""COMPUTED_VALUE"""),"https://news.google.com/rss/articles/CBMiLmh0dHBzOi8vd3d3Lmhhbmt5dW5nLmNvbS9hcnRpY2xlLzIwMjMwOTA0MDQ2MUjSASpodHRwczovL3d3dy5oYW5reXVuZy5jb20vYW1wLzIwMjMwOTA0MDQ2MUg?oc=5")</f>
        <v>https://news.google.com/rss/articles/CBMiLmh0dHBzOi8vd3d3Lmhhbmt5dW5nLmNvbS9hcnRpY2xlLzIwMjMwOTA0MDQ2MUjSASpodHRwczovL3d3dy5oYW5reXVuZy5jb20vYW1wLzIwMjMwOTA0MDQ2MUg?oc=5</v>
      </c>
      <c r="C27" s="1" t="str">
        <f ca="1">IFERROR(__xludf.DUMMYFUNCTION("""COMPUTED_VALUE"""),"Sun, 03 Sep 2023 21:34:16 GMT")</f>
        <v>Sun, 03 Sep 2023 21:34:16 GMT</v>
      </c>
      <c r="D27" s="1" t="str">
        <f ca="1">IFERROR(__xludf.DUMMYFUNCTION("""COMPUTED_VALUE"""),"강풀 ""왜 '무빙' 대본을 쓴다고 그래서…잠도 안 왔죠"" [인터뷰+]  한국경제")</f>
        <v>강풀 "왜 '무빙' 대본을 쓴다고 그래서…잠도 안 왔죠" [인터뷰+]  한국경제</v>
      </c>
    </row>
    <row r="28" spans="1:4" ht="12.5" x14ac:dyDescent="0.25">
      <c r="A28" s="1" t="str">
        <f ca="1">IFERROR(__xludf.DUMMYFUNCTION("""COMPUTED_VALUE"""),"부코페' 폐막식서 개그콘서트 본다…신구세대 코미디언 총출동 - 뉴스1 - 뉴스1")</f>
        <v>부코페' 폐막식서 개그콘서트 본다…신구세대 코미디언 총출동 - 뉴스1 - 뉴스1</v>
      </c>
      <c r="B28" s="2" t="str">
        <f ca="1">IFERROR(__xludf.DUMMYFUNCTION("""COMPUTED_VALUE"""),"https://news.google.com/rss/articles/CBMiJmh0dHBzOi8vd3d3Lm5ld3MxLmtyL2FydGljbGVzLz81MTU5MDgy0gEqaHR0cHM6Ly93d3cubmV3czEua3IvYW1wL2FydGljbGVzLz81MTU5MDgy?oc=5")</f>
        <v>https://news.google.com/rss/articles/CBMiJmh0dHBzOi8vd3d3Lm5ld3MxLmtyL2FydGljbGVzLz81MTU5MDgy0gEqaHR0cHM6Ly93d3cubmV3czEua3IvYW1wL2FydGljbGVzLz81MTU5MDgy?oc=5</v>
      </c>
      <c r="C28" s="1" t="str">
        <f ca="1">IFERROR(__xludf.DUMMYFUNCTION("""COMPUTED_VALUE"""),"Sat, 02 Sep 2023 07:28:36 GMT")</f>
        <v>Sat, 02 Sep 2023 07:28:36 GMT</v>
      </c>
      <c r="D28" s="1" t="str">
        <f ca="1">IFERROR(__xludf.DUMMYFUNCTION("""COMPUTED_VALUE"""),"부코페' 폐막식서 개그콘서트 본다…신구세대 코미디언 총출동 - 뉴스1  뉴스1")</f>
        <v>부코페' 폐막식서 개그콘서트 본다…신구세대 코미디언 총출동 - 뉴스1  뉴스1</v>
      </c>
    </row>
    <row r="29" spans="1:4" ht="12.5" x14ac:dyDescent="0.25">
      <c r="A29" s="1" t="str">
        <f ca="1">IFERROR(__xludf.DUMMYFUNCTION("""COMPUTED_VALUE"""),"[뉴스와 인물] 개원 10주년 맞은 안형순 국립무형유산원장 - 전북일보")</f>
        <v>[뉴스와 인물] 개원 10주년 맞은 안형순 국립무형유산원장 - 전북일보</v>
      </c>
      <c r="B29" s="2" t="str">
        <f ca="1">IFERROR(__xludf.DUMMYFUNCTION("""COMPUTED_VALUE"""),"https://news.google.com/rss/articles/CBMiKmh0dHBzOi8vd3d3LmpqYW4ua3IvYXJ0aWNsZS8yMDIzMDkwMzU4MDEzNNIBLWh0dHBzOi8vd3d3LmpqYW4ua3IvYXJ0aWNsZUFtcC8yMDIzMDkwMzU4MDEzNA?oc=5")</f>
        <v>https://news.google.com/rss/articles/CBMiKmh0dHBzOi8vd3d3LmpqYW4ua3IvYXJ0aWNsZS8yMDIzMDkwMzU4MDEzNNIBLWh0dHBzOi8vd3d3LmpqYW4ua3IvYXJ0aWNsZUFtcC8yMDIzMDkwMzU4MDEzNA?oc=5</v>
      </c>
      <c r="C29" s="1" t="str">
        <f ca="1">IFERROR(__xludf.DUMMYFUNCTION("""COMPUTED_VALUE"""),"Sun, 03 Sep 2023 08:29:40 GMT")</f>
        <v>Sun, 03 Sep 2023 08:29:40 GMT</v>
      </c>
      <c r="D29" s="1" t="str">
        <f ca="1">IFERROR(__xludf.DUMMYFUNCTION("""COMPUTED_VALUE"""),"[뉴스와 인물] 개원 10주년 맞은 안형순 국립무형유산원장  전북일보")</f>
        <v>[뉴스와 인물] 개원 10주년 맞은 안형순 국립무형유산원장  전북일보</v>
      </c>
    </row>
    <row r="30" spans="1:4" ht="12.5" x14ac:dyDescent="0.25">
      <c r="A30" s="1" t="str">
        <f ca="1">IFERROR(__xludf.DUMMYFUNCTION("""COMPUTED_VALUE"""),"콘크리트 유토피아에서 당신은 어디에 서 있나요 - medicaltimes.com")</f>
        <v>콘크리트 유토피아에서 당신은 어디에 서 있나요 - medicaltimes.com</v>
      </c>
      <c r="B30" s="2" t="str">
        <f ca="1">IFERROR(__xludf.DUMMYFUNCTION("""COMPUTED_VALUE"""),"https://news.google.com/rss/articles/CBMiOGh0dHBzOi8vbS5tZWRpY2FsdGltZXMuY29tL05ld3MvTmV3c1ZpZXcuaHRtbD9JRD0xMTU1MjEw0gEA?oc=5")</f>
        <v>https://news.google.com/rss/articles/CBMiOGh0dHBzOi8vbS5tZWRpY2FsdGltZXMuY29tL05ld3MvTmV3c1ZpZXcuaHRtbD9JRD0xMTU1MjEw0gEA?oc=5</v>
      </c>
      <c r="C30" s="1" t="str">
        <f ca="1">IFERROR(__xludf.DUMMYFUNCTION("""COMPUTED_VALUE"""),"Sun, 03 Sep 2023 20:30:00 GMT")</f>
        <v>Sun, 03 Sep 2023 20:30:00 GMT</v>
      </c>
      <c r="D30" s="1" t="str">
        <f ca="1">IFERROR(__xludf.DUMMYFUNCTION("""COMPUTED_VALUE"""),"콘크리트 유토피아에서 당신은 어디에 서 있나요  medicaltimes.com")</f>
        <v>콘크리트 유토피아에서 당신은 어디에 서 있나요  medicaltimes.com</v>
      </c>
    </row>
    <row r="31" spans="1:4" ht="12.5" x14ac:dyDescent="0.25">
      <c r="A31" s="1" t="str">
        <f ca="1">IFERROR(__xludf.DUMMYFUNCTION("""COMPUTED_VALUE"""),"오염수' 우려에도 불구, 광양전어축제 역대 최다 인파 - 광양뉴스")</f>
        <v>오염수' 우려에도 불구, 광양전어축제 역대 최다 인파 - 광양뉴스</v>
      </c>
      <c r="B31" s="2" t="str">
        <f ca="1">IFERROR(__xludf.DUMMYFUNCTION("""COMPUTED_VALUE"""),"https://news.google.com/rss/articles/CBMiOGh0dHA6Ly93d3cuZ3luZXQuY28ua3IvbmV3cy9hcnRpY2xlVmlldy5odG1sP2lkeG5vPTUxODk00gEA?oc=5")</f>
        <v>https://news.google.com/rss/articles/CBMiOGh0dHA6Ly93d3cuZ3luZXQuY28ua3IvbmV3cy9hcnRpY2xlVmlldy5odG1sP2lkeG5vPTUxODk00gEA?oc=5</v>
      </c>
      <c r="C31" s="1" t="str">
        <f ca="1">IFERROR(__xludf.DUMMYFUNCTION("""COMPUTED_VALUE"""),"Fri, 01 Sep 2023 08:42:08 GMT")</f>
        <v>Fri, 01 Sep 2023 08:42:08 GMT</v>
      </c>
      <c r="D31" s="1" t="str">
        <f ca="1">IFERROR(__xludf.DUMMYFUNCTION("""COMPUTED_VALUE"""),"오염수' 우려에도 불구, 광양전어축제 역대 최다 인파  광양뉴스")</f>
        <v>오염수' 우려에도 불구, 광양전어축제 역대 최다 인파  광양뉴스</v>
      </c>
    </row>
    <row r="32" spans="1:4" ht="12.5" x14ac:dyDescent="0.25">
      <c r="A32" s="1" t="str">
        <f ca="1">IFERROR(__xludf.DUMMYFUNCTION("""COMPUTED_VALUE"""),"부드러운 빛의 중첩…기하추상 선구자의 '동시성' [아트 갤러리] - 이코노미스트")</f>
        <v>부드러운 빛의 중첩…기하추상 선구자의 '동시성' [아트 갤러리] - 이코노미스트</v>
      </c>
      <c r="B32" s="2" t="str">
        <f ca="1">IFERROR(__xludf.DUMMYFUNCTION("""COMPUTED_VALUE"""),"https://news.google.com/rss/articles/CBMiNGh0dHBzOi8vZWNvbm9taXN0LmNvLmtyL2FydGljbGUvdmlldy9lY24yMDIzMDgyODAwMzLSAQA?oc=5")</f>
        <v>https://news.google.com/rss/articles/CBMiNGh0dHBzOi8vZWNvbm9taXN0LmNvLmtyL2FydGljbGUvdmlldy9lY24yMDIzMDgyODAwMzLSAQA?oc=5</v>
      </c>
      <c r="C32" s="1" t="str">
        <f ca="1">IFERROR(__xludf.DUMMYFUNCTION("""COMPUTED_VALUE"""),"Sun, 03 Sep 2023 07:00:00 GMT")</f>
        <v>Sun, 03 Sep 2023 07:00:00 GMT</v>
      </c>
      <c r="D32" s="1" t="str">
        <f ca="1">IFERROR(__xludf.DUMMYFUNCTION("""COMPUTED_VALUE"""),"부드러운 빛의 중첩…기하추상 선구자의 '동시성' [아트 갤러리]  이코노미스트")</f>
        <v>부드러운 빛의 중첩…기하추상 선구자의 '동시성' [아트 갤러리]  이코노미스트</v>
      </c>
    </row>
    <row r="33" spans="1:4" ht="12.5" x14ac:dyDescent="0.25">
      <c r="A33" s="1" t="str">
        <f ca="1">IFERROR(__xludf.DUMMYFUNCTION("""COMPUTED_VALUE"""),"[김덕해 칼럼] 한국정치, 지금 어디로 가고 있는가? - 폴리스TV")</f>
        <v>[김덕해 칼럼] 한국정치, 지금 어디로 가고 있는가? - 폴리스TV</v>
      </c>
      <c r="B33" s="2" t="str">
        <f ca="1">IFERROR(__xludf.DUMMYFUNCTION("""COMPUTED_VALUE"""),"https://news.google.com/rss/articles/CBMiO2h0dHA6Ly93d3cucG9saWNldHYuY28ua3IvbmV3cy9hcnRpY2xlVmlldy5odG1sP2lkeG5vPTQ2MTA00gEA?oc=5")</f>
        <v>https://news.google.com/rss/articles/CBMiO2h0dHA6Ly93d3cucG9saWNldHYuY28ua3IvbmV3cy9hcnRpY2xlVmlldy5odG1sP2lkeG5vPTQ2MTA00gEA?oc=5</v>
      </c>
      <c r="C33" s="1" t="str">
        <f ca="1">IFERROR(__xludf.DUMMYFUNCTION("""COMPUTED_VALUE"""),"Sun, 03 Sep 2023 23:45:47 GMT")</f>
        <v>Sun, 03 Sep 2023 23:45:47 GMT</v>
      </c>
      <c r="D33" s="1" t="str">
        <f ca="1">IFERROR(__xludf.DUMMYFUNCTION("""COMPUTED_VALUE"""),"[김덕해 칼럼] 한국정치, 지금 어디로 가고 있는가?  폴리스TV")</f>
        <v>[김덕해 칼럼] 한국정치, 지금 어디로 가고 있는가?  폴리스TV</v>
      </c>
    </row>
    <row r="34" spans="1:4" ht="12.5" x14ac:dyDescent="0.25">
      <c r="A34" s="1" t="str">
        <f ca="1">IFERROR(__xludf.DUMMYFUNCTION("""COMPUTED_VALUE"""),"서울시의회 ‘청년 탈모 지원’ 심사 보류…시 “세대갈등 우려” - 동아일보")</f>
        <v>서울시의회 ‘청년 탈모 지원’ 심사 보류…시 “세대갈등 우려” - 동아일보</v>
      </c>
      <c r="B34" s="2" t="str">
        <f ca="1">IFERROR(__xludf.DUMMYFUNCTION("""COMPUTED_VALUE"""),"https://news.google.com/rss/articles/CBMiQ2h0dHBzOi8vd3d3LmRvbmdhLmNvbS9uZXdzL1NvY2lldHkvYXJ0aWNsZS9hbGwvMjAyMzAzMDMvMTE4MTU0OTEyLzHSATdodHRwczovL3d3dy5kb25nYS5jb20vbmV3cy9hbXAvYWxsLzIwMjMwMzAzLzExODE1NDkxMi8x?oc=5")</f>
        <v>https://news.google.com/rss/articles/CBMiQ2h0dHBzOi8vd3d3LmRvbmdhLmNvbS9uZXdzL1NvY2lldHkvYXJ0aWNsZS9hbGwvMjAyMzAzMDMvMTE4MTU0OTEyLzHSATdodHRwczovL3d3dy5kb25nYS5jb20vbmV3cy9hbXAvYWxsLzIwMjMwMzAzLzExODE1NDkxMi8x?oc=5</v>
      </c>
      <c r="C34" s="1" t="str">
        <f ca="1">IFERROR(__xludf.DUMMYFUNCTION("""COMPUTED_VALUE"""),"Fri, 03 Mar 2023 08:00:00 GMT")</f>
        <v>Fri, 03 Mar 2023 08:00:00 GMT</v>
      </c>
      <c r="D34" s="1" t="str">
        <f ca="1">IFERROR(__xludf.DUMMYFUNCTION("""COMPUTED_VALUE"""),"서울시의회 ‘청년 탈모 지원’ 심사 보류…시 “세대갈등 우려”  동아일보")</f>
        <v>서울시의회 ‘청년 탈모 지원’ 심사 보류…시 “세대갈등 우려”  동아일보</v>
      </c>
    </row>
    <row r="35" spans="1:4" ht="12.5" x14ac:dyDescent="0.25">
      <c r="A35" s="1" t="str">
        <f ca="1">IFERROR(__xludf.DUMMYFUNCTION("""COMPUTED_VALUE"""),"13년뒤 청년 2명이 노인 1명 부양… 늘어나는 부담에 세대갈등 현실로 - 문화일보")</f>
        <v>13년뒤 청년 2명이 노인 1명 부양… 늘어나는 부담에 세대갈등 현실로 - 문화일보</v>
      </c>
      <c r="B35" s="2" t="str">
        <f ca="1">IFERROR(__xludf.DUMMYFUNCTION("""COMPUTED_VALUE"""),"https://news.google.com/rss/articles/CBMiO2h0dHBzOi8vbXVuaHdhLmNvbS9uZXdzL3ZpZXcuaHRtbD9ubz0yMDIzMDYwNTAxMDcwODI3MjcwMDAx0gEA?oc=5")</f>
        <v>https://news.google.com/rss/articles/CBMiO2h0dHBzOi8vbXVuaHdhLmNvbS9uZXdzL3ZpZXcuaHRtbD9ubz0yMDIzMDYwNTAxMDcwODI3MjcwMDAx0gEA?oc=5</v>
      </c>
      <c r="C35" s="1" t="str">
        <f ca="1">IFERROR(__xludf.DUMMYFUNCTION("""COMPUTED_VALUE"""),"Mon, 05 Jun 2023 07:00:00 GMT")</f>
        <v>Mon, 05 Jun 2023 07:00:00 GMT</v>
      </c>
      <c r="D35" s="1" t="str">
        <f ca="1">IFERROR(__xludf.DUMMYFUNCTION("""COMPUTED_VALUE"""),"13년뒤 청년 2명이 노인 1명 부양… 늘어나는 부담에 세대갈등 현실로  문화일보")</f>
        <v>13년뒤 청년 2명이 노인 1명 부양… 늘어나는 부담에 세대갈등 현실로  문화일보</v>
      </c>
    </row>
    <row r="36" spans="1:4" ht="12.5" x14ac:dyDescent="0.25">
      <c r="A36" s="1" t="str">
        <f ca="1">IFERROR(__xludf.DUMMYFUNCTION("""COMPUTED_VALUE"""),"“박근혜·문재인·윤석열, 다 기대 저버려…인물의 문제 아냐” - 시사저널")</f>
        <v>“박근혜·문재인·윤석열, 다 기대 저버려…인물의 문제 아냐” - 시사저널</v>
      </c>
      <c r="B36" s="2" t="str">
        <f ca="1">IFERROR(__xludf.DUMMYFUNCTION("""COMPUTED_VALUE"""),"https://news.google.com/rss/articles/CBMiPmh0dHBzOi8vd3d3LnNpc2Fqb3VybmFsLmNvbS9uZXdzL2FydGljbGVWaWV3Lmh0bWw_aWR4bm89MjcxMzQ00gEA?oc=5")</f>
        <v>https://news.google.com/rss/articles/CBMiPmh0dHBzOi8vd3d3LnNpc2Fqb3VybmFsLmNvbS9uZXdzL2FydGljbGVWaWV3Lmh0bWw_aWR4bm89MjcxMzQ00gEA?oc=5</v>
      </c>
      <c r="C36" s="1" t="str">
        <f ca="1">IFERROR(__xludf.DUMMYFUNCTION("""COMPUTED_VALUE"""),"Sun, 03 Sep 2023 22:35:00 GMT")</f>
        <v>Sun, 03 Sep 2023 22:35:00 GMT</v>
      </c>
      <c r="D36" s="1" t="str">
        <f ca="1">IFERROR(__xludf.DUMMYFUNCTION("""COMPUTED_VALUE"""),"“박근혜·문재인·윤석열, 다 기대 저버려…인물의 문제 아냐”  시사저널")</f>
        <v>“박근혜·문재인·윤석열, 다 기대 저버려…인물의 문제 아냐”  시사저널</v>
      </c>
    </row>
    <row r="37" spans="1:4" ht="12.5" x14ac:dyDescent="0.25">
      <c r="A37" s="1" t="str">
        <f ca="1">IFERROR(__xludf.DUMMYFUNCTION("""COMPUTED_VALUE"""),"큰손' 돌아온다지만...中경기 침체·사그라든 한류는 '변수' - 이코노미스트")</f>
        <v>큰손' 돌아온다지만...中경기 침체·사그라든 한류는 '변수' - 이코노미스트</v>
      </c>
      <c r="B37" s="2" t="str">
        <f ca="1">IFERROR(__xludf.DUMMYFUNCTION("""COMPUTED_VALUE"""),"https://news.google.com/rss/articles/CBMiNGh0dHBzOi8vZWNvbm9taXN0LmNvLmtyL2FydGljbGUvdmlldy9lY24yMDIzMDgyOTAwMjfSAQA?oc=5")</f>
        <v>https://news.google.com/rss/articles/CBMiNGh0dHBzOi8vZWNvbm9taXN0LmNvLmtyL2FydGljbGUvdmlldy9lY24yMDIzMDgyOTAwMjfSAQA?oc=5</v>
      </c>
      <c r="C37" s="1" t="str">
        <f ca="1">IFERROR(__xludf.DUMMYFUNCTION("""COMPUTED_VALUE"""),"Mon, 04 Sep 2023 00:00:00 GMT")</f>
        <v>Mon, 04 Sep 2023 00:00:00 GMT</v>
      </c>
      <c r="D37" s="1" t="str">
        <f ca="1">IFERROR(__xludf.DUMMYFUNCTION("""COMPUTED_VALUE"""),"큰손' 돌아온다지만...中경기 침체·사그라든 한류는 '변수'  이코노미스트")</f>
        <v>큰손' 돌아온다지만...中경기 침체·사그라든 한류는 '변수'  이코노미스트</v>
      </c>
    </row>
    <row r="38" spans="1:4" ht="12.5" x14ac:dyDescent="0.25">
      <c r="A38" s="1" t="str">
        <f ca="1">IFERROR(__xludf.DUMMYFUNCTION("""COMPUTED_VALUE"""),"[2022 세대인식조사] 세대 갈등 인식과 전망 - 한국리서치 정기조사 여론 속의 여론")</f>
        <v>[2022 세대인식조사] 세대 갈등 인식과 전망 - 한국리서치 정기조사 여론 속의 여론</v>
      </c>
      <c r="B38" s="2" t="str">
        <f ca="1">IFERROR(__xludf.DUMMYFUNCTION("""COMPUTED_VALUE"""),"https://news.google.com/rss/articles/CBMiJ2h0dHBzOi8vaHJjb3Bpbmlvbi5jby5rci9hcmNoaXZlcy8yMTM1ONIBK2h0dHBzOi8vaHJjb3Bpbmlvbi5jby5rci9hcmNoaXZlcy8yMTM1OC9hbXA?oc=5")</f>
        <v>https://news.google.com/rss/articles/CBMiJ2h0dHBzOi8vaHJjb3Bpbmlvbi5jby5rci9hcmNoaXZlcy8yMTM1ONIBK2h0dHBzOi8vaHJjb3Bpbmlvbi5jby5rci9hcmNoaXZlcy8yMTM1OC9hbXA?oc=5</v>
      </c>
      <c r="C38" s="1" t="str">
        <f ca="1">IFERROR(__xludf.DUMMYFUNCTION("""COMPUTED_VALUE"""),"Tue, 13 Sep 2022 07:00:00 GMT")</f>
        <v>Tue, 13 Sep 2022 07:00:00 GMT</v>
      </c>
      <c r="D38" s="1" t="str">
        <f ca="1">IFERROR(__xludf.DUMMYFUNCTION("""COMPUTED_VALUE"""),"[2022 세대인식조사] 세대 갈등 인식과 전망  한국리서치 정기조사 여론 속의 여론")</f>
        <v>[2022 세대인식조사] 세대 갈등 인식과 전망  한국리서치 정기조사 여론 속의 여론</v>
      </c>
    </row>
    <row r="39" spans="1:4" ht="12.5" x14ac:dyDescent="0.25">
      <c r="A39" s="1" t="str">
        <f ca="1">IFERROR(__xludf.DUMMYFUNCTION("""COMPUTED_VALUE"""),"김은경, 나흘 만에 박광온 입 빌려 사과…세대 갈등 조장하는 언행 삼갈 것 - 아주경제")</f>
        <v>김은경, 나흘 만에 박광온 입 빌려 사과…세대 갈등 조장하는 언행 삼갈 것 - 아주경제</v>
      </c>
      <c r="B39" s="2" t="str">
        <f ca="1">IFERROR(__xludf.DUMMYFUNCTION("""COMPUTED_VALUE"""),"https://news.google.com/rss/articles/CBMiLmh0dHBzOi8vd3d3LmFqdW5ld3MuY29tL3ZpZXcvMjAyMzA4MDIxMDM2NTQ5NDLSAStodHRwczovL20uYWp1bmV3cy5jb20vYW1wLzIwMjMwODAyMTAzNjU0OTQy?oc=5")</f>
        <v>https://news.google.com/rss/articles/CBMiLmh0dHBzOi8vd3d3LmFqdW5ld3MuY29tL3ZpZXcvMjAyMzA4MDIxMDM2NTQ5NDLSAStodHRwczovL20uYWp1bmV3cy5jb20vYW1wLzIwMjMwODAyMTAzNjU0OTQy?oc=5</v>
      </c>
      <c r="C39" s="1" t="str">
        <f ca="1">IFERROR(__xludf.DUMMYFUNCTION("""COMPUTED_VALUE"""),"Wed, 02 Aug 2023 07:00:00 GMT")</f>
        <v>Wed, 02 Aug 2023 07:00:00 GMT</v>
      </c>
      <c r="D39" s="1" t="str">
        <f ca="1">IFERROR(__xludf.DUMMYFUNCTION("""COMPUTED_VALUE"""),"김은경, 나흘 만에 박광온 입 빌려 사과…세대 갈등 조장하는 언행 삼갈 것  아주경제")</f>
        <v>김은경, 나흘 만에 박광온 입 빌려 사과…세대 갈등 조장하는 언행 삼갈 것  아주경제</v>
      </c>
    </row>
    <row r="40" spans="1:4" ht="12.5" x14ac:dyDescent="0.25">
      <c r="A40" s="1" t="str">
        <f ca="1">IFERROR(__xludf.DUMMYFUNCTION("""COMPUTED_VALUE"""),"“우린 집도 못 사냐” 중장년 분노 부른 ‘50년 주담대’ 연령제한 차별 논란 - 조선일보")</f>
        <v>“우린 집도 못 사냐” 중장년 분노 부른 ‘50년 주담대’ 연령제한 차별 논란 - 조선일보</v>
      </c>
      <c r="B40" s="2" t="str">
        <f ca="1">IFERROR(__xludf.DUMMYFUNCTION("""COMPUTED_VALUE"""),"https://news.google.com/rss/articles/CBMiUWh0dHBzOi8vd3d3LmNob3N1bi5jb20vZWNvbm9teS9yZWFsX2VzdGF0ZS8yMDIzLzA4LzI3L1kzUkNTVUZVTk5CREpCTUlWS0hMQlpSM0lZL9IBYGh0dHBzOi8vd3d3LmNob3N1bi5jb20vZWNvbm9teS9yZWFsX2VzdGF0ZS8yMDIzLzA4LzI3L1kzUkNTVUZVTk5CREpCTUlWS0hMQl"&amp;"pSM0lZLz9vdXRwdXRUeXBlPWFtcA?oc=5")</f>
        <v>https://news.google.com/rss/articles/CBMiUWh0dHBzOi8vd3d3LmNob3N1bi5jb20vZWNvbm9teS9yZWFsX2VzdGF0ZS8yMDIzLzA4LzI3L1kzUkNTVUZVTk5CREpCTUlWS0hMQlpSM0lZL9IBYGh0dHBzOi8vd3d3LmNob3N1bi5jb20vZWNvbm9teS9yZWFsX2VzdGF0ZS8yMDIzLzA4LzI3L1kzUkNTVUZVTk5CREpCTUlWS0hMQlpSM0lZLz9vdXRwdXRUeXBlPWFtcA?oc=5</v>
      </c>
      <c r="C40" s="1" t="str">
        <f ca="1">IFERROR(__xludf.DUMMYFUNCTION("""COMPUTED_VALUE"""),"Sat, 26 Aug 2023 21:01:44 GMT")</f>
        <v>Sat, 26 Aug 2023 21:01:44 GMT</v>
      </c>
      <c r="D40" s="1" t="str">
        <f ca="1">IFERROR(__xludf.DUMMYFUNCTION("""COMPUTED_VALUE"""),"“우린 집도 못 사냐” 중장년 분노 부른 ‘50년 주담대’ 연령제한 차별 논란  조선일보")</f>
        <v>“우린 집도 못 사냐” 중장년 분노 부른 ‘50년 주담대’ 연령제한 차별 논란  조선일보</v>
      </c>
    </row>
    <row r="41" spans="1:4" ht="12.5" x14ac:dyDescent="0.25">
      <c r="A41" s="1" t="str">
        <f ca="1">IFERROR(__xludf.DUMMYFUNCTION("""COMPUTED_VALUE"""),"전문가가 말하는 출생 순서에 따른 성격 차이 - 보그 코리아")</f>
        <v>전문가가 말하는 출생 순서에 따른 성격 차이 - 보그 코리아</v>
      </c>
      <c r="B41" s="2" t="str">
        <f ca="1">IFERROR(__xludf.DUMMYFUNCTION("""COMPUTED_VALUE"""),"https://news.google.com/rss/articles/CBMizAFodHRwczovL3d3dy52b2d1ZS5jby5rci8yMDIzLzA4LzMxLyVFQyVBMCU4NCVFQiVBQyVCOCVFQSVCMCU4MCVFQSVCMCU4MC0lRUIlQTclOTAlRUQlOTUlOTglRUIlOEElOTQtJUVDJUI2JTlDJUVDJTgzJTlELSVFQyU4OCU5QyVFQyU4NCU5QyVFQyU5NyU5MC0lRUIlOTQlQjAlRU"&amp;"IlQTUlQjgtJUVDJTg0JUIxJUVBJUIyJUE5LSVFQyVCMCVBOCVFQyU5RCVCNC_SAQA?oc=5")</f>
        <v>https://news.google.com/rss/articles/CBMizAFodHRwczovL3d3dy52b2d1ZS5jby5rci8yMDIzLzA4LzMxLyVFQyVBMCU4NCVFQiVBQyVCOCVFQSVCMCU4MCVFQSVCMCU4MC0lRUIlQTclOTAlRUQlOTUlOTglRUIlOEElOTQtJUVDJUI2JTlDJUVDJTgzJTlELSVFQyU4OCU5QyVFQyU4NCU5QyVFQyU5NyU5MC0lRUIlOTQlQjAlRUIlQTUlQjgtJUVDJTg0JUIxJUVBJUIyJUE5LSVFQyVCMCVBOCVFQyU5RCVCNC_SAQA?oc=5</v>
      </c>
      <c r="C41" s="1" t="str">
        <f ca="1">IFERROR(__xludf.DUMMYFUNCTION("""COMPUTED_VALUE"""),"Thu, 31 Aug 2023 06:10:04 GMT")</f>
        <v>Thu, 31 Aug 2023 06:10:04 GMT</v>
      </c>
      <c r="D41" s="1" t="str">
        <f ca="1">IFERROR(__xludf.DUMMYFUNCTION("""COMPUTED_VALUE"""),"전문가가 말하는 출생 순서에 따른 성격 차이  보그 코리아")</f>
        <v>전문가가 말하는 출생 순서에 따른 성격 차이  보그 코리아</v>
      </c>
    </row>
    <row r="42" spans="1:4" ht="12.5" x14ac:dyDescent="0.25">
      <c r="A42" s="1" t="str">
        <f ca="1">IFERROR(__xludf.DUMMYFUNCTION("""COMPUTED_VALUE"""),"광주농업기술센터, 청년농업인 명랑운동회 개최 - 전라일보")</f>
        <v>광주농업기술센터, 청년농업인 명랑운동회 개최 - 전라일보</v>
      </c>
      <c r="B42" s="2" t="str">
        <f ca="1">IFERROR(__xludf.DUMMYFUNCTION("""COMPUTED_VALUE"""),"https://news.google.com/rss/articles/CBMiPGh0dHA6Ly93d3cuamVvbGxhaWxiby5jb20vbmV3cy9hcnRpY2xlVmlldy5odG1sP2lkeG5vPTcwMzcwNNIBP2h0dHA6Ly93d3cuamVvbGxhaWxiby5jb20vbmV3cy9hcnRpY2xlVmlld0FtcC5odG1sP2lkeG5vPTcwMzcwNA?oc=5")</f>
        <v>https://news.google.com/rss/articles/CBMiPGh0dHA6Ly93d3cuamVvbGxhaWxiby5jb20vbmV3cy9hcnRpY2xlVmlldy5odG1sP2lkeG5vPTcwMzcwNNIBP2h0dHA6Ly93d3cuamVvbGxhaWxiby5jb20vbmV3cy9hcnRpY2xlVmlld0FtcC5odG1sP2lkeG5vPTcwMzcwNA?oc=5</v>
      </c>
      <c r="C42" s="1" t="str">
        <f ca="1">IFERROR(__xludf.DUMMYFUNCTION("""COMPUTED_VALUE"""),"Thu, 31 Aug 2023 05:14:52 GMT")</f>
        <v>Thu, 31 Aug 2023 05:14:52 GMT</v>
      </c>
      <c r="D42" s="1" t="str">
        <f ca="1">IFERROR(__xludf.DUMMYFUNCTION("""COMPUTED_VALUE"""),"광주농업기술센터, 청년농업인 명랑운동회 개최  전라일보")</f>
        <v>광주농업기술센터, 청년농업인 명랑운동회 개최  전라일보</v>
      </c>
    </row>
    <row r="43" spans="1:4" ht="12.5" x14ac:dyDescent="0.25">
      <c r="A43" s="1" t="str">
        <f ca="1">IFERROR(__xludf.DUMMYFUNCTION("""COMPUTED_VALUE"""),"경남 새마을의 젊은 에너지 통영에 모이다 - 통영신문")</f>
        <v>경남 새마을의 젊은 에너지 통영에 모이다 - 통영신문</v>
      </c>
      <c r="B43" s="2" t="str">
        <f ca="1">IFERROR(__xludf.DUMMYFUNCTION("""COMPUTED_VALUE"""),"https://news.google.com/rss/articles/CBMiPmh0dHA6Ly93d3cudHluZXdzcGFwZXIuY28ua3IvbmV3cy9hcnRpY2xlVmlldy5odG1sP2lkeG5vPTI2ODgy0gEA?oc=5")</f>
        <v>https://news.google.com/rss/articles/CBMiPmh0dHA6Ly93d3cudHluZXdzcGFwZXIuY28ua3IvbmV3cy9hcnRpY2xlVmlldy5odG1sP2lkeG5vPTI2ODgy0gEA?oc=5</v>
      </c>
      <c r="C43" s="1" t="str">
        <f ca="1">IFERROR(__xludf.DUMMYFUNCTION("""COMPUTED_VALUE"""),"Thu, 31 Aug 2023 04:38:53 GMT")</f>
        <v>Thu, 31 Aug 2023 04:38:53 GMT</v>
      </c>
      <c r="D43" s="1" t="str">
        <f ca="1">IFERROR(__xludf.DUMMYFUNCTION("""COMPUTED_VALUE"""),"경남 새마을의 젊은 에너지 통영에 모이다  통영신문")</f>
        <v>경남 새마을의 젊은 에너지 통영에 모이다  통영신문</v>
      </c>
    </row>
    <row r="44" spans="1:4" ht="12.5" x14ac:dyDescent="0.25">
      <c r="A44" s="1" t="str">
        <f ca="1">IFERROR(__xludf.DUMMYFUNCTION("""COMPUTED_VALUE"""),"""세대갈등 부추기는 범죄행위"" - 빅터뉴스")</f>
        <v>"세대갈등 부추기는 범죄행위" - 빅터뉴스</v>
      </c>
      <c r="B44" s="2" t="str">
        <f ca="1">IFERROR(__xludf.DUMMYFUNCTION("""COMPUTED_VALUE"""),"https://news.google.com/rss/articles/CBMiNWh0dHA6Ly9tLmJpZ3RhbmV3cy5jby5rci9hcnRpY2xlL3ZpZXcvYmlnMjAyMzA4MDMwMDE00gEA?oc=5")</f>
        <v>https://news.google.com/rss/articles/CBMiNWh0dHA6Ly9tLmJpZ3RhbmV3cy5jby5rci9hcnRpY2xlL3ZpZXcvYmlnMjAyMzA4MDMwMDE00gEA?oc=5</v>
      </c>
      <c r="C44" s="1" t="str">
        <f ca="1">IFERROR(__xludf.DUMMYFUNCTION("""COMPUTED_VALUE"""),"Thu, 03 Aug 2023 04:33:33 GMT")</f>
        <v>Thu, 03 Aug 2023 04:33:33 GMT</v>
      </c>
      <c r="D44" s="1" t="str">
        <f ca="1">IFERROR(__xludf.DUMMYFUNCTION("""COMPUTED_VALUE"""),"""세대갈등 부추기는 범죄행위""  빅터뉴스")</f>
        <v>"세대갈등 부추기는 범죄행위"  빅터뉴스</v>
      </c>
    </row>
    <row r="45" spans="1:4" ht="12.5" x14ac:dyDescent="0.25">
      <c r="A45" s="1" t="str">
        <f ca="1">IFERROR(__xludf.DUMMYFUNCTION("""COMPUTED_VALUE"""),"[기자수첩] ‘50년 주담대’ 당국의 오락가락 정책 - 조선비즈 - 조선비즈")</f>
        <v>[기자수첩] ‘50년 주담대’ 당국의 오락가락 정책 - 조선비즈 - 조선비즈</v>
      </c>
      <c r="B45" s="2" t="str">
        <f ca="1">IFERROR(__xludf.DUMMYFUNCTION("""COMPUTED_VALUE"""),"https://news.google.com/rss/articles/CBMiUGh0dHBzOi8vYml6LmNob3N1bi5jb20vb3Bpbmlvbi9qb3VybmFsaXN0LzIwMjMvMDgvMzEvSk5ZM0VQUkcyRkRHUEkyNkgzNFBYS1U2V1Ev0gFfaHR0cHM6Ly9iaXouY2hvc3VuLmNvbS9vcGluaW9uL2pvdXJuYWxpc3QvMjAyMy8wOC8zMS9KTlkzRVBSRzJGREdQSTI2SDM0UFhLVT"&amp;"ZXUS8_b3V0cHV0VHlwZT1hbXA?oc=5")</f>
        <v>https://news.google.com/rss/articles/CBMiUGh0dHBzOi8vYml6LmNob3N1bi5jb20vb3Bpbmlvbi9qb3VybmFsaXN0LzIwMjMvMDgvMzEvSk5ZM0VQUkcyRkRHUEkyNkgzNFBYS1U2V1Ev0gFfaHR0cHM6Ly9iaXouY2hvc3VuLmNvbS9vcGluaW9uL2pvdXJuYWxpc3QvMjAyMy8wOC8zMS9KTlkzRVBSRzJGREdQSTI2SDM0UFhLVTZXUS8_b3V0cHV0VHlwZT1hbXA?oc=5</v>
      </c>
      <c r="C45" s="1" t="str">
        <f ca="1">IFERROR(__xludf.DUMMYFUNCTION("""COMPUTED_VALUE"""),"Thu, 31 Aug 2023 07:52:00 GMT")</f>
        <v>Thu, 31 Aug 2023 07:52:00 GMT</v>
      </c>
      <c r="D45" s="1" t="str">
        <f ca="1">IFERROR(__xludf.DUMMYFUNCTION("""COMPUTED_VALUE"""),"[기자수첩] ‘50년 주담대’ 당국의 오락가락 정책 - 조선비즈  조선비즈")</f>
        <v>[기자수첩] ‘50년 주담대’ 당국의 오락가락 정책 - 조선비즈  조선비즈</v>
      </c>
    </row>
    <row r="46" spans="1:4" ht="12.5" x14ac:dyDescent="0.25">
      <c r="A46" s="1" t="str">
        <f ca="1">IFERROR(__xludf.DUMMYFUNCTION("""COMPUTED_VALUE"""),"TSMC 미국 반도체공장 '백지화' 가능성, 노사 갈등에 정부 보조금도 ... - 비즈니스포스트")</f>
        <v>TSMC 미국 반도체공장 '백지화' 가능성, 노사 갈등에 정부 보조금도 ... - 비즈니스포스트</v>
      </c>
      <c r="B46" s="2" t="str">
        <f ca="1">IFERROR(__xludf.DUMMYFUNCTION("""COMPUTED_VALUE"""),"https://news.google.com/rss/articles/CBMiQWh0dHBzOi8vd3d3LmJ1c2luZXNzcG9zdC5jby5rci9CUD9jb21tYW5kPWFydGljbGVfdmlldyZudW09MzI1OTI00gEA?oc=5")</f>
        <v>https://news.google.com/rss/articles/CBMiQWh0dHBzOi8vd3d3LmJ1c2luZXNzcG9zdC5jby5rci9CUD9jb21tYW5kPWFydGljbGVfdmlldyZudW09MzI1OTI00gEA?oc=5</v>
      </c>
      <c r="C46" s="1" t="str">
        <f ca="1">IFERROR(__xludf.DUMMYFUNCTION("""COMPUTED_VALUE"""),"Thu, 31 Aug 2023 01:51:41 GMT")</f>
        <v>Thu, 31 Aug 2023 01:51:41 GMT</v>
      </c>
      <c r="D46" s="1" t="str">
        <f ca="1">IFERROR(__xludf.DUMMYFUNCTION("""COMPUTED_VALUE"""),"TSMC 미국 반도체공장 '백지화' 가능성, 노사 갈등에 정부 보조금도 ...  비즈니스포스트")</f>
        <v>TSMC 미국 반도체공장 '백지화' 가능성, 노사 갈등에 정부 보조금도 ...  비즈니스포스트</v>
      </c>
    </row>
    <row r="47" spans="1:4" ht="12.5" x14ac:dyDescent="0.25">
      <c r="A47" s="1" t="str">
        <f ca="1">IFERROR(__xludf.DUMMYFUNCTION("""COMPUTED_VALUE"""),"청년 묻고 청년 정치인 답하다…양소영 “청년 고독사 심각” - 쿠키뉴스")</f>
        <v>청년 묻고 청년 정치인 답하다…양소영 “청년 고독사 심각” - 쿠키뉴스</v>
      </c>
      <c r="B47" s="2" t="str">
        <f ca="1">IFERROR(__xludf.DUMMYFUNCTION("""COMPUTED_VALUE"""),"https://news.google.com/rss/articles/CBMiMWh0dHBzOi8vd3d3Lmt1a2luZXdzLmNvbS9uZXdzVmlldy9rdWsyMDIzMDgzMDAyMzbSAQA?oc=5")</f>
        <v>https://news.google.com/rss/articles/CBMiMWh0dHBzOi8vd3d3Lmt1a2luZXdzLmNvbS9uZXdzVmlldy9rdWsyMDIzMDgzMDAyMzbSAQA?oc=5</v>
      </c>
      <c r="C47" s="1" t="str">
        <f ca="1">IFERROR(__xludf.DUMMYFUNCTION("""COMPUTED_VALUE"""),"Wed, 30 Aug 2023 21:00:30 GMT")</f>
        <v>Wed, 30 Aug 2023 21:00:30 GMT</v>
      </c>
      <c r="D47" s="1" t="str">
        <f ca="1">IFERROR(__xludf.DUMMYFUNCTION("""COMPUTED_VALUE"""),"청년 묻고 청년 정치인 답하다…양소영 “청년 고독사 심각”  쿠키뉴스")</f>
        <v>청년 묻고 청년 정치인 답하다…양소영 “청년 고독사 심각”  쿠키뉴스</v>
      </c>
    </row>
    <row r="48" spans="1:4" ht="12.5" x14ac:dyDescent="0.25">
      <c r="A48" s="1" t="str">
        <f ca="1">IFERROR(__xludf.DUMMYFUNCTION("""COMPUTED_VALUE"""),"국민통합위가 '젠더갈등 해소' 위해 내놓은 방안 - 쿠키뉴스")</f>
        <v>국민통합위가 '젠더갈등 해소' 위해 내놓은 방안 - 쿠키뉴스</v>
      </c>
      <c r="B48" s="2" t="str">
        <f ca="1">IFERROR(__xludf.DUMMYFUNCTION("""COMPUTED_VALUE"""),"https://news.google.com/rss/articles/CBMiMWh0dHBzOi8vd3d3Lmt1a2luZXdzLmNvbS9uZXdzVmlldy9rdWsyMDIzMDgyOTAwMjTSAQA?oc=5")</f>
        <v>https://news.google.com/rss/articles/CBMiMWh0dHBzOi8vd3d3Lmt1a2luZXdzLmNvbS9uZXdzVmlldy9rdWsyMDIzMDgyOTAwMjTSAQA?oc=5</v>
      </c>
      <c r="C48" s="1" t="str">
        <f ca="1">IFERROR(__xludf.DUMMYFUNCTION("""COMPUTED_VALUE"""),"Tue, 29 Aug 2023 01:00:03 GMT")</f>
        <v>Tue, 29 Aug 2023 01:00:03 GMT</v>
      </c>
      <c r="D48" s="1" t="str">
        <f ca="1">IFERROR(__xludf.DUMMYFUNCTION("""COMPUTED_VALUE"""),"국민통합위가 '젠더갈등 해소' 위해 내놓은 방안  쿠키뉴스")</f>
        <v>국민통합위가 '젠더갈등 해소' 위해 내놓은 방안  쿠키뉴스</v>
      </c>
    </row>
    <row r="49" spans="1:4" ht="12.5" x14ac:dyDescent="0.25">
      <c r="A49" s="1" t="str">
        <f ca="1">IFERROR(__xludf.DUMMYFUNCTION("""COMPUTED_VALUE"""),"신협, 웹예능·웹드라마로 MZ세대 소통 행보 - 이데일리")</f>
        <v>신협, 웹예능·웹드라마로 MZ세대 소통 행보 - 이데일리</v>
      </c>
      <c r="B49" s="2" t="str">
        <f ca="1">IFERROR(__xludf.DUMMYFUNCTION("""COMPUTED_VALUE"""),"https://news.google.com/rss/articles/CBMiS2h0dHBzOi8vd3d3LmVkYWlseS5jby5rci9uZXdzL3JlYWQ_bWVkaWFDb2RlTm89MjU3Jm5ld3NJZD0wMTY0MDAwNjYzNTcxMjI0MNIBAA?oc=5")</f>
        <v>https://news.google.com/rss/articles/CBMiS2h0dHBzOi8vd3d3LmVkYWlseS5jby5rci9uZXdzL3JlYWQ_bWVkaWFDb2RlTm89MjU3Jm5ld3NJZD0wMTY0MDAwNjYzNTcxMjI0MNIBAA?oc=5</v>
      </c>
      <c r="C49" s="1" t="str">
        <f ca="1">IFERROR(__xludf.DUMMYFUNCTION("""COMPUTED_VALUE"""),"Tue, 29 Aug 2023 00:26:15 GMT")</f>
        <v>Tue, 29 Aug 2023 00:26:15 GMT</v>
      </c>
      <c r="D49" s="1" t="str">
        <f ca="1">IFERROR(__xludf.DUMMYFUNCTION("""COMPUTED_VALUE"""),"신협, 웹예능·웹드라마로 MZ세대 소통 행보  이데일리")</f>
        <v>신협, 웹예능·웹드라마로 MZ세대 소통 행보  이데일리</v>
      </c>
    </row>
    <row r="50" spans="1:4" ht="12.5" x14ac:dyDescent="0.25">
      <c r="A50" s="1" t="str">
        <f ca="1">IFERROR(__xludf.DUMMYFUNCTION("""COMPUTED_VALUE"""),"『벼랑 끝에 선 타이완』 리처드 부시 “안보와 좋은 삶 위해선 먼저 통합적 정치체제 구축을” [김용출의 한권의책] - 세계일보")</f>
        <v>『벼랑 끝에 선 타이완』 리처드 부시 “안보와 좋은 삶 위해선 먼저 통합적 정치체제 구축을” [김용출의 한권의책] - 세계일보</v>
      </c>
      <c r="B50" s="2" t="str">
        <f ca="1">IFERROR(__xludf.DUMMYFUNCTION("""COMPUTED_VALUE"""),"https://news.google.com/rss/articles/CBMiJ2h0dHBzOi8vbS5zZWd5ZS5jb20vdmlldy8yMDIzMDgyOTUxMDczN9IBKmh0dHBzOi8vbS5zZWd5ZS5jb20vYW1wVmlldy8yMDIzMDgyOTUxMDczNw?oc=5")</f>
        <v>https://news.google.com/rss/articles/CBMiJ2h0dHBzOi8vbS5zZWd5ZS5jb20vdmlldy8yMDIzMDgyOTUxMDczN9IBKmh0dHBzOi8vbS5zZWd5ZS5jb20vYW1wVmlldy8yMDIzMDgyOTUxMDczNw?oc=5</v>
      </c>
      <c r="C50" s="1" t="str">
        <f ca="1">IFERROR(__xludf.DUMMYFUNCTION("""COMPUTED_VALUE"""),"Tue, 29 Aug 2023 05:24:19 GMT")</f>
        <v>Tue, 29 Aug 2023 05:24:19 GMT</v>
      </c>
      <c r="D50" s="1" t="str">
        <f ca="1">IFERROR(__xludf.DUMMYFUNCTION("""COMPUTED_VALUE"""),"『벼랑 끝에 선 타이완』 리처드 부시 “안보와 좋은 삶 위해선 먼저 통합적 정치체제 구축을” [김용출의 한권의책]  세계일보")</f>
        <v>『벼랑 끝에 선 타이완』 리처드 부시 “안보와 좋은 삶 위해선 먼저 통합적 정치체제 구축을” [김용출의 한권의책]  세계일보</v>
      </c>
    </row>
    <row r="51" spans="1:4" ht="12.5" x14ac:dyDescent="0.25">
      <c r="A51" s="1" t="str">
        <f ca="1">IFERROR(__xludf.DUMMYFUNCTION("""COMPUTED_VALUE"""),"25회 서울국제여성영화제 폐막, 7일간의 축제 : 네이트 연예 - 네이트 뉴스")</f>
        <v>25회 서울국제여성영화제 폐막, 7일간의 축제 : 네이트 연예 - 네이트 뉴스</v>
      </c>
      <c r="B51" s="2" t="str">
        <f ca="1">IFERROR(__xludf.DUMMYFUNCTION("""COMPUTED_VALUE"""),"https://news.google.com/rss/articles/CBMiM2h0dHBzOi8vbmV3cy5uYXRlLmNvbS92aWV3LzIwMjMwODMxbjI5Nzk4P21pZD1uMTEwMdIBAA?oc=5")</f>
        <v>https://news.google.com/rss/articles/CBMiM2h0dHBzOi8vbmV3cy5uYXRlLmNvbS92aWV3LzIwMjMwODMxbjI5Nzk4P21pZD1uMTEwMdIBAA?oc=5</v>
      </c>
      <c r="C51" s="1" t="str">
        <f ca="1">IFERROR(__xludf.DUMMYFUNCTION("""COMPUTED_VALUE"""),"Thu, 31 Aug 2023 07:28:00 GMT")</f>
        <v>Thu, 31 Aug 2023 07:28:00 GMT</v>
      </c>
      <c r="D51" s="1" t="str">
        <f ca="1">IFERROR(__xludf.DUMMYFUNCTION("""COMPUTED_VALUE"""),"25회 서울국제여성영화제 폐막, 7일간의 축제 : 네이트 연예  네이트 뉴스")</f>
        <v>25회 서울국제여성영화제 폐막, 7일간의 축제 : 네이트 연예  네이트 뉴스</v>
      </c>
    </row>
    <row r="52" spans="1:4" ht="12.5" x14ac:dyDescent="0.25">
      <c r="A52" s="1" t="str">
        <f ca="1">IFERROR(__xludf.DUMMYFUNCTION("""COMPUTED_VALUE"""),"""음식따라 색깔 바뀌는 식탁""…Z세대가 LG전자에 던진 '날 것' - 머니투데이")</f>
        <v>"음식따라 색깔 바뀌는 식탁"…Z세대가 LG전자에 던진 '날 것' - 머니투데이</v>
      </c>
      <c r="B52" s="2" t="str">
        <f ca="1">IFERROR(__xludf.DUMMYFUNCTION("""COMPUTED_VALUE"""),"https://news.google.com/rss/articles/CBMiOmh0dHBzOi8vbmV3cy5tdC5jby5rci9tdHZpZXcucGhwP25vPTIwMjMwODMxMDk0NzE2NDE0MTEmVk7SAT1odHRwczovL20ubXQuY28ua3IvcmVuZXcvdmlld19hbXAuaHRtbD9ubz0yMDIzMDgzMTA5NDcxNjQxNDEx?oc=5")</f>
        <v>https://news.google.com/rss/articles/CBMiOmh0dHBzOi8vbmV3cy5tdC5jby5rci9tdHZpZXcucGhwP25vPTIwMjMwODMxMDk0NzE2NDE0MTEmVk7SAT1odHRwczovL20ubXQuY28ua3IvcmVuZXcvdmlld19hbXAuaHRtbD9ubz0yMDIzMDgzMTA5NDcxNjQxNDEx?oc=5</v>
      </c>
      <c r="C52" s="1" t="str">
        <f ca="1">IFERROR(__xludf.DUMMYFUNCTION("""COMPUTED_VALUE"""),"Thu, 31 Aug 2023 02:00:20 GMT")</f>
        <v>Thu, 31 Aug 2023 02:00:20 GMT</v>
      </c>
      <c r="D52" s="1" t="str">
        <f ca="1">IFERROR(__xludf.DUMMYFUNCTION("""COMPUTED_VALUE"""),"""음식따라 색깔 바뀌는 식탁""…Z세대가 LG전자에 던진 '날 것'  머니투데이")</f>
        <v>"음식따라 색깔 바뀌는 식탁"…Z세대가 LG전자에 던진 '날 것'  머니투데이</v>
      </c>
    </row>
    <row r="53" spans="1:4" ht="12.5" x14ac:dyDescent="0.25">
      <c r="A53" s="1" t="str">
        <f ca="1">IFERROR(__xludf.DUMMYFUNCTION("""COMPUTED_VALUE"""),"LG전자, LG크루 5개월 활동 성료..Z세대와 소통 - 문화일보")</f>
        <v>LG전자, LG크루 5개월 활동 성료..Z세대와 소통 - 문화일보</v>
      </c>
      <c r="B53" s="2" t="str">
        <f ca="1">IFERROR(__xludf.DUMMYFUNCTION("""COMPUTED_VALUE"""),"https://news.google.com/rss/articles/CBMiP2h0dHBzOi8vd3d3Lm11bmh3YS5jb20vbmV3cy92aWV3Lmh0bWw_bm89MjAyMzA4MzEwMTAzOTkwNzAxODAwMtIBAA?oc=5")</f>
        <v>https://news.google.com/rss/articles/CBMiP2h0dHBzOi8vd3d3Lm11bmh3YS5jb20vbmV3cy92aWV3Lmh0bWw_bm89MjAyMzA4MzEwMTAzOTkwNzAxODAwMtIBAA?oc=5</v>
      </c>
      <c r="C53" s="1" t="str">
        <f ca="1">IFERROR(__xludf.DUMMYFUNCTION("""COMPUTED_VALUE"""),"Thu, 31 Aug 2023 02:00:00 GMT")</f>
        <v>Thu, 31 Aug 2023 02:00:00 GMT</v>
      </c>
      <c r="D53" s="1" t="str">
        <f ca="1">IFERROR(__xludf.DUMMYFUNCTION("""COMPUTED_VALUE"""),"LG전자, LG크루 5개월 활동 성료..Z세대와 소통  문화일보")</f>
        <v>LG전자, LG크루 5개월 활동 성료..Z세대와 소통  문화일보</v>
      </c>
    </row>
    <row r="54" spans="1:4" ht="12.5" x14ac:dyDescent="0.25">
      <c r="A54" s="1" t="str">
        <f ca="1">IFERROR(__xludf.DUMMYFUNCTION("""COMPUTED_VALUE"""),"김해시 간부공무원 청렴리더십 강화 [김해소식] - 쿠키뉴스")</f>
        <v>김해시 간부공무원 청렴리더십 강화 [김해소식] - 쿠키뉴스</v>
      </c>
      <c r="B54" s="2" t="str">
        <f ca="1">IFERROR(__xludf.DUMMYFUNCTION("""COMPUTED_VALUE"""),"https://news.google.com/rss/articles/CBMiMWh0dHBzOi8vd3d3Lmt1a2luZXdzLmNvbS9uZXdzVmlldy9rdWsyMDIzMDgzMTAxODPSAQA?oc=5")</f>
        <v>https://news.google.com/rss/articles/CBMiMWh0dHBzOi8vd3d3Lmt1a2luZXdzLmNvbS9uZXdzVmlldy9rdWsyMDIzMDgzMTAxODPSAQA?oc=5</v>
      </c>
      <c r="C54" s="1" t="str">
        <f ca="1">IFERROR(__xludf.DUMMYFUNCTION("""COMPUTED_VALUE"""),"Thu, 31 Aug 2023 07:40:06 GMT")</f>
        <v>Thu, 31 Aug 2023 07:40:06 GMT</v>
      </c>
      <c r="D54" s="1" t="str">
        <f ca="1">IFERROR(__xludf.DUMMYFUNCTION("""COMPUTED_VALUE"""),"김해시 간부공무원 청렴리더십 강화 [김해소식]  쿠키뉴스")</f>
        <v>김해시 간부공무원 청렴리더십 강화 [김해소식]  쿠키뉴스</v>
      </c>
    </row>
    <row r="55" spans="1:4" ht="12.5" x14ac:dyDescent="0.25">
      <c r="A55" s="1" t="str">
        <f ca="1">IFERROR(__xludf.DUMMYFUNCTION("""COMPUTED_VALUE"""),"장로 10명 중 8명, “장로임기제 찬성한다” - 아이굿뉴스")</f>
        <v>장로 10명 중 8명, “장로임기제 찬성한다” - 아이굿뉴스</v>
      </c>
      <c r="B55" s="2" t="str">
        <f ca="1">IFERROR(__xludf.DUMMYFUNCTION("""COMPUTED_VALUE"""),"https://news.google.com/rss/articles/CBMiOmh0dHA6Ly93d3cuaWdvb2RuZXdzLm5ldC9uZXdzL2FydGljbGVWaWV3Lmh0bWw_aWR4bm89NzM5OTDSAQA?oc=5")</f>
        <v>https://news.google.com/rss/articles/CBMiOmh0dHA6Ly93d3cuaWdvb2RuZXdzLm5ldC9uZXdzL2FydGljbGVWaWV3Lmh0bWw_aWR4bm89NzM5OTDSAQA?oc=5</v>
      </c>
      <c r="C55" s="1" t="str">
        <f ca="1">IFERROR(__xludf.DUMMYFUNCTION("""COMPUTED_VALUE"""),"Thu, 31 Aug 2023 00:59:02 GMT")</f>
        <v>Thu, 31 Aug 2023 00:59:02 GMT</v>
      </c>
      <c r="D55" s="1" t="str">
        <f ca="1">IFERROR(__xludf.DUMMYFUNCTION("""COMPUTED_VALUE"""),"장로 10명 중 8명, “장로임기제 찬성한다”  아이굿뉴스")</f>
        <v>장로 10명 중 8명, “장로임기제 찬성한다”  아이굿뉴스</v>
      </c>
    </row>
    <row r="56" spans="1:4" ht="12.5" x14ac:dyDescent="0.25">
      <c r="A56" s="1" t="str">
        <f ca="1">IFERROR(__xludf.DUMMYFUNCTION("""COMPUTED_VALUE"""),"제주 원도심 '공공참여형 가로주택정비사업' 후보지 공모 - Headline jeju")</f>
        <v>제주 원도심 '공공참여형 가로주택정비사업' 후보지 공모 - Headline jeju</v>
      </c>
      <c r="B56" s="2" t="str">
        <f ca="1">IFERROR(__xludf.DUMMYFUNCTION("""COMPUTED_VALUE"""),"https://news.google.com/rss/articles/CBMiQGh0dHA6Ly93d3cuaGVhZGxpbmVqZWp1LmNvLmtyL25ld3MvYXJ0aWNsZVZpZXcuaHRtbD9pZHhubz01MjM1NjPSAQA?oc=5")</f>
        <v>https://news.google.com/rss/articles/CBMiQGh0dHA6Ly93d3cuaGVhZGxpbmVqZWp1LmNvLmtyL25ld3MvYXJ0aWNsZVZpZXcuaHRtbD9pZHhubz01MjM1NjPSAQA?oc=5</v>
      </c>
      <c r="C56" s="1" t="str">
        <f ca="1">IFERROR(__xludf.DUMMYFUNCTION("""COMPUTED_VALUE"""),"Thu, 31 Aug 2023 05:37:31 GMT")</f>
        <v>Thu, 31 Aug 2023 05:37:31 GMT</v>
      </c>
      <c r="D56" s="1" t="str">
        <f ca="1">IFERROR(__xludf.DUMMYFUNCTION("""COMPUTED_VALUE"""),"제주 원도심 '공공참여형 가로주택정비사업' 후보지 공모  Headline jeju")</f>
        <v>제주 원도심 '공공참여형 가로주택정비사업' 후보지 공모  Headline jeju</v>
      </c>
    </row>
    <row r="57" spans="1:4" ht="12.5" x14ac:dyDescent="0.25">
      <c r="A57" s="1" t="str">
        <f ca="1">IFERROR(__xludf.DUMMYFUNCTION("""COMPUTED_VALUE"""),"[김규항의 교육·시장·인간](2)반공 노인과 반페미 소년 - 주간경향")</f>
        <v>[김규항의 교육·시장·인간](2)반공 노인과 반페미 소년 - 주간경향</v>
      </c>
      <c r="B57" s="2" t="str">
        <f ca="1">IFERROR(__xludf.DUMMYFUNCTION("""COMPUTED_VALUE"""),"https://news.google.com/rss/articles/CBMiTWh0dHBzOi8vd2Vla2x5LmtoYW4uY28ua3Iva2hubS5odG1sP21vZGU9dmlldyZkZXB0PTExNSZhcnRfaWQ9MjAyMzA4MjUxMDU1MTcx0gEA?oc=5")</f>
        <v>https://news.google.com/rss/articles/CBMiTWh0dHBzOi8vd2Vla2x5LmtoYW4uY28ua3Iva2hubS5odG1sP21vZGU9dmlldyZkZXB0PTExNSZhcnRfaWQ9MjAyMzA4MjUxMDU1MTcx0gEA?oc=5</v>
      </c>
      <c r="C57" s="1" t="str">
        <f ca="1">IFERROR(__xludf.DUMMYFUNCTION("""COMPUTED_VALUE"""),"Fri, 25 Aug 2023 07:00:00 GMT")</f>
        <v>Fri, 25 Aug 2023 07:00:00 GMT</v>
      </c>
      <c r="D57" s="1" t="str">
        <f ca="1">IFERROR(__xludf.DUMMYFUNCTION("""COMPUTED_VALUE"""),"[김규항의 교육·시장·인간](2)반공 노인과 반페미 소년  주간경향")</f>
        <v>[김규항의 교육·시장·인간](2)반공 노인과 반페미 소년  주간경향</v>
      </c>
    </row>
    <row r="58" spans="1:4" ht="12.5" x14ac:dyDescent="0.25">
      <c r="A58" s="1" t="str">
        <f ca="1">IFERROR(__xludf.DUMMYFUNCTION("""COMPUTED_VALUE"""),"[N-포커스]노조 줄파업 이어 노정 갈등도 다시 격화… 노사정 관계 더 ... - 뉴데일리경제")</f>
        <v>[N-포커스]노조 줄파업 이어 노정 갈등도 다시 격화… 노사정 관계 더 ... - 뉴데일리경제</v>
      </c>
      <c r="B58" s="2" t="str">
        <f ca="1">IFERROR(__xludf.DUMMYFUNCTION("""COMPUTED_VALUE"""),"https://news.google.com/rss/articles/CBMiR2h0dHBzOi8vYml6Lm5ld2RhaWx5LmNvLmtyL3NpdGUvZGF0YS9odG1sLzIwMjMvMDgvMzAvMjAyMzA4MzAwMDA5Ny5odG1s0gEA?oc=5")</f>
        <v>https://news.google.com/rss/articles/CBMiR2h0dHBzOi8vYml6Lm5ld2RhaWx5LmNvLmtyL3NpdGUvZGF0YS9odG1sLzIwMjMvMDgvMzAvMjAyMzA4MzAwMDA5Ny5odG1s0gEA?oc=5</v>
      </c>
      <c r="C58" s="1" t="str">
        <f ca="1">IFERROR(__xludf.DUMMYFUNCTION("""COMPUTED_VALUE"""),"Wed, 30 Aug 2023 03:08:00 GMT")</f>
        <v>Wed, 30 Aug 2023 03:08:00 GMT</v>
      </c>
      <c r="D58" s="1" t="str">
        <f ca="1">IFERROR(__xludf.DUMMYFUNCTION("""COMPUTED_VALUE"""),"[N-포커스]노조 줄파업 이어 노정 갈등도 다시 격화… 노사정 관계 더 ...  뉴데일리경제")</f>
        <v>[N-포커스]노조 줄파업 이어 노정 갈등도 다시 격화… 노사정 관계 더 ...  뉴데일리경제</v>
      </c>
    </row>
    <row r="59" spans="1:4" ht="12.5" x14ac:dyDescent="0.25">
      <c r="A59" s="1" t="str">
        <f ca="1">IFERROR(__xludf.DUMMYFUNCTION("""COMPUTED_VALUE"""),"정말 옛날에 지은 아파트가 햇빛이 더 잘 들까… 아파트 채광의 비밀[부동산 빨간펜] - 동아일보")</f>
        <v>정말 옛날에 지은 아파트가 햇빛이 더 잘 들까… 아파트 채광의 비밀[부동산 빨간펜] - 동아일보</v>
      </c>
      <c r="B59" s="2" t="str">
        <f ca="1">IFERROR(__xludf.DUMMYFUNCTION("""COMPUTED_VALUE"""),"https://news.google.com/rss/articles/CBMiQ2h0dHBzOi8vd3d3LmRvbmdhLmNvbS9uZXdzL0Vjb25vbXkvYXJ0aWNsZS9hbGwvMjAyMzA4MzEvMTIwOTU4NTQ0LzHSATdodHRwczovL3d3dy5kb25nYS5jb20vbmV3cy9hbXAvYWxsLzIwMjMwODMxLzEyMDk1ODU0NC8x?oc=5")</f>
        <v>https://news.google.com/rss/articles/CBMiQ2h0dHBzOi8vd3d3LmRvbmdhLmNvbS9uZXdzL0Vjb25vbXkvYXJ0aWNsZS9hbGwvMjAyMzA4MzEvMTIwOTU4NTQ0LzHSATdodHRwczovL3d3dy5kb25nYS5jb20vbmV3cy9hbXAvYWxsLzIwMjMwODMxLzEyMDk1ODU0NC8x?oc=5</v>
      </c>
      <c r="C59" s="1" t="str">
        <f ca="1">IFERROR(__xludf.DUMMYFUNCTION("""COMPUTED_VALUE"""),"Thu, 31 Aug 2023 08:00:00 GMT")</f>
        <v>Thu, 31 Aug 2023 08:00:00 GMT</v>
      </c>
      <c r="D59" s="1" t="str">
        <f ca="1">IFERROR(__xludf.DUMMYFUNCTION("""COMPUTED_VALUE"""),"정말 옛날에 지은 아파트가 햇빛이 더 잘 들까… 아파트 채광의 비밀[부동산 빨간펜]  동아일보")</f>
        <v>정말 옛날에 지은 아파트가 햇빛이 더 잘 들까… 아파트 채광의 비밀[부동산 빨간펜]  동아일보</v>
      </c>
    </row>
    <row r="60" spans="1:4" ht="12.5" x14ac:dyDescent="0.25">
      <c r="A60" s="1" t="str">
        <f ca="1">IFERROR(__xludf.DUMMYFUNCTION("""COMPUTED_VALUE"""),"비즈한국 - 비즈한국")</f>
        <v>비즈한국 - 비즈한국</v>
      </c>
      <c r="B60" s="2" t="str">
        <f ca="1">IFERROR(__xludf.DUMMYFUNCTION("""COMPUTED_VALUE"""),"https://news.google.com/rss/articles/CBMiK2h0dHBzOi8vd3d3LmJpemhhbmtvb2suY29tL2JrL2FydGljbGUvMjYxOTXSAQA?oc=5")</f>
        <v>https://news.google.com/rss/articles/CBMiK2h0dHBzOi8vd3d3LmJpemhhbmtvb2suY29tL2JrL2FydGljbGUvMjYxOTXSAQA?oc=5</v>
      </c>
      <c r="C60" s="1" t="str">
        <f ca="1">IFERROR(__xludf.DUMMYFUNCTION("""COMPUTED_VALUE"""),"Thu, 31 Aug 2023 03:51:24 GMT")</f>
        <v>Thu, 31 Aug 2023 03:51:24 GMT</v>
      </c>
      <c r="D60" s="1" t="str">
        <f ca="1">IFERROR(__xludf.DUMMYFUNCTION("""COMPUTED_VALUE"""),"비즈한국  비즈한국")</f>
        <v>비즈한국  비즈한국</v>
      </c>
    </row>
    <row r="61" spans="1:4" ht="12.5" x14ac:dyDescent="0.25">
      <c r="A61" s="1" t="str">
        <f ca="1">IFERROR(__xludf.DUMMYFUNCTION("""COMPUTED_VALUE"""),"김기현 “LH 부실시공 국조 추진”…박광온 “특정 세대에 상처주는 언행 삼갈 것”…김은경 “철없어 정치 언어 몰라” [투데이 여의도 스케치] - 세계일보")</f>
        <v>김기현 “LH 부실시공 국조 추진”…박광온 “특정 세대에 상처주는 언행 삼갈 것”…김은경 “철없어 정치 언어 몰라” [투데이 여의도 스케치] - 세계일보</v>
      </c>
      <c r="B61" s="2" t="str">
        <f ca="1">IFERROR(__xludf.DUMMYFUNCTION("""COMPUTED_VALUE"""),"https://news.google.com/rss/articles/CBMiJ2h0dHBzOi8vbS5zZWd5ZS5jb20vdmlldy8yMDIzMDgwMjUxODA4MtIBKmh0dHBzOi8vbS5zZWd5ZS5jb20vYW1wVmlldy8yMDIzMDgwMjUxODA4Mg?oc=5")</f>
        <v>https://news.google.com/rss/articles/CBMiJ2h0dHBzOi8vbS5zZWd5ZS5jb20vdmlldy8yMDIzMDgwMjUxODA4MtIBKmh0dHBzOi8vbS5zZWd5ZS5jb20vYW1wVmlldy8yMDIzMDgwMjUxODA4Mg?oc=5</v>
      </c>
      <c r="C61" s="1" t="str">
        <f ca="1">IFERROR(__xludf.DUMMYFUNCTION("""COMPUTED_VALUE"""),"Wed, 02 Aug 2023 07:00:00 GMT")</f>
        <v>Wed, 02 Aug 2023 07:00:00 GMT</v>
      </c>
      <c r="D61" s="1" t="str">
        <f ca="1">IFERROR(__xludf.DUMMYFUNCTION("""COMPUTED_VALUE"""),"김기현 “LH 부실시공 국조 추진”…박광온 “특정 세대에 상처주는 언행 삼갈 것”…김은경 “철없어 정치 언어 몰라” [투데이 여의도 
스케치]  세계일보")</f>
        <v>김기현 “LH 부실시공 국조 추진”…박광온 “특정 세대에 상처주는 언행 삼갈 것”…김은경 “철없어 정치 언어 몰라” [투데이 여의도 
스케치]  세계일보</v>
      </c>
    </row>
    <row r="62" spans="1:4" ht="12.5" x14ac:dyDescent="0.25">
      <c r="A62" s="1" t="str">
        <f ca="1">IFERROR(__xludf.DUMMYFUNCTION("""COMPUTED_VALUE"""),"부영그룹 알짜배기 부동산 개발사업 지지부진, 돌아온 이중근 속도 내나 - 비즈니스포스트")</f>
        <v>부영그룹 알짜배기 부동산 개발사업 지지부진, 돌아온 이중근 속도 내나 - 비즈니스포스트</v>
      </c>
      <c r="B62" s="2" t="str">
        <f ca="1">IFERROR(__xludf.DUMMYFUNCTION("""COMPUTED_VALUE"""),"https://news.google.com/rss/articles/CBMiQWh0dHBzOi8vd3d3LmJ1c2luZXNzcG9zdC5jby5rci9CUD9jb21tYW5kPWFydGljbGVfdmlldyZudW09MzI1OTY40gEA?oc=5")</f>
        <v>https://news.google.com/rss/articles/CBMiQWh0dHBzOi8vd3d3LmJ1c2luZXNzcG9zdC5jby5rci9CUD9jb21tYW5kPWFydGljbGVfdmlldyZudW09MzI1OTY40gEA?oc=5</v>
      </c>
      <c r="C62" s="1" t="str">
        <f ca="1">IFERROR(__xludf.DUMMYFUNCTION("""COMPUTED_VALUE"""),"Thu, 31 Aug 2023 07:04:00 GMT")</f>
        <v>Thu, 31 Aug 2023 07:04:00 GMT</v>
      </c>
      <c r="D62" s="1" t="str">
        <f ca="1">IFERROR(__xludf.DUMMYFUNCTION("""COMPUTED_VALUE"""),"부영그룹 알짜배기 부동산 개발사업 지지부진, 돌아온 이중근 속도 내나  비즈니스포스트")</f>
        <v>부영그룹 알짜배기 부동산 개발사업 지지부진, 돌아온 이중근 속도 내나  비즈니스포스트</v>
      </c>
    </row>
    <row r="63" spans="1:4" ht="12.5" x14ac:dyDescent="0.25">
      <c r="A63" s="1" t="str">
        <f ca="1">IFERROR(__xludf.DUMMYFUNCTION("""COMPUTED_VALUE"""),"""정치말고 통일만 위해 뛰길 바란다"" - 미주중앙일보")</f>
        <v>"정치말고 통일만 위해 뛰길 바란다" - 미주중앙일보</v>
      </c>
      <c r="B63" s="2" t="str">
        <f ca="1">IFERROR(__xludf.DUMMYFUNCTION("""COMPUTED_VALUE"""),"https://news.google.com/rss/articles/CBMiT2h0dHBzOi8vbmV3cy5rb3JlYWRhaWx5LmNvbS8yMDIzLzA4LzMwL3NvY2lldHkvY29tbXVuaXR5LzIwMjMwODMwMTkxMDA5NTgzLmh0bWzSAQA?oc=5")</f>
        <v>https://news.google.com/rss/articles/CBMiT2h0dHBzOi8vbmV3cy5rb3JlYWRhaWx5LmNvbS8yMDIzLzA4LzMwL3NvY2lldHkvY29tbXVuaXR5LzIwMjMwODMwMTkxMDA5NTgzLmh0bWzSAQA?oc=5</v>
      </c>
      <c r="C63" s="1" t="str">
        <f ca="1">IFERROR(__xludf.DUMMYFUNCTION("""COMPUTED_VALUE"""),"Thu, 31 Aug 2023 02:10:07 GMT")</f>
        <v>Thu, 31 Aug 2023 02:10:07 GMT</v>
      </c>
      <c r="D63" s="1" t="str">
        <f ca="1">IFERROR(__xludf.DUMMYFUNCTION("""COMPUTED_VALUE"""),"""정치말고 통일만 위해 뛰길 바란다""  미주중앙일보")</f>
        <v>"정치말고 통일만 위해 뛰길 바란다"  미주중앙일보</v>
      </c>
    </row>
    <row r="64" spans="1:4" ht="12.5" x14ac:dyDescent="0.25">
      <c r="A64" s="1" t="str">
        <f ca="1">IFERROR(__xludf.DUMMYFUNCTION("""COMPUTED_VALUE"""),"청년 52% ""국민연금 미래세대에 불리, 탈퇴하고 싶다"" - 한국일보")</f>
        <v>청년 52% "국민연금 미래세대에 불리, 탈퇴하고 싶다" - 한국일보</v>
      </c>
      <c r="B64" s="2" t="str">
        <f ca="1">IFERROR(__xludf.DUMMYFUNCTION("""COMPUTED_VALUE"""),"https://news.google.com/rss/articles/CBMiOGh0dHBzOi8vbS5oYW5rb29raWxiby5jb20vTmV3cy9SZWFkL0EyMDIzMDgyNDE1MDMwMDAxNzY20gEA?oc=5")</f>
        <v>https://news.google.com/rss/articles/CBMiOGh0dHBzOi8vbS5oYW5rb29raWxiby5jb20vTmV3cy9SZWFkL0EyMDIzMDgyNDE1MDMwMDAxNzY20gEA?oc=5</v>
      </c>
      <c r="C64" s="1" t="str">
        <f ca="1">IFERROR(__xludf.DUMMYFUNCTION("""COMPUTED_VALUE"""),"Fri, 25 Aug 2023 19:30:00 GMT")</f>
        <v>Fri, 25 Aug 2023 19:30:00 GMT</v>
      </c>
      <c r="D64" s="1" t="str">
        <f ca="1">IFERROR(__xludf.DUMMYFUNCTION("""COMPUTED_VALUE"""),"청년 52% ""국민연금 미래세대에 불리, 탈퇴하고 싶다""  한국일보")</f>
        <v>청년 52% "국민연금 미래세대에 불리, 탈퇴하고 싶다"  한국일보</v>
      </c>
    </row>
    <row r="65" spans="1:4" ht="12.5" x14ac:dyDescent="0.25">
      <c r="A65" s="1" t="str">
        <f ca="1">IFERROR(__xludf.DUMMYFUNCTION("""COMPUTED_VALUE"""),"""돈이냐, 정년연장이냐""…현대차 노조 '세대갈등' - 데일리안")</f>
        <v>"돈이냐, 정년연장이냐"…현대차 노조 '세대갈등' - 데일리안</v>
      </c>
      <c r="B65" s="2" t="str">
        <f ca="1">IFERROR(__xludf.DUMMYFUNCTION("""COMPUTED_VALUE"""),"https://news.google.com/rss/articles/CBMiLGh0dHBzOi8vd3d3LmRhaWxpYW4uY28ua3IvbmV3cy92aWV3LzEyNjgwODcv0gEtaHR0cHM6Ly9tLmRhaWxpYW4uY28ua3IvYW1wL25ld3Mvdmlldy8xMjY4MDg3?oc=5")</f>
        <v>https://news.google.com/rss/articles/CBMiLGh0dHBzOi8vd3d3LmRhaWxpYW4uY28ua3IvbmV3cy92aWV3LzEyNjgwODcv0gEtaHR0cHM6Ly9tLmRhaWxpYW4uY28ua3IvYW1wL25ld3Mvdmlldy8xMjY4MDg3?oc=5</v>
      </c>
      <c r="C65" s="1" t="str">
        <f ca="1">IFERROR(__xludf.DUMMYFUNCTION("""COMPUTED_VALUE"""),"Wed, 30 Aug 2023 02:31:00 GMT")</f>
        <v>Wed, 30 Aug 2023 02:31:00 GMT</v>
      </c>
      <c r="D65" s="1" t="str">
        <f ca="1">IFERROR(__xludf.DUMMYFUNCTION("""COMPUTED_VALUE"""),"""돈이냐, 정년연장이냐""…현대차 노조 '세대갈등'  데일리안")</f>
        <v>"돈이냐, 정년연장이냐"…현대차 노조 '세대갈등'  데일리안</v>
      </c>
    </row>
    <row r="66" spans="1:4" ht="12.5" x14ac:dyDescent="0.25">
      <c r="A66" s="1" t="str">
        <f ca="1">IFERROR(__xludf.DUMMYFUNCTION("""COMPUTED_VALUE"""),"MZ세대와 기성세대의 끊이지 않는 갈등 - 소비자평가")</f>
        <v>MZ세대와 기성세대의 끊이지 않는 갈등 - 소비자평가</v>
      </c>
      <c r="B66" s="2" t="str">
        <f ca="1">IFERROR(__xludf.DUMMYFUNCTION("""COMPUTED_VALUE"""),"https://news.google.com/rss/articles/CBMiPGh0dHA6Ly93d3cuaWNvbnN1bWVyLm9yLmtyL25ld3MvYXJ0aWNsZVZpZXcuaHRtbD9pZHhubz0yNTYyMdIBAA?oc=5")</f>
        <v>https://news.google.com/rss/articles/CBMiPGh0dHA6Ly93d3cuaWNvbnN1bWVyLm9yLmtyL25ld3MvYXJ0aWNsZVZpZXcuaHRtbD9pZHhubz0yNTYyMdIBAA?oc=5</v>
      </c>
      <c r="C66" s="1" t="str">
        <f ca="1">IFERROR(__xludf.DUMMYFUNCTION("""COMPUTED_VALUE"""),"Mon, 31 Jul 2023 07:00:00 GMT")</f>
        <v>Mon, 31 Jul 2023 07:00:00 GMT</v>
      </c>
      <c r="D66" s="1" t="str">
        <f ca="1">IFERROR(__xludf.DUMMYFUNCTION("""COMPUTED_VALUE"""),"MZ세대와 기성세대의 끊이지 않는 갈등  소비자평가")</f>
        <v>MZ세대와 기성세대의 끊이지 않는 갈등  소비자평가</v>
      </c>
    </row>
    <row r="67" spans="1:4" ht="12.5" x14ac:dyDescent="0.25">
      <c r="A67" s="1" t="str">
        <f ca="1">IFERROR(__xludf.DUMMYFUNCTION("""COMPUTED_VALUE"""),"금융으로 번지는 '신구' 세대갈등...끊이지 않는 싸움 - 쿠키뉴스")</f>
        <v>금융으로 번지는 '신구' 세대갈등...끊이지 않는 싸움 - 쿠키뉴스</v>
      </c>
      <c r="B67" s="2" t="str">
        <f ca="1">IFERROR(__xludf.DUMMYFUNCTION("""COMPUTED_VALUE"""),"https://news.google.com/rss/articles/CBMiMWh0dHBzOi8vd3d3Lmt1a2luZXdzLmNvbS9uZXdzVmlldy9rdWsyMDIzMDgyMjAxNzjSAQA?oc=5")</f>
        <v>https://news.google.com/rss/articles/CBMiMWh0dHBzOi8vd3d3Lmt1a2luZXdzLmNvbS9uZXdzVmlldy9rdWsyMDIzMDgyMjAxNzjSAQA?oc=5</v>
      </c>
      <c r="C67" s="1" t="str">
        <f ca="1">IFERROR(__xludf.DUMMYFUNCTION("""COMPUTED_VALUE"""),"Tue, 22 Aug 2023 21:05:02 GMT")</f>
        <v>Tue, 22 Aug 2023 21:05:02 GMT</v>
      </c>
      <c r="D67" s="1" t="str">
        <f ca="1">IFERROR(__xludf.DUMMYFUNCTION("""COMPUTED_VALUE"""),"금융으로 번지는 '신구' 세대갈등...끊이지 않는 싸움  쿠키뉴스")</f>
        <v>금융으로 번지는 '신구' 세대갈등...끊이지 않는 싸움  쿠키뉴스</v>
      </c>
    </row>
    <row r="68" spans="1:4" ht="12.5" x14ac:dyDescent="0.25">
      <c r="A68" s="1" t="str">
        <f ca="1">IFERROR(__xludf.DUMMYFUNCTION("""COMPUTED_VALUE"""),"박광온 ""민주당 모든 구성원, 세대 갈등 조장 언행 삼갈 것"" - MBC 뉴스")</f>
        <v>박광온 "민주당 모든 구성원, 세대 갈등 조장 언행 삼갈 것" - MBC 뉴스</v>
      </c>
      <c r="B68" s="2" t="str">
        <f ca="1">IFERROR(__xludf.DUMMYFUNCTION("""COMPUTED_VALUE"""),"https://news.google.com/rss/articles/CBMiRWh0dHBzOi8vaW1uZXdzLmltYmMuY29tL25ld3MvMjAyMy9wb2xpdGljcy9hcnRpY2xlLzY1MTAxMjRfMzYxMTkuaHRtbNIBRWh0dHBzOi8vaW1uZXdzLmltYmMuY29tL25ld3MvMjAyMy9wb2xpdGljcy9hcnRpY2xlLzY1MTAxMjRfMzYxMjAuaHRtbA?oc=5")</f>
        <v>https://news.google.com/rss/articles/CBMiRWh0dHBzOi8vaW1uZXdzLmltYmMuY29tL25ld3MvMjAyMy9wb2xpdGljcy9hcnRpY2xlLzY1MTAxMjRfMzYxMTkuaHRtbNIBRWh0dHBzOi8vaW1uZXdzLmltYmMuY29tL25ld3MvMjAyMy9wb2xpdGljcy9hcnRpY2xlLzY1MTAxMjRfMzYxMjAuaHRtbA?oc=5</v>
      </c>
      <c r="C68" s="1" t="str">
        <f ca="1">IFERROR(__xludf.DUMMYFUNCTION("""COMPUTED_VALUE"""),"Wed, 02 Aug 2023 07:00:00 GMT")</f>
        <v>Wed, 02 Aug 2023 07:00:00 GMT</v>
      </c>
      <c r="D68" s="1" t="str">
        <f ca="1">IFERROR(__xludf.DUMMYFUNCTION("""COMPUTED_VALUE"""),"박광온 ""민주당 모든 구성원, 세대 갈등 조장 언행 삼갈 것""  MBC 뉴스")</f>
        <v>박광온 "민주당 모든 구성원, 세대 갈등 조장 언행 삼갈 것"  MBC 뉴스</v>
      </c>
    </row>
    <row r="69" spans="1:4" ht="12.5" x14ac:dyDescent="0.25">
      <c r="A69" s="1" t="str">
        <f ca="1">IFERROR(__xludf.DUMMYFUNCTION("""COMPUTED_VALUE"""),"신협, 웹예능·웹드라마로 MZ세대와 소통 강화 - 일요주간")</f>
        <v>신협, 웹예능·웹드라마로 MZ세대와 소통 강화 - 일요주간</v>
      </c>
      <c r="B69" s="2" t="str">
        <f ca="1">IFERROR(__xludf.DUMMYFUNCTION("""COMPUTED_VALUE"""),"https://news.google.com/rss/articles/CBMiRWh0dHBzOi8vd3d3LmlseW93ZWVrbHkuY28ua3IvbmV3cy9uZXdzdmlldy5waHA_bmNvZGU9MTA2NTU5MjgxNzM3MjMzONIBAA?oc=5")</f>
        <v>https://news.google.com/rss/articles/CBMiRWh0dHBzOi8vd3d3LmlseW93ZWVrbHkuY28ua3IvbmV3cy9uZXdzdmlldy5waHA_bmNvZGU9MTA2NTU5MjgxNzM3MjMzONIBAA?oc=5</v>
      </c>
      <c r="C69" s="1" t="str">
        <f ca="1">IFERROR(__xludf.DUMMYFUNCTION("""COMPUTED_VALUE"""),"Wed, 30 Aug 2023 06:50:40 GMT")</f>
        <v>Wed, 30 Aug 2023 06:50:40 GMT</v>
      </c>
      <c r="D69" s="1" t="str">
        <f ca="1">IFERROR(__xludf.DUMMYFUNCTION("""COMPUTED_VALUE"""),"신협, 웹예능·웹드라마로 MZ세대와 소통 강화  일요주간")</f>
        <v>신협, 웹예능·웹드라마로 MZ세대와 소통 강화  일요주간</v>
      </c>
    </row>
    <row r="70" spans="1:4" ht="12.5" x14ac:dyDescent="0.25">
      <c r="A70" s="1" t="str">
        <f ca="1">IFERROR(__xludf.DUMMYFUNCTION("""COMPUTED_VALUE"""),"신협, 웹예능·웹드라마로 MZ세대와 소통 강화 - 이로운넷")</f>
        <v>신협, 웹예능·웹드라마로 MZ세대와 소통 강화 - 이로운넷</v>
      </c>
      <c r="B70" s="2" t="str">
        <f ca="1">IFERROR(__xludf.DUMMYFUNCTION("""COMPUTED_VALUE"""),"https://news.google.com/rss/articles/CBMiN2h0dHBzOi8vd3d3LmVyb3VuLm5ldC9uZXdzL2FydGljbGVWaWV3Lmh0bWw_aWR4bm89MzY2MzjSAQA?oc=5")</f>
        <v>https://news.google.com/rss/articles/CBMiN2h0dHBzOi8vd3d3LmVyb3VuLm5ldC9uZXdzL2FydGljbGVWaWV3Lmh0bWw_aWR4bm89MzY2MzjSAQA?oc=5</v>
      </c>
      <c r="C70" s="1" t="str">
        <f ca="1">IFERROR(__xludf.DUMMYFUNCTION("""COMPUTED_VALUE"""),"Tue, 29 Aug 2023 04:14:52 GMT")</f>
        <v>Tue, 29 Aug 2023 04:14:52 GMT</v>
      </c>
      <c r="D70" s="1" t="str">
        <f ca="1">IFERROR(__xludf.DUMMYFUNCTION("""COMPUTED_VALUE"""),"신협, 웹예능·웹드라마로 MZ세대와 소통 강화  이로운넷")</f>
        <v>신협, 웹예능·웹드라마로 MZ세대와 소통 강화  이로운넷</v>
      </c>
    </row>
    <row r="71" spans="1:4" ht="12.5" x14ac:dyDescent="0.25">
      <c r="A71" s="1" t="str">
        <f ca="1">IFERROR(__xludf.DUMMYFUNCTION("""COMPUTED_VALUE"""),"[어쩌다 Z세대⑧] 미국의 Gen Z, 한국의 MZ… 어떻게 시작됐을까 - 시사위크")</f>
        <v>[어쩌다 Z세대⑧] 미국의 Gen Z, 한국의 MZ… 어떻게 시작됐을까 - 시사위크</v>
      </c>
      <c r="B71" s="2" t="str">
        <f ca="1">IFERROR(__xludf.DUMMYFUNCTION("""COMPUTED_VALUE"""),"https://news.google.com/rss/articles/CBMiOmh0dHA6Ly93d3cuc2lzYXdlZWsuY29tL25ld3MvYXJ0aWNsZVZpZXcuaHRtbD9pZHhubz0yMDc0ODnSAQA?oc=5")</f>
        <v>https://news.google.com/rss/articles/CBMiOmh0dHA6Ly93d3cuc2lzYXdlZWsuY29tL25ld3MvYXJ0aWNsZVZpZXcuaHRtbD9pZHhubz0yMDc0ODnSAQA?oc=5</v>
      </c>
      <c r="C71" s="1" t="str">
        <f ca="1">IFERROR(__xludf.DUMMYFUNCTION("""COMPUTED_VALUE"""),"Mon, 28 Aug 2023 08:07:59 GMT")</f>
        <v>Mon, 28 Aug 2023 08:07:59 GMT</v>
      </c>
      <c r="D71" s="1" t="str">
        <f ca="1">IFERROR(__xludf.DUMMYFUNCTION("""COMPUTED_VALUE"""),"[어쩌다 Z세대⑧] 미국의 Gen Z, 한국의 MZ… 어떻게 시작됐을까  시사위크")</f>
        <v>[어쩌다 Z세대⑧] 미국의 Gen Z, 한국의 MZ… 어떻게 시작됐을까  시사위크</v>
      </c>
    </row>
    <row r="72" spans="1:4" ht="12.5" x14ac:dyDescent="0.25">
      <c r="A72" s="1" t="str">
        <f ca="1">IFERROR(__xludf.DUMMYFUNCTION("""COMPUTED_VALUE"""),"[기자24시] 세대갈등 불씨 '20대 연체율' - 매일경제")</f>
        <v>[기자24시] 세대갈등 불씨 '20대 연체율' - 매일경제</v>
      </c>
      <c r="B72" s="2" t="str">
        <f ca="1">IFERROR(__xludf.DUMMYFUNCTION("""COMPUTED_VALUE"""),"https://news.google.com/rss/articles/CBMiLWh0dHBzOi8vd3d3Lm1rLmNvLmtyL25ld3Mvam91cm5hbGlzdC8xMDgwNDQyOdIBH2h0dHBzOi8vbS5tay5jby5rci9hbXAvMTA4MDQ0Mjk?oc=5")</f>
        <v>https://news.google.com/rss/articles/CBMiLWh0dHBzOi8vd3d3Lm1rLmNvLmtyL25ld3Mvam91cm5hbGlzdC8xMDgwNDQyOdIBH2h0dHBzOi8vbS5tay5jby5rci9hbXAvMTA4MDQ0Mjk?oc=5</v>
      </c>
      <c r="C72" s="1" t="str">
        <f ca="1">IFERROR(__xludf.DUMMYFUNCTION("""COMPUTED_VALUE"""),"Wed, 09 Aug 2023 07:00:00 GMT")</f>
        <v>Wed, 09 Aug 2023 07:00:00 GMT</v>
      </c>
      <c r="D72" s="1" t="str">
        <f ca="1">IFERROR(__xludf.DUMMYFUNCTION("""COMPUTED_VALUE"""),"[기자24시] 세대갈등 불씨 '20대 연체율'  매일경제")</f>
        <v>[기자24시] 세대갈등 불씨 '20대 연체율'  매일경제</v>
      </c>
    </row>
    <row r="73" spans="1:4" ht="12.5" x14ac:dyDescent="0.25">
      <c r="A73" s="1" t="str">
        <f ca="1">IFERROR(__xludf.DUMMYFUNCTION("""COMPUTED_VALUE"""),"""세대갈등 조장"" vs ""고령화 대비해야""…핫이슈된 '정년연장' - 미주중앙일보")</f>
        <v>"세대갈등 조장" vs "고령화 대비해야"…핫이슈된 '정년연장' - 미주중앙일보</v>
      </c>
      <c r="B73" s="2" t="str">
        <f ca="1">IFERROR(__xludf.DUMMYFUNCTION("""COMPUTED_VALUE"""),"https://news.google.com/rss/articles/CBMiVGh0dHBzOi8vbmV3cy5rb3JlYWRhaWx5LmNvbS8yMDIzLzA4LzIzL2Vjb25vbXkvZWNvbm9teWdlbmVyYWwvMjAyMzA4MjMwMjI2MDY3MTMuaHRtbNIBAA?oc=5")</f>
        <v>https://news.google.com/rss/articles/CBMiVGh0dHBzOi8vbmV3cy5rb3JlYWRhaWx5LmNvbS8yMDIzLzA4LzIzL2Vjb25vbXkvZWNvbm9teWdlbmVyYWwvMjAyMzA4MjMwMjI2MDY3MTMuaHRtbNIBAA?oc=5</v>
      </c>
      <c r="C73" s="1" t="str">
        <f ca="1">IFERROR(__xludf.DUMMYFUNCTION("""COMPUTED_VALUE"""),"Wed, 23 Aug 2023 09:25:41 GMT")</f>
        <v>Wed, 23 Aug 2023 09:25:41 GMT</v>
      </c>
      <c r="D73" s="1" t="str">
        <f ca="1">IFERROR(__xludf.DUMMYFUNCTION("""COMPUTED_VALUE"""),"""세대갈등 조장"" vs ""고령화 대비해야""…핫이슈된 '정년연장'  미주중앙일보")</f>
        <v>"세대갈등 조장" vs "고령화 대비해야"…핫이슈된 '정년연장'  미주중앙일보</v>
      </c>
    </row>
    <row r="74" spans="1:4" ht="12.5" x14ac:dyDescent="0.25">
      <c r="A74" s="1" t="str">
        <f ca="1">IFERROR(__xludf.DUMMYFUNCTION("""COMPUTED_VALUE"""),"50년 주담대 ‘연령제한’ 논란‧‧‧‘세대갈등’ 부추긴다 - 이뉴스투데이")</f>
        <v>50년 주담대 ‘연령제한’ 논란‧‧‧‘세대갈등’ 부추긴다 - 이뉴스투데이</v>
      </c>
      <c r="B74" s="2" t="str">
        <f ca="1">IFERROR(__xludf.DUMMYFUNCTION("""COMPUTED_VALUE"""),"https://news.google.com/rss/articles/CBMiP2h0dHA6Ly93d3cuZW5ld3N0b2RheS5jby5rci9uZXdzL2FydGljbGVWaWV3Lmh0bWw_aWR4bm89MjAyODkzMtIBQmh0dHA6Ly93d3cuZW5ld3N0b2RheS5jby5rci9uZXdzL2FydGljbGVWaWV3QW1wLmh0bWw_aWR4bm89MjAyODkzMg?oc=5")</f>
        <v>https://news.google.com/rss/articles/CBMiP2h0dHA6Ly93d3cuZW5ld3N0b2RheS5jby5rci9uZXdzL2FydGljbGVWaWV3Lmh0bWw_aWR4bm89MjAyODkzMtIBQmh0dHA6Ly93d3cuZW5ld3N0b2RheS5jby5rci9uZXdzL2FydGljbGVWaWV3QW1wLmh0bWw_aWR4bm89MjAyODkzMg?oc=5</v>
      </c>
      <c r="C74" s="1" t="str">
        <f ca="1">IFERROR(__xludf.DUMMYFUNCTION("""COMPUTED_VALUE"""),"Wed, 16 Aug 2023 07:00:00 GMT")</f>
        <v>Wed, 16 Aug 2023 07:00:00 GMT</v>
      </c>
      <c r="D74" s="1" t="str">
        <f ca="1">IFERROR(__xludf.DUMMYFUNCTION("""COMPUTED_VALUE"""),"50년 주담대 ‘연령제한’ 논란‧‧‧‘세대갈등’ 부추긴다  이뉴스투데이")</f>
        <v>50년 주담대 ‘연령제한’ 논란‧‧‧‘세대갈등’ 부추긴다  이뉴스투데이</v>
      </c>
    </row>
    <row r="75" spans="1:4" ht="12.5" x14ac:dyDescent="0.25">
      <c r="A75" s="1" t="str">
        <f ca="1">IFERROR(__xludf.DUMMYFUNCTION("""COMPUTED_VALUE"""),"광주농업기술센터, 처음으로 청년농업인 명랑운동회 열렸다 - 데일리스포츠한국")</f>
        <v>광주농업기술센터, 처음으로 청년농업인 명랑운동회 열렸다 - 데일리스포츠한국</v>
      </c>
      <c r="B75" s="2" t="str">
        <f ca="1">IFERROR(__xludf.DUMMYFUNCTION("""COMPUTED_VALUE"""),"https://news.google.com/rss/articles/CBMiR2h0dHBzOi8vd3d3LmRhaWx5c3BvcnRzaGFua29vay5jby5rci9uZXdzL2FydGljbGVWaWV3Lmh0bWw_aWR4bm89MzEwNjkw0gFKaHR0cHM6Ly93d3cuZGFpbHlzcG9ydHNoYW5rb29rLmNvLmtyL25ld3MvYXJ0aWNsZVZpZXdBbXAuaHRtbD9pZHhubz0zMTA2OTA?oc=5")</f>
        <v>https://news.google.com/rss/articles/CBMiR2h0dHBzOi8vd3d3LmRhaWx5c3BvcnRzaGFua29vay5jby5rci9uZXdzL2FydGljbGVWaWV3Lmh0bWw_aWR4bm89MzEwNjkw0gFKaHR0cHM6Ly93d3cuZGFpbHlzcG9ydHNoYW5rb29rLmNvLmtyL25ld3MvYXJ0aWNsZVZpZXdBbXAuaHRtbD9pZHhubz0zMTA2OTA?oc=5</v>
      </c>
      <c r="C75" s="1" t="str">
        <f ca="1">IFERROR(__xludf.DUMMYFUNCTION("""COMPUTED_VALUE"""),"Wed, 30 Aug 2023 06:29:07 GMT")</f>
        <v>Wed, 30 Aug 2023 06:29:07 GMT</v>
      </c>
      <c r="D75" s="1" t="str">
        <f ca="1">IFERROR(__xludf.DUMMYFUNCTION("""COMPUTED_VALUE"""),"광주농업기술센터, 처음으로 청년농업인 명랑운동회 열렸다  데일리스포츠한국")</f>
        <v>광주농업기술센터, 처음으로 청년농업인 명랑운동회 열렸다  데일리스포츠한국</v>
      </c>
    </row>
    <row r="76" spans="1:4" ht="12.5" x14ac:dyDescent="0.25">
      <c r="A76" s="1" t="str">
        <f ca="1">IFERROR(__xludf.DUMMYFUNCTION("""COMPUTED_VALUE"""),"박광온 ""민주당, 세대 갈등 조장하거나 특정 세대 상처줘선 안 돼"" - 아시아경제")</f>
        <v>박광온 "민주당, 세대 갈등 조장하거나 특정 세대 상처줘선 안 돼" - 아시아경제</v>
      </c>
      <c r="B76" s="2" t="str">
        <f ca="1">IFERROR(__xludf.DUMMYFUNCTION("""COMPUTED_VALUE"""),"https://news.google.com/rss/articles/CBMiM2h0dHBzOi8vd3d3LmFzaWFlLmNvLmtyL2FydGljbGUvMjAyMzA4MDIxMDM3MjI5NzE5MNIBAA?oc=5")</f>
        <v>https://news.google.com/rss/articles/CBMiM2h0dHBzOi8vd3d3LmFzaWFlLmNvLmtyL2FydGljbGUvMjAyMzA4MDIxMDM3MjI5NzE5MNIBAA?oc=5</v>
      </c>
      <c r="C76" s="1" t="str">
        <f ca="1">IFERROR(__xludf.DUMMYFUNCTION("""COMPUTED_VALUE"""),"Wed, 02 Aug 2023 07:00:00 GMT")</f>
        <v>Wed, 02 Aug 2023 07:00:00 GMT</v>
      </c>
      <c r="D76" s="1" t="str">
        <f ca="1">IFERROR(__xludf.DUMMYFUNCTION("""COMPUTED_VALUE"""),"박광온 ""민주당, 세대 갈등 조장하거나 특정 세대 상처줘선 안 돼""  아시아경제")</f>
        <v>박광온 "민주당, 세대 갈등 조장하거나 특정 세대 상처줘선 안 돼"  아시아경제</v>
      </c>
    </row>
    <row r="77" spans="1:4" ht="12.5" x14ac:dyDescent="0.25">
      <c r="A77" s="1" t="str">
        <f ca="1">IFERROR(__xludf.DUMMYFUNCTION("""COMPUTED_VALUE"""),"아주신협, 저장강박세대 주거환경 정비사업 전국 최초 연속성 있는 ... - 거제타임라인")</f>
        <v>아주신협, 저장강박세대 주거환경 정비사업 전국 최초 연속성 있는 ... - 거제타임라인</v>
      </c>
      <c r="B77" s="2" t="str">
        <f ca="1">IFERROR(__xludf.DUMMYFUNCTION("""COMPUTED_VALUE"""),"https://news.google.com/rss/articles/CBMiNWh0dHA6Ly9tLmdqdGxpbmUua3IvbmV3cy9hcnRpY2xlVmlldy5odG1sP2lkeG5vPTM5MDE40gEA?oc=5")</f>
        <v>https://news.google.com/rss/articles/CBMiNWh0dHA6Ly9tLmdqdGxpbmUua3IvbmV3cy9hcnRpY2xlVmlldy5odG1sP2lkeG5vPTM5MDE40gEA?oc=5</v>
      </c>
      <c r="C77" s="1" t="str">
        <f ca="1">IFERROR(__xludf.DUMMYFUNCTION("""COMPUTED_VALUE"""),"Wed, 30 Aug 2023 04:17:55 GMT")</f>
        <v>Wed, 30 Aug 2023 04:17:55 GMT</v>
      </c>
      <c r="D77" s="1" t="str">
        <f ca="1">IFERROR(__xludf.DUMMYFUNCTION("""COMPUTED_VALUE"""),"아주신협, 저장강박세대 주거환경 정비사업 전국 최초 연속성 있는 ...  거제타임라인")</f>
        <v>아주신협, 저장강박세대 주거환경 정비사업 전국 최초 연속성 있는 ...  거제타임라인</v>
      </c>
    </row>
    <row r="78" spans="1:4" ht="12.5" x14ac:dyDescent="0.25">
      <c r="A78" s="1" t="str">
        <f ca="1">IFERROR(__xludf.DUMMYFUNCTION("""COMPUTED_VALUE"""),"저자 英 교수 ""한국은 사내문화 갈등에 MZ 탓해"" - 한국경제")</f>
        <v>저자 英 교수 "한국은 사내문화 갈등에 MZ 탓해" - 한국경제</v>
      </c>
      <c r="B78" s="2" t="str">
        <f ca="1">IFERROR(__xludf.DUMMYFUNCTION("""COMPUTED_VALUE"""),"https://news.google.com/rss/articles/CBMiM2h0dHBzOi8vd3d3Lmhhbmt5dW5nLmNvbS9saWZlL2FydGljbGUvMjAyMzA4MjE3MzU1adIBL2h0dHBzOi8vd3d3Lmhhbmt5dW5nLmNvbS9saWZlL2FtcC8yMDIzMDgyMTczNTVp?oc=5")</f>
        <v>https://news.google.com/rss/articles/CBMiM2h0dHBzOi8vd3d3Lmhhbmt5dW5nLmNvbS9saWZlL2FydGljbGUvMjAyMzA4MjE3MzU1adIBL2h0dHBzOi8vd3d3Lmhhbmt5dW5nLmNvbS9saWZlL2FtcC8yMDIzMDgyMTczNTVp?oc=5</v>
      </c>
      <c r="C78" s="1" t="str">
        <f ca="1">IFERROR(__xludf.DUMMYFUNCTION("""COMPUTED_VALUE"""),"Tue, 22 Aug 2023 07:00:00 GMT")</f>
        <v>Tue, 22 Aug 2023 07:00:00 GMT</v>
      </c>
      <c r="D78" s="1" t="str">
        <f ca="1">IFERROR(__xludf.DUMMYFUNCTION("""COMPUTED_VALUE"""),"저자 英 교수 ""한국은 사내문화 갈등에 MZ 탓해""  한국경제")</f>
        <v>저자 英 교수 "한국은 사내문화 갈등에 MZ 탓해"  한국경제</v>
      </c>
    </row>
    <row r="79" spans="1:4" ht="12.5" x14ac:dyDescent="0.25">
      <c r="A79" s="1" t="str">
        <f ca="1">IFERROR(__xludf.DUMMYFUNCTION("""COMPUTED_VALUE"""),"[포토] 박광온 원내대표 '민주당 모든 구성원...세대 갈등 조장 언행 삼갈 ... - 아시아투데이")</f>
        <v>[포토] 박광온 원내대표 '민주당 모든 구성원...세대 갈등 조장 언행 삼갈 ... - 아시아투데이</v>
      </c>
      <c r="B79" s="2" t="str">
        <f ca="1">IFERROR(__xludf.DUMMYFUNCTION("""COMPUTED_VALUE"""),"https://news.google.com/rss/articles/CBMiOmh0dHBzOi8vd3d3LmFzaWF0b2RheS5jby5rci92aWV3LnBocD9rZXk9MjAyMzA4MDIwMTAwMDEwNTDSAQA?oc=5")</f>
        <v>https://news.google.com/rss/articles/CBMiOmh0dHBzOi8vd3d3LmFzaWF0b2RheS5jby5rci92aWV3LnBocD9rZXk9MjAyMzA4MDIwMTAwMDEwNTDSAQA?oc=5</v>
      </c>
      <c r="C79" s="1" t="str">
        <f ca="1">IFERROR(__xludf.DUMMYFUNCTION("""COMPUTED_VALUE"""),"Wed, 02 Aug 2023 02:00:14 GMT")</f>
        <v>Wed, 02 Aug 2023 02:00:14 GMT</v>
      </c>
      <c r="D79" s="1" t="str">
        <f ca="1">IFERROR(__xludf.DUMMYFUNCTION("""COMPUTED_VALUE"""),"[포토] 박광온 원내대표 '민주당 모든 구성원...세대 갈등 조장 언행 삼갈 ...  아시아투데이")</f>
        <v>[포토] 박광온 원내대표 '민주당 모든 구성원...세대 갈등 조장 언행 삼갈 ...  아시아투데이</v>
      </c>
    </row>
    <row r="80" spans="1:4" ht="12.5" x14ac:dyDescent="0.25">
      <c r="A80" s="1" t="str">
        <f ca="1">IFERROR(__xludf.DUMMYFUNCTION("""COMPUTED_VALUE"""),"[특징주] POSCO홀딩스 주가 하락... 이유는? - 뉴스로드")</f>
        <v>[특징주] POSCO홀딩스 주가 하락... 이유는? - 뉴스로드</v>
      </c>
      <c r="B80" s="2" t="str">
        <f ca="1">IFERROR(__xludf.DUMMYFUNCTION("""COMPUTED_VALUE"""),"https://news.google.com/rss/articles/CBMiO2h0dHA6Ly93d3cubmV3c3JvYWQuY28ua3IvbmV3cy9hcnRpY2xlVmlldy5odG1sP2lkeG5vPTI0ODg10gE-aHR0cDovL3d3dy5uZXdzcm9hZC5jby5rci9uZXdzL2FydGljbGVWaWV3QW1wLmh0bWw_aWR4bm89MjQ4ODU?oc=5")</f>
        <v>https://news.google.com/rss/articles/CBMiO2h0dHA6Ly93d3cubmV3c3JvYWQuY28ua3IvbmV3cy9hcnRpY2xlVmlldy5odG1sP2lkeG5vPTI0ODg10gE-aHR0cDovL3d3dy5uZXdzcm9hZC5jby5rci9uZXdzL2FydGljbGVWaWV3QW1wLmh0bWw_aWR4bm89MjQ4ODU?oc=5</v>
      </c>
      <c r="C80" s="1" t="str">
        <f ca="1">IFERROR(__xludf.DUMMYFUNCTION("""COMPUTED_VALUE"""),"Tue, 29 Aug 2023 00:16:18 GMT")</f>
        <v>Tue, 29 Aug 2023 00:16:18 GMT</v>
      </c>
      <c r="D80" s="1" t="str">
        <f ca="1">IFERROR(__xludf.DUMMYFUNCTION("""COMPUTED_VALUE"""),"[특징주] POSCO홀딩스 주가 하락... 이유는?  뉴스로드")</f>
        <v>[특징주] POSCO홀딩스 주가 하락... 이유는?  뉴스로드</v>
      </c>
    </row>
    <row r="81" spans="1:4" ht="12.5" x14ac:dyDescent="0.25">
      <c r="A81" s="1" t="str">
        <f ca="1">IFERROR(__xludf.DUMMYFUNCTION("""COMPUTED_VALUE"""),"청년 젠더갈등 줄인다…국민통합위, '존중 댓글' 등 정책제안 발표 - 뉴스핌")</f>
        <v>청년 젠더갈등 줄인다…국민통합위, '존중 댓글' 등 정책제안 발표 - 뉴스핌</v>
      </c>
      <c r="B81" s="2" t="str">
        <f ca="1">IFERROR(__xludf.DUMMYFUNCTION("""COMPUTED_VALUE"""),"https://news.google.com/rss/articles/CBMiMGh0dHBzOi8vd3d3Lm5ld3NwaW0uY29tL25ld3Mvdmlldy8yMDIzMDgyOTAwMDIxN9IBMWh0dHBzOi8vbS5uZXdzcGltLmNvbS9uZXdzYW1wL3ZpZXcvMjAyMzA4MjkwMDAyMTc?oc=5")</f>
        <v>https://news.google.com/rss/articles/CBMiMGh0dHBzOi8vd3d3Lm5ld3NwaW0uY29tL25ld3Mvdmlldy8yMDIzMDgyOTAwMDIxN9IBMWh0dHBzOi8vbS5uZXdzcGltLmNvbS9uZXdzYW1wL3ZpZXcvMjAyMzA4MjkwMDAyMTc?oc=5</v>
      </c>
      <c r="C81" s="1" t="str">
        <f ca="1">IFERROR(__xludf.DUMMYFUNCTION("""COMPUTED_VALUE"""),"Tue, 29 Aug 2023 00:30:00 GMT")</f>
        <v>Tue, 29 Aug 2023 00:30:00 GMT</v>
      </c>
      <c r="D81" s="1" t="str">
        <f ca="1">IFERROR(__xludf.DUMMYFUNCTION("""COMPUTED_VALUE"""),"청년 젠더갈등 줄인다…국민통합위, '존중 댓글' 등 정책제안 발표  뉴스핌")</f>
        <v>청년 젠더갈등 줄인다…국민통합위, '존중 댓글' 등 정책제안 발표  뉴스핌</v>
      </c>
    </row>
    <row r="82" spans="1:4" ht="12.5" x14ac:dyDescent="0.25">
      <c r="A82" s="1" t="str">
        <f ca="1">IFERROR(__xludf.DUMMYFUNCTION("""COMPUTED_VALUE"""),"사춘기 아들 제이미는 '기절놀이'를 하다 병원에 실려갔다 - 한국경제")</f>
        <v>사춘기 아들 제이미는 '기절놀이'를 하다 병원에 실려갔다 - 한국경제</v>
      </c>
      <c r="B82" s="2" t="str">
        <f ca="1">IFERROR(__xludf.DUMMYFUNCTION("""COMPUTED_VALUE"""),"https://news.google.com/rss/articles/CBMiM2h0dHBzOi8vd3d3Lmhhbmt5dW5nLmNvbS9saWZlL2FydGljbGUvMjAyMzA3Mjc3NzU5adIBL2h0dHBzOi8vd3d3Lmhhbmt5dW5nLmNvbS9saWZlL2FtcC8yMDIzMDcyNzc3NTlp?oc=5")</f>
        <v>https://news.google.com/rss/articles/CBMiM2h0dHBzOi8vd3d3Lmhhbmt5dW5nLmNvbS9saWZlL2FydGljbGUvMjAyMzA3Mjc3NzU5adIBL2h0dHBzOi8vd3d3Lmhhbmt5dW5nLmNvbS9saWZlL2FtcC8yMDIzMDcyNzc3NTlp?oc=5</v>
      </c>
      <c r="C82" s="1" t="str">
        <f ca="1">IFERROR(__xludf.DUMMYFUNCTION("""COMPUTED_VALUE"""),"Wed, 30 Aug 2023 04:54:30 GMT")</f>
        <v>Wed, 30 Aug 2023 04:54:30 GMT</v>
      </c>
      <c r="D82" s="1" t="str">
        <f ca="1">IFERROR(__xludf.DUMMYFUNCTION("""COMPUTED_VALUE"""),"사춘기 아들 제이미는 '기절놀이'를 하다 병원에 실려갔다  한국경제")</f>
        <v>사춘기 아들 제이미는 '기절놀이'를 하다 병원에 실려갔다  한국경제</v>
      </c>
    </row>
    <row r="83" spans="1:4" ht="12.5" x14ac:dyDescent="0.25">
      <c r="A83" s="1" t="str">
        <f ca="1">IFERROR(__xludf.DUMMYFUNCTION("""COMPUTED_VALUE"""),"영등포종합사회복지관, 98일의 동행으로 1·3세대를 잇다 - 영등포방송")</f>
        <v>영등포종합사회복지관, 98일의 동행으로 1·3세대를 잇다 - 영등포방송</v>
      </c>
      <c r="B83" s="2" t="str">
        <f ca="1">IFERROR(__xludf.DUMMYFUNCTION("""COMPUTED_VALUE"""),"https://news.google.com/rss/articles/CBMiL2h0dHA6Ly93d3cueWJzdHYubmV0L25ld3MvYXJ0aWNsZS5odG1sP25vPTU0OTU10gEA?oc=5")</f>
        <v>https://news.google.com/rss/articles/CBMiL2h0dHA6Ly93d3cueWJzdHYubmV0L25ld3MvYXJ0aWNsZS5odG1sP25vPTU0OTU10gEA?oc=5</v>
      </c>
      <c r="C83" s="1" t="str">
        <f ca="1">IFERROR(__xludf.DUMMYFUNCTION("""COMPUTED_VALUE"""),"Fri, 18 Aug 2023 07:00:00 GMT")</f>
        <v>Fri, 18 Aug 2023 07:00:00 GMT</v>
      </c>
      <c r="D83" s="1" t="str">
        <f ca="1">IFERROR(__xludf.DUMMYFUNCTION("""COMPUTED_VALUE"""),"영등포종합사회복지관, 98일의 동행으로 1·3세대를 잇다  영등포방송")</f>
        <v>영등포종합사회복지관, 98일의 동행으로 1·3세대를 잇다  영등포방송</v>
      </c>
    </row>
    <row r="84" spans="1:4" ht="12.5" x14ac:dyDescent="0.25">
      <c r="A84" s="1" t="str">
        <f ca="1">IFERROR(__xludf.DUMMYFUNCTION("""COMPUTED_VALUE"""),"[도청도설] 50년 주담대 - 국제신문")</f>
        <v>[도청도설] 50년 주담대 - 국제신문</v>
      </c>
      <c r="B84" s="2" t="str">
        <f ca="1">IFERROR(__xludf.DUMMYFUNCTION("""COMPUTED_VALUE"""),"https://news.google.com/rss/articles/CBMiU2h0dHBzOi8vd3d3Lmtvb2tqZS5jby5rci9uZXdzMjAxMS9hc3AvbmV3c2JvZHkuYXNwP2NvZGU9MDAma2V5PTIwMjMwODMwLjIyMDE4MDA5Mjcx0gEA?oc=5")</f>
        <v>https://news.google.com/rss/articles/CBMiU2h0dHBzOi8vd3d3Lmtvb2tqZS5jby5rci9uZXdzMjAxMS9hc3AvbmV3c2JvZHkuYXNwP2NvZGU9MDAma2V5PTIwMjMwODMwLjIyMDE4MDA5Mjcx0gEA?oc=5</v>
      </c>
      <c r="C84" s="1" t="str">
        <f ca="1">IFERROR(__xludf.DUMMYFUNCTION("""COMPUTED_VALUE"""),"Tue, 29 Aug 2023 10:08:00 GMT")</f>
        <v>Tue, 29 Aug 2023 10:08:00 GMT</v>
      </c>
      <c r="D84" s="1" t="str">
        <f ca="1">IFERROR(__xludf.DUMMYFUNCTION("""COMPUTED_VALUE"""),"[도청도설] 50년 주담대  국제신문")</f>
        <v>[도청도설] 50년 주담대  국제신문</v>
      </c>
    </row>
    <row r="85" spans="1:4" ht="12.5" x14ac:dyDescent="0.25">
      <c r="A85" s="1" t="str">
        <f ca="1">IFERROR(__xludf.DUMMYFUNCTION("""COMPUTED_VALUE"""),"""MZ, 많은 능력 가진 세대…진정성·가치로 소통하라"" - 이데일리")</f>
        <v>"MZ, 많은 능력 가진 세대…진정성·가치로 소통하라" - 이데일리</v>
      </c>
      <c r="B85" s="2" t="str">
        <f ca="1">IFERROR(__xludf.DUMMYFUNCTION("""COMPUTED_VALUE"""),"https://news.google.com/rss/articles/CBMiS2h0dHBzOi8vd3d3LmVkYWlseS5jby5rci9uZXdzL3JlYWQ_bmV3c0lkPTAzMjY2ODg2NjM1NzExOTEyJm1lZGlhQ29kZU5vPTI1N9IBSGh0dHBzOi8vbS5lZGFpbHkuY28ua3IvYW1wL3JlYWQ_bmV3c0lkPTAzMjY2ODg2NjM1NzExOTEyJm1lZGlhQ29kZU5vPTI1Nw?oc=5")</f>
        <v>https://news.google.com/rss/articles/CBMiS2h0dHBzOi8vd3d3LmVkYWlseS5jby5rci9uZXdzL3JlYWQ_bmV3c0lkPTAzMjY2ODg2NjM1NzExOTEyJm1lZGlhQ29kZU5vPTI1N9IBSGh0dHBzOi8vbS5lZGFpbHkuY28ua3IvYW1wL3JlYWQ_bmV3c0lkPTAzMjY2ODg2NjM1NzExOTEyJm1lZGlhQ29kZU5vPTI1Nw?oc=5</v>
      </c>
      <c r="C85" s="1" t="str">
        <f ca="1">IFERROR(__xludf.DUMMYFUNCTION("""COMPUTED_VALUE"""),"Mon, 28 Aug 2023 08:22:25 GMT")</f>
        <v>Mon, 28 Aug 2023 08:22:25 GMT</v>
      </c>
      <c r="D85" s="1" t="str">
        <f ca="1">IFERROR(__xludf.DUMMYFUNCTION("""COMPUTED_VALUE"""),"""MZ, 많은 능력 가진 세대…진정성·가치로 소통하라""  이데일리")</f>
        <v>"MZ, 많은 능력 가진 세대…진정성·가치로 소통하라"  이데일리</v>
      </c>
    </row>
    <row r="86" spans="1:4" ht="12.5" x14ac:dyDescent="0.25">
      <c r="A86" s="1" t="str">
        <f ca="1">IFERROR(__xludf.DUMMYFUNCTION("""COMPUTED_VALUE"""),"[이슈] 관성화된 위기론을 넘어 다시 희망을 말한다 - 참여연대")</f>
        <v>[이슈] 관성화된 위기론을 넘어 다시 희망을 말한다 - 참여연대</v>
      </c>
      <c r="B86" s="2" t="str">
        <f ca="1">IFERROR(__xludf.DUMMYFUNCTION("""COMPUTED_VALUE"""),"https://news.google.com/rss/articles/CBMiLmh0dHBzOi8vd3d3LnBlb3BsZXBvd2VyMjEub3JnL21hZ2F6aW5lLzE5NDYzMTPSAQA?oc=5")</f>
        <v>https://news.google.com/rss/articles/CBMiLmh0dHBzOi8vd3d3LnBlb3BsZXBvd2VyMjEub3JnL21hZ2F6aW5lLzE5NDYzMTPSAQA?oc=5</v>
      </c>
      <c r="C86" s="1" t="str">
        <f ca="1">IFERROR(__xludf.DUMMYFUNCTION("""COMPUTED_VALUE"""),"Tue, 29 Aug 2023 07:06:59 GMT")</f>
        <v>Tue, 29 Aug 2023 07:06:59 GMT</v>
      </c>
      <c r="D86" s="1" t="str">
        <f ca="1">IFERROR(__xludf.DUMMYFUNCTION("""COMPUTED_VALUE"""),"[이슈] 관성화된 위기론을 넘어 다시 희망을 말한다  참여연대")</f>
        <v>[이슈] 관성화된 위기론을 넘어 다시 희망을 말한다  참여연대</v>
      </c>
    </row>
    <row r="87" spans="1:4" ht="12.5" x14ac:dyDescent="0.25">
      <c r="A87" s="1" t="str">
        <f ca="1">IFERROR(__xludf.DUMMYFUNCTION("""COMPUTED_VALUE"""),"남구 도산도서관, 2023년'길 위의 인문학'성황리에 종료 - 월간인물")</f>
        <v>남구 도산도서관, 2023년'길 위의 인문학'성황리에 종료 - 월간인물</v>
      </c>
      <c r="B87" s="2" t="str">
        <f ca="1">IFERROR(__xludf.DUMMYFUNCTION("""COMPUTED_VALUE"""),"https://news.google.com/rss/articles/CBMiP2h0dHA6Ly93d3cubW9udGhseXBlb3BsZS5jb20vbmV3cy9hcnRpY2xlVmlldy5odG1sP2lkeG5vPTYzODYwN9IBAA?oc=5")</f>
        <v>https://news.google.com/rss/articles/CBMiP2h0dHA6Ly93d3cubW9udGhseXBlb3BsZS5jb20vbmV3cy9hcnRpY2xlVmlldy5odG1sP2lkeG5vPTYzODYwN9IBAA?oc=5</v>
      </c>
      <c r="C87" s="1" t="str">
        <f ca="1">IFERROR(__xludf.DUMMYFUNCTION("""COMPUTED_VALUE"""),"Thu, 24 Aug 2023 07:14:22 GMT")</f>
        <v>Thu, 24 Aug 2023 07:14:22 GMT</v>
      </c>
      <c r="D87" s="1" t="str">
        <f ca="1">IFERROR(__xludf.DUMMYFUNCTION("""COMPUTED_VALUE"""),"남구 도산도서관, 2023년'길 위의 인문학'성황리에 종료  월간인물")</f>
        <v>남구 도산도서관, 2023년'길 위의 인문학'성황리에 종료  월간인물</v>
      </c>
    </row>
    <row r="88" spans="1:4" ht="12.5" x14ac:dyDescent="0.25">
      <c r="A88" s="1" t="str">
        <f ca="1">IFERROR(__xludf.DUMMYFUNCTION("""COMPUTED_VALUE"""),"리더는 힘든 때일수록 ‘나만 고생해’ 희생증후군 버려야 (황성현 대표) - 티타임즈-TTIMES")</f>
        <v>리더는 힘든 때일수록 ‘나만 고생해’ 희생증후군 버려야 (황성현 대표) - 티타임즈-TTIMES</v>
      </c>
      <c r="B88" s="2" t="str">
        <f ca="1">IFERROR(__xludf.DUMMYFUNCTION("""COMPUTED_VALUE"""),"https://news.google.com/rss/articles/CBMiNGh0dHBzOi8vd3d3LnR0aW1lcy5jby5rci9hcnRpY2xlLzIwMjMwODE2MTgwOTc3NzgxMjjSAQA?oc=5")</f>
        <v>https://news.google.com/rss/articles/CBMiNGh0dHBzOi8vd3d3LnR0aW1lcy5jby5rci9hcnRpY2xlLzIwMjMwODE2MTgwOTc3NzgxMjjSAQA?oc=5</v>
      </c>
      <c r="C88" s="1" t="str">
        <f ca="1">IFERROR(__xludf.DUMMYFUNCTION("""COMPUTED_VALUE"""),"Wed, 16 Aug 2023 07:00:00 GMT")</f>
        <v>Wed, 16 Aug 2023 07:00:00 GMT</v>
      </c>
      <c r="D88" s="1" t="str">
        <f ca="1">IFERROR(__xludf.DUMMYFUNCTION("""COMPUTED_VALUE"""),"리더는 힘든 때일수록 ‘나만 고생해’ 희생증후군 버려야 (황성현 대표)  티타임즈-TTIMES")</f>
        <v>리더는 힘든 때일수록 ‘나만 고생해’ 희생증후군 버려야 (황성현 대표)  티타임즈-TTIMES</v>
      </c>
    </row>
    <row r="89" spans="1:4" ht="12.5" x14ac:dyDescent="0.25">
      <c r="A89" s="1" t="str">
        <f ca="1">IFERROR(__xludf.DUMMYFUNCTION("""COMPUTED_VALUE"""),"강원일보 - 강원일보")</f>
        <v>강원일보 - 강원일보</v>
      </c>
      <c r="B89" s="2" t="str">
        <f ca="1">IFERROR(__xludf.DUMMYFUNCTION("""COMPUTED_VALUE"""),"https://news.google.com/rss/articles/CBMiMmh0dHBzOi8va3duZXdzLmNvLmtyL3BhZ2Uvdmlldy8yMDIzMDgyODE3NTkxNjQ1MjY30gEA?oc=5")</f>
        <v>https://news.google.com/rss/articles/CBMiMmh0dHBzOi8va3duZXdzLmNvLmtyL3BhZ2Uvdmlldy8yMDIzMDgyODE3NTkxNjQ1MjY30gEA?oc=5</v>
      </c>
      <c r="C89" s="1" t="str">
        <f ca="1">IFERROR(__xludf.DUMMYFUNCTION("""COMPUTED_VALUE"""),"Mon, 28 Aug 2023 13:00:00 GMT")</f>
        <v>Mon, 28 Aug 2023 13:00:00 GMT</v>
      </c>
      <c r="D89" s="1" t="str">
        <f ca="1">IFERROR(__xludf.DUMMYFUNCTION("""COMPUTED_VALUE"""),"강원일보  강원일보")</f>
        <v>강원일보  강원일보</v>
      </c>
    </row>
    <row r="90" spans="1:4" ht="12.5" x14ac:dyDescent="0.25">
      <c r="A90" s="1" t="str">
        <f ca="1">IFERROR(__xludf.DUMMYFUNCTION("""COMPUTED_VALUE"""),"유쾌한 연극으로 풀어낸 세대·젠더갈등 - 국제신문")</f>
        <v>유쾌한 연극으로 풀어낸 세대·젠더갈등 - 국제신문</v>
      </c>
      <c r="B90" s="2" t="str">
        <f ca="1">IFERROR(__xludf.DUMMYFUNCTION("""COMPUTED_VALUE"""),"https://news.google.com/rss/articles/CBMiVGh0dHA6Ly93d3cua29va2plLmNvLmtyL25ld3MyMDExL2FzcC9uZXdzYm9keS5hc3A_Y29kZT0wNTAwJmtleT0yMDIzMDgwMi4yMjAxMzAwMDA4N9IBAA?oc=5")</f>
        <v>https://news.google.com/rss/articles/CBMiVGh0dHA6Ly93d3cua29va2plLmNvLmtyL25ld3MyMDExL2FzcC9uZXdzYm9keS5hc3A_Y29kZT0wNTAwJmtleT0yMDIzMDgwMi4yMjAxMzAwMDA4N9IBAA?oc=5</v>
      </c>
      <c r="C90" s="1" t="str">
        <f ca="1">IFERROR(__xludf.DUMMYFUNCTION("""COMPUTED_VALUE"""),"Tue, 01 Aug 2023 09:29:00 GMT")</f>
        <v>Tue, 01 Aug 2023 09:29:00 GMT</v>
      </c>
      <c r="D90" s="1" t="str">
        <f ca="1">IFERROR(__xludf.DUMMYFUNCTION("""COMPUTED_VALUE"""),"유쾌한 연극으로 풀어낸 세대·젠더갈등  국제신문")</f>
        <v>유쾌한 연극으로 풀어낸 세대·젠더갈등  국제신문</v>
      </c>
    </row>
    <row r="91" spans="1:4" ht="12.5" x14ac:dyDescent="0.25">
      <c r="A91" s="1" t="str">
        <f ca="1">IFERROR(__xludf.DUMMYFUNCTION("""COMPUTED_VALUE"""),"국민 10명중 8명 “세대갈등 심각하다”…'매우 심각' 전년대비 5%p↑ - 강원도민일보")</f>
        <v>국민 10명중 8명 “세대갈등 심각하다”…'매우 심각' 전년대비 5%p↑ - 강원도민일보</v>
      </c>
      <c r="B91" s="2" t="str">
        <f ca="1">IFERROR(__xludf.DUMMYFUNCTION("""COMPUTED_VALUE"""),"https://news.google.com/rss/articles/CBMiOGh0dHBzOi8vd3d3LmthZG8ubmV0L25ld3MvYXJ0aWNsZVZpZXcuaHRtbD9pZHhubz0xMTczNTgy0gEA?oc=5")</f>
        <v>https://news.google.com/rss/articles/CBMiOGh0dHBzOi8vd3d3LmthZG8ubmV0L25ld3MvYXJ0aWNsZVZpZXcuaHRtbD9pZHhubz0xMTczNTgy0gEA?oc=5</v>
      </c>
      <c r="C91" s="1" t="str">
        <f ca="1">IFERROR(__xludf.DUMMYFUNCTION("""COMPUTED_VALUE"""),"Wed, 15 Mar 2023 07:00:00 GMT")</f>
        <v>Wed, 15 Mar 2023 07:00:00 GMT</v>
      </c>
      <c r="D91" s="1" t="str">
        <f ca="1">IFERROR(__xludf.DUMMYFUNCTION("""COMPUTED_VALUE"""),"국민 10명중 8명 “세대갈등 심각하다”…'매우 심각' 전년대비 5%p↑  강원도민일보")</f>
        <v>국민 10명중 8명 “세대갈등 심각하다”…'매우 심각' 전년대비 5%p↑  강원도민일보</v>
      </c>
    </row>
    <row r="92" spans="1:4" ht="12.5" x14ac:dyDescent="0.25">
      <c r="A92" s="1" t="str">
        <f ca="1">IFERROR(__xludf.DUMMYFUNCTION("""COMPUTED_VALUE"""),"전주감나무골 시공비 인상 갈등 매듭...본격착공위한 마지막 관문 통과 - 전북일보")</f>
        <v>전주감나무골 시공비 인상 갈등 매듭...본격착공위한 마지막 관문 통과 - 전북일보</v>
      </c>
      <c r="B92" s="2" t="str">
        <f ca="1">IFERROR(__xludf.DUMMYFUNCTION("""COMPUTED_VALUE"""),"https://news.google.com/rss/articles/CBMiKmh0dHBzOi8vd3d3LmpqYW4ua3IvYXJ0aWNsZS8yMDIzMDgyNzU4MDE2M9IBLWh0dHBzOi8vd3d3LmpqYW4ua3IvYXJ0aWNsZUFtcC8yMDIzMDgyNzU4MDE2Mw?oc=5")</f>
        <v>https://news.google.com/rss/articles/CBMiKmh0dHBzOi8vd3d3LmpqYW4ua3IvYXJ0aWNsZS8yMDIzMDgyNzU4MDE2M9IBLWh0dHBzOi8vd3d3LmpqYW4ua3IvYXJ0aWNsZUFtcC8yMDIzMDgyNzU4MDE2Mw?oc=5</v>
      </c>
      <c r="C92" s="1" t="str">
        <f ca="1">IFERROR(__xludf.DUMMYFUNCTION("""COMPUTED_VALUE"""),"Sun, 27 Aug 2023 07:06:17 GMT")</f>
        <v>Sun, 27 Aug 2023 07:06:17 GMT</v>
      </c>
      <c r="D92" s="1" t="str">
        <f ca="1">IFERROR(__xludf.DUMMYFUNCTION("""COMPUTED_VALUE"""),"전주감나무골 시공비 인상 갈등 매듭...본격착공위한 마지막 관문 통과  전북일보")</f>
        <v>전주감나무골 시공비 인상 갈등 매듭...본격착공위한 마지막 관문 통과  전북일보</v>
      </c>
    </row>
    <row r="93" spans="1:4" ht="12.5" x14ac:dyDescent="0.25">
      <c r="A93" s="1" t="str">
        <f ca="1">IFERROR(__xludf.DUMMYFUNCTION("""COMPUTED_VALUE"""),"[청플 Report] 잘못된 MZ 프레이밍이 낳은 세대 갈등 - 투데이신문")</f>
        <v>[청플 Report] 잘못된 MZ 프레이밍이 낳은 세대 갈등 - 투데이신문</v>
      </c>
      <c r="B93" s="2" t="str">
        <f ca="1">IFERROR(__xludf.DUMMYFUNCTION("""COMPUTED_VALUE"""),"https://news.google.com/rss/articles/CBMiOmh0dHBzOi8vd3d3Lm50b2RheS5jby5rci9uZXdzL2FydGljbGVWaWV3Lmh0bWw_aWR4bm89OTc1MTHSAT1odHRwczovL3d3dy5udG9kYXkuY28ua3IvbmV3cy9hcnRpY2xlVmlld0FtcC5odG1sP2lkeG5vPTk3NTEx?oc=5")</f>
        <v>https://news.google.com/rss/articles/CBMiOmh0dHBzOi8vd3d3Lm50b2RheS5jby5rci9uZXdzL2FydGljbGVWaWV3Lmh0bWw_aWR4bm89OTc1MTHSAT1odHRwczovL3d3dy5udG9kYXkuY28ua3IvbmV3cy9hcnRpY2xlVmlld0FtcC5odG1sP2lkeG5vPTk3NTEx?oc=5</v>
      </c>
      <c r="C93" s="1" t="str">
        <f ca="1">IFERROR(__xludf.DUMMYFUNCTION("""COMPUTED_VALUE"""),"Mon, 15 May 2023 07:00:00 GMT")</f>
        <v>Mon, 15 May 2023 07:00:00 GMT</v>
      </c>
      <c r="D93" s="1" t="str">
        <f ca="1">IFERROR(__xludf.DUMMYFUNCTION("""COMPUTED_VALUE"""),"[청플 Report] 잘못된 MZ 프레이밍이 낳은 세대 갈등  투데이신문")</f>
        <v>[청플 Report] 잘못된 MZ 프레이밍이 낳은 세대 갈등  투데이신문</v>
      </c>
    </row>
    <row r="94" spans="1:4" ht="12.5" x14ac:dyDescent="0.25">
      <c r="A94" s="1" t="str">
        <f ca="1">IFERROR(__xludf.DUMMYFUNCTION("""COMPUTED_VALUE"""),"이종우 서귀포시장 “지난 1년, 이청득심 자세로 시정 펼쳐...향후 서귀포 ... - 일간제주")</f>
        <v>이종우 서귀포시장 “지난 1년, 이청득심 자세로 시정 펼쳐...향후 서귀포 ... - 일간제주</v>
      </c>
      <c r="B94" s="2" t="str">
        <f ca="1">IFERROR(__xludf.DUMMYFUNCTION("""COMPUTED_VALUE"""),"https://news.google.com/rss/articles/CBMiO2h0dHA6Ly93d3cuaWxnYW5qZWp1LmNvbS9uZXdzL2FydGljbGVWaWV3Lmh0bWw_aWR4bm89MTE2MDA50gEA?oc=5")</f>
        <v>https://news.google.com/rss/articles/CBMiO2h0dHA6Ly93d3cuaWxnYW5qZWp1LmNvbS9uZXdzL2FydGljbGVWaWV3Lmh0bWw_aWR4bm89MTE2MDA50gEA?oc=5</v>
      </c>
      <c r="C94" s="1" t="str">
        <f ca="1">IFERROR(__xludf.DUMMYFUNCTION("""COMPUTED_VALUE"""),"Wed, 30 Aug 2023 05:02:58 GMT")</f>
        <v>Wed, 30 Aug 2023 05:02:58 GMT</v>
      </c>
      <c r="D94" s="1" t="str">
        <f ca="1">IFERROR(__xludf.DUMMYFUNCTION("""COMPUTED_VALUE"""),"이종우 서귀포시장 “지난 1년, 이청득심 자세로 시정 펼쳐...향후 서귀포 ...  일간제주")</f>
        <v>이종우 서귀포시장 “지난 1년, 이청득심 자세로 시정 펼쳐...향후 서귀포 ...  일간제주</v>
      </c>
    </row>
    <row r="95" spans="1:4" ht="12.5" x14ac:dyDescent="0.25">
      <c r="A95" s="1" t="str">
        <f ca="1">IFERROR(__xludf.DUMMYFUNCTION("""COMPUTED_VALUE"""),"박광온 “특정세대 상처주는 언행 않겠다” - 대구신문")</f>
        <v>박광온 “특정세대 상처주는 언행 않겠다” - 대구신문</v>
      </c>
      <c r="B95" s="2" t="str">
        <f ca="1">IFERROR(__xludf.DUMMYFUNCTION("""COMPUTED_VALUE"""),"https://news.google.com/rss/articles/CBMiO2h0dHBzOi8vd3d3LmlkYWVndS5jby5rci9uZXdzL2FydGljbGVWaWV3Lmh0bWw_aWR4bm89NDI5Mjg20gEA?oc=5")</f>
        <v>https://news.google.com/rss/articles/CBMiO2h0dHBzOi8vd3d3LmlkYWVndS5jby5rci9uZXdzL2FydGljbGVWaWV3Lmh0bWw_aWR4bm89NDI5Mjg20gEA?oc=5</v>
      </c>
      <c r="C95" s="1" t="str">
        <f ca="1">IFERROR(__xludf.DUMMYFUNCTION("""COMPUTED_VALUE"""),"Wed, 02 Aug 2023 12:30:25 GMT")</f>
        <v>Wed, 02 Aug 2023 12:30:25 GMT</v>
      </c>
      <c r="D95" s="1" t="str">
        <f ca="1">IFERROR(__xludf.DUMMYFUNCTION("""COMPUTED_VALUE"""),"박광온 “특정세대 상처주는 언행 않겠다”  대구신문")</f>
        <v>박광온 “특정세대 상처주는 언행 않겠다”  대구신문</v>
      </c>
    </row>
    <row r="96" spans="1:4" ht="12.5" x14ac:dyDescent="0.25">
      <c r="A96" s="1" t="str">
        <f ca="1">IFERROR(__xludf.DUMMYFUNCTION("""COMPUTED_VALUE"""),"‘NO 20대존’ 등장… “너희도 당해봐” vs “망하려고 환장했나” - 조선일보")</f>
        <v>‘NO 20대존’ 등장… “너희도 당해봐” vs “망하려고 환장했나” - 조선일보</v>
      </c>
      <c r="B96" s="2" t="str">
        <f ca="1">IFERROR(__xludf.DUMMYFUNCTION("""COMPUTED_VALUE"""),"https://news.google.com/rss/articles/CBMiTmh0dHBzOi8vd3d3LmNob3N1bi5jb20vbmF0aW9uYWwvd2Vla2VuZC8yMDIzLzA4LzI2L0lIRUJDSVdNNU5CWk5HTVU2UFBBWUdZUVlRL9IBXWh0dHBzOi8vd3d3LmNob3N1bi5jb20vbmF0aW9uYWwvd2Vla2VuZC8yMDIzLzA4LzI2L0lIRUJDSVdNNU5CWk5HTVU2UFBBWUdZUVlRLz"&amp;"9vdXRwdXRUeXBlPWFtcA?oc=5")</f>
        <v>https://news.google.com/rss/articles/CBMiTmh0dHBzOi8vd3d3LmNob3N1bi5jb20vbmF0aW9uYWwvd2Vla2VuZC8yMDIzLzA4LzI2L0lIRUJDSVdNNU5CWk5HTVU2UFBBWUdZUVlRL9IBXWh0dHBzOi8vd3d3LmNob3N1bi5jb20vbmF0aW9uYWwvd2Vla2VuZC8yMDIzLzA4LzI2L0lIRUJDSVdNNU5CWk5HTVU2UFBBWUdZUVlRLz9vdXRwdXRUeXBlPWFtcA?oc=5</v>
      </c>
      <c r="C96" s="1" t="str">
        <f ca="1">IFERROR(__xludf.DUMMYFUNCTION("""COMPUTED_VALUE"""),"Sat, 26 Aug 2023 07:00:00 GMT")</f>
        <v>Sat, 26 Aug 2023 07:00:00 GMT</v>
      </c>
      <c r="D96" s="1" t="str">
        <f ca="1">IFERROR(__xludf.DUMMYFUNCTION("""COMPUTED_VALUE"""),"‘NO 20대존’ 등장… “너희도 당해봐” vs “망하려고 환장했나”  조선일보")</f>
        <v>‘NO 20대존’ 등장… “너희도 당해봐” vs “망하려고 환장했나”  조선일보</v>
      </c>
    </row>
    <row r="97" spans="1:4" ht="12.5" x14ac:dyDescent="0.25">
      <c r="A97" s="1" t="str">
        <f ca="1">IFERROR(__xludf.DUMMYFUNCTION("""COMPUTED_VALUE"""),"[최승훈 소장의 세상사는 이야기] 사고(思考)의 세대교체(世代交替) - 아웃소싱타임스")</f>
        <v>[최승훈 소장의 세상사는 이야기] 사고(思考)의 세대교체(世代交替) - 아웃소싱타임스</v>
      </c>
      <c r="B97" s="2" t="str">
        <f ca="1">IFERROR(__xludf.DUMMYFUNCTION("""COMPUTED_VALUE"""),"https://news.google.com/rss/articles/CBMiP2h0dHBzOi8vd3d3Lm91dHNvdXJjaW5nLmNvLmtyL25ld3MvYXJ0aWNsZVZpZXcuaHRtbD9pZHhubz05NzI1NdIBAA?oc=5")</f>
        <v>https://news.google.com/rss/articles/CBMiP2h0dHBzOi8vd3d3Lm91dHNvdXJjaW5nLmNvLmtyL25ld3MvYXJ0aWNsZVZpZXcuaHRtbD9pZHhubz05NzI1NdIBAA?oc=5</v>
      </c>
      <c r="C97" s="1" t="str">
        <f ca="1">IFERROR(__xludf.DUMMYFUNCTION("""COMPUTED_VALUE"""),"Wed, 16 Aug 2023 21:00:00 GMT")</f>
        <v>Wed, 16 Aug 2023 21:00:00 GMT</v>
      </c>
      <c r="D97" s="1" t="str">
        <f ca="1">IFERROR(__xludf.DUMMYFUNCTION("""COMPUTED_VALUE"""),"[최승훈 소장의 세상사는 이야기] 사고(思考)의 세대교체(世代交替)  아웃소싱타임스")</f>
        <v>[최승훈 소장의 세상사는 이야기] 사고(思考)의 세대교체(世代交替)  아웃소싱타임스</v>
      </c>
    </row>
    <row r="98" spans="1:4" ht="12.5" x14ac:dyDescent="0.25">
      <c r="A98" s="1" t="str">
        <f ca="1">IFERROR(__xludf.DUMMYFUNCTION("""COMPUTED_VALUE"""),"[백영옥의 말과 글] [318] 아직 서로에게 배울 게 많다 - 조선일보")</f>
        <v>[백영옥의 말과 글] [318] 아직 서로에게 배울 게 많다 - 조선일보</v>
      </c>
      <c r="B98" s="2" t="str">
        <f ca="1">IFERROR(__xludf.DUMMYFUNCTION("""COMPUTED_VALUE"""),"https://news.google.com/rss/articles/CBMiV2h0dHBzOi8vd3d3LmNob3N1bi5jb20vb3Bpbmlvbi9zcGVjaWFsaXN0X2NvbHVtbi8yMDIzLzA4LzI2L0hNM0hCSERQWTVHSkpGVFRSNkdWNUdIUUVNL9IBZmh0dHBzOi8vd3d3LmNob3N1bi5jb20vb3Bpbmlvbi9zcGVjaWFsaXN0X2NvbHVtbi8yMDIzLzA4LzI2L0hNM0hCSERQWT"&amp;"VHSkpGVFRSNkdWNUdIUUVNLz9vdXRwdXRUeXBlPWFtcA?oc=5")</f>
        <v>https://news.google.com/rss/articles/CBMiV2h0dHBzOi8vd3d3LmNob3N1bi5jb20vb3Bpbmlvbi9zcGVjaWFsaXN0X2NvbHVtbi8yMDIzLzA4LzI2L0hNM0hCSERQWTVHSkpGVFRSNkdWNUdIUUVNL9IBZmh0dHBzOi8vd3d3LmNob3N1bi5jb20vb3Bpbmlvbi9zcGVjaWFsaXN0X2NvbHVtbi8yMDIzLzA4LzI2L0hNM0hCSERQWTVHSkpGVFRSNkdWNUdIUUVNLz9vdXRwdXRUeXBlPWFtcA?oc=5</v>
      </c>
      <c r="C98" s="1" t="str">
        <f ca="1">IFERROR(__xludf.DUMMYFUNCTION("""COMPUTED_VALUE"""),"Fri, 25 Aug 2023 18:00:00 GMT")</f>
        <v>Fri, 25 Aug 2023 18:00:00 GMT</v>
      </c>
      <c r="D98" s="1" t="str">
        <f ca="1">IFERROR(__xludf.DUMMYFUNCTION("""COMPUTED_VALUE"""),"[백영옥의 말과 글] [318] 아직 서로에게 배울 게 많다  조선일보")</f>
        <v>[백영옥의 말과 글] [318] 아직 서로에게 배울 게 많다  조선일보</v>
      </c>
    </row>
    <row r="99" spans="1:4" ht="12.5" x14ac:dyDescent="0.25">
      <c r="A99" s="1" t="str">
        <f ca="1">IFERROR(__xludf.DUMMYFUNCTION("""COMPUTED_VALUE"""),"[청플 Report] MZ는 왜 그러냐고요?…청년 직장인이 말하는 MZ세대와 직장 내 세대 갈등 - 투데이신문")</f>
        <v>[청플 Report] MZ는 왜 그러냐고요?…청년 직장인이 말하는 MZ세대와 직장 내 세대 갈등 - 투데이신문</v>
      </c>
      <c r="B99" s="2" t="str">
        <f ca="1">IFERROR(__xludf.DUMMYFUNCTION("""COMPUTED_VALUE"""),"https://news.google.com/rss/articles/CBMiOmh0dHBzOi8vd3d3Lm50b2RheS5jby5rci9uZXdzL2FydGljbGVWaWV3Lmh0bWw_aWR4bm89OTc1MDHSAT1odHRwczovL3d3dy5udG9kYXkuY28ua3IvbmV3cy9hcnRpY2xlVmlld0FtcC5odG1sP2lkeG5vPTk3NTAx?oc=5")</f>
        <v>https://news.google.com/rss/articles/CBMiOmh0dHBzOi8vd3d3Lm50b2RheS5jby5rci9uZXdzL2FydGljbGVWaWV3Lmh0bWw_aWR4bm89OTc1MDHSAT1odHRwczovL3d3dy5udG9kYXkuY28ua3IvbmV3cy9hcnRpY2xlVmlld0FtcC5odG1sP2lkeG5vPTk3NTAx?oc=5</v>
      </c>
      <c r="C99" s="1" t="str">
        <f ca="1">IFERROR(__xludf.DUMMYFUNCTION("""COMPUTED_VALUE"""),"Fri, 12 May 2023 07:00:00 GMT")</f>
        <v>Fri, 12 May 2023 07:00:00 GMT</v>
      </c>
      <c r="D99" s="1" t="str">
        <f ca="1">IFERROR(__xludf.DUMMYFUNCTION("""COMPUTED_VALUE"""),"[청플 Report] MZ는 왜 그러냐고요?…청년 직장인이 말하는 MZ세대와 직장 내 세대 갈등  투데이신문")</f>
        <v>[청플 Report] MZ는 왜 그러냐고요?…청년 직장인이 말하는 MZ세대와 직장 내 세대 갈등  투데이신문</v>
      </c>
    </row>
    <row r="100" spans="1:4" ht="12.5" x14ac:dyDescent="0.25">
      <c r="A100" s="1" t="str">
        <f ca="1">IFERROR(__xludf.DUMMYFUNCTION("""COMPUTED_VALUE"""),"광주-강진, '청렴가치 현장교육' 협약 체결 - AI타임스")</f>
        <v>광주-강진, '청렴가치 현장교육' 협약 체결 - AI타임스</v>
      </c>
      <c r="B100" s="2" t="str">
        <f ca="1">IFERROR(__xludf.DUMMYFUNCTION("""COMPUTED_VALUE"""),"https://news.google.com/rss/articles/CBMiOmh0dHBzOi8vd3d3LmFpdGltZXMuY29tL25ld3MvYXJ0aWNsZVZpZXcuaHRtbD9pZHhubz0xNTMxMzHSAQA?oc=5")</f>
        <v>https://news.google.com/rss/articles/CBMiOmh0dHBzOi8vd3d3LmFpdGltZXMuY29tL25ld3MvYXJ0aWNsZVZpZXcuaHRtbD9pZHhubz0xNTMxMzHSAQA?oc=5</v>
      </c>
      <c r="C100" s="1" t="str">
        <f ca="1">IFERROR(__xludf.DUMMYFUNCTION("""COMPUTED_VALUE"""),"Fri, 25 Aug 2023 09:03:27 GMT")</f>
        <v>Fri, 25 Aug 2023 09:03:27 GMT</v>
      </c>
      <c r="D100" s="1" t="str">
        <f ca="1">IFERROR(__xludf.DUMMYFUNCTION("""COMPUTED_VALUE"""),"광주-강진, '청렴가치 현장교육' 협약 체결  AI타임스")</f>
        <v>광주-강진, '청렴가치 현장교육' 협약 체결  AI타임스</v>
      </c>
    </row>
    <row r="101" spans="1:4" ht="12.5" x14ac:dyDescent="0.25">
      <c r="A101" s="1" t="str">
        <f ca="1">IFERROR(__xludf.DUMMYFUNCTION("""COMPUTED_VALUE"""),"국민통합위, 1년 활동·2기 운영계획 보고…갈등 예방 역할 강화 - 뉴스핌")</f>
        <v>국민통합위, 1년 활동·2기 운영계획 보고…갈등 예방 역할 강화 - 뉴스핌</v>
      </c>
      <c r="B101" s="2" t="str">
        <f ca="1">IFERROR(__xludf.DUMMYFUNCTION("""COMPUTED_VALUE"""),"https://news.google.com/rss/articles/CBMiMGh0dHBzOi8vd3d3Lm5ld3NwaW0uY29tL25ld3Mvdmlldy8yMDIzMDgyNTAwMDA4NtIBMWh0dHBzOi8vbS5uZXdzcGltLmNvbS9uZXdzYW1wL3ZpZXcvMjAyMzA4MjUwMDAwODY?oc=5")</f>
        <v>https://news.google.com/rss/articles/CBMiMGh0dHBzOi8vd3d3Lm5ld3NwaW0uY29tL25ld3Mvdmlldy8yMDIzMDgyNTAwMDA4NtIBMWh0dHBzOi8vbS5uZXdzcGltLmNvbS9uZXdzYW1wL3ZpZXcvMjAyMzA4MjUwMDAwODY?oc=5</v>
      </c>
      <c r="C101" s="1" t="str">
        <f ca="1">IFERROR(__xludf.DUMMYFUNCTION("""COMPUTED_VALUE"""),"Fri, 25 Aug 2023 02:01:00 GMT")</f>
        <v>Fri, 25 Aug 2023 02:01:00 GMT</v>
      </c>
      <c r="D101" s="1" t="str">
        <f ca="1">IFERROR(__xludf.DUMMYFUNCTION("""COMPUTED_VALUE"""),"국민통합위, 1년 활동·2기 운영계획 보고…갈등 예방 역할 강화  뉴스핌")</f>
        <v>국민통합위, 1년 활동·2기 운영계획 보고…갈등 예방 역할 강화  뉴스핌</v>
      </c>
    </row>
    <row r="102" spans="1:4" ht="12.5" x14ac:dyDescent="0.25">
      <c r="A102" s="1" t="str">
        <f ca="1">IFERROR(__xludf.DUMMYFUNCTION("""COMPUTED_VALUE"""),"부부상담가 자처한 황현식, LG유플 이끄는 '소통 리더십' - 전자신문")</f>
        <v>부부상담가 자처한 황현식, LG유플 이끄는 '소통 리더십' - 전자신문</v>
      </c>
      <c r="B102" s="2" t="str">
        <f ca="1">IFERROR(__xludf.DUMMYFUNCTION("""COMPUTED_VALUE"""),"https://news.google.com/rss/articles/CBMiJWh0dHBzOi8vd3d3LmV0bmV3cy5jb20vMjAyMzA4MDQwMDAwNjHSAQA?oc=5")</f>
        <v>https://news.google.com/rss/articles/CBMiJWh0dHBzOi8vd3d3LmV0bmV3cy5jb20vMjAyMzA4MDQwMDAwNjHSAQA?oc=5</v>
      </c>
      <c r="C102" s="1" t="str">
        <f ca="1">IFERROR(__xludf.DUMMYFUNCTION("""COMPUTED_VALUE"""),"Sun, 06 Aug 2023 07:00:00 GMT")</f>
        <v>Sun, 06 Aug 2023 07:00:00 GMT</v>
      </c>
      <c r="D102" s="1" t="str">
        <f ca="1">IFERROR(__xludf.DUMMYFUNCTION("""COMPUTED_VALUE"""),"부부상담가 자처한 황현식, LG유플 이끄는 '소통 리더십'  전자신문")</f>
        <v>부부상담가 자처한 황현식, LG유플 이끄는 '소통 리더십'  전자신문</v>
      </c>
    </row>
    <row r="103" spans="1:4" ht="12.5" x14ac:dyDescent="0.25">
      <c r="A103" s="1" t="str">
        <f ca="1">IFERROR(__xludf.DUMMYFUNCTION("""COMPUTED_VALUE"""),"국제기구까지 연금개혁 촉구하는 '초고령 한국' - 한국경제")</f>
        <v>국제기구까지 연금개혁 촉구하는 '초고령 한국' - 한국경제</v>
      </c>
      <c r="B103" s="2" t="str">
        <f ca="1">IFERROR(__xludf.DUMMYFUNCTION("""COMPUTED_VALUE"""),"https://news.google.com/rss/articles/CBMiNmh0dHBzOi8vd3d3Lmhhbmt5dW5nLmNvbS9vcGluaW9uL2FydGljbGUvMjAyMzA4MjU5OTI2MdIBMmh0dHBzOi8vd3d3Lmhhbmt5dW5nLmNvbS9vcGluaW9uL2FtcC8yMDIzMDgyNTk5MjYx?oc=5")</f>
        <v>https://news.google.com/rss/articles/CBMiNmh0dHBzOi8vd3d3Lmhhbmt5dW5nLmNvbS9vcGluaW9uL2FydGljbGUvMjAyMzA4MjU5OTI2MdIBMmh0dHBzOi8vd3d3Lmhhbmt5dW5nLmNvbS9vcGluaW9uL2FtcC8yMDIzMDgyNTk5MjYx?oc=5</v>
      </c>
      <c r="C103" s="1" t="str">
        <f ca="1">IFERROR(__xludf.DUMMYFUNCTION("""COMPUTED_VALUE"""),"Fri, 25 Aug 2023 09:04:35 GMT")</f>
        <v>Fri, 25 Aug 2023 09:04:35 GMT</v>
      </c>
      <c r="D103" s="1" t="str">
        <f ca="1">IFERROR(__xludf.DUMMYFUNCTION("""COMPUTED_VALUE"""),"국제기구까지 연금개혁 촉구하는 '초고령 한국'  한국경제")</f>
        <v>국제기구까지 연금개혁 촉구하는 '초고령 한국'  한국경제</v>
      </c>
    </row>
    <row r="104" spans="1:4" ht="12.5" x14ac:dyDescent="0.25">
      <c r="A104" s="1" t="str">
        <f ca="1">IFERROR(__xludf.DUMMYFUNCTION("""COMPUTED_VALUE"""),"[2023 세대인식조사] 세대갈등 및 다른 세대에 대한 인식 - 한국리서치 정기조사 여론 속의 여론")</f>
        <v>[2023 세대인식조사] 세대갈등 및 다른 세대에 대한 인식 - 한국리서치 정기조사 여론 속의 여론</v>
      </c>
      <c r="B104" s="2" t="str">
        <f ca="1">IFERROR(__xludf.DUMMYFUNCTION("""COMPUTED_VALUE"""),"https://news.google.com/rss/articles/CBMiJ2h0dHBzOi8vaHJjb3Bpbmlvbi5jby5rci9hcmNoaXZlcy8yNTk3OdIBK2h0dHBzOi8vaHJjb3Bpbmlvbi5jby5rci9hcmNoaXZlcy8yNTk3OS9hbXA?oc=5")</f>
        <v>https://news.google.com/rss/articles/CBMiJ2h0dHBzOi8vaHJjb3Bpbmlvbi5jby5rci9hcmNoaXZlcy8yNTk3OdIBK2h0dHBzOi8vaHJjb3Bpbmlvbi5jby5rci9hcmNoaXZlcy8yNTk3OS9hbXA?oc=5</v>
      </c>
      <c r="C104" s="1" t="str">
        <f ca="1">IFERROR(__xludf.DUMMYFUNCTION("""COMPUTED_VALUE"""),"Tue, 14 Mar 2023 07:00:00 GMT")</f>
        <v>Tue, 14 Mar 2023 07:00:00 GMT</v>
      </c>
      <c r="D104" s="1" t="str">
        <f ca="1">IFERROR(__xludf.DUMMYFUNCTION("""COMPUTED_VALUE"""),"[2023 세대인식조사] 세대갈등 및 다른 세대에 대한 인식  한국리서치 정기조사 여론 속의 여론")</f>
        <v>[2023 세대인식조사] 세대갈등 및 다른 세대에 대한 인식  한국리서치 정기조사 여론 속의 여론</v>
      </c>
    </row>
    <row r="105" spans="1:4" ht="12.5" x14ac:dyDescent="0.25">
      <c r="A105" s="1" t="str">
        <f ca="1">IFERROR(__xludf.DUMMYFUNCTION("""COMPUTED_VALUE"""),"한국 내 사회갈등 얼마나 심각할까…통합위, 10대 국민통합지표 선정 - 디지털타임스")</f>
        <v>한국 내 사회갈등 얼마나 심각할까…통합위, 10대 국민통합지표 선정 - 디지털타임스</v>
      </c>
      <c r="B105" s="2" t="str">
        <f ca="1">IFERROR(__xludf.DUMMYFUNCTION("""COMPUTED_VALUE"""),"https://news.google.com/rss/articles/CBMiQmh0dHBzOi8vbS5kdC5jby5rci9jb250ZW50cy5odG1sP2FydGljbGVfbm89MjAyMzA4MDcwMjEwOTk1ODA0NDAwM9IBAA?oc=5")</f>
        <v>https://news.google.com/rss/articles/CBMiQmh0dHBzOi8vbS5kdC5jby5rci9jb250ZW50cy5odG1sP2FydGljbGVfbm89MjAyMzA4MDcwMjEwOTk1ODA0NDAwM9IBAA?oc=5</v>
      </c>
      <c r="C105" s="1" t="str">
        <f ca="1">IFERROR(__xludf.DUMMYFUNCTION("""COMPUTED_VALUE"""),"Mon, 07 Aug 2023 09:45:00 GMT")</f>
        <v>Mon, 07 Aug 2023 09:45:00 GMT</v>
      </c>
      <c r="D105" s="1" t="str">
        <f ca="1">IFERROR(__xludf.DUMMYFUNCTION("""COMPUTED_VALUE"""),"한국 내 사회갈등 얼마나 심각할까…통합위, 10대 국민통합지표 선정  디지털타임스")</f>
        <v>한국 내 사회갈등 얼마나 심각할까…통합위, 10대 국민통합지표 선정  디지털타임스</v>
      </c>
    </row>
    <row r="106" spans="1:4" ht="12.5" x14ac:dyDescent="0.25">
      <c r="A106" s="1" t="str">
        <f ca="1">IFERROR(__xludf.DUMMYFUNCTION("""COMPUTED_VALUE"""),"[기획] 직장 내 세대차이에 대한 오해와 진실 - 한국리서치 정기조사 여론 속의 여론")</f>
        <v>[기획] 직장 내 세대차이에 대한 오해와 진실 - 한국리서치 정기조사 여론 속의 여론</v>
      </c>
      <c r="B106" s="2" t="str">
        <f ca="1">IFERROR(__xludf.DUMMYFUNCTION("""COMPUTED_VALUE"""),"https://news.google.com/rss/articles/CBMiJ2h0dHBzOi8vaHJjb3Bpbmlvbi5jby5rci9hcmNoaXZlcy8yNjYxONIBK2h0dHBzOi8vaHJjb3Bpbmlvbi5jby5rci9hcmNoaXZlcy8yNjYxOC9hbXA?oc=5")</f>
        <v>https://news.google.com/rss/articles/CBMiJ2h0dHBzOi8vaHJjb3Bpbmlvbi5jby5rci9hcmNoaXZlcy8yNjYxONIBK2h0dHBzOi8vaHJjb3Bpbmlvbi5jby5rci9hcmNoaXZlcy8yNjYxOC9hbXA?oc=5</v>
      </c>
      <c r="C106" s="1" t="str">
        <f ca="1">IFERROR(__xludf.DUMMYFUNCTION("""COMPUTED_VALUE"""),"Wed, 17 May 2023 07:00:00 GMT")</f>
        <v>Wed, 17 May 2023 07:00:00 GMT</v>
      </c>
      <c r="D106" s="1" t="str">
        <f ca="1">IFERROR(__xludf.DUMMYFUNCTION("""COMPUTED_VALUE"""),"[기획] 직장 내 세대차이에 대한 오해와 진실  한국리서치 정기조사 여론 속의 여론")</f>
        <v>[기획] 직장 내 세대차이에 대한 오해와 진실  한국리서치 정기조사 여론 속의 여론</v>
      </c>
    </row>
    <row r="107" spans="1:4" ht="12.5" x14ac:dyDescent="0.25">
      <c r="A107" s="1" t="str">
        <f ca="1">IFERROR(__xludf.DUMMYFUNCTION("""COMPUTED_VALUE"""),"심각한 세대 갈등…""갈등 안 보이는 교회, 더 심각"" - 기독신문")</f>
        <v>심각한 세대 갈등…"갈등 안 보이는 교회, 더 심각" - 기독신문</v>
      </c>
      <c r="B107" s="2" t="str">
        <f ca="1">IFERROR(__xludf.DUMMYFUNCTION("""COMPUTED_VALUE"""),"https://news.google.com/rss/articles/CBMiOGh0dHBzOi8vd3d3LmtpZG9rLmNvbS9uZXdzL2FydGljbGVWaWV3Lmh0bWw_aWR4bm89MjE5MjQ40gE7aHR0cHM6Ly93d3cua2lkb2suY29tL25ld3MvYXJ0aWNsZVZpZXdBbXAuaHRtbD9pZHhubz0yMTkyNDg?oc=5")</f>
        <v>https://news.google.com/rss/articles/CBMiOGh0dHBzOi8vd3d3LmtpZG9rLmNvbS9uZXdzL2FydGljbGVWaWV3Lmh0bWw_aWR4bm89MjE5MjQ40gE7aHR0cHM6Ly93d3cua2lkb2suY29tL25ld3MvYXJ0aWNsZVZpZXdBbXAuaHRtbD9pZHhubz0yMTkyNDg?oc=5</v>
      </c>
      <c r="C107" s="1" t="str">
        <f ca="1">IFERROR(__xludf.DUMMYFUNCTION("""COMPUTED_VALUE"""),"Mon, 27 Mar 2023 07:00:00 GMT")</f>
        <v>Mon, 27 Mar 2023 07:00:00 GMT</v>
      </c>
      <c r="D107" s="1" t="str">
        <f ca="1">IFERROR(__xludf.DUMMYFUNCTION("""COMPUTED_VALUE"""),"심각한 세대 갈등…""갈등 안 보이는 교회, 더 심각""  기독신문")</f>
        <v>심각한 세대 갈등…"갈등 안 보이는 교회, 더 심각"  기독신문</v>
      </c>
    </row>
    <row r="108" spans="1:4" ht="12.5" x14ac:dyDescent="0.25">
      <c r="A108" s="1" t="str">
        <f ca="1">IFERROR(__xludf.DUMMYFUNCTION("""COMPUTED_VALUE"""),"싼타페 맞아? '각' 잡고 덩치 더 키웠다…확 바뀐 5세대 타보니 - 머니투데이")</f>
        <v>싼타페 맞아? '각' 잡고 덩치 더 키웠다…확 바뀐 5세대 타보니 - 머니투데이</v>
      </c>
      <c r="B108" s="2" t="str">
        <f ca="1">IFERROR(__xludf.DUMMYFUNCTION("""COMPUTED_VALUE"""),"https://news.google.com/rss/articles/CBMiN2h0dHBzOi8vbmV3cy5tdC5jby5rci9tdHZpZXcucGhwP25vPTIwMjMwODI1MDYzOTQ3NTkwNzTSAT1odHRwczovL20ubXQuY28ua3IvcmVuZXcvdmlld19hbXAuaHRtbD9ubz0yMDIzMDgyNTA2Mzk0NzU5MDc0?oc=5")</f>
        <v>https://news.google.com/rss/articles/CBMiN2h0dHBzOi8vbmV3cy5tdC5jby5rci9tdHZpZXcucGhwP25vPTIwMjMwODI1MDYzOTQ3NTkwNzTSAT1odHRwczovL20ubXQuY28ua3IvcmVuZXcvdmlld19hbXAuaHRtbD9ubz0yMDIzMDgyNTA2Mzk0NzU5MDc0?oc=5</v>
      </c>
      <c r="C108" s="1" t="str">
        <f ca="1">IFERROR(__xludf.DUMMYFUNCTION("""COMPUTED_VALUE"""),"Fri, 25 Aug 2023 00:42:01 GMT")</f>
        <v>Fri, 25 Aug 2023 00:42:01 GMT</v>
      </c>
      <c r="D108" s="1" t="str">
        <f ca="1">IFERROR(__xludf.DUMMYFUNCTION("""COMPUTED_VALUE"""),"싼타페 맞아? '각' 잡고 덩치 더 키웠다…확 바뀐 5세대 타보니  머니투데이")</f>
        <v>싼타페 맞아? '각' 잡고 덩치 더 키웠다…확 바뀐 5세대 타보니  머니투데이</v>
      </c>
    </row>
    <row r="109" spans="1:4" ht="12.5" x14ac:dyDescent="0.25">
      <c r="A109" s="1" t="str">
        <f ca="1">IFERROR(__xludf.DUMMYFUNCTION("""COMPUTED_VALUE"""),"[김규항의 교육·시장·인간](2)반공 노인과 반페미 소년 - 주간경향")</f>
        <v>[김규항의 교육·시장·인간](2)반공 노인과 반페미 소년 - 주간경향</v>
      </c>
      <c r="B109" s="2" t="str">
        <f ca="1">IFERROR(__xludf.DUMMYFUNCTION("""COMPUTED_VALUE"""),"https://news.google.com/rss/articles/CBMiS2h0dHA6Ly93ZWVrbHkua2hhbi5jby5rci9raG5tLmh0bWw_bW9kZT12aWV3JmFydGlkPTIwMjMwODI1MTA1NTE3MSZjb2RlPTExNdIBAA?oc=5")</f>
        <v>https://news.google.com/rss/articles/CBMiS2h0dHA6Ly93ZWVrbHkua2hhbi5jby5rci9raG5tLmh0bWw_bW9kZT12aWV3JmFydGlkPTIwMjMwODI1MTA1NTE3MSZjb2RlPTExNdIBAA?oc=5</v>
      </c>
      <c r="C109" s="1" t="str">
        <f ca="1">IFERROR(__xludf.DUMMYFUNCTION("""COMPUTED_VALUE"""),"Fri, 25 Aug 2023 07:00:00 GMT")</f>
        <v>Fri, 25 Aug 2023 07:00:00 GMT</v>
      </c>
      <c r="D109" s="1" t="str">
        <f ca="1">IFERROR(__xludf.DUMMYFUNCTION("""COMPUTED_VALUE"""),"[김규항의 교육·시장·인간](2)반공 노인과 반페미 소년  주간경향")</f>
        <v>[김규항의 교육·시장·인간](2)반공 노인과 반페미 소년  주간경향</v>
      </c>
    </row>
    <row r="110" spans="1:4" ht="12.5" x14ac:dyDescent="0.25">
      <c r="A110" s="1" t="str">
        <f ca="1">IFERROR(__xludf.DUMMYFUNCTION("""COMPUTED_VALUE"""),"""직장 내 세대 차이 느낀다"" 74%, ""부정적 영향""은 23% - 한국일보")</f>
        <v>"직장 내 세대 차이 느낀다" 74%, "부정적 영향"은 23% - 한국일보</v>
      </c>
      <c r="B110" s="2" t="str">
        <f ca="1">IFERROR(__xludf.DUMMYFUNCTION("""COMPUTED_VALUE"""),"https://news.google.com/rss/articles/CBMiOGh0dHBzOi8vbS5oYW5rb29raWxiby5jb20vTmV3cy9SZWFkL0EyMDIzMDQyNTAxMzQwMDAwMTk30gEA?oc=5")</f>
        <v>https://news.google.com/rss/articles/CBMiOGh0dHBzOi8vbS5oYW5rb29raWxiby5jb20vTmV3cy9SZWFkL0EyMDIzMDQyNTAxMzQwMDAwMTk30gEA?oc=5</v>
      </c>
      <c r="C110" s="1" t="str">
        <f ca="1">IFERROR(__xludf.DUMMYFUNCTION("""COMPUTED_VALUE"""),"Sat, 06 May 2023 07:00:00 GMT")</f>
        <v>Sat, 06 May 2023 07:00:00 GMT</v>
      </c>
      <c r="D110" s="1" t="str">
        <f ca="1">IFERROR(__xludf.DUMMYFUNCTION("""COMPUTED_VALUE"""),"""직장 내 세대 차이 느낀다"" 74%, ""부정적 영향""은 23%  한국일보")</f>
        <v>"직장 내 세대 차이 느낀다" 74%, "부정적 영향"은 23%  한국일보</v>
      </c>
    </row>
    <row r="111" spans="1:4" ht="12.5" x14ac:dyDescent="0.25">
      <c r="A111" s="1" t="str">
        <f ca="1">IFERROR(__xludf.DUMMYFUNCTION("""COMPUTED_VALUE"""),"[이주향칼럼] 세대 갈등 - 세계일보")</f>
        <v>[이주향칼럼] 세대 갈등 - 세계일보</v>
      </c>
      <c r="B111" s="2" t="str">
        <f ca="1">IFERROR(__xludf.DUMMYFUNCTION("""COMPUTED_VALUE"""),"https://news.google.com/rss/articles/CBMiJ2h0dHBzOi8vbS5zZWd5ZS5jb20vdmlldy8yMDIzMDcxNjUxMzIyONIBKmh0dHBzOi8vbS5zZWd5ZS5jb20vYW1wVmlldy8yMDIzMDcxNjUxMzIyOA?oc=5")</f>
        <v>https://news.google.com/rss/articles/CBMiJ2h0dHBzOi8vbS5zZWd5ZS5jb20vdmlldy8yMDIzMDcxNjUxMzIyONIBKmh0dHBzOi8vbS5zZWd5ZS5jb20vYW1wVmlldy8yMDIzMDcxNjUxMzIyOA?oc=5</v>
      </c>
      <c r="C111" s="1" t="str">
        <f ca="1">IFERROR(__xludf.DUMMYFUNCTION("""COMPUTED_VALUE"""),"Sun, 16 Jul 2023 07:00:00 GMT")</f>
        <v>Sun, 16 Jul 2023 07:00:00 GMT</v>
      </c>
      <c r="D111" s="1" t="str">
        <f ca="1">IFERROR(__xludf.DUMMYFUNCTION("""COMPUTED_VALUE"""),"[이주향칼럼] 세대 갈등  세계일보")</f>
        <v>[이주향칼럼] 세대 갈등  세계일보</v>
      </c>
    </row>
    <row r="112" spans="1:4" ht="12.5" x14ac:dyDescent="0.25">
      <c r="A112" s="1" t="str">
        <f ca="1">IFERROR(__xludf.DUMMYFUNCTION("""COMPUTED_VALUE"""),"잇단 증오범죄·묻지마 살인…“인터넷의 책임은?” - IT비즈뉴스")</f>
        <v>잇단 증오범죄·묻지마 살인…“인터넷의 책임은?” - IT비즈뉴스</v>
      </c>
      <c r="B112" s="2" t="str">
        <f ca="1">IFERROR(__xludf.DUMMYFUNCTION("""COMPUTED_VALUE"""),"https://news.google.com/rss/articles/CBMiPGh0dHBzOi8vd3d3Lml0Yml6bmV3cy5jb20vbmV3cy9hcnRpY2xlVmlldy5odG1sP2lkeG5vPTEwOTA2MtIBAA?oc=5")</f>
        <v>https://news.google.com/rss/articles/CBMiPGh0dHBzOi8vd3d3Lml0Yml6bmV3cy5jb20vbmV3cy9hcnRpY2xlVmlldy5odG1sP2lkeG5vPTEwOTA2MtIBAA?oc=5</v>
      </c>
      <c r="C112" s="1" t="str">
        <f ca="1">IFERROR(__xludf.DUMMYFUNCTION("""COMPUTED_VALUE"""),"Tue, 29 Aug 2023 06:00:00 GMT")</f>
        <v>Tue, 29 Aug 2023 06:00:00 GMT</v>
      </c>
      <c r="D112" s="1" t="str">
        <f ca="1">IFERROR(__xludf.DUMMYFUNCTION("""COMPUTED_VALUE"""),"잇단 증오범죄·묻지마 살인…“인터넷의 책임은?”  IT비즈뉴스")</f>
        <v>잇단 증오범죄·묻지마 살인…“인터넷의 책임은?”  IT비즈뉴스</v>
      </c>
    </row>
    <row r="113" spans="1:4" ht="12.5" x14ac:dyDescent="0.25">
      <c r="A113" s="1" t="str">
        <f ca="1">IFERROR(__xludf.DUMMYFUNCTION("""COMPUTED_VALUE"""),"격해지는 오염수 갈등…日 ""中 수입금지, WTO 제소 검토 중"" - 머니투데이")</f>
        <v>격해지는 오염수 갈등…日 "中 수입금지, WTO 제소 검토 중" - 머니투데이</v>
      </c>
      <c r="B113" s="2" t="str">
        <f ca="1">IFERROR(__xludf.DUMMYFUNCTION("""COMPUTED_VALUE"""),"https://news.google.com/rss/articles/CBMiN2h0dHBzOi8vbmV3cy5tdC5jby5rci9tdHZpZXcucGhwP25vPTIwMjMwODI5MTU0NjA3OTIyOTXSAT1odHRwczovL20ubXQuY28ua3IvcmVuZXcvdmlld19hbXAuaHRtbD9ubz0yMDIzMDgyOTE1NDYwNzkyMjk1?oc=5")</f>
        <v>https://news.google.com/rss/articles/CBMiN2h0dHBzOi8vbmV3cy5tdC5jby5rci9tdHZpZXcucGhwP25vPTIwMjMwODI5MTU0NjA3OTIyOTXSAT1odHRwczovL20ubXQuY28ua3IvcmVuZXcvdmlld19hbXAuaHRtbD9ubz0yMDIzMDgyOTE1NDYwNzkyMjk1?oc=5</v>
      </c>
      <c r="C113" s="1" t="str">
        <f ca="1">IFERROR(__xludf.DUMMYFUNCTION("""COMPUTED_VALUE"""),"Tue, 29 Aug 2023 07:43:21 GMT")</f>
        <v>Tue, 29 Aug 2023 07:43:21 GMT</v>
      </c>
      <c r="D113" s="1" t="str">
        <f ca="1">IFERROR(__xludf.DUMMYFUNCTION("""COMPUTED_VALUE"""),"격해지는 오염수 갈등…日 ""中 수입금지, WTO 제소 검토 중""  머니투데이")</f>
        <v>격해지는 오염수 갈등…日 "中 수입금지, WTO 제소 검토 중"  머니투데이</v>
      </c>
    </row>
    <row r="114" spans="1:4" ht="12.5" x14ac:dyDescent="0.25">
      <c r="A114" s="1" t="str">
        <f ca="1">IFERROR(__xludf.DUMMYFUNCTION("""COMPUTED_VALUE"""),"5세대 아이돌의 몰락' 피프티피프티, 법원 판결로 소속사 돌아가야 ... - 한국정경신문")</f>
        <v>5세대 아이돌의 몰락' 피프티피프티, 법원 판결로 소속사 돌아가야 ... - 한국정경신문</v>
      </c>
      <c r="B114" s="2" t="str">
        <f ca="1">IFERROR(__xludf.DUMMYFUNCTION("""COMPUTED_VALUE"""),"https://news.google.com/rss/articles/CBMiJ2h0dHA6Ly9rcGVuZXdzLmNvbS9WaWV3LmFzcHg_Tm89MjkyNTE0ONIBAA?oc=5")</f>
        <v>https://news.google.com/rss/articles/CBMiJ2h0dHA6Ly9rcGVuZXdzLmNvbS9WaWV3LmFzcHg_Tm89MjkyNTE0ONIBAA?oc=5</v>
      </c>
      <c r="C114" s="1" t="str">
        <f ca="1">IFERROR(__xludf.DUMMYFUNCTION("""COMPUTED_VALUE"""),"Mon, 28 Aug 2023 13:11:00 GMT")</f>
        <v>Mon, 28 Aug 2023 13:11:00 GMT</v>
      </c>
      <c r="D114" s="1" t="str">
        <f ca="1">IFERROR(__xludf.DUMMYFUNCTION("""COMPUTED_VALUE"""),"5세대 아이돌의 몰락' 피프티피프티, 법원 판결로 소속사 돌아가야 ...  한국정경신문")</f>
        <v>5세대 아이돌의 몰락' 피프티피프티, 법원 판결로 소속사 돌아가야 ...  한국정경신문</v>
      </c>
    </row>
    <row r="115" spans="1:4" ht="12.5" x14ac:dyDescent="0.25">
      <c r="A115" s="1" t="str">
        <f ca="1">IFERROR(__xludf.DUMMYFUNCTION("""COMPUTED_VALUE"""),"성주군, 청렴문화 '반부패·청렴 주간' 운영 - 대구일보")</f>
        <v>성주군, 청렴문화 '반부패·청렴 주간' 운영 - 대구일보</v>
      </c>
      <c r="B115" s="2" t="str">
        <f ca="1">IFERROR(__xludf.DUMMYFUNCTION("""COMPUTED_VALUE"""),"https://news.google.com/rss/articles/CBMiL2h0dHBzOi8vd3d3LmlkYWVndS5jb20vbmV3c1ZpZXcvaWRnMjAyMzA4MjgwMTEw0gEA?oc=5")</f>
        <v>https://news.google.com/rss/articles/CBMiL2h0dHBzOi8vd3d3LmlkYWVndS5jb20vbmV3c1ZpZXcvaWRnMjAyMzA4MjgwMTEw0gEA?oc=5</v>
      </c>
      <c r="C115" s="1" t="str">
        <f ca="1">IFERROR(__xludf.DUMMYFUNCTION("""COMPUTED_VALUE"""),"Tue, 29 Aug 2023 04:49:21 GMT")</f>
        <v>Tue, 29 Aug 2023 04:49:21 GMT</v>
      </c>
      <c r="D115" s="1" t="str">
        <f ca="1">IFERROR(__xludf.DUMMYFUNCTION("""COMPUTED_VALUE"""),"성주군, 청렴문화 '반부패·청렴 주간' 운영  대구일보")</f>
        <v>성주군, 청렴문화 '반부패·청렴 주간' 운영  대구일보</v>
      </c>
    </row>
    <row r="116" spans="1:4" ht="12.5" x14ac:dyDescent="0.25">
      <c r="A116" s="1" t="str">
        <f ca="1">IFERROR(__xludf.DUMMYFUNCTION("""COMPUTED_VALUE"""),"Z세대 기업' 자부한 한성자동차, Z세대 직원들과 갈등중 - 모터그래프")</f>
        <v>Z세대 기업' 자부한 한성자동차, Z세대 직원들과 갈등중 - 모터그래프</v>
      </c>
      <c r="B116" s="2" t="str">
        <f ca="1">IFERROR(__xludf.DUMMYFUNCTION("""COMPUTED_VALUE"""),"https://news.google.com/rss/articles/CBMiPGh0dHBzOi8vd3d3Lm1vdG9yZ3JhcGguY29tL25ld3MvYXJ0aWNsZVZpZXcuaHRtbD9pZHhubz0zMjQ4N9IBAA?oc=5")</f>
        <v>https://news.google.com/rss/articles/CBMiPGh0dHBzOi8vd3d3Lm1vdG9yZ3JhcGguY29tL25ld3MvYXJ0aWNsZVZpZXcuaHRtbD9pZHhubz0zMjQ4N9IBAA?oc=5</v>
      </c>
      <c r="C116" s="1" t="str">
        <f ca="1">IFERROR(__xludf.DUMMYFUNCTION("""COMPUTED_VALUE"""),"Wed, 02 Aug 2023 07:00:00 GMT")</f>
        <v>Wed, 02 Aug 2023 07:00:00 GMT</v>
      </c>
      <c r="D116" s="1" t="str">
        <f ca="1">IFERROR(__xludf.DUMMYFUNCTION("""COMPUTED_VALUE"""),"Z세대 기업' 자부한 한성자동차, Z세대 직원들과 갈등중  모터그래프")</f>
        <v>Z세대 기업' 자부한 한성자동차, Z세대 직원들과 갈등중  모터그래프</v>
      </c>
    </row>
    <row r="117" spans="1:4" ht="12.5" x14ac:dyDescent="0.25">
      <c r="A117" s="1" t="str">
        <f ca="1">IFERROR(__xludf.DUMMYFUNCTION("""COMPUTED_VALUE"""),"[신간] 회사에서 바로 통하는 세대 갈등 솔루션 '꼰대지수 낮춰드립니다' - 매일일보")</f>
        <v>[신간] 회사에서 바로 통하는 세대 갈등 솔루션 '꼰대지수 낮춰드립니다' - 매일일보</v>
      </c>
      <c r="B117" s="2" t="str">
        <f ca="1">IFERROR(__xludf.DUMMYFUNCTION("""COMPUTED_VALUE"""),"https://news.google.com/rss/articles/CBMiNmh0dHBzOi8vd3d3Lm0taS5rci9uZXdzL2FydGljbGVWaWV3Lmh0bWw_aWR4bm89MTAyNDc5MtIBAA?oc=5")</f>
        <v>https://news.google.com/rss/articles/CBMiNmh0dHBzOi8vd3d3Lm0taS5rci9uZXdzL2FydGljbGVWaWV3Lmh0bWw_aWR4bm89MTAyNDc5MtIBAA?oc=5</v>
      </c>
      <c r="C117" s="1" t="str">
        <f ca="1">IFERROR(__xludf.DUMMYFUNCTION("""COMPUTED_VALUE"""),"Fri, 23 Jun 2023 07:00:00 GMT")</f>
        <v>Fri, 23 Jun 2023 07:00:00 GMT</v>
      </c>
      <c r="D117" s="1" t="str">
        <f ca="1">IFERROR(__xludf.DUMMYFUNCTION("""COMPUTED_VALUE"""),"[신간] 회사에서 바로 통하는 세대 갈등 솔루션 '꼰대지수 낮춰드립니다'  매일일보")</f>
        <v>[신간] 회사에서 바로 통하는 세대 갈등 솔루션 '꼰대지수 낮춰드립니다'  매일일보</v>
      </c>
    </row>
    <row r="118" spans="1:4" ht="12.5" x14ac:dyDescent="0.25">
      <c r="A118" s="1" t="str">
        <f ca="1">IFERROR(__xludf.DUMMYFUNCTION("""COMPUTED_VALUE"""),"[전문가 칼럼] 세대 갈등 7단계로 풀기 - 미주중앙일보")</f>
        <v>[전문가 칼럼] 세대 갈등 7단계로 풀기 - 미주중앙일보</v>
      </c>
      <c r="B118" s="2" t="str">
        <f ca="1">IFERROR(__xludf.DUMMYFUNCTION("""COMPUTED_VALUE"""),"https://news.google.com/rss/articles/CBMiVGh0dHBzOi8vbmV3cy5rb3JlYWRhaWx5LmNvbS8yMDIzLzAzLzE1L2Vjb25vbXkvZWNvbm9teWdlbmVyYWwvMjAyMzAzMTUyMTQxMzAxNTguaHRtbNIBAA?oc=5")</f>
        <v>https://news.google.com/rss/articles/CBMiVGh0dHBzOi8vbmV3cy5rb3JlYWRhaWx5LmNvbS8yMDIzLzAzLzE1L2Vjb25vbXkvZWNvbm9teWdlbmVyYWwvMjAyMzAzMTUyMTQxMzAxNTguaHRtbNIBAA?oc=5</v>
      </c>
      <c r="C118" s="1" t="str">
        <f ca="1">IFERROR(__xludf.DUMMYFUNCTION("""COMPUTED_VALUE"""),"Wed, 15 Mar 2023 07:00:00 GMT")</f>
        <v>Wed, 15 Mar 2023 07:00:00 GMT</v>
      </c>
      <c r="D118" s="1" t="str">
        <f ca="1">IFERROR(__xludf.DUMMYFUNCTION("""COMPUTED_VALUE"""),"[전문가 칼럼] 세대 갈등 7단계로 풀기  미주중앙일보")</f>
        <v>[전문가 칼럼] 세대 갈등 7단계로 풀기  미주중앙일보</v>
      </c>
    </row>
    <row r="119" spans="1:4" ht="12.5" x14ac:dyDescent="0.25">
      <c r="A119" s="1" t="str">
        <f ca="1">IFERROR(__xludf.DUMMYFUNCTION("""COMPUTED_VALUE"""),"""건강수명 늘리는 게 세대 갈등 해법입니다"" - ZD넷 코리아")</f>
        <v>"건강수명 늘리는 게 세대 갈등 해법입니다" - ZD넷 코리아</v>
      </c>
      <c r="B119" s="2" t="str">
        <f ca="1">IFERROR(__xludf.DUMMYFUNCTION("""COMPUTED_VALUE"""),"https://news.google.com/rss/articles/CBMiK2h0dHBzOi8vemRuZXQuY28ua3Ivdmlldy8_bm89MjAyMzA3MDMwODA4MjfSAQA?oc=5")</f>
        <v>https://news.google.com/rss/articles/CBMiK2h0dHBzOi8vemRuZXQuY28ua3Ivdmlldy8_bm89MjAyMzA3MDMwODA4MjfSAQA?oc=5</v>
      </c>
      <c r="C119" s="1" t="str">
        <f ca="1">IFERROR(__xludf.DUMMYFUNCTION("""COMPUTED_VALUE"""),"Mon, 03 Jul 2023 07:00:00 GMT")</f>
        <v>Mon, 03 Jul 2023 07:00:00 GMT</v>
      </c>
      <c r="D119" s="1" t="str">
        <f ca="1">IFERROR(__xludf.DUMMYFUNCTION("""COMPUTED_VALUE"""),"""건강수명 늘리는 게 세대 갈등 해법입니다""  ZD넷 코리아")</f>
        <v>"건강수명 늘리는 게 세대 갈등 해법입니다"  ZD넷 코리아</v>
      </c>
    </row>
    <row r="120" spans="1:4" ht="12.5" x14ac:dyDescent="0.25">
      <c r="A120" s="1" t="str">
        <f ca="1">IFERROR(__xludf.DUMMYFUNCTION("""COMPUTED_VALUE"""),"혁신위 출범' 나온 與 수도권 위기설…갈등 불씨되나 [이런정치] - 헤럴드경제")</f>
        <v>혁신위 출범' 나온 與 수도권 위기설…갈등 불씨되나 [이런정치] - 헤럴드경제</v>
      </c>
      <c r="B120" s="2" t="str">
        <f ca="1">IFERROR(__xludf.DUMMYFUNCTION("""COMPUTED_VALUE"""),"https://news.google.com/rss/articles/CBMiNWh0dHA6Ly9uZXdzLmhlcmFsZGNvcnAuY29tL3ZpZXcucGhwP3VkPTIwMjMwODMwMDAwMTkx0gEA?oc=5")</f>
        <v>https://news.google.com/rss/articles/CBMiNWh0dHA6Ly9uZXdzLmhlcmFsZGNvcnAuY29tL3ZpZXcucGhwP3VkPTIwMjMwODMwMDAwMTkx0gEA?oc=5</v>
      </c>
      <c r="C120" s="1" t="str">
        <f ca="1">IFERROR(__xludf.DUMMYFUNCTION("""COMPUTED_VALUE"""),"Wed, 30 Aug 2023 00:44:41 GMT")</f>
        <v>Wed, 30 Aug 2023 00:44:41 GMT</v>
      </c>
      <c r="D120" s="1" t="str">
        <f ca="1">IFERROR(__xludf.DUMMYFUNCTION("""COMPUTED_VALUE"""),"혁신위 출범' 나온 與 수도권 위기설…갈등 불씨되나 [이런정치]  헤럴드경제")</f>
        <v>혁신위 출범' 나온 與 수도권 위기설…갈등 불씨되나 [이런정치]  헤럴드경제</v>
      </c>
    </row>
    <row r="121" spans="1:4" ht="12.5" x14ac:dyDescent="0.25">
      <c r="A121" s="1" t="str">
        <f ca="1">IFERROR(__xludf.DUMMYFUNCTION("""COMPUTED_VALUE"""),"[뉴스큐] '서현역 사건' 최원종 구속기소...피해자 얼굴·이름 공개 - YTN")</f>
        <v>[뉴스큐] '서현역 사건' 최원종 구속기소...피해자 얼굴·이름 공개 - YTN</v>
      </c>
      <c r="B121" s="2" t="str">
        <f ca="1">IFERROR(__xludf.DUMMYFUNCTION("""COMPUTED_VALUE"""),"https://news.google.com/rss/articles/CBMiMWh0dHBzOi8vd3d3Lnl0bi5jby5rci9fbG4vMDEwM18yMDIzMDgyOTE2NDUzNzQ5NjbSAUNodHRwczovL20ueXRuLmNvLmtyL25ld3Nfdmlldy5hbXAucGhwP3BhcmFtPTAxMDNfMjAyMzA4MjkxNjQ1Mzc0OTY2?oc=5")</f>
        <v>https://news.google.com/rss/articles/CBMiMWh0dHBzOi8vd3d3Lnl0bi5jby5rci9fbG4vMDEwM18yMDIzMDgyOTE2NDUzNzQ5NjbSAUNodHRwczovL20ueXRuLmNvLmtyL25ld3Nfdmlldy5hbXAucGhwP3BhcmFtPTAxMDNfMjAyMzA4MjkxNjQ1Mzc0OTY2?oc=5</v>
      </c>
      <c r="C121" s="1" t="str">
        <f ca="1">IFERROR(__xludf.DUMMYFUNCTION("""COMPUTED_VALUE"""),"Tue, 29 Aug 2023 07:45:00 GMT")</f>
        <v>Tue, 29 Aug 2023 07:45:00 GMT</v>
      </c>
      <c r="D121" s="1" t="str">
        <f ca="1">IFERROR(__xludf.DUMMYFUNCTION("""COMPUTED_VALUE"""),"[뉴스큐] '서현역 사건' 최원종 구속기소...피해자 얼굴·이름 공개  YTN")</f>
        <v>[뉴스큐] '서현역 사건' 최원종 구속기소...피해자 얼굴·이름 공개  YTN</v>
      </c>
    </row>
    <row r="122" spans="1:4" ht="12.5" x14ac:dyDescent="0.25">
      <c r="A122" s="1" t="str">
        <f ca="1">IFERROR(__xludf.DUMMYFUNCTION("""COMPUTED_VALUE"""),"자녀 지원 언제까지?… 美 세대 갈등 커진다 - 서울신문")</f>
        <v>자녀 지원 언제까지?… 美 세대 갈등 커진다 - 서울신문</v>
      </c>
      <c r="B122" s="2" t="str">
        <f ca="1">IFERROR(__xludf.DUMMYFUNCTION("""COMPUTED_VALUE"""),"https://news.google.com/rss/articles/CBMiO2h0dHBzOi8vd3d3LnNlb3VsLmNvLmtyL25ld3MvbmV3c1ZpZXcucGhwP2lkPTIwMjMwNDEyMDE1MDAx0gEsaHR0cHM6Ly9hbXAuc2VvdWwuY28ua3Ivc2VvdWwvMjAyMzA0MTIwMTUwMDE?oc=5")</f>
        <v>https://news.google.com/rss/articles/CBMiO2h0dHBzOi8vd3d3LnNlb3VsLmNvLmtyL25ld3MvbmV3c1ZpZXcucGhwP2lkPTIwMjMwNDEyMDE1MDAx0gEsaHR0cHM6Ly9hbXAuc2VvdWwuY28ua3Ivc2VvdWwvMjAyMzA0MTIwMTUwMDE?oc=5</v>
      </c>
      <c r="C122" s="1" t="str">
        <f ca="1">IFERROR(__xludf.DUMMYFUNCTION("""COMPUTED_VALUE"""),"Wed, 12 Apr 2023 07:00:00 GMT")</f>
        <v>Wed, 12 Apr 2023 07:00:00 GMT</v>
      </c>
      <c r="D122" s="1" t="str">
        <f ca="1">IFERROR(__xludf.DUMMYFUNCTION("""COMPUTED_VALUE"""),"자녀 지원 언제까지?… 美 세대 갈등 커진다  서울신문")</f>
        <v>자녀 지원 언제까지?… 美 세대 갈등 커진다  서울신문</v>
      </c>
    </row>
    <row r="123" spans="1:4" ht="12.5" x14ac:dyDescent="0.25">
      <c r="A123" s="1" t="str">
        <f ca="1">IFERROR(__xludf.DUMMYFUNCTION("""COMPUTED_VALUE"""),"[김강중 칼럼] 세대 차이와 세대 갈등 - 뉴스티앤티")</f>
        <v>[김강중 칼럼] 세대 차이와 세대 갈등 - 뉴스티앤티</v>
      </c>
      <c r="B123" s="2" t="str">
        <f ca="1">IFERROR(__xludf.DUMMYFUNCTION("""COMPUTED_VALUE"""),"https://news.google.com/rss/articles/CBMiOWh0dHA6Ly93d3cubmV3c3RudC5jb20vbmV3cy9hcnRpY2xlVmlldy5odG1sP2lkeG5vPTIzMDE3MNIBPGh0dHA6Ly93d3cubmV3c3RudC5jb20vbmV3cy9hcnRpY2xlVmlld0FtcC5odG1sP2lkeG5vPTIzMDE3MA?oc=5")</f>
        <v>https://news.google.com/rss/articles/CBMiOWh0dHA6Ly93d3cubmV3c3RudC5jb20vbmV3cy9hcnRpY2xlVmlldy5odG1sP2lkeG5vPTIzMDE3MNIBPGh0dHA6Ly93d3cubmV3c3RudC5jb20vbmV3cy9hcnRpY2xlVmlld0FtcC5odG1sP2lkeG5vPTIzMDE3MA?oc=5</v>
      </c>
      <c r="C123" s="1" t="str">
        <f ca="1">IFERROR(__xludf.DUMMYFUNCTION("""COMPUTED_VALUE"""),"Mon, 10 Oct 2022 07:00:00 GMT")</f>
        <v>Mon, 10 Oct 2022 07:00:00 GMT</v>
      </c>
      <c r="D123" s="1" t="str">
        <f ca="1">IFERROR(__xludf.DUMMYFUNCTION("""COMPUTED_VALUE"""),"[김강중 칼럼] 세대 차이와 세대 갈등  뉴스티앤티")</f>
        <v>[김강중 칼럼] 세대 차이와 세대 갈등  뉴스티앤티</v>
      </c>
    </row>
    <row r="124" spans="1:4" ht="12.5" x14ac:dyDescent="0.25">
      <c r="A124" s="1" t="str">
        <f ca="1">IFERROR(__xludf.DUMMYFUNCTION("""COMPUTED_VALUE"""),"노키즈존'에 '노시니어존'까지…세대갈등 심화 우려 - 연합뉴스TV")</f>
        <v>노키즈존'에 '노시니어존'까지…세대갈등 심화 우려 - 연합뉴스TV</v>
      </c>
      <c r="B124" s="2" t="str">
        <f ca="1">IFERROR(__xludf.DUMMYFUNCTION("""COMPUTED_VALUE"""),"https://news.google.com/rss/articles/CBMiNmh0dHBzOi8vbS55b25oYXBuZXdzdHYuY28ua3IvbmV3cy9NWUgyMDIzMDUyMDAwMjEwMDY0MdIBAA?oc=5")</f>
        <v>https://news.google.com/rss/articles/CBMiNmh0dHBzOi8vbS55b25oYXBuZXdzdHYuY28ua3IvbmV3cy9NWUgyMDIzMDUyMDAwMjEwMDY0MdIBAA?oc=5</v>
      </c>
      <c r="C124" s="1" t="str">
        <f ca="1">IFERROR(__xludf.DUMMYFUNCTION("""COMPUTED_VALUE"""),"Sat, 20 May 2023 07:00:00 GMT")</f>
        <v>Sat, 20 May 2023 07:00:00 GMT</v>
      </c>
      <c r="D124" s="1" t="str">
        <f ca="1">IFERROR(__xludf.DUMMYFUNCTION("""COMPUTED_VALUE"""),"노키즈존'에 '노시니어존'까지…세대갈등 심화 우려  연합뉴스TV")</f>
        <v>노키즈존'에 '노시니어존'까지…세대갈등 심화 우려  연합뉴스TV</v>
      </c>
    </row>
    <row r="125" spans="1:4" ht="12.5" x14ac:dyDescent="0.25">
      <c r="A125" s="1" t="str">
        <f ca="1">IFERROR(__xludf.DUMMYFUNCTION("""COMPUTED_VALUE"""),"직장 내 세대 갈등을 줄일 6가지 비결 - 리멤버 나우")</f>
        <v>직장 내 세대 갈등을 줄일 6가지 비결 - 리멤버 나우</v>
      </c>
      <c r="B125" s="2" t="str">
        <f ca="1">IFERROR(__xludf.DUMMYFUNCTION("""COMPUTED_VALUE"""),"https://news.google.com/rss/articles/CBMiL2h0dHBzOi8vbm93LnJlbWVtYmVyYXBwLmNvLmtyLzIwMjIvMTIvMjUvMjQ3NTkv0gEA?oc=5")</f>
        <v>https://news.google.com/rss/articles/CBMiL2h0dHBzOi8vbm93LnJlbWVtYmVyYXBwLmNvLmtyLzIwMjIvMTIvMjUvMjQ3NTkv0gEA?oc=5</v>
      </c>
      <c r="C125" s="1" t="str">
        <f ca="1">IFERROR(__xludf.DUMMYFUNCTION("""COMPUTED_VALUE"""),"Sun, 25 Dec 2022 08:00:00 GMT")</f>
        <v>Sun, 25 Dec 2022 08:00:00 GMT</v>
      </c>
      <c r="D125" s="1" t="str">
        <f ca="1">IFERROR(__xludf.DUMMYFUNCTION("""COMPUTED_VALUE"""),"직장 내 세대 갈등을 줄일 6가지 비결  리멤버 나우")</f>
        <v>직장 내 세대 갈등을 줄일 6가지 비결  리멤버 나우</v>
      </c>
    </row>
    <row r="126" spans="1:4" ht="12.5" x14ac:dyDescent="0.25">
      <c r="A126" s="1" t="str">
        <f ca="1">IFERROR(__xludf.DUMMYFUNCTION("""COMPUTED_VALUE"""),"""언어 세대교체""…소통단절·세대갈등 핵심 - 연합뉴스TV")</f>
        <v>"언어 세대교체"…소통단절·세대갈등 핵심 - 연합뉴스TV</v>
      </c>
      <c r="B126" s="2" t="str">
        <f ca="1">IFERROR(__xludf.DUMMYFUNCTION("""COMPUTED_VALUE"""),"https://news.google.com/rss/articles/CBMiNmh0dHBzOi8vbS55b25oYXBuZXdzdHYuY28ua3IvbmV3cy9NWUgyMDIyMTAwOTAwODIwMDY0MdIBAA?oc=5")</f>
        <v>https://news.google.com/rss/articles/CBMiNmh0dHBzOi8vbS55b25oYXBuZXdzdHYuY28ua3IvbmV3cy9NWUgyMDIyMTAwOTAwODIwMDY0MdIBAA?oc=5</v>
      </c>
      <c r="C126" s="1" t="str">
        <f ca="1">IFERROR(__xludf.DUMMYFUNCTION("""COMPUTED_VALUE"""),"Sun, 09 Oct 2022 07:00:00 GMT")</f>
        <v>Sun, 09 Oct 2022 07:00:00 GMT</v>
      </c>
      <c r="D126" s="1" t="str">
        <f ca="1">IFERROR(__xludf.DUMMYFUNCTION("""COMPUTED_VALUE"""),"""언어 세대교체""…소통단절·세대갈등 핵심  연합뉴스TV")</f>
        <v>"언어 세대교체"…소통단절·세대갈등 핵심  연합뉴스TV</v>
      </c>
    </row>
    <row r="127" spans="1:4" ht="12.5" x14ac:dyDescent="0.25">
      <c r="A127" s="1" t="str">
        <f ca="1">IFERROR(__xludf.DUMMYFUNCTION("""COMPUTED_VALUE"""),"[김태일의 좋은 정부만들기] 세대 간 계약의 공정성 - 경향신문")</f>
        <v>[김태일의 좋은 정부만들기] 세대 간 계약의 공정성 - 경향신문</v>
      </c>
      <c r="B127" s="2" t="str">
        <f ca="1">IFERROR(__xludf.DUMMYFUNCTION("""COMPUTED_VALUE"""),"https://news.google.com/rss/articles/CBMiLGh0dHBzOi8vbS5raGFuLmNvLmtyL2FydGljbGUvMjAyMzAzMTAwMzAwMDA10gE_aHR0cHM6Ly9tLmtoYW4uY28ua3Ivb3Bpbmlvbi9jb2x1bW4vYXJ0aWNsZS8yMDIzMDMxMDAzMDAwMDUvYW1w?oc=5")</f>
        <v>https://news.google.com/rss/articles/CBMiLGh0dHBzOi8vbS5raGFuLmNvLmtyL2FydGljbGUvMjAyMzAzMTAwMzAwMDA10gE_aHR0cHM6Ly9tLmtoYW4uY28ua3Ivb3Bpbmlvbi9jb2x1bW4vYXJ0aWNsZS8yMDIzMDMxMDAzMDAwMDUvYW1w?oc=5</v>
      </c>
      <c r="C127" s="1" t="str">
        <f ca="1">IFERROR(__xludf.DUMMYFUNCTION("""COMPUTED_VALUE"""),"Fri, 10 Mar 2023 08:00:00 GMT")</f>
        <v>Fri, 10 Mar 2023 08:00:00 GMT</v>
      </c>
      <c r="D127" s="1" t="str">
        <f ca="1">IFERROR(__xludf.DUMMYFUNCTION("""COMPUTED_VALUE"""),"[김태일의 좋은 정부만들기] 세대 간 계약의 공정성  경향신문")</f>
        <v>[김태일의 좋은 정부만들기] 세대 간 계약의 공정성  경향신문</v>
      </c>
    </row>
    <row r="128" spans="1:4" ht="12.5" x14ac:dyDescent="0.25">
      <c r="A128" s="1" t="str">
        <f ca="1">IFERROR(__xludf.DUMMYFUNCTION("""COMPUTED_VALUE"""),"[딜링룸 백브리핑] 세인트루이스 연은, 불러드 총재 후임 선임 작업 개시 - 연합인포맥스")</f>
        <v>[딜링룸 백브리핑] 세인트루이스 연은, 불러드 총재 후임 선임 작업 개시 - 연합인포맥스</v>
      </c>
      <c r="B128" s="2" t="str">
        <f ca="1">IFERROR(__xludf.DUMMYFUNCTION("""COMPUTED_VALUE"""),"https://news.google.com/rss/articles/CBMiP2h0dHBzOi8vbmV3cy5laW5mb21heC5jby5rci9uZXdzL2FydGljbGVWaWV3Lmh0bWw_aWR4bm89NDI3OTIwMtIBAA?oc=5")</f>
        <v>https://news.google.com/rss/articles/CBMiP2h0dHBzOi8vbmV3cy5laW5mb21heC5jby5rci9uZXdzL2FydGljbGVWaWV3Lmh0bWw_aWR4bm89NDI3OTIwMtIBAA?oc=5</v>
      </c>
      <c r="C128" s="1" t="str">
        <f ca="1">IFERROR(__xludf.DUMMYFUNCTION("""COMPUTED_VALUE"""),"Wed, 30 Aug 2023 06:33:25 GMT")</f>
        <v>Wed, 30 Aug 2023 06:33:25 GMT</v>
      </c>
      <c r="D128" s="1" t="str">
        <f ca="1">IFERROR(__xludf.DUMMYFUNCTION("""COMPUTED_VALUE"""),"[딜링룸 백브리핑] 세인트루이스 연은, 불러드 총재 후임 선임 작업 개시  연합인포맥스")</f>
        <v>[딜링룸 백브리핑] 세인트루이스 연은, 불러드 총재 후임 선임 작업 개시  연합인포맥스</v>
      </c>
    </row>
    <row r="129" spans="1:4" ht="12.5" x14ac:dyDescent="0.25">
      <c r="A129" s="1" t="str">
        <f ca="1">IFERROR(__xludf.DUMMYFUNCTION("""COMPUTED_VALUE"""),"[투데이 窓]디지털 전환기의 세대 차이 - 머니투데이")</f>
        <v>[투데이 窓]디지털 전환기의 세대 차이 - 머니투데이</v>
      </c>
      <c r="B129" s="2" t="str">
        <f ca="1">IFERROR(__xludf.DUMMYFUNCTION("""COMPUTED_VALUE"""),"https://news.google.com/rss/articles/CBMiN2h0dHBzOi8vbmV3cy5tdC5jby5rci9tdHZpZXcucGhwP25vPTIwMjMwMjA3MTgwMzM4OTk3NDPSAT1odHRwczovL20ubXQuY28ua3IvcmVuZXcvdmlld19hbXAuaHRtbD9ubz0yMDIzMDIwNzE4MDMzODk5NzQz?oc=5")</f>
        <v>https://news.google.com/rss/articles/CBMiN2h0dHBzOi8vbmV3cy5tdC5jby5rci9tdHZpZXcucGhwP25vPTIwMjMwMjA3MTgwMzM4OTk3NDPSAT1odHRwczovL20ubXQuY28ua3IvcmVuZXcvdmlld19hbXAuaHRtbD9ubz0yMDIzMDIwNzE4MDMzODk5NzQz?oc=5</v>
      </c>
      <c r="C129" s="1" t="str">
        <f ca="1">IFERROR(__xludf.DUMMYFUNCTION("""COMPUTED_VALUE"""),"Tue, 14 Feb 2023 08:00:00 GMT")</f>
        <v>Tue, 14 Feb 2023 08:00:00 GMT</v>
      </c>
      <c r="D129" s="1" t="str">
        <f ca="1">IFERROR(__xludf.DUMMYFUNCTION("""COMPUTED_VALUE"""),"[투데이 窓]디지털 전환기의 세대 차이  머니투데이")</f>
        <v>[투데이 窓]디지털 전환기의 세대 차이  머니투데이</v>
      </c>
    </row>
    <row r="130" spans="1:4" ht="12.5" x14ac:dyDescent="0.25">
      <c r="A130" s="1" t="str">
        <f ca="1">IFERROR(__xludf.DUMMYFUNCTION("""COMPUTED_VALUE"""),"[강사의 서재] “세대 갈등을 넘어 세대 공존으로” 유수란 외 『터칭 ... - 한국강사신문")</f>
        <v>[강사의 서재] “세대 갈등을 넘어 세대 공존으로” 유수란 외 『터칭 ... - 한국강사신문</v>
      </c>
      <c r="B130" s="2" t="str">
        <f ca="1">IFERROR(__xludf.DUMMYFUNCTION("""COMPUTED_VALUE"""),"https://news.google.com/rss/articles/CBMiP2h0dHBzOi8vd3d3LmxlY3R1cmVybmV3cy5jb20vbmV3cy9hcnRpY2xlVmlldy5odG1sP2lkeG5vPTEyMDY1N9IBAA?oc=5")</f>
        <v>https://news.google.com/rss/articles/CBMiP2h0dHBzOi8vd3d3LmxlY3R1cmVybmV3cy5jb20vbmV3cy9hcnRpY2xlVmlldy5odG1sP2lkeG5vPTEyMDY1N9IBAA?oc=5</v>
      </c>
      <c r="C130" s="1" t="str">
        <f ca="1">IFERROR(__xludf.DUMMYFUNCTION("""COMPUTED_VALUE"""),"Wed, 08 Mar 2023 08:00:00 GMT")</f>
        <v>Wed, 08 Mar 2023 08:00:00 GMT</v>
      </c>
      <c r="D130" s="1" t="str">
        <f ca="1">IFERROR(__xludf.DUMMYFUNCTION("""COMPUTED_VALUE"""),"[강사의 서재] “세대 갈등을 넘어 세대 공존으로” 유수란 외 『터칭 ...  한국강사신문")</f>
        <v>[강사의 서재] “세대 갈등을 넘어 세대 공존으로” 유수란 외 『터칭 ...  한국강사신문</v>
      </c>
    </row>
    <row r="131" spans="1:4" ht="12.5" x14ac:dyDescent="0.25">
      <c r="A131" s="1" t="str">
        <f ca="1">IFERROR(__xludf.DUMMYFUNCTION("""COMPUTED_VALUE"""),"[조창원 칼럼] 노인이 없는 나라 - 파이낸셜뉴스")</f>
        <v>[조창원 칼럼] 노인이 없는 나라 - 파이낸셜뉴스</v>
      </c>
      <c r="B131" s="2" t="str">
        <f ca="1">IFERROR(__xludf.DUMMYFUNCTION("""COMPUTED_VALUE"""),"https://news.google.com/rss/articles/CBMiLmh0dHBzOi8vd3d3LmZubmV3cy5jb20vbmV3cy8yMDIzMDgwNzE3NTk0ODk4NjLSATFodHRwczovL3d3dy5mbm5ld3MuY29tL2FtcE5ld3MvMjAyMzA4MDcxNzU5NDg5ODYy?oc=5")</f>
        <v>https://news.google.com/rss/articles/CBMiLmh0dHBzOi8vd3d3LmZubmV3cy5jb20vbmV3cy8yMDIzMDgwNzE3NTk0ODk4NjLSATFodHRwczovL3d3dy5mbm5ld3MuY29tL2FtcE5ld3MvMjAyMzA4MDcxNzU5NDg5ODYy?oc=5</v>
      </c>
      <c r="C131" s="1" t="str">
        <f ca="1">IFERROR(__xludf.DUMMYFUNCTION("""COMPUTED_VALUE"""),"Mon, 07 Aug 2023 07:00:00 GMT")</f>
        <v>Mon, 07 Aug 2023 07:00:00 GMT</v>
      </c>
      <c r="D131" s="1" t="str">
        <f ca="1">IFERROR(__xludf.DUMMYFUNCTION("""COMPUTED_VALUE"""),"[조창원 칼럼] 노인이 없는 나라  파이낸셜뉴스")</f>
        <v>[조창원 칼럼] 노인이 없는 나라  파이낸셜뉴스</v>
      </c>
    </row>
    <row r="132" spans="1:4" ht="12.5" x14ac:dyDescent="0.25">
      <c r="A132" s="1" t="str">
        <f ca="1">IFERROR(__xludf.DUMMYFUNCTION("""COMPUTED_VALUE"""),"은밀한 괴롭힘과 집단 트라우마 - 브런치")</f>
        <v>은밀한 괴롭힘과 집단 트라우마 - 브런치</v>
      </c>
      <c r="B132" s="2" t="str">
        <f ca="1">IFERROR(__xludf.DUMMYFUNCTION("""COMPUTED_VALUE"""),"https://news.google.com/rss/articles/CBMiHmh0dHBzOi8vYnJ1bmNoLmNvLmtyL0BANzRRYy83NdIBAA?oc=5")</f>
        <v>https://news.google.com/rss/articles/CBMiHmh0dHBzOi8vYnJ1bmNoLmNvLmtyL0BANzRRYy83NdIBAA?oc=5</v>
      </c>
      <c r="C132" s="1" t="str">
        <f ca="1">IFERROR(__xludf.DUMMYFUNCTION("""COMPUTED_VALUE"""),"Tue, 29 Aug 2023 06:56:15 GMT")</f>
        <v>Tue, 29 Aug 2023 06:56:15 GMT</v>
      </c>
      <c r="D132" s="1" t="str">
        <f ca="1">IFERROR(__xludf.DUMMYFUNCTION("""COMPUTED_VALUE"""),"은밀한 괴롭힘과 집단 트라우마  브런치")</f>
        <v>은밀한 괴롭힘과 집단 트라우마  브런치</v>
      </c>
    </row>
    <row r="133" spans="1:4" ht="12.5" x14ac:dyDescent="0.25">
      <c r="A133" s="1" t="str">
        <f ca="1">IFERROR(__xludf.DUMMYFUNCTION("""COMPUTED_VALUE"""),"【가족을 다시 생각하자】""세대갈등 없이 3대가 화목해요"" … '가정의 ... - 퍼블릭뉴스")</f>
        <v>【가족을 다시 생각하자】"세대갈등 없이 3대가 화목해요" … '가정의 ... - 퍼블릭뉴스</v>
      </c>
      <c r="B133" s="2" t="str">
        <f ca="1">IFERROR(__xludf.DUMMYFUNCTION("""COMPUTED_VALUE"""),"https://news.google.com/rss/articles/CBMiPGh0dHBzOi8vd3d3LnBzbmV3cy5jby5rci9uZXdzL2FydGljbGVWaWV3Lmh0bWw_aWR4bm89MjAyNDUwNdIBAA?oc=5")</f>
        <v>https://news.google.com/rss/articles/CBMiPGh0dHBzOi8vd3d3LnBzbmV3cy5jby5rci9uZXdzL2FydGljbGVWaWV3Lmh0bWw_aWR4bm89MjAyNDUwNdIBAA?oc=5</v>
      </c>
      <c r="C133" s="1" t="str">
        <f ca="1">IFERROR(__xludf.DUMMYFUNCTION("""COMPUTED_VALUE"""),"Wed, 10 May 2023 07:00:00 GMT")</f>
        <v>Wed, 10 May 2023 07:00:00 GMT</v>
      </c>
      <c r="D133" s="1" t="str">
        <f ca="1">IFERROR(__xludf.DUMMYFUNCTION("""COMPUTED_VALUE"""),"【가족을 다시 생각하자】""세대갈등 없이 3대가 화목해요"" … '가정의 ...  퍼블릭뉴스")</f>
        <v>【가족을 다시 생각하자】"세대갈등 없이 3대가 화목해요" … '가정의 ...  퍼블릭뉴스</v>
      </c>
    </row>
    <row r="134" spans="1:4" ht="12.5" x14ac:dyDescent="0.25">
      <c r="A134" s="1" t="str">
        <f ca="1">IFERROR(__xludf.DUMMYFUNCTION("""COMPUTED_VALUE"""),"‘세대론’ 내세우며 갈등 심화 ‘악순환’ 만드는 한국 언론 - 미디어오늘")</f>
        <v>‘세대론’ 내세우며 갈등 심화 ‘악순환’ 만드는 한국 언론 - 미디어오늘</v>
      </c>
      <c r="B134" s="2" t="str">
        <f ca="1">IFERROR(__xludf.DUMMYFUNCTION("""COMPUTED_VALUE"""),"https://news.google.com/rss/articles/CBMiPmh0dHA6Ly93d3cubWVkaWF0b2RheS5jby5rci9uZXdzL2FydGljbGVWaWV3Lmh0bWw_aWR4bm89MzA3MTYy0gFBaHR0cDovL3d3dy5tZWRpYXRvZGF5LmNvLmtyL25ld3MvYXJ0aWNsZVZpZXdBbXAuaHRtbD9pZHhubz0zMDcxNjI?oc=5")</f>
        <v>https://news.google.com/rss/articles/CBMiPmh0dHA6Ly93d3cubWVkaWF0b2RheS5jby5rci9uZXdzL2FydGljbGVWaWV3Lmh0bWw_aWR4bm89MzA3MTYy0gFBaHR0cDovL3d3dy5tZWRpYXRvZGF5LmNvLmtyL25ld3MvYXJ0aWNsZVZpZXdBbXAuaHRtbD9pZHhubz0zMDcxNjI?oc=5</v>
      </c>
      <c r="C134" s="1" t="str">
        <f ca="1">IFERROR(__xludf.DUMMYFUNCTION("""COMPUTED_VALUE"""),"Mon, 28 Nov 2022 08:00:00 GMT")</f>
        <v>Mon, 28 Nov 2022 08:00:00 GMT</v>
      </c>
      <c r="D134" s="1" t="str">
        <f ca="1">IFERROR(__xludf.DUMMYFUNCTION("""COMPUTED_VALUE"""),"‘세대론’ 내세우며 갈등 심화 ‘악순환’ 만드는 한국 언론  미디어오늘")</f>
        <v>‘세대론’ 내세우며 갈등 심화 ‘악순환’ 만드는 한국 언론  미디어오늘</v>
      </c>
    </row>
    <row r="135" spans="1:4" ht="12.5" x14ac:dyDescent="0.25">
      <c r="A135" s="1" t="str">
        <f ca="1">IFERROR(__xludf.DUMMYFUNCTION("""COMPUTED_VALUE"""),"인천교육정책연구소, 교원 간 세대 갈등 분석…'32% 갈등 경험' - 경기신문")</f>
        <v>인천교육정책연구소, 교원 간 세대 갈등 분석…'32% 갈등 경험' - 경기신문</v>
      </c>
      <c r="B135" s="2" t="str">
        <f ca="1">IFERROR(__xludf.DUMMYFUNCTION("""COMPUTED_VALUE"""),"https://news.google.com/rss/articles/CBMiNGh0dHBzOi8vd3d3LmtnbmV3cy5jby5rci9uZXdzL2FydGljbGUuaHRtbD9ubz03MzE1MzfSAQA?oc=5")</f>
        <v>https://news.google.com/rss/articles/CBMiNGh0dHBzOi8vd3d3LmtnbmV3cy5jby5rci9uZXdzL2FydGljbGUuaHRtbD9ubz03MzE1MzfSAQA?oc=5</v>
      </c>
      <c r="C135" s="1" t="str">
        <f ca="1">IFERROR(__xludf.DUMMYFUNCTION("""COMPUTED_VALUE"""),"Thu, 29 Dec 2022 08:00:00 GMT")</f>
        <v>Thu, 29 Dec 2022 08:00:00 GMT</v>
      </c>
      <c r="D135" s="1" t="str">
        <f ca="1">IFERROR(__xludf.DUMMYFUNCTION("""COMPUTED_VALUE"""),"인천교육정책연구소, 교원 간 세대 갈등 분석…'32% 갈등 경험'  경기신문")</f>
        <v>인천교육정책연구소, 교원 간 세대 갈등 분석…'32% 갈등 경험'  경기신문</v>
      </c>
    </row>
    <row r="136" spans="1:4" ht="12.5" x14ac:dyDescent="0.25">
      <c r="A136" s="1" t="str">
        <f ca="1">IFERROR(__xludf.DUMMYFUNCTION("""COMPUTED_VALUE"""),"2명중 1명 “저출산·고령화 세대갈등 우려”[문화미래리포트 2023] - 문화일보")</f>
        <v>2명중 1명 “저출산·고령화 세대갈등 우려”[문화미래리포트 2023] - 문화일보</v>
      </c>
      <c r="B136" s="2" t="str">
        <f ca="1">IFERROR(__xludf.DUMMYFUNCTION("""COMPUTED_VALUE"""),"https://news.google.com/rss/articles/CBMiP2h0dHBzOi8vd3d3Lm11bmh3YS5jb20vbmV3cy92aWV3Lmh0bWw_bm89MjAyMzA1MDIwMTAzMDMyMTA4MDAwMdIBAA?oc=5")</f>
        <v>https://news.google.com/rss/articles/CBMiP2h0dHBzOi8vd3d3Lm11bmh3YS5jb20vbmV3cy92aWV3Lmh0bWw_bm89MjAyMzA1MDIwMTAzMDMyMTA4MDAwMdIBAA?oc=5</v>
      </c>
      <c r="C136" s="1" t="str">
        <f ca="1">IFERROR(__xludf.DUMMYFUNCTION("""COMPUTED_VALUE"""),"Tue, 02 May 2023 07:00:00 GMT")</f>
        <v>Tue, 02 May 2023 07:00:00 GMT</v>
      </c>
      <c r="D136" s="1" t="str">
        <f ca="1">IFERROR(__xludf.DUMMYFUNCTION("""COMPUTED_VALUE"""),"2명중 1명 “저출산·고령화 세대갈등 우려”[문화미래리포트 2023]  문화일보")</f>
        <v>2명중 1명 “저출산·고령화 세대갈등 우려”[문화미래리포트 2023]  문화일보</v>
      </c>
    </row>
    <row r="137" spans="1:4" ht="12.5" x14ac:dyDescent="0.25">
      <c r="A137" s="1" t="str">
        <f ca="1">IFERROR(__xludf.DUMMYFUNCTION("""COMPUTED_VALUE"""),"MZ세대라는 일반화를 멈춰야 한다 - 세종의소리")</f>
        <v>MZ세대라는 일반화를 멈춰야 한다 - 세종의소리</v>
      </c>
      <c r="B137" s="2" t="str">
        <f ca="1">IFERROR(__xludf.DUMMYFUNCTION("""COMPUTED_VALUE"""),"https://news.google.com/rss/articles/CBMiOGh0dHBzOi8vd3d3LnNqc29yaS5jb20vbmV3cy9hcnRpY2xlVmlldy5odG1sP2lkeG5vPTYzNDYx0gEA?oc=5")</f>
        <v>https://news.google.com/rss/articles/CBMiOGh0dHBzOi8vd3d3LnNqc29yaS5jb20vbmV3cy9hcnRpY2xlVmlldy5odG1sP2lkeG5vPTYzNDYx0gEA?oc=5</v>
      </c>
      <c r="C137" s="1" t="str">
        <f ca="1">IFERROR(__xludf.DUMMYFUNCTION("""COMPUTED_VALUE"""),"Thu, 04 May 2023 07:00:00 GMT")</f>
        <v>Thu, 04 May 2023 07:00:00 GMT</v>
      </c>
      <c r="D137" s="1" t="str">
        <f ca="1">IFERROR(__xludf.DUMMYFUNCTION("""COMPUTED_VALUE"""),"MZ세대라는 일반화를 멈춰야 한다  세종의소리")</f>
        <v>MZ세대라는 일반화를 멈춰야 한다  세종의소리</v>
      </c>
    </row>
    <row r="138" spans="1:4" ht="12.5" x14ac:dyDescent="0.25">
      <c r="A138" s="1" t="str">
        <f ca="1">IFERROR(__xludf.DUMMYFUNCTION("""COMPUTED_VALUE"""),"2022 대한스트레스학회 추계학술대회, '세대 갈등을 넘어' - 메디포뉴스")</f>
        <v>2022 대한스트레스학회 추계학술대회, '세대 갈등을 넘어' - 메디포뉴스</v>
      </c>
      <c r="B138" s="2" t="str">
        <f ca="1">IFERROR(__xludf.DUMMYFUNCTION("""COMPUTED_VALUE"""),"https://news.google.com/rss/articles/CBMiOGh0dHBzOi8vd3d3Lm1lZGlmb25ld3MuY29tL21vYmlsZS9hcnRpY2xlLmh0bWw_bm89MTcxMjI00gEA?oc=5")</f>
        <v>https://news.google.com/rss/articles/CBMiOGh0dHBzOi8vd3d3Lm1lZGlmb25ld3MuY29tL21vYmlsZS9hcnRpY2xlLmh0bWw_bm89MTcxMjI00gEA?oc=5</v>
      </c>
      <c r="C138" s="1" t="str">
        <f ca="1">IFERROR(__xludf.DUMMYFUNCTION("""COMPUTED_VALUE"""),"Mon, 17 Oct 2022 07:00:00 GMT")</f>
        <v>Mon, 17 Oct 2022 07:00:00 GMT</v>
      </c>
      <c r="D138" s="1" t="str">
        <f ca="1">IFERROR(__xludf.DUMMYFUNCTION("""COMPUTED_VALUE"""),"2022 대한스트레스학회 추계학술대회, '세대 갈등을 넘어'  메디포뉴스")</f>
        <v>2022 대한스트레스학회 추계학술대회, '세대 갈등을 넘어'  메디포뉴스</v>
      </c>
    </row>
    <row r="139" spans="1:4" ht="12.5" x14ac:dyDescent="0.25">
      <c r="A139" s="1" t="str">
        <f ca="1">IFERROR(__xludf.DUMMYFUNCTION("""COMPUTED_VALUE"""),"세대갈등으로 번진 산업은행의 부산 이전 - 인베스트조선")</f>
        <v>세대갈등으로 번진 산업은행의 부산 이전 - 인베스트조선</v>
      </c>
      <c r="B139" s="2" t="str">
        <f ca="1">IFERROR(__xludf.DUMMYFUNCTION("""COMPUTED_VALUE"""),"https://news.google.com/rss/articles/CBMiTGh0dHA6Ly93d3cuaW52ZXN0Y2hvc3VuLmNvbS9zaXRlL2RhdGEvaHRtbF9kaXIvMjAyMy8wMy8wMi8yMDIzMDMwMjgwMjM1Lmh0bWzSAQA?oc=5")</f>
        <v>https://news.google.com/rss/articles/CBMiTGh0dHA6Ly93d3cuaW52ZXN0Y2hvc3VuLmNvbS9zaXRlL2RhdGEvaHRtbF9kaXIvMjAyMy8wMy8wMi8yMDIzMDMwMjgwMjM1Lmh0bWzSAQA?oc=5</v>
      </c>
      <c r="C139" s="1" t="str">
        <f ca="1">IFERROR(__xludf.DUMMYFUNCTION("""COMPUTED_VALUE"""),"Fri, 03 Mar 2023 08:00:00 GMT")</f>
        <v>Fri, 03 Mar 2023 08:00:00 GMT</v>
      </c>
      <c r="D139" s="1" t="str">
        <f ca="1">IFERROR(__xludf.DUMMYFUNCTION("""COMPUTED_VALUE"""),"세대갈등으로 번진 산업은행의 부산 이전  인베스트조선")</f>
        <v>세대갈등으로 번진 산업은행의 부산 이전  인베스트조선</v>
      </c>
    </row>
    <row r="140" spans="1:4" ht="12.5" x14ac:dyDescent="0.25">
      <c r="A140" s="1" t="str">
        <f ca="1">IFERROR(__xludf.DUMMYFUNCTION("""COMPUTED_VALUE"""),"세대갈등 번진 ‘노인 무임승차’… ‘폐지·변경’이 ‘현행 유지’보다 우세 - 조선일보")</f>
        <v>세대갈등 번진 ‘노인 무임승차’… ‘폐지·변경’이 ‘현행 유지’보다 우세 - 조선일보</v>
      </c>
      <c r="B140" s="2" t="str">
        <f ca="1">IFERROR(__xludf.DUMMYFUNCTION("""COMPUTED_VALUE"""),"https://news.google.com/rss/articles/CBMiTmh0dHBzOi8vd3d3LmNob3N1bi5jb20vbmF0aW9uYWwvd2Vla2VuZC8yMDIzLzAyLzExL1ZXU1FQNkUySjVBQUpIRVhQU09YQUVBSDJFL9IBXWh0dHBzOi8vd3d3LmNob3N1bi5jb20vbmF0aW9uYWwvd2Vla2VuZC8yMDIzLzAyLzExL1ZXU1FQNkUySjVBQUpIRVhQU09YQUVBSDJFLz"&amp;"9vdXRwdXRUeXBlPWFtcA?oc=5")</f>
        <v>https://news.google.com/rss/articles/CBMiTmh0dHBzOi8vd3d3LmNob3N1bi5jb20vbmF0aW9uYWwvd2Vla2VuZC8yMDIzLzAyLzExL1ZXU1FQNkUySjVBQUpIRVhQU09YQUVBSDJFL9IBXWh0dHBzOi8vd3d3LmNob3N1bi5jb20vbmF0aW9uYWwvd2Vla2VuZC8yMDIzLzAyLzExL1ZXU1FQNkUySjVBQUpIRVhQU09YQUVBSDJFLz9vdXRwdXRUeXBlPWFtcA?oc=5</v>
      </c>
      <c r="C140" s="1" t="str">
        <f ca="1">IFERROR(__xludf.DUMMYFUNCTION("""COMPUTED_VALUE"""),"Sat, 11 Feb 2023 08:00:00 GMT")</f>
        <v>Sat, 11 Feb 2023 08:00:00 GMT</v>
      </c>
      <c r="D140" s="1" t="str">
        <f ca="1">IFERROR(__xludf.DUMMYFUNCTION("""COMPUTED_VALUE"""),"세대갈등 번진 ‘노인 무임승차’… ‘폐지·변경’이 ‘현행 유지’보다 우세  조선일보")</f>
        <v>세대갈등 번진 ‘노인 무임승차’… ‘폐지·변경’이 ‘현행 유지’보다 우세  조선일보</v>
      </c>
    </row>
    <row r="141" spans="1:4" ht="12.5" x14ac:dyDescent="0.25">
      <c r="A141" s="1" t="str">
        <f ca="1">IFERROR(__xludf.DUMMYFUNCTION("""COMPUTED_VALUE"""),"[경일칼럼]세대 차이(世代差異)(2) - 경남일보")</f>
        <v>[경일칼럼]세대 차이(世代差異)(2) - 경남일보</v>
      </c>
      <c r="B141" s="2" t="str">
        <f ca="1">IFERROR(__xludf.DUMMYFUNCTION("""COMPUTED_VALUE"""),"https://news.google.com/rss/articles/CBMiOmh0dHA6Ly93d3cuZ25uZXdzLmNvLmtyL25ld3MvYXJ0aWNsZVZpZXcuaHRtbD9pZHhubz01MTQ3MDPSAQA?oc=5")</f>
        <v>https://news.google.com/rss/articles/CBMiOmh0dHA6Ly93d3cuZ25uZXdzLmNvLmtyL25ld3MvYXJ0aWNsZVZpZXcuaHRtbD9pZHhubz01MTQ3MDPSAQA?oc=5</v>
      </c>
      <c r="C141" s="1" t="str">
        <f ca="1">IFERROR(__xludf.DUMMYFUNCTION("""COMPUTED_VALUE"""),"Tue, 15 Nov 2022 08:00:00 GMT")</f>
        <v>Tue, 15 Nov 2022 08:00:00 GMT</v>
      </c>
      <c r="D141" s="1" t="str">
        <f ca="1">IFERROR(__xludf.DUMMYFUNCTION("""COMPUTED_VALUE"""),"[경일칼럼]세대 차이(世代差異)(2)  경남일보")</f>
        <v>[경일칼럼]세대 차이(世代差異)(2)  경남일보</v>
      </c>
    </row>
    <row r="142" spans="1:4" ht="12.5" x14ac:dyDescent="0.25">
      <c r="A142" s="1" t="str">
        <f ca="1">IFERROR(__xludf.DUMMYFUNCTION("""COMPUTED_VALUE"""),"질문 실력이 중요한 챗GPT시대…세대간 '업무능력 갈등' 해소할 기회다 - 한국경제")</f>
        <v>질문 실력이 중요한 챗GPT시대…세대간 '업무능력 갈등' 해소할 기회다 - 한국경제</v>
      </c>
      <c r="B142" s="2" t="str">
        <f ca="1">IFERROR(__xludf.DUMMYFUNCTION("""COMPUTED_VALUE"""),"https://news.google.com/rss/articles/CBMiNmh0dHBzOi8vd3d3Lmhhbmt5dW5nLmNvbS9vcGluaW9uL2FydGljbGUvMjAyMzAzMjkyNzA2MdIBMmh0dHBzOi8vd3d3Lmhhbmt5dW5nLmNvbS9vcGluaW9uL2FtcC8yMDIzMDMyOTI3MDYx?oc=5")</f>
        <v>https://news.google.com/rss/articles/CBMiNmh0dHBzOi8vd3d3Lmhhbmt5dW5nLmNvbS9vcGluaW9uL2FydGljbGUvMjAyMzAzMjkyNzA2MdIBMmh0dHBzOi8vd3d3Lmhhbmt5dW5nLmNvbS9vcGluaW9uL2FtcC8yMDIzMDMyOTI3MDYx?oc=5</v>
      </c>
      <c r="C142" s="1" t="str">
        <f ca="1">IFERROR(__xludf.DUMMYFUNCTION("""COMPUTED_VALUE"""),"Wed, 29 Mar 2023 07:00:00 GMT")</f>
        <v>Wed, 29 Mar 2023 07:00:00 GMT</v>
      </c>
      <c r="D142" s="1" t="str">
        <f ca="1">IFERROR(__xludf.DUMMYFUNCTION("""COMPUTED_VALUE"""),"질문 실력이 중요한 챗GPT시대…세대간 '업무능력 갈등' 해소할 기회다  한국경제")</f>
        <v>질문 실력이 중요한 챗GPT시대…세대간 '업무능력 갈등' 해소할 기회다  한국경제</v>
      </c>
    </row>
    <row r="143" spans="1:4" ht="12.5" x14ac:dyDescent="0.25">
      <c r="A143" s="1" t="str">
        <f ca="1">IFERROR(__xludf.DUMMYFUNCTION("""COMPUTED_VALUE"""),"""MZ는 이렇다 저렇다 제발 그만 좀 하세요""…왜냐하면 - 매일경제")</f>
        <v>"MZ는 이렇다 저렇다 제발 그만 좀 하세요"…왜냐하면 - 매일경제</v>
      </c>
      <c r="B143" s="2" t="str">
        <f ca="1">IFERROR(__xludf.DUMMYFUNCTION("""COMPUTED_VALUE"""),"https://news.google.com/rss/articles/CBMiK2h0dHBzOi8vd3d3Lm1rLmNvLmtyL25ld3MvYnVzaW5lc3MvMTA0NjMxMznSAR9odHRwczovL20ubWsuY28ua3IvYW1wLzEwNDYzMTM5?oc=5")</f>
        <v>https://news.google.com/rss/articles/CBMiK2h0dHBzOi8vd3d3Lm1rLmNvLmtyL25ld3MvYnVzaW5lc3MvMTA0NjMxMznSAR9odHRwczovL20ubWsuY28ua3IvYW1wLzEwNDYzMTM5?oc=5</v>
      </c>
      <c r="C143" s="1" t="str">
        <f ca="1">IFERROR(__xludf.DUMMYFUNCTION("""COMPUTED_VALUE"""),"Wed, 21 Sep 2022 07:00:00 GMT")</f>
        <v>Wed, 21 Sep 2022 07:00:00 GMT</v>
      </c>
      <c r="D143" s="1" t="str">
        <f ca="1">IFERROR(__xludf.DUMMYFUNCTION("""COMPUTED_VALUE"""),"""MZ는 이렇다 저렇다 제발 그만 좀 하세요""…왜냐하면  매일경제")</f>
        <v>"MZ는 이렇다 저렇다 제발 그만 좀 하세요"…왜냐하면  매일경제</v>
      </c>
    </row>
    <row r="144" spans="1:4" ht="12.5" x14ac:dyDescent="0.25">
      <c r="A144" s="1" t="str">
        <f ca="1">IFERROR(__xludf.DUMMYFUNCTION("""COMPUTED_VALUE"""),"“MZ세대, 워라밸만 중시” “‘라떼’ 조언 거부할뿐”…직장내 ‘MZ세대 논란’ 확산 - 동아일보")</f>
        <v>“MZ세대, 워라밸만 중시” “‘라떼’ 조언 거부할뿐”…직장내 ‘MZ세대 논란’ 확산 - 동아일보</v>
      </c>
      <c r="B144" s="2" t="str">
        <f ca="1">IFERROR(__xludf.DUMMYFUNCTION("""COMPUTED_VALUE"""),"https://news.google.com/rss/articles/CBMiQ2h0dHBzOi8vd3d3LmRvbmdhLmNvbS9uZXdzL1NvY2lldHkvYXJ0aWNsZS9hbGwvMjAyMzAxMDMvMTE3MjY0Nzc1LzHSATdodHRwczovL3d3dy5kb25nYS5jb20vbmV3cy9hbXAvYWxsLzIwMjMwMTAzLzExNzI2NDc3NS8x?oc=5")</f>
        <v>https://news.google.com/rss/articles/CBMiQ2h0dHBzOi8vd3d3LmRvbmdhLmNvbS9uZXdzL1NvY2lldHkvYXJ0aWNsZS9hbGwvMjAyMzAxMDMvMTE3MjY0Nzc1LzHSATdodHRwczovL3d3dy5kb25nYS5jb20vbmV3cy9hbXAvYWxsLzIwMjMwMTAzLzExNzI2NDc3NS8x?oc=5</v>
      </c>
      <c r="C144" s="1" t="str">
        <f ca="1">IFERROR(__xludf.DUMMYFUNCTION("""COMPUTED_VALUE"""),"Tue, 03 Jan 2023 08:00:00 GMT")</f>
        <v>Tue, 03 Jan 2023 08:00:00 GMT</v>
      </c>
      <c r="D144" s="1" t="str">
        <f ca="1">IFERROR(__xludf.DUMMYFUNCTION("""COMPUTED_VALUE"""),"“MZ세대, 워라밸만 중시” “‘라떼’ 조언 거부할뿐”…직장내 ‘MZ세대 논란’ 확산  동아일보")</f>
        <v>“MZ세대, 워라밸만 중시” “‘라떼’ 조언 거부할뿐”…직장내 ‘MZ세대 논란’ 확산  동아일보</v>
      </c>
    </row>
    <row r="145" spans="1:4" ht="12.5" x14ac:dyDescent="0.25">
      <c r="A145" s="1" t="str">
        <f ca="1">IFERROR(__xludf.DUMMYFUNCTION("""COMPUTED_VALUE"""),"[기고] 세대갈등 이제 그만…서로 다름을 이해하고 존중하자 - 매일일보")</f>
        <v>[기고] 세대갈등 이제 그만…서로 다름을 이해하고 존중하자 - 매일일보</v>
      </c>
      <c r="B145" s="2" t="str">
        <f ca="1">IFERROR(__xludf.DUMMYFUNCTION("""COMPUTED_VALUE"""),"https://news.google.com/rss/articles/CBMiNWh0dHBzOi8vd3d3Lm0taS5rci9uZXdzL2FydGljbGVWaWV3Lmh0bWw_aWR4bm89OTI4NDAz0gEA?oc=5")</f>
        <v>https://news.google.com/rss/articles/CBMiNWh0dHBzOi8vd3d3Lm0taS5rci9uZXdzL2FydGljbGVWaWV3Lmh0bWw_aWR4bm89OTI4NDAz0gEA?oc=5</v>
      </c>
      <c r="C145" s="1" t="str">
        <f ca="1">IFERROR(__xludf.DUMMYFUNCTION("""COMPUTED_VALUE"""),"Wed, 22 Jun 2022 07:00:00 GMT")</f>
        <v>Wed, 22 Jun 2022 07:00:00 GMT</v>
      </c>
      <c r="D145" s="1" t="str">
        <f ca="1">IFERROR(__xludf.DUMMYFUNCTION("""COMPUTED_VALUE"""),"[기고] 세대갈등 이제 그만…서로 다름을 이해하고 존중하자  매일일보")</f>
        <v>[기고] 세대갈등 이제 그만…서로 다름을 이해하고 존중하자  매일일보</v>
      </c>
    </row>
    <row r="146" spans="1:4" ht="12.5" x14ac:dyDescent="0.25">
      <c r="A146" s="1" t="str">
        <f ca="1">IFERROR(__xludf.DUMMYFUNCTION("""COMPUTED_VALUE"""),"“승무원이 기내에서 담요 덮으면 무슨 생각 드나요?” 세대 갈등 폭발했다 - 아시아투데이")</f>
        <v>“승무원이 기내에서 담요 덮으면 무슨 생각 드나요?” 세대 갈등 폭발했다 - 아시아투데이</v>
      </c>
      <c r="B146" s="2" t="str">
        <f ca="1">IFERROR(__xludf.DUMMYFUNCTION("""COMPUTED_VALUE"""),"https://news.google.com/rss/articles/CBMiOmh0dHBzOi8vd3d3LmFzaWF0b2RheS5jby5rci92aWV3LnBocD9rZXk9MjAyMzA3MTEwMDE3MzUyNzLSAQA?oc=5")</f>
        <v>https://news.google.com/rss/articles/CBMiOmh0dHBzOi8vd3d3LmFzaWF0b2RheS5jby5rci92aWV3LnBocD9rZXk9MjAyMzA3MTEwMDE3MzUyNzLSAQA?oc=5</v>
      </c>
      <c r="C146" s="1" t="str">
        <f ca="1">IFERROR(__xludf.DUMMYFUNCTION("""COMPUTED_VALUE"""),"Tue, 11 Jul 2023 07:00:00 GMT")</f>
        <v>Tue, 11 Jul 2023 07:00:00 GMT</v>
      </c>
      <c r="D146" s="1" t="str">
        <f ca="1">IFERROR(__xludf.DUMMYFUNCTION("""COMPUTED_VALUE"""),"“승무원이 기내에서 담요 덮으면 무슨 생각 드나요?” 세대 갈등 폭발했다  아시아투데이")</f>
        <v>“승무원이 기내에서 담요 덮으면 무슨 생각 드나요?” 세대 갈등 폭발했다  아시아투데이</v>
      </c>
    </row>
    <row r="147" spans="1:4" ht="12.5" x14ac:dyDescent="0.25">
      <c r="A147" s="1" t="str">
        <f ca="1">IFERROR(__xludf.DUMMYFUNCTION("""COMPUTED_VALUE"""),"[정치쇼] 박원석 ""김은경 다음 주 못 넘겨""…김근식 ""이재명 왜 숨어있나"" - SBS 뉴스")</f>
        <v>[정치쇼] 박원석 "김은경 다음 주 못 넘겨"…김근식 "이재명 왜 숨어있나" - SBS 뉴스</v>
      </c>
      <c r="B147" s="2" t="str">
        <f ca="1">IFERROR(__xludf.DUMMYFUNCTION("""COMPUTED_VALUE"""),"https://news.google.com/rss/articles/CBMiOmh0dHBzOi8vbmV3cy5zYnMuY28ua3IvbmV3cy9lbmRQYWdlLmRvP25ld3NfaWQ9TjEwMDcyOTU3NDDSATdodHRwczovL25ld3Muc2JzLmNvLmtyL2FtcC9uZXdzLmFtcD9uZXdzX2lkPU4xMDA3Mjk1NzQw?oc=5")</f>
        <v>https://news.google.com/rss/articles/CBMiOmh0dHBzOi8vbmV3cy5zYnMuY28ua3IvbmV3cy9lbmRQYWdlLmRvP25ld3NfaWQ9TjEwMDcyOTU3NDDSATdodHRwczovL25ld3Muc2JzLmNvLmtyL2FtcC9uZXdzLmFtcD9uZXdzX2lkPU4xMDA3Mjk1NzQw?oc=5</v>
      </c>
      <c r="C147" s="1" t="str">
        <f ca="1">IFERROR(__xludf.DUMMYFUNCTION("""COMPUTED_VALUE"""),"Fri, 04 Aug 2023 07:00:00 GMT")</f>
        <v>Fri, 04 Aug 2023 07:00:00 GMT</v>
      </c>
      <c r="D147" s="1" t="str">
        <f ca="1">IFERROR(__xludf.DUMMYFUNCTION("""COMPUTED_VALUE"""),"[정치쇼] 박원석 ""김은경 다음 주 못 넘겨""…김근식 ""이재명 왜 숨어있나""  SBS 뉴스")</f>
        <v>[정치쇼] 박원석 "김은경 다음 주 못 넘겨"…김근식 "이재명 왜 숨어있나"  SBS 뉴스</v>
      </c>
    </row>
    <row r="148" spans="1:4" ht="12.5" x14ac:dyDescent="0.25">
      <c r="A148" s="1" t="str">
        <f ca="1">IFERROR(__xludf.DUMMYFUNCTION("""COMPUTED_VALUE"""),"이젠 MZ도 아닌 잘파세대?…갈등은 그대로 둔채 세대론만 재생산하는 사회 - 한국경제")</f>
        <v>이젠 MZ도 아닌 잘파세대?…갈등은 그대로 둔채 세대론만 재생산하는 사회 - 한국경제</v>
      </c>
      <c r="B148" s="2" t="str">
        <f ca="1">IFERROR(__xludf.DUMMYFUNCTION("""COMPUTED_VALUE"""),"https://news.google.com/rss/articles/CBMiNmh0dHBzOi8vd3d3Lmhhbmt5dW5nLmNvbS9vcGluaW9uL2FydGljbGUvMjAyMzA2MjgwOTE3MdIBMmh0dHBzOi8vd3d3Lmhhbmt5dW5nLmNvbS9vcGluaW9uL2FtcC8yMDIzMDYyODA5MTcx?oc=5")</f>
        <v>https://news.google.com/rss/articles/CBMiNmh0dHBzOi8vd3d3Lmhhbmt5dW5nLmNvbS9vcGluaW9uL2FydGljbGUvMjAyMzA2MjgwOTE3MdIBMmh0dHBzOi8vd3d3Lmhhbmt5dW5nLmNvbS9vcGluaW9uL2FtcC8yMDIzMDYyODA5MTcx?oc=5</v>
      </c>
      <c r="C148" s="1" t="str">
        <f ca="1">IFERROR(__xludf.DUMMYFUNCTION("""COMPUTED_VALUE"""),"Wed, 28 Jun 2023 07:00:00 GMT")</f>
        <v>Wed, 28 Jun 2023 07:00:00 GMT</v>
      </c>
      <c r="D148" s="1" t="str">
        <f ca="1">IFERROR(__xludf.DUMMYFUNCTION("""COMPUTED_VALUE"""),"이젠 MZ도 아닌 잘파세대?…갈등은 그대로 둔채 세대론만 재생산하는 사회  한국경제")</f>
        <v>이젠 MZ도 아닌 잘파세대?…갈등은 그대로 둔채 세대론만 재생산하는 사회  한국경제</v>
      </c>
    </row>
    <row r="149" spans="1:4" ht="12.5" x14ac:dyDescent="0.25">
      <c r="A149" s="1" t="str">
        <f ca="1">IFERROR(__xludf.DUMMYFUNCTION("""COMPUTED_VALUE"""),"진용진 '없는 영화', MZ세대 갈등 그린 스릴러 시리즈로 호평 - 서울경제 - 서울경제신문")</f>
        <v>진용진 '없는 영화', MZ세대 갈등 그린 스릴러 시리즈로 호평 - 서울경제 - 서울경제신문</v>
      </c>
      <c r="B149" s="2" t="str">
        <f ca="1">IFERROR(__xludf.DUMMYFUNCTION("""COMPUTED_VALUE"""),"https://news.google.com/rss/articles/CBMiK2h0dHBzOi8vd3d3LnNlZGFpbHkuY29tL05ld3NWaWV3LzI5T0UxNkQwMTfSASxodHRwczovL20uc2VkYWlseS5jb20vTmV3c1ZpZXdBbXAvMjlPRTE2RDAxNw?oc=5")</f>
        <v>https://news.google.com/rss/articles/CBMiK2h0dHBzOi8vd3d3LnNlZGFpbHkuY29tL05ld3NWaWV3LzI5T0UxNkQwMTfSASxodHRwczovL20uc2VkYWlseS5jb20vTmV3c1ZpZXdBbXAvMjlPRTE2RDAxNw?oc=5</v>
      </c>
      <c r="C149" s="1" t="str">
        <f ca="1">IFERROR(__xludf.DUMMYFUNCTION("""COMPUTED_VALUE"""),"Fri, 21 Apr 2023 07:00:00 GMT")</f>
        <v>Fri, 21 Apr 2023 07:00:00 GMT</v>
      </c>
      <c r="D149" s="1" t="str">
        <f ca="1">IFERROR(__xludf.DUMMYFUNCTION("""COMPUTED_VALUE"""),"진용진 '없는 영화', MZ세대 갈등 그린 스릴러 시리즈로 호평 - 서울경제  서울경제신문")</f>
        <v>진용진 '없는 영화', MZ세대 갈등 그린 스릴러 시리즈로 호평 - 서울경제  서울경제신문</v>
      </c>
    </row>
    <row r="150" spans="1:4" ht="12.5" x14ac:dyDescent="0.25">
      <c r="A150" s="1" t="str">
        <f ca="1">IFERROR(__xludf.DUMMYFUNCTION("""COMPUTED_VALUE"""),"프랑스 연금개혁 반대 MZ세대 ""은퇴 후 최소한의 삶 위해"" - 한국일보")</f>
        <v>프랑스 연금개혁 반대 MZ세대 "은퇴 후 최소한의 삶 위해" - 한국일보</v>
      </c>
      <c r="B150" s="2" t="str">
        <f ca="1">IFERROR(__xludf.DUMMYFUNCTION("""COMPUTED_VALUE"""),"https://news.google.com/rss/articles/CBMiOGh0dHBzOi8vbS5oYW5rb29raWxiby5jb20vTmV3cy9SZWFkL0EyMDIzMDQzMDE1NDgwMDAwNzE20gEA?oc=5")</f>
        <v>https://news.google.com/rss/articles/CBMiOGh0dHBzOi8vbS5oYW5rb29raWxiby5jb20vTmV3cy9SZWFkL0EyMDIzMDQzMDE1NDgwMDAwNzE20gEA?oc=5</v>
      </c>
      <c r="C150" s="1" t="str">
        <f ca="1">IFERROR(__xludf.DUMMYFUNCTION("""COMPUTED_VALUE"""),"Tue, 02 May 2023 07:00:00 GMT")</f>
        <v>Tue, 02 May 2023 07:00:00 GMT</v>
      </c>
      <c r="D150" s="1" t="str">
        <f ca="1">IFERROR(__xludf.DUMMYFUNCTION("""COMPUTED_VALUE"""),"프랑스 연금개혁 반대 MZ세대 ""은퇴 후 최소한의 삶 위해""  한국일보")</f>
        <v>프랑스 연금개혁 반대 MZ세대 "은퇴 후 최소한의 삶 위해"  한국일보</v>
      </c>
    </row>
    <row r="151" spans="1:4" ht="12.5" x14ac:dyDescent="0.25">
      <c r="A151" s="1" t="str">
        <f ca="1">IFERROR(__xludf.DUMMYFUNCTION("""COMPUTED_VALUE"""),"종교·인종·세대 갈등 넘어선 사랑…현실서도 가능할까 - 한국일보")</f>
        <v>종교·인종·세대 갈등 넘어선 사랑…현실서도 가능할까 - 한국일보</v>
      </c>
      <c r="B151" s="2" t="str">
        <f ca="1">IFERROR(__xludf.DUMMYFUNCTION("""COMPUTED_VALUE"""),"https://news.google.com/rss/articles/CBMiOGh0dHBzOi8vbS5oYW5rb29raWxiby5jb20vTmV3cy9SZWFkL0EyMDIzMDMyMjEwMDkwMDAwODk00gEA?oc=5")</f>
        <v>https://news.google.com/rss/articles/CBMiOGh0dHBzOi8vbS5oYW5rb29raWxiby5jb20vTmV3cy9SZWFkL0EyMDIzMDMyMjEwMDkwMDAwODk00gEA?oc=5</v>
      </c>
      <c r="C151" s="1" t="str">
        <f ca="1">IFERROR(__xludf.DUMMYFUNCTION("""COMPUTED_VALUE"""),"Fri, 24 Mar 2023 07:00:00 GMT")</f>
        <v>Fri, 24 Mar 2023 07:00:00 GMT</v>
      </c>
      <c r="D151" s="1" t="str">
        <f ca="1">IFERROR(__xludf.DUMMYFUNCTION("""COMPUTED_VALUE"""),"종교·인종·세대 갈등 넘어선 사랑…현실서도 가능할까  한국일보")</f>
        <v>종교·인종·세대 갈등 넘어선 사랑…현실서도 가능할까  한국일보</v>
      </c>
    </row>
    <row r="152" spans="1:4" ht="12.5" x14ac:dyDescent="0.25">
      <c r="A152" s="1" t="str">
        <f ca="1">IFERROR(__xludf.DUMMYFUNCTION("""COMPUTED_VALUE"""),"[집단별 갈등인식 – 2023년] 이념갈등, 여전히 우리나라의 가장 큰 갈등 축 - 한국리서치 정기조사 여론 속의 여론")</f>
        <v>[집단별 갈등인식 – 2023년] 이념갈등, 여전히 우리나라의 가장 큰 갈등 축 - 한국리서치 정기조사 여론 속의 여론</v>
      </c>
      <c r="B152" s="2" t="str">
        <f ca="1">IFERROR(__xludf.DUMMYFUNCTION("""COMPUTED_VALUE"""),"https://news.google.com/rss/articles/CBMiJ2h0dHBzOi8vaHJjb3Bpbmlvbi5jby5rci9hcmNoaXZlcy8yNjY4N9IBK2h0dHBzOi8vaHJjb3Bpbmlvbi5jby5rci9hcmNoaXZlcy8yNjY4Ny9hbXA?oc=5")</f>
        <v>https://news.google.com/rss/articles/CBMiJ2h0dHBzOi8vaHJjb3Bpbmlvbi5jby5rci9hcmNoaXZlcy8yNjY4N9IBK2h0dHBzOi8vaHJjb3Bpbmlvbi5jby5rci9hcmNoaXZlcy8yNjY4Ny9hbXA?oc=5</v>
      </c>
      <c r="C152" s="1" t="str">
        <f ca="1">IFERROR(__xludf.DUMMYFUNCTION("""COMPUTED_VALUE"""),"Tue, 23 May 2023 07:00:00 GMT")</f>
        <v>Tue, 23 May 2023 07:00:00 GMT</v>
      </c>
      <c r="D152" s="1" t="str">
        <f ca="1">IFERROR(__xludf.DUMMYFUNCTION("""COMPUTED_VALUE"""),"[집단별 갈등인식 – 2023년] 이념갈등, 여전히 우리나라의 가장 큰 갈등 축  한국리서치 정기조사 여론 속의 여론")</f>
        <v>[집단별 갈등인식 – 2023년] 이념갈등, 여전히 우리나라의 가장 큰 갈등 축  한국리서치 정기조사 여론 속의 여론</v>
      </c>
    </row>
    <row r="153" spans="1:4" ht="12.5" x14ac:dyDescent="0.25">
      <c r="A153" s="1" t="str">
        <f ca="1">IFERROR(__xludf.DUMMYFUNCTION("""COMPUTED_VALUE"""),"[실시간 e뉴스] '타투' 두고 세대 갈등…""직장에선 좀"" VS ""액세서리일 뿐"" - SBS 뉴스")</f>
        <v>[실시간 e뉴스] '타투' 두고 세대 갈등…"직장에선 좀" VS "액세서리일 뿐" - SBS 뉴스</v>
      </c>
      <c r="B153" s="2" t="str">
        <f ca="1">IFERROR(__xludf.DUMMYFUNCTION("""COMPUTED_VALUE"""),"https://news.google.com/rss/articles/CBMiOmh0dHBzOi8vbmV3cy5zYnMuY28ua3IvbmV3cy9lbmRQYWdlLmRvP25ld3NfaWQ9TjEwMDY5Mjg4NzXSATdodHRwczovL25ld3Muc2JzLmNvLmtyL2FtcC9uZXdzLmFtcD9uZXdzX2lkPU4xMDA2OTI4ODc1?oc=5")</f>
        <v>https://news.google.com/rss/articles/CBMiOmh0dHBzOi8vbmV3cy5zYnMuY28ua3IvbmV3cy9lbmRQYWdlLmRvP25ld3NfaWQ9TjEwMDY5Mjg4NzXSATdodHRwczovL25ld3Muc2JzLmNvLmtyL2FtcC9uZXdzLmFtcD9uZXdzX2lkPU4xMDA2OTI4ODc1?oc=5</v>
      </c>
      <c r="C153" s="1" t="str">
        <f ca="1">IFERROR(__xludf.DUMMYFUNCTION("""COMPUTED_VALUE"""),"Wed, 12 Oct 2022 07:00:00 GMT")</f>
        <v>Wed, 12 Oct 2022 07:00:00 GMT</v>
      </c>
      <c r="D153" s="1" t="str">
        <f ca="1">IFERROR(__xludf.DUMMYFUNCTION("""COMPUTED_VALUE"""),"[실시간 e뉴스] '타투' 두고 세대 갈등…""직장에선 좀"" VS ""액세서리일 뿐""  SBS 뉴스")</f>
        <v>[실시간 e뉴스] '타투' 두고 세대 갈등…"직장에선 좀" VS "액세서리일 뿐"  SBS 뉴스</v>
      </c>
    </row>
    <row r="154" spans="1:4" ht="12.5" x14ac:dyDescent="0.25">
      <c r="A154" s="1" t="str">
        <f ca="1">IFERROR(__xludf.DUMMYFUNCTION("""COMPUTED_VALUE"""),"[디지털 &amp; 라이프] '애미'라는 표현이 불편하신가요?…세대갈등 극복 해법 - 디지털데일리")</f>
        <v>[디지털 &amp; 라이프] '애미'라는 표현이 불편하신가요?…세대갈등 극복 해법 - 디지털데일리</v>
      </c>
      <c r="B154" s="2" t="str">
        <f ca="1">IFERROR(__xludf.DUMMYFUNCTION("""COMPUTED_VALUE"""),"https://news.google.com/rss/articles/CBMiNGh0dHBzOi8vbS5kZGFpbHkuY28ua3IvcGFnZS92aWV3LzIwMjIwOTAxMTcyOTM2MzU2NDHSAQA?oc=5")</f>
        <v>https://news.google.com/rss/articles/CBMiNGh0dHBzOi8vbS5kZGFpbHkuY28ua3IvcGFnZS92aWV3LzIwMjIwOTAxMTcyOTM2MzU2NDHSAQA?oc=5</v>
      </c>
      <c r="C154" s="1" t="str">
        <f ca="1">IFERROR(__xludf.DUMMYFUNCTION("""COMPUTED_VALUE"""),"Thu, 01 Sep 2022 07:00:00 GMT")</f>
        <v>Thu, 01 Sep 2022 07:00:00 GMT</v>
      </c>
      <c r="D154" s="1" t="str">
        <f ca="1">IFERROR(__xludf.DUMMYFUNCTION("""COMPUTED_VALUE"""),"[디지털 &amp; 라이프] '애미'라는 표현이 불편하신가요?…세대갈등 극복 해법  디지털데일리")</f>
        <v>[디지털 &amp; 라이프] '애미'라는 표현이 불편하신가요?…세대갈등 극복 해법  디지털데일리</v>
      </c>
    </row>
    <row r="155" spans="1:4" ht="12.5" x14ac:dyDescent="0.25">
      <c r="A155" s="1" t="str">
        <f ca="1">IFERROR(__xludf.DUMMYFUNCTION("""COMPUTED_VALUE"""),"[교육이슈+] Z세대 학생과 교사 &lt; 칼럼 &lt; 오피니언 &lt; 기사본문 - 교육플러스")</f>
        <v>[교육이슈+] Z세대 학생과 교사 &lt; 칼럼 &lt; 오피니언 &lt; 기사본문 - 교육플러스</v>
      </c>
      <c r="B155" s="2" t="str">
        <f ca="1">IFERROR(__xludf.DUMMYFUNCTION("""COMPUTED_VALUE"""),"https://news.google.com/rss/articles/CBMiN2h0dHBzOi8vd3d3LmVkcGwuY28ua3IvbmV3cy9hcnRpY2xlVmlldy5odG1sP2lkeG5vPTg2OTHSAQA?oc=5")</f>
        <v>https://news.google.com/rss/articles/CBMiN2h0dHBzOi8vd3d3LmVkcGwuY28ua3IvbmV3cy9hcnRpY2xlVmlldy5odG1sP2lkeG5vPTg2OTHSAQA?oc=5</v>
      </c>
      <c r="C155" s="1" t="str">
        <f ca="1">IFERROR(__xludf.DUMMYFUNCTION("""COMPUTED_VALUE"""),"Mon, 27 Mar 2023 07:00:00 GMT")</f>
        <v>Mon, 27 Mar 2023 07:00:00 GMT</v>
      </c>
      <c r="D155" s="1" t="str">
        <f ca="1">IFERROR(__xludf.DUMMYFUNCTION("""COMPUTED_VALUE"""),"[교육이슈+] Z세대 학생과 교사 &lt; 칼럼 &lt; 오피니언 &lt; 기사본문  교육플러스")</f>
        <v>[교육이슈+] Z세대 학생과 교사 &lt; 칼럼 &lt; 오피니언 &lt; 기사본문  교육플러스</v>
      </c>
    </row>
    <row r="156" spans="1:4" ht="12.5" x14ac:dyDescent="0.25">
      <c r="A156" s="1" t="str">
        <f ca="1">IFERROR(__xludf.DUMMYFUNCTION("""COMPUTED_VALUE"""),"우리 사회의 갈등 양상, 그리고 세대 갈등 - 제주新보")</f>
        <v>우리 사회의 갈등 양상, 그리고 세대 갈등 - 제주新보</v>
      </c>
      <c r="B156" s="2" t="str">
        <f ca="1">IFERROR(__xludf.DUMMYFUNCTION("""COMPUTED_VALUE"""),"https://news.google.com/rss/articles/CBMiPGh0dHBzOi8vd3d3LmplanVuZXdzLmNvbS9uZXdzL2FydGljbGVWaWV3Lmh0bWw_aWR4bm89MjE4MzQ3NtIBAA?oc=5")</f>
        <v>https://news.google.com/rss/articles/CBMiPGh0dHBzOi8vd3d3LmplanVuZXdzLmNvbS9uZXdzL2FydGljbGVWaWV3Lmh0bWw_aWR4bm89MjE4MzQ3NtIBAA?oc=5</v>
      </c>
      <c r="C156" s="1" t="str">
        <f ca="1">IFERROR(__xludf.DUMMYFUNCTION("""COMPUTED_VALUE"""),"Mon, 28 Jun 2021 07:00:00 GMT")</f>
        <v>Mon, 28 Jun 2021 07:00:00 GMT</v>
      </c>
      <c r="D156" s="1" t="str">
        <f ca="1">IFERROR(__xludf.DUMMYFUNCTION("""COMPUTED_VALUE"""),"우리 사회의 갈등 양상, 그리고 세대 갈등  제주新보")</f>
        <v>우리 사회의 갈등 양상, 그리고 세대 갈등  제주新보</v>
      </c>
    </row>
    <row r="157" spans="1:4" ht="12.5" x14ac:dyDescent="0.25">
      <c r="A157" s="1" t="str">
        <f ca="1">IFERROR(__xludf.DUMMYFUNCTION("""COMPUTED_VALUE"""),"선후배 사이 ‘낀 세대’ 기자들이 말하는 뉴스룸 세대 갈등 해법 - 미디어오늘")</f>
        <v>선후배 사이 ‘낀 세대’ 기자들이 말하는 뉴스룸 세대 갈등 해법 - 미디어오늘</v>
      </c>
      <c r="B157" s="2" t="str">
        <f ca="1">IFERROR(__xludf.DUMMYFUNCTION("""COMPUTED_VALUE"""),"https://news.google.com/rss/articles/CBMiPmh0dHA6Ly93d3cubWVkaWF0b2RheS5jby5rci9uZXdzL2FydGljbGVWaWV3Lmh0bWw_aWR4bm89MzA2Mjc30gFBaHR0cDovL3d3dy5tZWRpYXRvZGF5LmNvLmtyL25ld3MvYXJ0aWNsZVZpZXdBbXAuaHRtbD9pZHhubz0zMDYyNzc?oc=5")</f>
        <v>https://news.google.com/rss/articles/CBMiPmh0dHA6Ly93d3cubWVkaWF0b2RheS5jby5rci9uZXdzL2FydGljbGVWaWV3Lmh0bWw_aWR4bm89MzA2Mjc30gFBaHR0cDovL3d3dy5tZWRpYXRvZGF5LmNvLmtyL25ld3MvYXJ0aWNsZVZpZXdBbXAuaHRtbD9pZHhubz0zMDYyNzc?oc=5</v>
      </c>
      <c r="C157" s="1" t="str">
        <f ca="1">IFERROR(__xludf.DUMMYFUNCTION("""COMPUTED_VALUE"""),"Thu, 13 Oct 2022 07:00:00 GMT")</f>
        <v>Thu, 13 Oct 2022 07:00:00 GMT</v>
      </c>
      <c r="D157" s="1" t="str">
        <f ca="1">IFERROR(__xludf.DUMMYFUNCTION("""COMPUTED_VALUE"""),"선후배 사이 ‘낀 세대’ 기자들이 말하는 뉴스룸 세대 갈등 해법  미디어오늘")</f>
        <v>선후배 사이 ‘낀 세대’ 기자들이 말하는 뉴스룸 세대 갈등 해법  미디어오늘</v>
      </c>
    </row>
    <row r="158" spans="1:4" ht="12.5" x14ac:dyDescent="0.25">
      <c r="A158" s="1" t="str">
        <f ca="1">IFERROR(__xludf.DUMMYFUNCTION("""COMPUTED_VALUE"""),"[월드 프리즘] 영국 '교육 세대 갈등' 교복 스커트 길이 규정에 항의 시위 ... - 위키리크스한국")</f>
        <v>[월드 프리즘] 영국 '교육 세대 갈등' 교복 스커트 길이 규정에 항의 시위 ... - 위키리크스한국</v>
      </c>
      <c r="B158" s="2" t="str">
        <f ca="1">IFERROR(__xludf.DUMMYFUNCTION("""COMPUTED_VALUE"""),"https://news.google.com/rss/articles/CBMiP2h0dHBzOi8vd3d3Lndpa2lsZWFrcy1rci5vcmcvbmV3cy9hcnRpY2xlVmlldy5odG1sP2lkeG5vPTEzNTYwNdIBAA?oc=5")</f>
        <v>https://news.google.com/rss/articles/CBMiP2h0dHBzOi8vd3d3Lndpa2lsZWFrcy1rci5vcmcvbmV3cy9hcnRpY2xlVmlldy5odG1sP2lkeG5vPTEzNTYwNdIBAA?oc=5</v>
      </c>
      <c r="C158" s="1" t="str">
        <f ca="1">IFERROR(__xludf.DUMMYFUNCTION("""COMPUTED_VALUE"""),"Sat, 25 Feb 2023 08:00:00 GMT")</f>
        <v>Sat, 25 Feb 2023 08:00:00 GMT</v>
      </c>
      <c r="D158" s="1" t="str">
        <f ca="1">IFERROR(__xludf.DUMMYFUNCTION("""COMPUTED_VALUE"""),"[월드 프리즘] 영국 '교육 세대 갈등' 교복 스커트 길이 규정에 항의 시위 ...  위키리크스한국")</f>
        <v>[월드 프리즘] 영국 '교육 세대 갈등' 교복 스커트 길이 규정에 항의 시위 ...  위키리크스한국</v>
      </c>
    </row>
    <row r="159" spans="1:4" ht="12.5" x14ac:dyDescent="0.25">
      <c r="A159" s="1" t="str">
        <f ca="1">IFERROR(__xludf.DUMMYFUNCTION("""COMPUTED_VALUE"""),"“청년 혜택, 이번엔 과하다”‧‧‧세대갈등 경계론 고개 들다 - 이뉴스투데이")</f>
        <v>“청년 혜택, 이번엔 과하다”‧‧‧세대갈등 경계론 고개 들다 - 이뉴스투데이</v>
      </c>
      <c r="B159" s="2" t="str">
        <f ca="1">IFERROR(__xludf.DUMMYFUNCTION("""COMPUTED_VALUE"""),"https://news.google.com/rss/articles/CBMiP2h0dHA6Ly93d3cuZW5ld3N0b2RheS5jby5rci9uZXdzL2FydGljbGVWaWV3Lmh0bWw_aWR4bm89MjAxMTQ2ONIBQmh0dHA6Ly93d3cuZW5ld3N0b2RheS5jby5rci9uZXdzL2FydGljbGVWaWV3QW1wLmh0bWw_aWR4bm89MjAxMTQ2OA?oc=5")</f>
        <v>https://news.google.com/rss/articles/CBMiP2h0dHA6Ly93d3cuZW5ld3N0b2RheS5jby5rci9uZXdzL2FydGljbGVWaWV3Lmh0bWw_aWR4bm89MjAxMTQ2ONIBQmh0dHA6Ly93d3cuZW5ld3N0b2RheS5jby5rci9uZXdzL2FydGljbGVWaWV3QW1wLmh0bWw_aWR4bm89MjAxMTQ2OA?oc=5</v>
      </c>
      <c r="C159" s="1" t="str">
        <f ca="1">IFERROR(__xludf.DUMMYFUNCTION("""COMPUTED_VALUE"""),"Tue, 20 Jun 2023 07:00:00 GMT")</f>
        <v>Tue, 20 Jun 2023 07:00:00 GMT</v>
      </c>
      <c r="D159" s="1" t="str">
        <f ca="1">IFERROR(__xludf.DUMMYFUNCTION("""COMPUTED_VALUE"""),"“청년 혜택, 이번엔 과하다”‧‧‧세대갈등 경계론 고개 들다  이뉴스투데이")</f>
        <v>“청년 혜택, 이번엔 과하다”‧‧‧세대갈등 경계론 고개 들다  이뉴스투데이</v>
      </c>
    </row>
    <row r="160" spans="1:4" ht="12.5" x14ac:dyDescent="0.25">
      <c r="A160" s="1" t="str">
        <f ca="1">IFERROR(__xludf.DUMMYFUNCTION("""COMPUTED_VALUE"""),"“신입과의 갈등…세대 차이로 너무 힘듭니다”[안주연의 다시, 연결] - 한국경제매거진")</f>
        <v>“신입과의 갈등…세대 차이로 너무 힘듭니다”[안주연의 다시, 연결] - 한국경제매거진</v>
      </c>
      <c r="B160" s="2" t="str">
        <f ca="1">IFERROR(__xludf.DUMMYFUNCTION("""COMPUTED_VALUE"""),"https://news.google.com/rss/articles/CBMiPGh0dHBzOi8vbWFnYXppbmUuaGFua3l1bmcuY29tL2J1c2luZXNzL2FydGljbGUvMjAyMzAzMDg0ODU4YtIBOGh0dHBzOi8vbWFnYXppbmUuaGFua3l1bmcuY29tL2J1c2luZXNzL2FtcC8yMDIzMDMwODQ4NThi?oc=5")</f>
        <v>https://news.google.com/rss/articles/CBMiPGh0dHBzOi8vbWFnYXppbmUuaGFua3l1bmcuY29tL2J1c2luZXNzL2FydGljbGUvMjAyMzAzMDg0ODU4YtIBOGh0dHBzOi8vbWFnYXppbmUuaGFua3l1bmcuY29tL2J1c2luZXNzL2FtcC8yMDIzMDMwODQ4NThi?oc=5</v>
      </c>
      <c r="C160" s="1" t="str">
        <f ca="1">IFERROR(__xludf.DUMMYFUNCTION("""COMPUTED_VALUE"""),"Mon, 13 Mar 2023 07:00:00 GMT")</f>
        <v>Mon, 13 Mar 2023 07:00:00 GMT</v>
      </c>
      <c r="D160" s="1" t="str">
        <f ca="1">IFERROR(__xludf.DUMMYFUNCTION("""COMPUTED_VALUE"""),"“신입과의 갈등…세대 차이로 너무 힘듭니다”[안주연의 다시, 연결]  한국경제매거진")</f>
        <v>“신입과의 갈등…세대 차이로 너무 힘듭니다”[안주연의 다시, 연결]  한국경제매거진</v>
      </c>
    </row>
    <row r="161" spans="1:4" ht="12.5" x14ac:dyDescent="0.25">
      <c r="A161" s="1" t="str">
        <f ca="1">IFERROR(__xludf.DUMMYFUNCTION("""COMPUTED_VALUE"""),"코바코, ABC송으로 '세대 갈등 해소' 노력 나서 - Brand Brief - 브랜드브리프")</f>
        <v>코바코, ABC송으로 '세대 갈등 해소' 노력 나서 - Brand Brief - 브랜드브리프</v>
      </c>
      <c r="B161" s="2" t="str">
        <f ca="1">IFERROR(__xludf.DUMMYFUNCTION("""COMPUTED_VALUE"""),"https://news.google.com/rss/articles/CBMiPWh0dHBzOi8vd3d3LmJyYW5kYnJpZWYuY28ua3IvbmV3cy9hcnRpY2xlVmlldy5odG1sP2lkeG5vPTU0NDbSAQA?oc=5")</f>
        <v>https://news.google.com/rss/articles/CBMiPWh0dHBzOi8vd3d3LmJyYW5kYnJpZWYuY28ua3IvbmV3cy9hcnRpY2xlVmlldy5odG1sP2lkeG5vPTU0NDbSAQA?oc=5</v>
      </c>
      <c r="C161" s="1" t="str">
        <f ca="1">IFERROR(__xludf.DUMMYFUNCTION("""COMPUTED_VALUE"""),"Fri, 26 Aug 2022 07:00:00 GMT")</f>
        <v>Fri, 26 Aug 2022 07:00:00 GMT</v>
      </c>
      <c r="D161" s="1" t="str">
        <f ca="1">IFERROR(__xludf.DUMMYFUNCTION("""COMPUTED_VALUE"""),"코바코, ABC송으로 '세대 갈등 해소' 노력 나서  Brand Brief - 브랜드브리프")</f>
        <v>코바코, ABC송으로 '세대 갈등 해소' 노력 나서  Brand Brief - 브랜드브리프</v>
      </c>
    </row>
    <row r="162" spans="1:4" ht="12.5" x14ac:dyDescent="0.25">
      <c r="A162" s="1" t="str">
        <f ca="1">IFERROR(__xludf.DUMMYFUNCTION("""COMPUTED_VALUE"""),"MZ세대를 둘러싼 편견들, MZ세대에 직접 묻다 - 고대신문")</f>
        <v>MZ세대를 둘러싼 편견들, MZ세대에 직접 묻다 - 고대신문</v>
      </c>
      <c r="B162" s="2" t="str">
        <f ca="1">IFERROR(__xludf.DUMMYFUNCTION("""COMPUTED_VALUE"""),"https://news.google.com/rss/articles/CBMiOWh0dHA6Ly93d3cua3VuZXdzLmFjLmtyL25ld3MvYXJ0aWNsZVZpZXcuaHRtbD9pZHhubz00MDU1ONIBPGh0dHA6Ly93d3cua3VuZXdzLmFjLmtyL25ld3MvYXJ0aWNsZVZpZXdBbXAuaHRtbD9pZHhubz00MDU1OA?oc=5")</f>
        <v>https://news.google.com/rss/articles/CBMiOWh0dHA6Ly93d3cua3VuZXdzLmFjLmtyL25ld3MvYXJ0aWNsZVZpZXcuaHRtbD9pZHhubz00MDU1ONIBPGh0dHA6Ly93d3cua3VuZXdzLmFjLmtyL25ld3MvYXJ0aWNsZVZpZXdBbXAuaHRtbD9pZHhubz00MDU1OA?oc=5</v>
      </c>
      <c r="C162" s="1" t="str">
        <f ca="1">IFERROR(__xludf.DUMMYFUNCTION("""COMPUTED_VALUE"""),"Mon, 06 Mar 2023 08:00:00 GMT")</f>
        <v>Mon, 06 Mar 2023 08:00:00 GMT</v>
      </c>
      <c r="D162" s="1" t="str">
        <f ca="1">IFERROR(__xludf.DUMMYFUNCTION("""COMPUTED_VALUE"""),"MZ세대를 둘러싼 편견들, MZ세대에 직접 묻다  고대신문")</f>
        <v>MZ세대를 둘러싼 편견들, MZ세대에 직접 묻다  고대신문</v>
      </c>
    </row>
    <row r="163" spans="1:4" ht="12.5" x14ac:dyDescent="0.25">
      <c r="A163" s="1" t="str">
        <f ca="1">IFERROR(__xludf.DUMMYFUNCTION("""COMPUTED_VALUE"""),"[기획] Z세대에 대한 인식과 오해 - 한국리서치 정기조사 여론 속의 여론")</f>
        <v>[기획] Z세대에 대한 인식과 오해 - 한국리서치 정기조사 여론 속의 여론</v>
      </c>
      <c r="B163" s="2" t="str">
        <f ca="1">IFERROR(__xludf.DUMMYFUNCTION("""COMPUTED_VALUE"""),"https://news.google.com/rss/articles/CBMiJ2h0dHBzOi8vaHJjb3Bpbmlvbi5jby5rci9hcmNoaXZlcy8yNjA3MtIBK2h0dHBzOi8vaHJjb3Bpbmlvbi5jby5rci9hcmNoaXZlcy8yNjA3Mi9hbXA?oc=5")</f>
        <v>https://news.google.com/rss/articles/CBMiJ2h0dHBzOi8vaHJjb3Bpbmlvbi5jby5rci9hcmNoaXZlcy8yNjA3MtIBK2h0dHBzOi8vaHJjb3Bpbmlvbi5jby5rci9hcmNoaXZlcy8yNjA3Mi9hbXA?oc=5</v>
      </c>
      <c r="C163" s="1" t="str">
        <f ca="1">IFERROR(__xludf.DUMMYFUNCTION("""COMPUTED_VALUE"""),"Tue, 21 Mar 2023 07:00:00 GMT")</f>
        <v>Tue, 21 Mar 2023 07:00:00 GMT</v>
      </c>
      <c r="D163" s="1" t="str">
        <f ca="1">IFERROR(__xludf.DUMMYFUNCTION("""COMPUTED_VALUE"""),"[기획] Z세대에 대한 인식과 오해  한국리서치 정기조사 여론 속의 여론")</f>
        <v>[기획] Z세대에 대한 인식과 오해  한국리서치 정기조사 여론 속의 여론</v>
      </c>
    </row>
  </sheetData>
  <phoneticPr fontId="4" type="noConversion"/>
  <hyperlinks>
    <hyperlink ref="B2" r:id="rId1" display="https://news.google.com/rss/articles/CBMiK2h0dHBzOi8vd3d3LmRhaWxpYW4uY28ua3IvbmV3cy92aWV3LzEyNjgwODfSAS1odHRwczovL20uZGFpbGlhbi5jby5rci9hbXAvbmV3cy92aWV3LzEyNjgwODc?oc=5" xr:uid="{00000000-0004-0000-0000-000000000000}"/>
    <hyperlink ref="B3" r:id="rId2" display="https://news.google.com/rss/articles/CBMiO2h0dHBzOi8vd3d3Lnllb25nbmFtLmNvbS93ZWIvdmlldy5waHA_a2V5PTIwMjMwODMxMDEwMDA0MTM00gEA?oc=5" xr:uid="{00000000-0004-0000-0000-000001000000}"/>
    <hyperlink ref="B4" r:id="rId3" display="https://news.google.com/rss/articles/CBMiVWh0dHBzOi8vd3d3Lmtvb2tqZS5jby5rci9uZXdzMjAxMS9hc3AvbmV3c2JvZHkuYXNwP2NvZGU9MDEwMCZrZXk9MjAyMzA5MDEuMjIwMDMwMDg2ODLSAQA?oc=5" xr:uid="{00000000-0004-0000-0000-000002000000}"/>
    <hyperlink ref="B5" r:id="rId4" display="https://news.google.com/rss/articles/CBMiKmh0dHBzOi8vd3d3Lm1rLmNvLmtyL25ld3MvZWNvbm9teS8xMDgxNzkwMtIBH2h0dHBzOi8vbS5tay5jby5rci9hbXAvMTA4MTc5MDI?oc=5" xr:uid="{00000000-0004-0000-0000-000003000000}"/>
    <hyperlink ref="B6" r:id="rId5" display="https://news.google.com/rss/articles/CBMiUmh0dHBzOi8vYml6LmNob3N1bi5jb20vdG9waWNzL3RvcGljc19zb2NpYWwvMjAyMy8wOS8wMy9OQVFYRUFNVUFSQlBSQ0dQVE1SMk9VNjRYQS_SAWFodHRwczovL2Jpei5jaG9zdW4uY29tL3RvcGljcy90b3BpY3Nfc29jaWFsLzIwMjMvMDkvMDMvTkFRWEVBTVVBUkJQUkNHUFRNUjJPVTY0WEEvP291dHB1dFR5cGU9YW1w?oc=5" xr:uid="{00000000-0004-0000-0000-000004000000}"/>
    <hyperlink ref="B7" r:id="rId6" display="https://news.google.com/rss/articles/CBMiNGh0dHBzOi8vd3d3LmtnbmV3cy5jby5rci9uZXdzL2FydGljbGUuaHRtbD9ubz03NjE1MzLSAQA?oc=5" xr:uid="{00000000-0004-0000-0000-000005000000}"/>
    <hyperlink ref="B8" r:id="rId7" display="https://news.google.com/rss/articles/CBMiN2h0dHA6Ly93d3cua2Fkby5uZXQvbmV3cy9hcnRpY2xlVmlldy5odG1sP2lkeG5vPTEyMDE4NjXSAQA?oc=5" xr:uid="{00000000-0004-0000-0000-000006000000}"/>
    <hyperlink ref="B9" r:id="rId8" display="https://news.google.com/rss/articles/CBMiOGh0dHA6Ly93d3cubm9uZ2Flay5jb20vbmV3cy9hcnRpY2xlVmlldy5odG1sP2lkeG5vPTg2MzYy0gE7aHR0cDovL3d3dy5ub25nYWVrLmNvbS9uZXdzL2FydGljbGVWaWV3QW1wLmh0bWw_aWR4bm89ODYzNjI?oc=5" xr:uid="{00000000-0004-0000-0000-000007000000}"/>
    <hyperlink ref="B10" r:id="rId9" display="https://news.google.com/rss/articles/CBMiO2h0dHBzOi8vd3d3Lnllb25nbmFtLmNvbS93ZWIvdmlldy5waHA_a2V5PTIwMjMwOTA0MDEwMDAwMjY50gEA?oc=5" xr:uid="{00000000-0004-0000-0000-000008000000}"/>
    <hyperlink ref="B11" r:id="rId10" display="https://news.google.com/rss/articles/CBMiQ2h0dHBzOi8vd3d3LmRvbmdhLmNvbS9uZXdzL1NvY2lldHkvYXJ0aWNsZS9hbGwvMjAyMzA5MDQvMTIxMDAwMDAxLzHSATdodHRwczovL3d3dy5kb25nYS5jb20vbmV3cy9hbXAvYWxsLzIwMjMwOTA0LzEyMTAwMDAwMS8x?oc=5" xr:uid="{00000000-0004-0000-0000-000009000000}"/>
    <hyperlink ref="B12" r:id="rId11" display="https://news.google.com/rss/articles/CBMiOmh0dHBzOi8vd3d3Lmt1bmV3cy5hYy5rci9uZXdzL2FydGljbGVWaWV3Lmh0bWw_aWR4bm89NDEyODfSATxodHRwOi8vd3d3Lmt1bmV3cy5hYy5rci9uZXdzL2FydGljbGVWaWV3QW1wLmh0bWw_aWR4bm89NDEyODc?oc=5" xr:uid="{00000000-0004-0000-0000-00000A000000}"/>
    <hyperlink ref="B13" r:id="rId12" display="https://news.google.com/rss/articles/CBMiLGh0dHBzOi8vbS5raGFuLmNvLmtyL2FydGljbGUvMjAyMzA5MDMxNjM5MDEx0gFKaHR0cHM6Ly9tLmtoYW4uY28ua3IvcG9saXRpY3MvcG9saXRpY3MtZ2VuZXJhbC9hcnRpY2xlLzIwMjMwOTAzMTYzOTAxMS9hbXA?oc=5" xr:uid="{00000000-0004-0000-0000-00000B000000}"/>
    <hyperlink ref="B14" r:id="rId13" display="https://news.google.com/rss/articles/CBMiK2h0dHBzOi8vd3d3LnNlZGFpbHkuY29tL05ld3NWaWV3LzI5VUlYU0tRRTfSASxodHRwczovL20uc2VkYWlseS5jb20vTmV3c1ZpZXdBbXAvMjlVSVhTS1FFNw?oc=5" xr:uid="{00000000-0004-0000-0000-00000C000000}"/>
    <hyperlink ref="B15" r:id="rId14" display="https://news.google.com/rss/articles/CBMiOmh0dHBzOi8vd3d3Lmt1bmV3cy5hYy5rci9uZXdzL2FydGljbGVWaWV3Lmh0bWw_aWR4bm89NDEzMDHSATxodHRwOi8vd3d3Lmt1bmV3cy5hYy5rci9uZXdzL2FydGljbGVWaWV3QW1wLmh0bWw_aWR4bm89NDEzMDE?oc=5" xr:uid="{00000000-0004-0000-0000-00000D000000}"/>
    <hyperlink ref="B16" r:id="rId15" display="https://news.google.com/rss/articles/CBMiN2h0dHA6Ly93d3cudWplaWwuY29tL25ld3MvYXJ0aWNsZVZpZXcuaHRtbD9pZHhubz0zMzI5NjTSAQA?oc=5" xr:uid="{00000000-0004-0000-0000-00000E000000}"/>
    <hyperlink ref="B17" r:id="rId16" display="https://news.google.com/rss/articles/CBMiO2h0dHBzOi8vd3d3Lm1pbmRsZW5ld3MuY29tL25ld3MvYXJ0aWNsZVZpZXcuaHRtbD9pZHhubz00OTc20gEA?oc=5" xr:uid="{00000000-0004-0000-0000-00000F000000}"/>
    <hyperlink ref="B18" r:id="rId17" display="https://news.google.com/rss/articles/CBMiM2h0dHBzOi8vd3d3Lm1ldHJvc2VvdWwuY28ua3IvYXJ0aWNsZS8yMDIzMDkwMzUwMDMxNNIBAA?oc=5" xr:uid="{00000000-0004-0000-0000-000010000000}"/>
    <hyperlink ref="B19" r:id="rId18" display="https://news.google.com/rss/articles/CBMiNmh0dHA6Ly93d3cuZGFpbHlkZ25ld3MuY29tL25ld3MvYXJ0aWNsZS5odG1sP25vPTE2NDExMtIBAA?oc=5" xr:uid="{00000000-0004-0000-0000-000011000000}"/>
    <hyperlink ref="B20" r:id="rId19" display="https://news.google.com/rss/articles/CBMiNGh0dHBzOi8vYXNlYW5leHByZXNzLmNvLmtyL25ld3MvYXJ0aWNsZS5odG1sP25vPTkyMDDSAQA?oc=5" xr:uid="{00000000-0004-0000-0000-000012000000}"/>
    <hyperlink ref="B21" r:id="rId20" display="https://news.google.com/rss/articles/CBMiQmh0dHBzOi8vd3d3LmJ1c2FuLmNvbS92aWV3L2J1c2FuL3ZpZXcucGhwP2NvZGU9MjAyMzA4MjkxODQ3MTY5NDM2OdIBAA?oc=5" xr:uid="{00000000-0004-0000-0000-000013000000}"/>
    <hyperlink ref="B22" r:id="rId21" display="https://news.google.com/rss/articles/CBMiLmh0dHBzOi8vd3d3Lmhhbmt5dW5nLmNvbS9hcnRpY2xlLzIwMjMwOTAzOTg1NWnSAQA?oc=5" xr:uid="{00000000-0004-0000-0000-000014000000}"/>
    <hyperlink ref="B23" r:id="rId22" display="https://news.google.com/rss/articles/CBMiL2h0dHBzOi8vbS5la24ua3Ivdmlldy5waHA_a2V5PTIwMjMwOTAxMDEwMDAwMjQx0gEA?oc=5" xr:uid="{00000000-0004-0000-0000-000015000000}"/>
    <hyperlink ref="B24" r:id="rId23" display="https://news.google.com/rss/articles/CBMiJGh0dHA6Ly93d3cubWRpbGJvLmNvbS9kZXRhaWwvLzcwMjAwNNIBAA?oc=5" xr:uid="{00000000-0004-0000-0000-000016000000}"/>
    <hyperlink ref="B25" r:id="rId24" display="https://news.google.com/rss/articles/CBMiPmh0dHBzOi8va3IuaW52ZXN0aW5nLmNvbS9uZXdzL3N0b2NrLW1hcmtldC1uZXdzL2FydGljbGUtOTQzMzc10gFKaHR0cHM6Ly9tLmtyLmludmVzdGluZy5jb20vbmV3cy9zdG9jay1tYXJrZXQtbmV3cy9hcnRpY2xlLTk0MzM3NT9hbXBNb2RlPTE?oc=5" xr:uid="{00000000-0004-0000-0000-000017000000}"/>
    <hyperlink ref="B26" r:id="rId25" display="https://news.google.com/rss/articles/CBMiN2h0dHBzOi8vbmV3cy5tdC5jby5rci9tdHZpZXcucGhwP25vPTIwMjMwOTAzMTY1NjE4MzIzNDTSAT1odHRwczovL20ubXQuY28ua3IvcmVuZXcvdmlld19hbXAuaHRtbD9ubz0yMDIzMDkwMzE2NTYxODMyMzQ0?oc=5" xr:uid="{00000000-0004-0000-0000-000018000000}"/>
    <hyperlink ref="B27" r:id="rId26" display="https://news.google.com/rss/articles/CBMiLmh0dHBzOi8vd3d3Lmhhbmt5dW5nLmNvbS9hcnRpY2xlLzIwMjMwOTA0MDQ2MUjSASpodHRwczovL3d3dy5oYW5reXVuZy5jb20vYW1wLzIwMjMwOTA0MDQ2MUg?oc=5" xr:uid="{00000000-0004-0000-0000-000019000000}"/>
    <hyperlink ref="B28" r:id="rId27" display="https://news.google.com/rss/articles/CBMiJmh0dHBzOi8vd3d3Lm5ld3MxLmtyL2FydGljbGVzLz81MTU5MDgy0gEqaHR0cHM6Ly93d3cubmV3czEua3IvYW1wL2FydGljbGVzLz81MTU5MDgy?oc=5" xr:uid="{00000000-0004-0000-0000-00001A000000}"/>
    <hyperlink ref="B29" r:id="rId28" display="https://news.google.com/rss/articles/CBMiKmh0dHBzOi8vd3d3LmpqYW4ua3IvYXJ0aWNsZS8yMDIzMDkwMzU4MDEzNNIBLWh0dHBzOi8vd3d3LmpqYW4ua3IvYXJ0aWNsZUFtcC8yMDIzMDkwMzU4MDEzNA?oc=5" xr:uid="{00000000-0004-0000-0000-00001B000000}"/>
    <hyperlink ref="B30" r:id="rId29" display="https://news.google.com/rss/articles/CBMiOGh0dHBzOi8vbS5tZWRpY2FsdGltZXMuY29tL05ld3MvTmV3c1ZpZXcuaHRtbD9JRD0xMTU1MjEw0gEA?oc=5" xr:uid="{00000000-0004-0000-0000-00001C000000}"/>
    <hyperlink ref="B31" r:id="rId30" display="https://news.google.com/rss/articles/CBMiOGh0dHA6Ly93d3cuZ3luZXQuY28ua3IvbmV3cy9hcnRpY2xlVmlldy5odG1sP2lkeG5vPTUxODk00gEA?oc=5" xr:uid="{00000000-0004-0000-0000-00001D000000}"/>
    <hyperlink ref="B32" r:id="rId31" display="https://news.google.com/rss/articles/CBMiNGh0dHBzOi8vZWNvbm9taXN0LmNvLmtyL2FydGljbGUvdmlldy9lY24yMDIzMDgyODAwMzLSAQA?oc=5" xr:uid="{00000000-0004-0000-0000-00001E000000}"/>
    <hyperlink ref="B33" r:id="rId32" display="https://news.google.com/rss/articles/CBMiO2h0dHA6Ly93d3cucG9saWNldHYuY28ua3IvbmV3cy9hcnRpY2xlVmlldy5odG1sP2lkeG5vPTQ2MTA00gEA?oc=5" xr:uid="{00000000-0004-0000-0000-00001F000000}"/>
    <hyperlink ref="B34" r:id="rId33" display="https://news.google.com/rss/articles/CBMiQ2h0dHBzOi8vd3d3LmRvbmdhLmNvbS9uZXdzL1NvY2lldHkvYXJ0aWNsZS9hbGwvMjAyMzAzMDMvMTE4MTU0OTEyLzHSATdodHRwczovL3d3dy5kb25nYS5jb20vbmV3cy9hbXAvYWxsLzIwMjMwMzAzLzExODE1NDkxMi8x?oc=5" xr:uid="{00000000-0004-0000-0000-000020000000}"/>
    <hyperlink ref="B35" r:id="rId34" display="https://news.google.com/rss/articles/CBMiO2h0dHBzOi8vbXVuaHdhLmNvbS9uZXdzL3ZpZXcuaHRtbD9ubz0yMDIzMDYwNTAxMDcwODI3MjcwMDAx0gEA?oc=5" xr:uid="{00000000-0004-0000-0000-000021000000}"/>
    <hyperlink ref="B36" r:id="rId35" display="https://news.google.com/rss/articles/CBMiPmh0dHBzOi8vd3d3LnNpc2Fqb3VybmFsLmNvbS9uZXdzL2FydGljbGVWaWV3Lmh0bWw_aWR4bm89MjcxMzQ00gEA?oc=5" xr:uid="{00000000-0004-0000-0000-000022000000}"/>
    <hyperlink ref="B37" r:id="rId36" display="https://news.google.com/rss/articles/CBMiNGh0dHBzOi8vZWNvbm9taXN0LmNvLmtyL2FydGljbGUvdmlldy9lY24yMDIzMDgyOTAwMjfSAQA?oc=5" xr:uid="{00000000-0004-0000-0000-000023000000}"/>
    <hyperlink ref="B38" r:id="rId37" display="https://news.google.com/rss/articles/CBMiJ2h0dHBzOi8vaHJjb3Bpbmlvbi5jby5rci9hcmNoaXZlcy8yMTM1ONIBK2h0dHBzOi8vaHJjb3Bpbmlvbi5jby5rci9hcmNoaXZlcy8yMTM1OC9hbXA?oc=5" xr:uid="{00000000-0004-0000-0000-000024000000}"/>
    <hyperlink ref="B39" r:id="rId38" display="https://news.google.com/rss/articles/CBMiLmh0dHBzOi8vd3d3LmFqdW5ld3MuY29tL3ZpZXcvMjAyMzA4MDIxMDM2NTQ5NDLSAStodHRwczovL20uYWp1bmV3cy5jb20vYW1wLzIwMjMwODAyMTAzNjU0OTQy?oc=5" xr:uid="{00000000-0004-0000-0000-000025000000}"/>
    <hyperlink ref="B40" r:id="rId39" display="https://news.google.com/rss/articles/CBMiUWh0dHBzOi8vd3d3LmNob3N1bi5jb20vZWNvbm9teS9yZWFsX2VzdGF0ZS8yMDIzLzA4LzI3L1kzUkNTVUZVTk5CREpCTUlWS0hMQlpSM0lZL9IBYGh0dHBzOi8vd3d3LmNob3N1bi5jb20vZWNvbm9teS9yZWFsX2VzdGF0ZS8yMDIzLzA4LzI3L1kzUkNTVUZVTk5CREpCTUlWS0hMQlpSM0lZLz9vdXRwdXRUeXBlPWFtcA?oc=5" xr:uid="{00000000-0004-0000-0000-000026000000}"/>
    <hyperlink ref="B41" r:id="rId40" display="https://news.google.com/rss/articles/CBMizAFodHRwczovL3d3dy52b2d1ZS5jby5rci8yMDIzLzA4LzMxLyVFQyVBMCU4NCVFQiVBQyVCOCVFQSVCMCU4MCVFQSVCMCU4MC0lRUIlQTclOTAlRUQlOTUlOTglRUIlOEElOTQtJUVDJUI2JTlDJUVDJTgzJTlELSVFQyU4OCU5QyVFQyU4NCU5QyVFQyU5NyU5MC0lRUIlOTQlQjAlRUIlQTUlQjgtJUVDJTg0JUIxJUVBJUIyJUE5LSVFQyVCMCVBOCVFQyU5RCVCNC_SAQA?oc=5" xr:uid="{00000000-0004-0000-0000-000027000000}"/>
    <hyperlink ref="B42" r:id="rId41" display="https://news.google.com/rss/articles/CBMiPGh0dHA6Ly93d3cuamVvbGxhaWxiby5jb20vbmV3cy9hcnRpY2xlVmlldy5odG1sP2lkeG5vPTcwMzcwNNIBP2h0dHA6Ly93d3cuamVvbGxhaWxiby5jb20vbmV3cy9hcnRpY2xlVmlld0FtcC5odG1sP2lkeG5vPTcwMzcwNA?oc=5" xr:uid="{00000000-0004-0000-0000-000028000000}"/>
    <hyperlink ref="B43" r:id="rId42" display="https://news.google.com/rss/articles/CBMiPmh0dHA6Ly93d3cudHluZXdzcGFwZXIuY28ua3IvbmV3cy9hcnRpY2xlVmlldy5odG1sP2lkeG5vPTI2ODgy0gEA?oc=5" xr:uid="{00000000-0004-0000-0000-000029000000}"/>
    <hyperlink ref="B44" r:id="rId43" display="https://news.google.com/rss/articles/CBMiNWh0dHA6Ly9tLmJpZ3RhbmV3cy5jby5rci9hcnRpY2xlL3ZpZXcvYmlnMjAyMzA4MDMwMDE00gEA?oc=5" xr:uid="{00000000-0004-0000-0000-00002A000000}"/>
    <hyperlink ref="B45" r:id="rId44" display="https://news.google.com/rss/articles/CBMiUGh0dHBzOi8vYml6LmNob3N1bi5jb20vb3Bpbmlvbi9qb3VybmFsaXN0LzIwMjMvMDgvMzEvSk5ZM0VQUkcyRkRHUEkyNkgzNFBYS1U2V1Ev0gFfaHR0cHM6Ly9iaXouY2hvc3VuLmNvbS9vcGluaW9uL2pvdXJuYWxpc3QvMjAyMy8wOC8zMS9KTlkzRVBSRzJGREdQSTI2SDM0UFhLVTZXUS8_b3V0cHV0VHlwZT1hbXA?oc=5" xr:uid="{00000000-0004-0000-0000-00002B000000}"/>
    <hyperlink ref="B46" r:id="rId45" display="https://news.google.com/rss/articles/CBMiQWh0dHBzOi8vd3d3LmJ1c2luZXNzcG9zdC5jby5rci9CUD9jb21tYW5kPWFydGljbGVfdmlldyZudW09MzI1OTI00gEA?oc=5" xr:uid="{00000000-0004-0000-0000-00002C000000}"/>
    <hyperlink ref="B47" r:id="rId46" display="https://news.google.com/rss/articles/CBMiMWh0dHBzOi8vd3d3Lmt1a2luZXdzLmNvbS9uZXdzVmlldy9rdWsyMDIzMDgzMDAyMzbSAQA?oc=5" xr:uid="{00000000-0004-0000-0000-00002D000000}"/>
    <hyperlink ref="B48" r:id="rId47" display="https://news.google.com/rss/articles/CBMiMWh0dHBzOi8vd3d3Lmt1a2luZXdzLmNvbS9uZXdzVmlldy9rdWsyMDIzMDgyOTAwMjTSAQA?oc=5" xr:uid="{00000000-0004-0000-0000-00002E000000}"/>
    <hyperlink ref="B49" r:id="rId48" display="https://news.google.com/rss/articles/CBMiS2h0dHBzOi8vd3d3LmVkYWlseS5jby5rci9uZXdzL3JlYWQ_bWVkaWFDb2RlTm89MjU3Jm5ld3NJZD0wMTY0MDAwNjYzNTcxMjI0MNIBAA?oc=5" xr:uid="{00000000-0004-0000-0000-00002F000000}"/>
    <hyperlink ref="B50" r:id="rId49" display="https://news.google.com/rss/articles/CBMiJ2h0dHBzOi8vbS5zZWd5ZS5jb20vdmlldy8yMDIzMDgyOTUxMDczN9IBKmh0dHBzOi8vbS5zZWd5ZS5jb20vYW1wVmlldy8yMDIzMDgyOTUxMDczNw?oc=5" xr:uid="{00000000-0004-0000-0000-000030000000}"/>
    <hyperlink ref="B51" r:id="rId50" display="https://news.google.com/rss/articles/CBMiM2h0dHBzOi8vbmV3cy5uYXRlLmNvbS92aWV3LzIwMjMwODMxbjI5Nzk4P21pZD1uMTEwMdIBAA?oc=5" xr:uid="{00000000-0004-0000-0000-000031000000}"/>
    <hyperlink ref="B52" r:id="rId51" display="https://news.google.com/rss/articles/CBMiOmh0dHBzOi8vbmV3cy5tdC5jby5rci9tdHZpZXcucGhwP25vPTIwMjMwODMxMDk0NzE2NDE0MTEmVk7SAT1odHRwczovL20ubXQuY28ua3IvcmVuZXcvdmlld19hbXAuaHRtbD9ubz0yMDIzMDgzMTA5NDcxNjQxNDEx?oc=5" xr:uid="{00000000-0004-0000-0000-000032000000}"/>
    <hyperlink ref="B53" r:id="rId52" display="https://news.google.com/rss/articles/CBMiP2h0dHBzOi8vd3d3Lm11bmh3YS5jb20vbmV3cy92aWV3Lmh0bWw_bm89MjAyMzA4MzEwMTAzOTkwNzAxODAwMtIBAA?oc=5" xr:uid="{00000000-0004-0000-0000-000033000000}"/>
    <hyperlink ref="B54" r:id="rId53" display="https://news.google.com/rss/articles/CBMiMWh0dHBzOi8vd3d3Lmt1a2luZXdzLmNvbS9uZXdzVmlldy9rdWsyMDIzMDgzMTAxODPSAQA?oc=5" xr:uid="{00000000-0004-0000-0000-000034000000}"/>
    <hyperlink ref="B55" r:id="rId54" display="https://news.google.com/rss/articles/CBMiOmh0dHA6Ly93d3cuaWdvb2RuZXdzLm5ldC9uZXdzL2FydGljbGVWaWV3Lmh0bWw_aWR4bm89NzM5OTDSAQA?oc=5" xr:uid="{00000000-0004-0000-0000-000035000000}"/>
    <hyperlink ref="B56" r:id="rId55" display="https://news.google.com/rss/articles/CBMiQGh0dHA6Ly93d3cuaGVhZGxpbmVqZWp1LmNvLmtyL25ld3MvYXJ0aWNsZVZpZXcuaHRtbD9pZHhubz01MjM1NjPSAQA?oc=5" xr:uid="{00000000-0004-0000-0000-000036000000}"/>
    <hyperlink ref="B57" r:id="rId56" display="https://news.google.com/rss/articles/CBMiTWh0dHBzOi8vd2Vla2x5LmtoYW4uY28ua3Iva2hubS5odG1sP21vZGU9dmlldyZkZXB0PTExNSZhcnRfaWQ9MjAyMzA4MjUxMDU1MTcx0gEA?oc=5" xr:uid="{00000000-0004-0000-0000-000037000000}"/>
    <hyperlink ref="B58" r:id="rId57" display="https://news.google.com/rss/articles/CBMiR2h0dHBzOi8vYml6Lm5ld2RhaWx5LmNvLmtyL3NpdGUvZGF0YS9odG1sLzIwMjMvMDgvMzAvMjAyMzA4MzAwMDA5Ny5odG1s0gEA?oc=5" xr:uid="{00000000-0004-0000-0000-000038000000}"/>
    <hyperlink ref="B59" r:id="rId58" display="https://news.google.com/rss/articles/CBMiQ2h0dHBzOi8vd3d3LmRvbmdhLmNvbS9uZXdzL0Vjb25vbXkvYXJ0aWNsZS9hbGwvMjAyMzA4MzEvMTIwOTU4NTQ0LzHSATdodHRwczovL3d3dy5kb25nYS5jb20vbmV3cy9hbXAvYWxsLzIwMjMwODMxLzEyMDk1ODU0NC8x?oc=5" xr:uid="{00000000-0004-0000-0000-000039000000}"/>
    <hyperlink ref="B60" r:id="rId59" display="https://news.google.com/rss/articles/CBMiK2h0dHBzOi8vd3d3LmJpemhhbmtvb2suY29tL2JrL2FydGljbGUvMjYxOTXSAQA?oc=5" xr:uid="{00000000-0004-0000-0000-00003A000000}"/>
    <hyperlink ref="B61" r:id="rId60" display="https://news.google.com/rss/articles/CBMiJ2h0dHBzOi8vbS5zZWd5ZS5jb20vdmlldy8yMDIzMDgwMjUxODA4MtIBKmh0dHBzOi8vbS5zZWd5ZS5jb20vYW1wVmlldy8yMDIzMDgwMjUxODA4Mg?oc=5" xr:uid="{00000000-0004-0000-0000-00003B000000}"/>
    <hyperlink ref="B62" r:id="rId61" display="https://news.google.com/rss/articles/CBMiQWh0dHBzOi8vd3d3LmJ1c2luZXNzcG9zdC5jby5rci9CUD9jb21tYW5kPWFydGljbGVfdmlldyZudW09MzI1OTY40gEA?oc=5" xr:uid="{00000000-0004-0000-0000-00003C000000}"/>
    <hyperlink ref="B63" r:id="rId62" display="https://news.google.com/rss/articles/CBMiT2h0dHBzOi8vbmV3cy5rb3JlYWRhaWx5LmNvbS8yMDIzLzA4LzMwL3NvY2lldHkvY29tbXVuaXR5LzIwMjMwODMwMTkxMDA5NTgzLmh0bWzSAQA?oc=5" xr:uid="{00000000-0004-0000-0000-00003D000000}"/>
    <hyperlink ref="B64" r:id="rId63" display="https://news.google.com/rss/articles/CBMiOGh0dHBzOi8vbS5oYW5rb29raWxiby5jb20vTmV3cy9SZWFkL0EyMDIzMDgyNDE1MDMwMDAxNzY20gEA?oc=5" xr:uid="{00000000-0004-0000-0000-00003E000000}"/>
    <hyperlink ref="B65" r:id="rId64" display="https://news.google.com/rss/articles/CBMiLGh0dHBzOi8vd3d3LmRhaWxpYW4uY28ua3IvbmV3cy92aWV3LzEyNjgwODcv0gEtaHR0cHM6Ly9tLmRhaWxpYW4uY28ua3IvYW1wL25ld3Mvdmlldy8xMjY4MDg3?oc=5" xr:uid="{00000000-0004-0000-0000-00003F000000}"/>
    <hyperlink ref="B66" r:id="rId65" display="https://news.google.com/rss/articles/CBMiPGh0dHA6Ly93d3cuaWNvbnN1bWVyLm9yLmtyL25ld3MvYXJ0aWNsZVZpZXcuaHRtbD9pZHhubz0yNTYyMdIBAA?oc=5" xr:uid="{00000000-0004-0000-0000-000040000000}"/>
    <hyperlink ref="B67" r:id="rId66" display="https://news.google.com/rss/articles/CBMiMWh0dHBzOi8vd3d3Lmt1a2luZXdzLmNvbS9uZXdzVmlldy9rdWsyMDIzMDgyMjAxNzjSAQA?oc=5" xr:uid="{00000000-0004-0000-0000-000041000000}"/>
    <hyperlink ref="B68" r:id="rId67" display="https://news.google.com/rss/articles/CBMiRWh0dHBzOi8vaW1uZXdzLmltYmMuY29tL25ld3MvMjAyMy9wb2xpdGljcy9hcnRpY2xlLzY1MTAxMjRfMzYxMTkuaHRtbNIBRWh0dHBzOi8vaW1uZXdzLmltYmMuY29tL25ld3MvMjAyMy9wb2xpdGljcy9hcnRpY2xlLzY1MTAxMjRfMzYxMjAuaHRtbA?oc=5" xr:uid="{00000000-0004-0000-0000-000042000000}"/>
    <hyperlink ref="B69" r:id="rId68" display="https://news.google.com/rss/articles/CBMiRWh0dHBzOi8vd3d3LmlseW93ZWVrbHkuY28ua3IvbmV3cy9uZXdzdmlldy5waHA_bmNvZGU9MTA2NTU5MjgxNzM3MjMzONIBAA?oc=5" xr:uid="{00000000-0004-0000-0000-000043000000}"/>
    <hyperlink ref="B70" r:id="rId69" display="https://news.google.com/rss/articles/CBMiN2h0dHBzOi8vd3d3LmVyb3VuLm5ldC9uZXdzL2FydGljbGVWaWV3Lmh0bWw_aWR4bm89MzY2MzjSAQA?oc=5" xr:uid="{00000000-0004-0000-0000-000044000000}"/>
    <hyperlink ref="B71" r:id="rId70" display="https://news.google.com/rss/articles/CBMiOmh0dHA6Ly93d3cuc2lzYXdlZWsuY29tL25ld3MvYXJ0aWNsZVZpZXcuaHRtbD9pZHhubz0yMDc0ODnSAQA?oc=5" xr:uid="{00000000-0004-0000-0000-000045000000}"/>
    <hyperlink ref="B72" r:id="rId71" display="https://news.google.com/rss/articles/CBMiLWh0dHBzOi8vd3d3Lm1rLmNvLmtyL25ld3Mvam91cm5hbGlzdC8xMDgwNDQyOdIBH2h0dHBzOi8vbS5tay5jby5rci9hbXAvMTA4MDQ0Mjk?oc=5" xr:uid="{00000000-0004-0000-0000-000046000000}"/>
    <hyperlink ref="B73" r:id="rId72" display="https://news.google.com/rss/articles/CBMiVGh0dHBzOi8vbmV3cy5rb3JlYWRhaWx5LmNvbS8yMDIzLzA4LzIzL2Vjb25vbXkvZWNvbm9teWdlbmVyYWwvMjAyMzA4MjMwMjI2MDY3MTMuaHRtbNIBAA?oc=5" xr:uid="{00000000-0004-0000-0000-000047000000}"/>
    <hyperlink ref="B74" r:id="rId73" display="https://news.google.com/rss/articles/CBMiP2h0dHA6Ly93d3cuZW5ld3N0b2RheS5jby5rci9uZXdzL2FydGljbGVWaWV3Lmh0bWw_aWR4bm89MjAyODkzMtIBQmh0dHA6Ly93d3cuZW5ld3N0b2RheS5jby5rci9uZXdzL2FydGljbGVWaWV3QW1wLmh0bWw_aWR4bm89MjAyODkzMg?oc=5" xr:uid="{00000000-0004-0000-0000-000048000000}"/>
    <hyperlink ref="B75" r:id="rId74" display="https://news.google.com/rss/articles/CBMiR2h0dHBzOi8vd3d3LmRhaWx5c3BvcnRzaGFua29vay5jby5rci9uZXdzL2FydGljbGVWaWV3Lmh0bWw_aWR4bm89MzEwNjkw0gFKaHR0cHM6Ly93d3cuZGFpbHlzcG9ydHNoYW5rb29rLmNvLmtyL25ld3MvYXJ0aWNsZVZpZXdBbXAuaHRtbD9pZHhubz0zMTA2OTA?oc=5" xr:uid="{00000000-0004-0000-0000-000049000000}"/>
    <hyperlink ref="B76" r:id="rId75" display="https://news.google.com/rss/articles/CBMiM2h0dHBzOi8vd3d3LmFzaWFlLmNvLmtyL2FydGljbGUvMjAyMzA4MDIxMDM3MjI5NzE5MNIBAA?oc=5" xr:uid="{00000000-0004-0000-0000-00004A000000}"/>
    <hyperlink ref="B77" r:id="rId76" display="https://news.google.com/rss/articles/CBMiNWh0dHA6Ly9tLmdqdGxpbmUua3IvbmV3cy9hcnRpY2xlVmlldy5odG1sP2lkeG5vPTM5MDE40gEA?oc=5" xr:uid="{00000000-0004-0000-0000-00004B000000}"/>
    <hyperlink ref="B78" r:id="rId77" display="https://news.google.com/rss/articles/CBMiM2h0dHBzOi8vd3d3Lmhhbmt5dW5nLmNvbS9saWZlL2FydGljbGUvMjAyMzA4MjE3MzU1adIBL2h0dHBzOi8vd3d3Lmhhbmt5dW5nLmNvbS9saWZlL2FtcC8yMDIzMDgyMTczNTVp?oc=5" xr:uid="{00000000-0004-0000-0000-00004C000000}"/>
    <hyperlink ref="B79" r:id="rId78" display="https://news.google.com/rss/articles/CBMiOmh0dHBzOi8vd3d3LmFzaWF0b2RheS5jby5rci92aWV3LnBocD9rZXk9MjAyMzA4MDIwMTAwMDEwNTDSAQA?oc=5" xr:uid="{00000000-0004-0000-0000-00004D000000}"/>
    <hyperlink ref="B80" r:id="rId79" display="https://news.google.com/rss/articles/CBMiO2h0dHA6Ly93d3cubmV3c3JvYWQuY28ua3IvbmV3cy9hcnRpY2xlVmlldy5odG1sP2lkeG5vPTI0ODg10gE-aHR0cDovL3d3dy5uZXdzcm9hZC5jby5rci9uZXdzL2FydGljbGVWaWV3QW1wLmh0bWw_aWR4bm89MjQ4ODU?oc=5" xr:uid="{00000000-0004-0000-0000-00004E000000}"/>
    <hyperlink ref="B81" r:id="rId80" display="https://news.google.com/rss/articles/CBMiMGh0dHBzOi8vd3d3Lm5ld3NwaW0uY29tL25ld3Mvdmlldy8yMDIzMDgyOTAwMDIxN9IBMWh0dHBzOi8vbS5uZXdzcGltLmNvbS9uZXdzYW1wL3ZpZXcvMjAyMzA4MjkwMDAyMTc?oc=5" xr:uid="{00000000-0004-0000-0000-00004F000000}"/>
    <hyperlink ref="B82" r:id="rId81" display="https://news.google.com/rss/articles/CBMiM2h0dHBzOi8vd3d3Lmhhbmt5dW5nLmNvbS9saWZlL2FydGljbGUvMjAyMzA3Mjc3NzU5adIBL2h0dHBzOi8vd3d3Lmhhbmt5dW5nLmNvbS9saWZlL2FtcC8yMDIzMDcyNzc3NTlp?oc=5" xr:uid="{00000000-0004-0000-0000-000050000000}"/>
    <hyperlink ref="B83" r:id="rId82" display="https://news.google.com/rss/articles/CBMiL2h0dHA6Ly93d3cueWJzdHYubmV0L25ld3MvYXJ0aWNsZS5odG1sP25vPTU0OTU10gEA?oc=5" xr:uid="{00000000-0004-0000-0000-000051000000}"/>
    <hyperlink ref="B84" r:id="rId83" display="https://news.google.com/rss/articles/CBMiU2h0dHBzOi8vd3d3Lmtvb2tqZS5jby5rci9uZXdzMjAxMS9hc3AvbmV3c2JvZHkuYXNwP2NvZGU9MDAma2V5PTIwMjMwODMwLjIyMDE4MDA5Mjcx0gEA?oc=5" xr:uid="{00000000-0004-0000-0000-000052000000}"/>
    <hyperlink ref="B85" r:id="rId84" display="https://news.google.com/rss/articles/CBMiS2h0dHBzOi8vd3d3LmVkYWlseS5jby5rci9uZXdzL3JlYWQ_bmV3c0lkPTAzMjY2ODg2NjM1NzExOTEyJm1lZGlhQ29kZU5vPTI1N9IBSGh0dHBzOi8vbS5lZGFpbHkuY28ua3IvYW1wL3JlYWQ_bmV3c0lkPTAzMjY2ODg2NjM1NzExOTEyJm1lZGlhQ29kZU5vPTI1Nw?oc=5" xr:uid="{00000000-0004-0000-0000-000053000000}"/>
    <hyperlink ref="B86" r:id="rId85" display="https://news.google.com/rss/articles/CBMiLmh0dHBzOi8vd3d3LnBlb3BsZXBvd2VyMjEub3JnL21hZ2F6aW5lLzE5NDYzMTPSAQA?oc=5" xr:uid="{00000000-0004-0000-0000-000054000000}"/>
    <hyperlink ref="B87" r:id="rId86" display="https://news.google.com/rss/articles/CBMiP2h0dHA6Ly93d3cubW9udGhseXBlb3BsZS5jb20vbmV3cy9hcnRpY2xlVmlldy5odG1sP2lkeG5vPTYzODYwN9IBAA?oc=5" xr:uid="{00000000-0004-0000-0000-000055000000}"/>
    <hyperlink ref="B88" r:id="rId87" display="https://news.google.com/rss/articles/CBMiNGh0dHBzOi8vd3d3LnR0aW1lcy5jby5rci9hcnRpY2xlLzIwMjMwODE2MTgwOTc3NzgxMjjSAQA?oc=5" xr:uid="{00000000-0004-0000-0000-000056000000}"/>
    <hyperlink ref="B89" r:id="rId88" display="https://news.google.com/rss/articles/CBMiMmh0dHBzOi8va3duZXdzLmNvLmtyL3BhZ2Uvdmlldy8yMDIzMDgyODE3NTkxNjQ1MjY30gEA?oc=5" xr:uid="{00000000-0004-0000-0000-000057000000}"/>
    <hyperlink ref="B90" r:id="rId89" display="https://news.google.com/rss/articles/CBMiVGh0dHA6Ly93d3cua29va2plLmNvLmtyL25ld3MyMDExL2FzcC9uZXdzYm9keS5hc3A_Y29kZT0wNTAwJmtleT0yMDIzMDgwMi4yMjAxMzAwMDA4N9IBAA?oc=5" xr:uid="{00000000-0004-0000-0000-000058000000}"/>
    <hyperlink ref="B91" r:id="rId90" display="https://news.google.com/rss/articles/CBMiOGh0dHBzOi8vd3d3LmthZG8ubmV0L25ld3MvYXJ0aWNsZVZpZXcuaHRtbD9pZHhubz0xMTczNTgy0gEA?oc=5" xr:uid="{00000000-0004-0000-0000-000059000000}"/>
    <hyperlink ref="B92" r:id="rId91" display="https://news.google.com/rss/articles/CBMiKmh0dHBzOi8vd3d3LmpqYW4ua3IvYXJ0aWNsZS8yMDIzMDgyNzU4MDE2M9IBLWh0dHBzOi8vd3d3LmpqYW4ua3IvYXJ0aWNsZUFtcC8yMDIzMDgyNzU4MDE2Mw?oc=5" xr:uid="{00000000-0004-0000-0000-00005A000000}"/>
    <hyperlink ref="B93" r:id="rId92" display="https://news.google.com/rss/articles/CBMiOmh0dHBzOi8vd3d3Lm50b2RheS5jby5rci9uZXdzL2FydGljbGVWaWV3Lmh0bWw_aWR4bm89OTc1MTHSAT1odHRwczovL3d3dy5udG9kYXkuY28ua3IvbmV3cy9hcnRpY2xlVmlld0FtcC5odG1sP2lkeG5vPTk3NTEx?oc=5" xr:uid="{00000000-0004-0000-0000-00005B000000}"/>
    <hyperlink ref="B94" r:id="rId93" display="https://news.google.com/rss/articles/CBMiO2h0dHA6Ly93d3cuaWxnYW5qZWp1LmNvbS9uZXdzL2FydGljbGVWaWV3Lmh0bWw_aWR4bm89MTE2MDA50gEA?oc=5" xr:uid="{00000000-0004-0000-0000-00005C000000}"/>
    <hyperlink ref="B95" r:id="rId94" display="https://news.google.com/rss/articles/CBMiO2h0dHBzOi8vd3d3LmlkYWVndS5jby5rci9uZXdzL2FydGljbGVWaWV3Lmh0bWw_aWR4bm89NDI5Mjg20gEA?oc=5" xr:uid="{00000000-0004-0000-0000-00005D000000}"/>
    <hyperlink ref="B96" r:id="rId95" display="https://news.google.com/rss/articles/CBMiTmh0dHBzOi8vd3d3LmNob3N1bi5jb20vbmF0aW9uYWwvd2Vla2VuZC8yMDIzLzA4LzI2L0lIRUJDSVdNNU5CWk5HTVU2UFBBWUdZUVlRL9IBXWh0dHBzOi8vd3d3LmNob3N1bi5jb20vbmF0aW9uYWwvd2Vla2VuZC8yMDIzLzA4LzI2L0lIRUJDSVdNNU5CWk5HTVU2UFBBWUdZUVlRLz9vdXRwdXRUeXBlPWFtcA?oc=5" xr:uid="{00000000-0004-0000-0000-00005E000000}"/>
    <hyperlink ref="B97" r:id="rId96" display="https://news.google.com/rss/articles/CBMiP2h0dHBzOi8vd3d3Lm91dHNvdXJjaW5nLmNvLmtyL25ld3MvYXJ0aWNsZVZpZXcuaHRtbD9pZHhubz05NzI1NdIBAA?oc=5" xr:uid="{00000000-0004-0000-0000-00005F000000}"/>
    <hyperlink ref="B98" r:id="rId97" display="https://news.google.com/rss/articles/CBMiV2h0dHBzOi8vd3d3LmNob3N1bi5jb20vb3Bpbmlvbi9zcGVjaWFsaXN0X2NvbHVtbi8yMDIzLzA4LzI2L0hNM0hCSERQWTVHSkpGVFRSNkdWNUdIUUVNL9IBZmh0dHBzOi8vd3d3LmNob3N1bi5jb20vb3Bpbmlvbi9zcGVjaWFsaXN0X2NvbHVtbi8yMDIzLzA4LzI2L0hNM0hCSERQWTVHSkpGVFRSNkdWNUdIUUVNLz9vdXRwdXRUeXBlPWFtcA?oc=5" xr:uid="{00000000-0004-0000-0000-000060000000}"/>
    <hyperlink ref="B99" r:id="rId98" display="https://news.google.com/rss/articles/CBMiOmh0dHBzOi8vd3d3Lm50b2RheS5jby5rci9uZXdzL2FydGljbGVWaWV3Lmh0bWw_aWR4bm89OTc1MDHSAT1odHRwczovL3d3dy5udG9kYXkuY28ua3IvbmV3cy9hcnRpY2xlVmlld0FtcC5odG1sP2lkeG5vPTk3NTAx?oc=5" xr:uid="{00000000-0004-0000-0000-000061000000}"/>
    <hyperlink ref="B100" r:id="rId99" display="https://news.google.com/rss/articles/CBMiOmh0dHBzOi8vd3d3LmFpdGltZXMuY29tL25ld3MvYXJ0aWNsZVZpZXcuaHRtbD9pZHhubz0xNTMxMzHSAQA?oc=5" xr:uid="{00000000-0004-0000-0000-000062000000}"/>
    <hyperlink ref="B101" r:id="rId100" display="https://news.google.com/rss/articles/CBMiMGh0dHBzOi8vd3d3Lm5ld3NwaW0uY29tL25ld3Mvdmlldy8yMDIzMDgyNTAwMDA4NtIBMWh0dHBzOi8vbS5uZXdzcGltLmNvbS9uZXdzYW1wL3ZpZXcvMjAyMzA4MjUwMDAwODY?oc=5" xr:uid="{00000000-0004-0000-0000-000063000000}"/>
    <hyperlink ref="B102" r:id="rId101" display="https://news.google.com/rss/articles/CBMiJWh0dHBzOi8vd3d3LmV0bmV3cy5jb20vMjAyMzA4MDQwMDAwNjHSAQA?oc=5" xr:uid="{00000000-0004-0000-0000-000064000000}"/>
    <hyperlink ref="B103" r:id="rId102" display="https://news.google.com/rss/articles/CBMiNmh0dHBzOi8vd3d3Lmhhbmt5dW5nLmNvbS9vcGluaW9uL2FydGljbGUvMjAyMzA4MjU5OTI2MdIBMmh0dHBzOi8vd3d3Lmhhbmt5dW5nLmNvbS9vcGluaW9uL2FtcC8yMDIzMDgyNTk5MjYx?oc=5" xr:uid="{00000000-0004-0000-0000-000065000000}"/>
    <hyperlink ref="B104" r:id="rId103" display="https://news.google.com/rss/articles/CBMiJ2h0dHBzOi8vaHJjb3Bpbmlvbi5jby5rci9hcmNoaXZlcy8yNTk3OdIBK2h0dHBzOi8vaHJjb3Bpbmlvbi5jby5rci9hcmNoaXZlcy8yNTk3OS9hbXA?oc=5" xr:uid="{00000000-0004-0000-0000-000066000000}"/>
    <hyperlink ref="B105" r:id="rId104" display="https://news.google.com/rss/articles/CBMiQmh0dHBzOi8vbS5kdC5jby5rci9jb250ZW50cy5odG1sP2FydGljbGVfbm89MjAyMzA4MDcwMjEwOTk1ODA0NDAwM9IBAA?oc=5" xr:uid="{00000000-0004-0000-0000-000067000000}"/>
    <hyperlink ref="B106" r:id="rId105" display="https://news.google.com/rss/articles/CBMiJ2h0dHBzOi8vaHJjb3Bpbmlvbi5jby5rci9hcmNoaXZlcy8yNjYxONIBK2h0dHBzOi8vaHJjb3Bpbmlvbi5jby5rci9hcmNoaXZlcy8yNjYxOC9hbXA?oc=5" xr:uid="{00000000-0004-0000-0000-000068000000}"/>
    <hyperlink ref="B107" r:id="rId106" display="https://news.google.com/rss/articles/CBMiOGh0dHBzOi8vd3d3LmtpZG9rLmNvbS9uZXdzL2FydGljbGVWaWV3Lmh0bWw_aWR4bm89MjE5MjQ40gE7aHR0cHM6Ly93d3cua2lkb2suY29tL25ld3MvYXJ0aWNsZVZpZXdBbXAuaHRtbD9pZHhubz0yMTkyNDg?oc=5" xr:uid="{00000000-0004-0000-0000-000069000000}"/>
    <hyperlink ref="B108" r:id="rId107" display="https://news.google.com/rss/articles/CBMiN2h0dHBzOi8vbmV3cy5tdC5jby5rci9tdHZpZXcucGhwP25vPTIwMjMwODI1MDYzOTQ3NTkwNzTSAT1odHRwczovL20ubXQuY28ua3IvcmVuZXcvdmlld19hbXAuaHRtbD9ubz0yMDIzMDgyNTA2Mzk0NzU5MDc0?oc=5" xr:uid="{00000000-0004-0000-0000-00006A000000}"/>
    <hyperlink ref="B109" r:id="rId108" display="https://news.google.com/rss/articles/CBMiS2h0dHA6Ly93ZWVrbHkua2hhbi5jby5rci9raG5tLmh0bWw_bW9kZT12aWV3JmFydGlkPTIwMjMwODI1MTA1NTE3MSZjb2RlPTExNdIBAA?oc=5" xr:uid="{00000000-0004-0000-0000-00006B000000}"/>
    <hyperlink ref="B110" r:id="rId109" display="https://news.google.com/rss/articles/CBMiOGh0dHBzOi8vbS5oYW5rb29raWxiby5jb20vTmV3cy9SZWFkL0EyMDIzMDQyNTAxMzQwMDAwMTk30gEA?oc=5" xr:uid="{00000000-0004-0000-0000-00006C000000}"/>
    <hyperlink ref="B111" r:id="rId110" display="https://news.google.com/rss/articles/CBMiJ2h0dHBzOi8vbS5zZWd5ZS5jb20vdmlldy8yMDIzMDcxNjUxMzIyONIBKmh0dHBzOi8vbS5zZWd5ZS5jb20vYW1wVmlldy8yMDIzMDcxNjUxMzIyOA?oc=5" xr:uid="{00000000-0004-0000-0000-00006D000000}"/>
    <hyperlink ref="B112" r:id="rId111" display="https://news.google.com/rss/articles/CBMiPGh0dHBzOi8vd3d3Lml0Yml6bmV3cy5jb20vbmV3cy9hcnRpY2xlVmlldy5odG1sP2lkeG5vPTEwOTA2MtIBAA?oc=5" xr:uid="{00000000-0004-0000-0000-00006E000000}"/>
    <hyperlink ref="B113" r:id="rId112" display="https://news.google.com/rss/articles/CBMiN2h0dHBzOi8vbmV3cy5tdC5jby5rci9tdHZpZXcucGhwP25vPTIwMjMwODI5MTU0NjA3OTIyOTXSAT1odHRwczovL20ubXQuY28ua3IvcmVuZXcvdmlld19hbXAuaHRtbD9ubz0yMDIzMDgyOTE1NDYwNzkyMjk1?oc=5" xr:uid="{00000000-0004-0000-0000-00006F000000}"/>
    <hyperlink ref="B114" r:id="rId113" display="https://news.google.com/rss/articles/CBMiJ2h0dHA6Ly9rcGVuZXdzLmNvbS9WaWV3LmFzcHg_Tm89MjkyNTE0ONIBAA?oc=5" xr:uid="{00000000-0004-0000-0000-000070000000}"/>
    <hyperlink ref="B115" r:id="rId114" display="https://news.google.com/rss/articles/CBMiL2h0dHBzOi8vd3d3LmlkYWVndS5jb20vbmV3c1ZpZXcvaWRnMjAyMzA4MjgwMTEw0gEA?oc=5" xr:uid="{00000000-0004-0000-0000-000071000000}"/>
    <hyperlink ref="B116" r:id="rId115" display="https://news.google.com/rss/articles/CBMiPGh0dHBzOi8vd3d3Lm1vdG9yZ3JhcGguY29tL25ld3MvYXJ0aWNsZVZpZXcuaHRtbD9pZHhubz0zMjQ4N9IBAA?oc=5" xr:uid="{00000000-0004-0000-0000-000072000000}"/>
    <hyperlink ref="B117" r:id="rId116" display="https://news.google.com/rss/articles/CBMiNmh0dHBzOi8vd3d3Lm0taS5rci9uZXdzL2FydGljbGVWaWV3Lmh0bWw_aWR4bm89MTAyNDc5MtIBAA?oc=5" xr:uid="{00000000-0004-0000-0000-000073000000}"/>
    <hyperlink ref="B118" r:id="rId117" display="https://news.google.com/rss/articles/CBMiVGh0dHBzOi8vbmV3cy5rb3JlYWRhaWx5LmNvbS8yMDIzLzAzLzE1L2Vjb25vbXkvZWNvbm9teWdlbmVyYWwvMjAyMzAzMTUyMTQxMzAxNTguaHRtbNIBAA?oc=5" xr:uid="{00000000-0004-0000-0000-000074000000}"/>
    <hyperlink ref="B119" r:id="rId118" display="https://news.google.com/rss/articles/CBMiK2h0dHBzOi8vemRuZXQuY28ua3Ivdmlldy8_bm89MjAyMzA3MDMwODA4MjfSAQA?oc=5" xr:uid="{00000000-0004-0000-0000-000075000000}"/>
    <hyperlink ref="B120" r:id="rId119" display="https://news.google.com/rss/articles/CBMiNWh0dHA6Ly9uZXdzLmhlcmFsZGNvcnAuY29tL3ZpZXcucGhwP3VkPTIwMjMwODMwMDAwMTkx0gEA?oc=5" xr:uid="{00000000-0004-0000-0000-000076000000}"/>
    <hyperlink ref="B121" r:id="rId120" display="https://news.google.com/rss/articles/CBMiMWh0dHBzOi8vd3d3Lnl0bi5jby5rci9fbG4vMDEwM18yMDIzMDgyOTE2NDUzNzQ5NjbSAUNodHRwczovL20ueXRuLmNvLmtyL25ld3Nfdmlldy5hbXAucGhwP3BhcmFtPTAxMDNfMjAyMzA4MjkxNjQ1Mzc0OTY2?oc=5" xr:uid="{00000000-0004-0000-0000-000077000000}"/>
    <hyperlink ref="B122" r:id="rId121" display="https://news.google.com/rss/articles/CBMiO2h0dHBzOi8vd3d3LnNlb3VsLmNvLmtyL25ld3MvbmV3c1ZpZXcucGhwP2lkPTIwMjMwNDEyMDE1MDAx0gEsaHR0cHM6Ly9hbXAuc2VvdWwuY28ua3Ivc2VvdWwvMjAyMzA0MTIwMTUwMDE?oc=5" xr:uid="{00000000-0004-0000-0000-000078000000}"/>
    <hyperlink ref="B123" r:id="rId122" display="https://news.google.com/rss/articles/CBMiOWh0dHA6Ly93d3cubmV3c3RudC5jb20vbmV3cy9hcnRpY2xlVmlldy5odG1sP2lkeG5vPTIzMDE3MNIBPGh0dHA6Ly93d3cubmV3c3RudC5jb20vbmV3cy9hcnRpY2xlVmlld0FtcC5odG1sP2lkeG5vPTIzMDE3MA?oc=5" xr:uid="{00000000-0004-0000-0000-000079000000}"/>
    <hyperlink ref="B124" r:id="rId123" display="https://news.google.com/rss/articles/CBMiNmh0dHBzOi8vbS55b25oYXBuZXdzdHYuY28ua3IvbmV3cy9NWUgyMDIzMDUyMDAwMjEwMDY0MdIBAA?oc=5" xr:uid="{00000000-0004-0000-0000-00007A000000}"/>
    <hyperlink ref="B125" r:id="rId124" display="https://news.google.com/rss/articles/CBMiL2h0dHBzOi8vbm93LnJlbWVtYmVyYXBwLmNvLmtyLzIwMjIvMTIvMjUvMjQ3NTkv0gEA?oc=5" xr:uid="{00000000-0004-0000-0000-00007B000000}"/>
    <hyperlink ref="B126" r:id="rId125" display="https://news.google.com/rss/articles/CBMiNmh0dHBzOi8vbS55b25oYXBuZXdzdHYuY28ua3IvbmV3cy9NWUgyMDIyMTAwOTAwODIwMDY0MdIBAA?oc=5" xr:uid="{00000000-0004-0000-0000-00007C000000}"/>
    <hyperlink ref="B127" r:id="rId126" display="https://news.google.com/rss/articles/CBMiLGh0dHBzOi8vbS5raGFuLmNvLmtyL2FydGljbGUvMjAyMzAzMTAwMzAwMDA10gE_aHR0cHM6Ly9tLmtoYW4uY28ua3Ivb3Bpbmlvbi9jb2x1bW4vYXJ0aWNsZS8yMDIzMDMxMDAzMDAwMDUvYW1w?oc=5" xr:uid="{00000000-0004-0000-0000-00007D000000}"/>
    <hyperlink ref="B128" r:id="rId127" display="https://news.google.com/rss/articles/CBMiP2h0dHBzOi8vbmV3cy5laW5mb21heC5jby5rci9uZXdzL2FydGljbGVWaWV3Lmh0bWw_aWR4bm89NDI3OTIwMtIBAA?oc=5" xr:uid="{00000000-0004-0000-0000-00007E000000}"/>
    <hyperlink ref="B129" r:id="rId128" display="https://news.google.com/rss/articles/CBMiN2h0dHBzOi8vbmV3cy5tdC5jby5rci9tdHZpZXcucGhwP25vPTIwMjMwMjA3MTgwMzM4OTk3NDPSAT1odHRwczovL20ubXQuY28ua3IvcmVuZXcvdmlld19hbXAuaHRtbD9ubz0yMDIzMDIwNzE4MDMzODk5NzQz?oc=5" xr:uid="{00000000-0004-0000-0000-00007F000000}"/>
    <hyperlink ref="B130" r:id="rId129" display="https://news.google.com/rss/articles/CBMiP2h0dHBzOi8vd3d3LmxlY3R1cmVybmV3cy5jb20vbmV3cy9hcnRpY2xlVmlldy5odG1sP2lkeG5vPTEyMDY1N9IBAA?oc=5" xr:uid="{00000000-0004-0000-0000-000080000000}"/>
    <hyperlink ref="B131" r:id="rId130" display="https://news.google.com/rss/articles/CBMiLmh0dHBzOi8vd3d3LmZubmV3cy5jb20vbmV3cy8yMDIzMDgwNzE3NTk0ODk4NjLSATFodHRwczovL3d3dy5mbm5ld3MuY29tL2FtcE5ld3MvMjAyMzA4MDcxNzU5NDg5ODYy?oc=5" xr:uid="{00000000-0004-0000-0000-000081000000}"/>
    <hyperlink ref="B132" r:id="rId131" display="https://news.google.com/rss/articles/CBMiHmh0dHBzOi8vYnJ1bmNoLmNvLmtyL0BANzRRYy83NdIBAA?oc=5" xr:uid="{00000000-0004-0000-0000-000082000000}"/>
    <hyperlink ref="B133" r:id="rId132" display="https://news.google.com/rss/articles/CBMiPGh0dHBzOi8vd3d3LnBzbmV3cy5jby5rci9uZXdzL2FydGljbGVWaWV3Lmh0bWw_aWR4bm89MjAyNDUwNdIBAA?oc=5" xr:uid="{00000000-0004-0000-0000-000083000000}"/>
    <hyperlink ref="B134" r:id="rId133" display="https://news.google.com/rss/articles/CBMiPmh0dHA6Ly93d3cubWVkaWF0b2RheS5jby5rci9uZXdzL2FydGljbGVWaWV3Lmh0bWw_aWR4bm89MzA3MTYy0gFBaHR0cDovL3d3dy5tZWRpYXRvZGF5LmNvLmtyL25ld3MvYXJ0aWNsZVZpZXdBbXAuaHRtbD9pZHhubz0zMDcxNjI?oc=5" xr:uid="{00000000-0004-0000-0000-000084000000}"/>
    <hyperlink ref="B135" r:id="rId134" display="https://news.google.com/rss/articles/CBMiNGh0dHBzOi8vd3d3LmtnbmV3cy5jby5rci9uZXdzL2FydGljbGUuaHRtbD9ubz03MzE1MzfSAQA?oc=5" xr:uid="{00000000-0004-0000-0000-000085000000}"/>
    <hyperlink ref="B136" r:id="rId135" display="https://news.google.com/rss/articles/CBMiP2h0dHBzOi8vd3d3Lm11bmh3YS5jb20vbmV3cy92aWV3Lmh0bWw_bm89MjAyMzA1MDIwMTAzMDMyMTA4MDAwMdIBAA?oc=5" xr:uid="{00000000-0004-0000-0000-000086000000}"/>
    <hyperlink ref="B137" r:id="rId136" display="https://news.google.com/rss/articles/CBMiOGh0dHBzOi8vd3d3LnNqc29yaS5jb20vbmV3cy9hcnRpY2xlVmlldy5odG1sP2lkeG5vPTYzNDYx0gEA?oc=5" xr:uid="{00000000-0004-0000-0000-000087000000}"/>
    <hyperlink ref="B138" r:id="rId137" display="https://news.google.com/rss/articles/CBMiOGh0dHBzOi8vd3d3Lm1lZGlmb25ld3MuY29tL21vYmlsZS9hcnRpY2xlLmh0bWw_bm89MTcxMjI00gEA?oc=5" xr:uid="{00000000-0004-0000-0000-000088000000}"/>
    <hyperlink ref="B139" r:id="rId138" display="https://news.google.com/rss/articles/CBMiTGh0dHA6Ly93d3cuaW52ZXN0Y2hvc3VuLmNvbS9zaXRlL2RhdGEvaHRtbF9kaXIvMjAyMy8wMy8wMi8yMDIzMDMwMjgwMjM1Lmh0bWzSAQA?oc=5" xr:uid="{00000000-0004-0000-0000-000089000000}"/>
    <hyperlink ref="B140" r:id="rId139" display="https://news.google.com/rss/articles/CBMiTmh0dHBzOi8vd3d3LmNob3N1bi5jb20vbmF0aW9uYWwvd2Vla2VuZC8yMDIzLzAyLzExL1ZXU1FQNkUySjVBQUpIRVhQU09YQUVBSDJFL9IBXWh0dHBzOi8vd3d3LmNob3N1bi5jb20vbmF0aW9uYWwvd2Vla2VuZC8yMDIzLzAyLzExL1ZXU1FQNkUySjVBQUpIRVhQU09YQUVBSDJFLz9vdXRwdXRUeXBlPWFtcA?oc=5" xr:uid="{00000000-0004-0000-0000-00008A000000}"/>
    <hyperlink ref="B141" r:id="rId140" display="https://news.google.com/rss/articles/CBMiOmh0dHA6Ly93d3cuZ25uZXdzLmNvLmtyL25ld3MvYXJ0aWNsZVZpZXcuaHRtbD9pZHhubz01MTQ3MDPSAQA?oc=5" xr:uid="{00000000-0004-0000-0000-00008B000000}"/>
    <hyperlink ref="B142" r:id="rId141" display="https://news.google.com/rss/articles/CBMiNmh0dHBzOi8vd3d3Lmhhbmt5dW5nLmNvbS9vcGluaW9uL2FydGljbGUvMjAyMzAzMjkyNzA2MdIBMmh0dHBzOi8vd3d3Lmhhbmt5dW5nLmNvbS9vcGluaW9uL2FtcC8yMDIzMDMyOTI3MDYx?oc=5" xr:uid="{00000000-0004-0000-0000-00008C000000}"/>
    <hyperlink ref="B143" r:id="rId142" display="https://news.google.com/rss/articles/CBMiK2h0dHBzOi8vd3d3Lm1rLmNvLmtyL25ld3MvYnVzaW5lc3MvMTA0NjMxMznSAR9odHRwczovL20ubWsuY28ua3IvYW1wLzEwNDYzMTM5?oc=5" xr:uid="{00000000-0004-0000-0000-00008D000000}"/>
    <hyperlink ref="B144" r:id="rId143" display="https://news.google.com/rss/articles/CBMiQ2h0dHBzOi8vd3d3LmRvbmdhLmNvbS9uZXdzL1NvY2lldHkvYXJ0aWNsZS9hbGwvMjAyMzAxMDMvMTE3MjY0Nzc1LzHSATdodHRwczovL3d3dy5kb25nYS5jb20vbmV3cy9hbXAvYWxsLzIwMjMwMTAzLzExNzI2NDc3NS8x?oc=5" xr:uid="{00000000-0004-0000-0000-00008E000000}"/>
    <hyperlink ref="B145" r:id="rId144" display="https://news.google.com/rss/articles/CBMiNWh0dHBzOi8vd3d3Lm0taS5rci9uZXdzL2FydGljbGVWaWV3Lmh0bWw_aWR4bm89OTI4NDAz0gEA?oc=5" xr:uid="{00000000-0004-0000-0000-00008F000000}"/>
    <hyperlink ref="B146" r:id="rId145" display="https://news.google.com/rss/articles/CBMiOmh0dHBzOi8vd3d3LmFzaWF0b2RheS5jby5rci92aWV3LnBocD9rZXk9MjAyMzA3MTEwMDE3MzUyNzLSAQA?oc=5" xr:uid="{00000000-0004-0000-0000-000090000000}"/>
    <hyperlink ref="B147" r:id="rId146" display="https://news.google.com/rss/articles/CBMiOmh0dHBzOi8vbmV3cy5zYnMuY28ua3IvbmV3cy9lbmRQYWdlLmRvP25ld3NfaWQ9TjEwMDcyOTU3NDDSATdodHRwczovL25ld3Muc2JzLmNvLmtyL2FtcC9uZXdzLmFtcD9uZXdzX2lkPU4xMDA3Mjk1NzQw?oc=5" xr:uid="{00000000-0004-0000-0000-000091000000}"/>
    <hyperlink ref="B148" r:id="rId147" display="https://news.google.com/rss/articles/CBMiNmh0dHBzOi8vd3d3Lmhhbmt5dW5nLmNvbS9vcGluaW9uL2FydGljbGUvMjAyMzA2MjgwOTE3MdIBMmh0dHBzOi8vd3d3Lmhhbmt5dW5nLmNvbS9vcGluaW9uL2FtcC8yMDIzMDYyODA5MTcx?oc=5" xr:uid="{00000000-0004-0000-0000-000092000000}"/>
    <hyperlink ref="B149" r:id="rId148" display="https://news.google.com/rss/articles/CBMiK2h0dHBzOi8vd3d3LnNlZGFpbHkuY29tL05ld3NWaWV3LzI5T0UxNkQwMTfSASxodHRwczovL20uc2VkYWlseS5jb20vTmV3c1ZpZXdBbXAvMjlPRTE2RDAxNw?oc=5" xr:uid="{00000000-0004-0000-0000-000093000000}"/>
    <hyperlink ref="B150" r:id="rId149" display="https://news.google.com/rss/articles/CBMiOGh0dHBzOi8vbS5oYW5rb29raWxiby5jb20vTmV3cy9SZWFkL0EyMDIzMDQzMDE1NDgwMDAwNzE20gEA?oc=5" xr:uid="{00000000-0004-0000-0000-000094000000}"/>
    <hyperlink ref="B151" r:id="rId150" display="https://news.google.com/rss/articles/CBMiOGh0dHBzOi8vbS5oYW5rb29raWxiby5jb20vTmV3cy9SZWFkL0EyMDIzMDMyMjEwMDkwMDAwODk00gEA?oc=5" xr:uid="{00000000-0004-0000-0000-000095000000}"/>
    <hyperlink ref="B152" r:id="rId151" display="https://news.google.com/rss/articles/CBMiJ2h0dHBzOi8vaHJjb3Bpbmlvbi5jby5rci9hcmNoaXZlcy8yNjY4N9IBK2h0dHBzOi8vaHJjb3Bpbmlvbi5jby5rci9hcmNoaXZlcy8yNjY4Ny9hbXA?oc=5" xr:uid="{00000000-0004-0000-0000-000096000000}"/>
    <hyperlink ref="B153" r:id="rId152" display="https://news.google.com/rss/articles/CBMiOmh0dHBzOi8vbmV3cy5zYnMuY28ua3IvbmV3cy9lbmRQYWdlLmRvP25ld3NfaWQ9TjEwMDY5Mjg4NzXSATdodHRwczovL25ld3Muc2JzLmNvLmtyL2FtcC9uZXdzLmFtcD9uZXdzX2lkPU4xMDA2OTI4ODc1?oc=5" xr:uid="{00000000-0004-0000-0000-000097000000}"/>
    <hyperlink ref="B154" r:id="rId153" display="https://news.google.com/rss/articles/CBMiNGh0dHBzOi8vbS5kZGFpbHkuY28ua3IvcGFnZS92aWV3LzIwMjIwOTAxMTcyOTM2MzU2NDHSAQA?oc=5" xr:uid="{00000000-0004-0000-0000-000098000000}"/>
    <hyperlink ref="B155" r:id="rId154" display="https://news.google.com/rss/articles/CBMiN2h0dHBzOi8vd3d3LmVkcGwuY28ua3IvbmV3cy9hcnRpY2xlVmlldy5odG1sP2lkeG5vPTg2OTHSAQA?oc=5" xr:uid="{00000000-0004-0000-0000-000099000000}"/>
    <hyperlink ref="B156" r:id="rId155" display="https://news.google.com/rss/articles/CBMiPGh0dHBzOi8vd3d3LmplanVuZXdzLmNvbS9uZXdzL2FydGljbGVWaWV3Lmh0bWw_aWR4bm89MjE4MzQ3NtIBAA?oc=5" xr:uid="{00000000-0004-0000-0000-00009A000000}"/>
    <hyperlink ref="B157" r:id="rId156" display="https://news.google.com/rss/articles/CBMiPmh0dHA6Ly93d3cubWVkaWF0b2RheS5jby5rci9uZXdzL2FydGljbGVWaWV3Lmh0bWw_aWR4bm89MzA2Mjc30gFBaHR0cDovL3d3dy5tZWRpYXRvZGF5LmNvLmtyL25ld3MvYXJ0aWNsZVZpZXdBbXAuaHRtbD9pZHhubz0zMDYyNzc?oc=5" xr:uid="{00000000-0004-0000-0000-00009B000000}"/>
    <hyperlink ref="B158" r:id="rId157" display="https://news.google.com/rss/articles/CBMiP2h0dHBzOi8vd3d3Lndpa2lsZWFrcy1rci5vcmcvbmV3cy9hcnRpY2xlVmlldy5odG1sP2lkeG5vPTEzNTYwNdIBAA?oc=5" xr:uid="{00000000-0004-0000-0000-00009C000000}"/>
    <hyperlink ref="B159" r:id="rId158" display="https://news.google.com/rss/articles/CBMiP2h0dHA6Ly93d3cuZW5ld3N0b2RheS5jby5rci9uZXdzL2FydGljbGVWaWV3Lmh0bWw_aWR4bm89MjAxMTQ2ONIBQmh0dHA6Ly93d3cuZW5ld3N0b2RheS5jby5rci9uZXdzL2FydGljbGVWaWV3QW1wLmh0bWw_aWR4bm89MjAxMTQ2OA?oc=5" xr:uid="{00000000-0004-0000-0000-00009D000000}"/>
    <hyperlink ref="B160" r:id="rId159" display="https://news.google.com/rss/articles/CBMiPGh0dHBzOi8vbWFnYXppbmUuaGFua3l1bmcuY29tL2J1c2luZXNzL2FydGljbGUvMjAyMzAzMDg0ODU4YtIBOGh0dHBzOi8vbWFnYXppbmUuaGFua3l1bmcuY29tL2J1c2luZXNzL2FtcC8yMDIzMDMwODQ4NThi?oc=5" xr:uid="{00000000-0004-0000-0000-00009E000000}"/>
    <hyperlink ref="B161" r:id="rId160" display="https://news.google.com/rss/articles/CBMiPWh0dHBzOi8vd3d3LmJyYW5kYnJpZWYuY28ua3IvbmV3cy9hcnRpY2xlVmlldy5odG1sP2lkeG5vPTU0NDbSAQA?oc=5" xr:uid="{00000000-0004-0000-0000-00009F000000}"/>
    <hyperlink ref="B162" r:id="rId161" display="https://news.google.com/rss/articles/CBMiOWh0dHA6Ly93d3cua3VuZXdzLmFjLmtyL25ld3MvYXJ0aWNsZVZpZXcuaHRtbD9pZHhubz00MDU1ONIBPGh0dHA6Ly93d3cua3VuZXdzLmFjLmtyL25ld3MvYXJ0aWNsZVZpZXdBbXAuaHRtbD9pZHhubz00MDU1OA?oc=5" xr:uid="{00000000-0004-0000-0000-0000A0000000}"/>
    <hyperlink ref="B163" r:id="rId162" display="https://news.google.com/rss/articles/CBMiJ2h0dHBzOi8vaHJjb3Bpbmlvbi5jby5rci9hcmNoaXZlcy8yNjA3MtIBK2h0dHBzOi8vaHJjb3Bpbmlvbi5jby5rci9hcmNoaXZlcy8yNjA3Mi9hbXA?oc=5" xr:uid="{00000000-0004-0000-0000-0000A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67"/>
  <sheetViews>
    <sheetView workbookViewId="0"/>
  </sheetViews>
  <sheetFormatPr defaultColWidth="12.6328125" defaultRowHeight="15.75" customHeight="1" x14ac:dyDescent="0.25"/>
  <cols>
    <col min="1" max="1" width="234" customWidth="1"/>
    <col min="2" max="2" width="315.36328125" customWidth="1"/>
    <col min="3" max="3" width="26.08984375" customWidth="1"/>
    <col min="4" max="4" width="94.26953125" customWidth="1"/>
  </cols>
  <sheetData>
    <row r="1" spans="1:4" ht="15.75" customHeight="1" x14ac:dyDescent="0.25">
      <c r="A1" s="1" t="str">
        <f ca="1">IFERROR(__xludf.DUMMYFUNCTION("importfeed(""https://news.google.com/rss/search?hl=ko&amp;gl=KR&amp;ie=UTF-8&amp;output=rss&amp;q=세대차이"","""",true,250)"),"Title")</f>
        <v>Title</v>
      </c>
      <c r="B1" s="1" t="str">
        <f ca="1">IFERROR(__xludf.DUMMYFUNCTION("""COMPUTED_VALUE"""),"URL")</f>
        <v>URL</v>
      </c>
      <c r="C1" s="1" t="str">
        <f ca="1">IFERROR(__xludf.DUMMYFUNCTION("""COMPUTED_VALUE"""),"Date Created")</f>
        <v>Date Created</v>
      </c>
      <c r="D1" s="1" t="str">
        <f ca="1">IFERROR(__xludf.DUMMYFUNCTION("""COMPUTED_VALUE"""),"Summary")</f>
        <v>Summary</v>
      </c>
    </row>
    <row r="2" spans="1:4" ht="15.75" customHeight="1" x14ac:dyDescent="0.35">
      <c r="A2" s="3" t="str">
        <f ca="1">IFERROR(__xludf.DUMMYFUNCTION("""COMPUTED_VALUE"""),"잘파세대' 등장, 은행권 위기일까 기회일까 - 주간경향")</f>
        <v>잘파세대' 등장, 은행권 위기일까 기회일까 - 주간경향</v>
      </c>
      <c r="B2" s="2" t="str">
        <f ca="1">IFERROR(__xludf.DUMMYFUNCTION("""COMPUTED_VALUE"""),"https://news.google.com/rss/articles/CBMiS2h0dHA6Ly93ZWVrbHkua2hhbi5jby5rci9raG5tLmh0bWw_bW9kZT12aWV3JmFydGlkPTIwMjMwOTAxMTA1NjUyMSZjb2RlPTExNNIBAA?oc=5")</f>
        <v>https://news.google.com/rss/articles/CBMiS2h0dHA6Ly93ZWVrbHkua2hhbi5jby5rci9raG5tLmh0bWw_bW9kZT12aWV3JmFydGlkPTIwMjMwOTAxMTA1NjUyMSZjb2RlPTExNNIBAA?oc=5</v>
      </c>
      <c r="C2" s="1" t="str">
        <f ca="1">IFERROR(__xludf.DUMMYFUNCTION("""COMPUTED_VALUE"""),"Fri, 01 Sep 2023 07:00:00 GMT")</f>
        <v>Fri, 01 Sep 2023 07:00:00 GMT</v>
      </c>
      <c r="D2" s="1" t="str">
        <f ca="1">IFERROR(__xludf.DUMMYFUNCTION("""COMPUTED_VALUE"""),"잘파세대' 등장, 은행권 위기일까 기회일까  주간경향")</f>
        <v>잘파세대' 등장, 은행권 위기일까 기회일까  주간경향</v>
      </c>
    </row>
    <row r="3" spans="1:4" ht="15.75" customHeight="1" x14ac:dyDescent="0.25">
      <c r="A3" s="1" t="str">
        <f ca="1">IFERROR(__xludf.DUMMYFUNCTION("""COMPUTED_VALUE"""),"“열받지만 재밌어” 젊은층 사로잡은 ‘맑눈광·99대장’ 인기비결은 - 조선비즈 - 조선비즈")</f>
        <v>“열받지만 재밌어” 젊은층 사로잡은 ‘맑눈광·99대장’ 인기비결은 - 조선비즈 - 조선비즈</v>
      </c>
      <c r="B3" s="2" t="str">
        <f ca="1">IFERROR(__xludf.DUMMYFUNCTION("""COMPUTED_VALUE"""),"https://news.google.com/rss/articles/CBMiUmh0dHBzOi8vYml6LmNob3N1bi5jb20vdG9waWNzL3RvcGljc19zb2NpYWwvMjAyMy8wOS8wMy9OQVFYRUFNVUFSQlBSQ0dQVE1SMk9VNjRYQS_SAWFodHRwczovL2Jpei5jaG9zdW4uY29tL3RvcGljcy90b3BpY3Nfc29jaWFsLzIwMjMvMDkvMDMvTkFRWEVBTVVBUkJQUkNHUFRNUj"&amp;"JPVTY0WEEvP291dHB1dFR5cGU9YW1w?oc=5")</f>
        <v>https://news.google.com/rss/articles/CBMiUmh0dHBzOi8vYml6LmNob3N1bi5jb20vdG9waWNzL3RvcGljc19zb2NpYWwvMjAyMy8wOS8wMy9OQVFYRUFNVUFSQlBSQ0dQVE1SMk9VNjRYQS_SAWFodHRwczovL2Jpei5jaG9zdW4uY29tL3RvcGljcy90b3BpY3Nfc29jaWFsLzIwMjMvMDkvMDMvTkFRWEVBTVVBUkJQUkNHUFRNUjJPVTY0WEEvP291dHB1dFR5cGU9YW1w?oc=5</v>
      </c>
      <c r="C3" s="1" t="str">
        <f ca="1">IFERROR(__xludf.DUMMYFUNCTION("""COMPUTED_VALUE"""),"Sat, 02 Sep 2023 21:00:00 GMT")</f>
        <v>Sat, 02 Sep 2023 21:00:00 GMT</v>
      </c>
      <c r="D3" s="1" t="str">
        <f ca="1">IFERROR(__xludf.DUMMYFUNCTION("""COMPUTED_VALUE"""),"“열받지만 재밌어” 젊은층 사로잡은 ‘맑눈광·99대장’ 인기비결은 - 조선비즈  조선비즈")</f>
        <v>“열받지만 재밌어” 젊은층 사로잡은 ‘맑눈광·99대장’ 인기비결은 - 조선비즈  조선비즈</v>
      </c>
    </row>
    <row r="4" spans="1:4" ht="15.75" customHeight="1" x14ac:dyDescent="0.25">
      <c r="A4" s="1" t="str">
        <f ca="1">IFERROR(__xludf.DUMMYFUNCTION("""COMPUTED_VALUE"""),"소통·화합' 勞使로 경영위기 극복…경북경제 든든한 일꾼들 - 영남일보")</f>
        <v>소통·화합' 勞使로 경영위기 극복…경북경제 든든한 일꾼들 - 영남일보</v>
      </c>
      <c r="B4" s="2" t="str">
        <f ca="1">IFERROR(__xludf.DUMMYFUNCTION("""COMPUTED_VALUE"""),"https://news.google.com/rss/articles/CBMiO2h0dHBzOi8vd3d3Lnllb25nbmFtLmNvbS93ZWIvdmlldy5waHA_a2V5PTIwMjMwOTA0MDEwMDAwMjY50gEA?oc=5")</f>
        <v>https://news.google.com/rss/articles/CBMiO2h0dHBzOi8vd3d3Lnllb25nbmFtLmNvbS93ZWIvdmlldy5waHA_a2V5PTIwMjMwOTA0MDEwMDAwMjY50gEA?oc=5</v>
      </c>
      <c r="C4" s="1" t="str">
        <f ca="1">IFERROR(__xludf.DUMMYFUNCTION("""COMPUTED_VALUE"""),"Sun, 03 Sep 2023 23:46:00 GMT")</f>
        <v>Sun, 03 Sep 2023 23:46:00 GMT</v>
      </c>
      <c r="D4" s="1" t="str">
        <f ca="1">IFERROR(__xludf.DUMMYFUNCTION("""COMPUTED_VALUE"""),"소통·화합' 勞使로 경영위기 극복…경북경제 든든한 일꾼들  영남일보")</f>
        <v>소통·화합' 勞使로 경영위기 극복…경북경제 든든한 일꾼들  영남일보</v>
      </c>
    </row>
    <row r="5" spans="1:4" ht="15.75" customHeight="1" x14ac:dyDescent="0.25">
      <c r="A5" s="1" t="str">
        <f ca="1">IFERROR(__xludf.DUMMYFUNCTION("""COMPUTED_VALUE"""),"K콘텐츠에서 배우는 3세대 K뷰티 성장 전략 - 한국경제")</f>
        <v>K콘텐츠에서 배우는 3세대 K뷰티 성장 전략 - 한국경제</v>
      </c>
      <c r="B5" s="2" t="str">
        <f ca="1">IFERROR(__xludf.DUMMYFUNCTION("""COMPUTED_VALUE"""),"https://news.google.com/rss/articles/CBMiLmh0dHBzOi8vd3d3Lmhhbmt5dW5nLmNvbS9hcnRpY2xlLzIwMjMwOTAzMDA4NjHSASpodHRwczovL3d3dy5oYW5reXVuZy5jb20vYW1wLzIwMjMwOTAzMDA4NjE?oc=5")</f>
        <v>https://news.google.com/rss/articles/CBMiLmh0dHBzOi8vd3d3Lmhhbmt5dW5nLmNvbS9hcnRpY2xlLzIwMjMwOTAzMDA4NjHSASpodHRwczovL3d3dy5oYW5reXVuZy5jb20vYW1wLzIwMjMwOTAzMDA4NjE?oc=5</v>
      </c>
      <c r="C5" s="1" t="str">
        <f ca="1">IFERROR(__xludf.DUMMYFUNCTION("""COMPUTED_VALUE"""),"Sun, 03 Sep 2023 08:52:33 GMT")</f>
        <v>Sun, 03 Sep 2023 08:52:33 GMT</v>
      </c>
      <c r="D5" s="1" t="str">
        <f ca="1">IFERROR(__xludf.DUMMYFUNCTION("""COMPUTED_VALUE"""),"K콘텐츠에서 배우는 3세대 K뷰티 성장 전략  한국경제")</f>
        <v>K콘텐츠에서 배우는 3세대 K뷰티 성장 전략  한국경제</v>
      </c>
    </row>
    <row r="6" spans="1:4" ht="15.75" customHeight="1" x14ac:dyDescent="0.25">
      <c r="A6" s="1" t="str">
        <f ca="1">IFERROR(__xludf.DUMMYFUNCTION("""COMPUTED_VALUE"""),"경상원, '라떼 MZ에게 듣는다'…원장-MZ세대 직원과 소통 토크쇼 - 데일리안")</f>
        <v>경상원, '라떼 MZ에게 듣는다'…원장-MZ세대 직원과 소통 토크쇼 - 데일리안</v>
      </c>
      <c r="B6" s="2" t="str">
        <f ca="1">IFERROR(__xludf.DUMMYFUNCTION("""COMPUTED_VALUE"""),"https://news.google.com/rss/articles/CBMiK2h0dHBzOi8vd3d3LmRhaWxpYW4uY28ua3IvbmV3cy92aWV3LzEyNjg3MjHSAS1odHRwczovL20uZGFpbGlhbi5jby5rci9hbXAvbmV3cy92aWV3LzEyNjg3MjE?oc=5")</f>
        <v>https://news.google.com/rss/articles/CBMiK2h0dHBzOi8vd3d3LmRhaWxpYW4uY28ua3IvbmV3cy92aWV3LzEyNjg3MjHSAS1odHRwczovL20uZGFpbGlhbi5jby5rci9hbXAvbmV3cy92aWV3LzEyNjg3MjE?oc=5</v>
      </c>
      <c r="C6" s="1" t="str">
        <f ca="1">IFERROR(__xludf.DUMMYFUNCTION("""COMPUTED_VALUE"""),"Thu, 31 Aug 2023 11:34:00 GMT")</f>
        <v>Thu, 31 Aug 2023 11:34:00 GMT</v>
      </c>
      <c r="D6" s="1" t="str">
        <f ca="1">IFERROR(__xludf.DUMMYFUNCTION("""COMPUTED_VALUE"""),"경상원, '라떼 MZ에게 듣는다'…원장-MZ세대 직원과 소통 토크쇼  데일리안")</f>
        <v>경상원, '라떼 MZ에게 듣는다'…원장-MZ세대 직원과 소통 토크쇼  데일리안</v>
      </c>
    </row>
    <row r="7" spans="1:4" ht="15.75" customHeight="1" x14ac:dyDescent="0.25">
      <c r="A7" s="1" t="str">
        <f ca="1">IFERROR(__xludf.DUMMYFUNCTION("""COMPUTED_VALUE"""),"(사)울산청소년선도지도회 울주군지부, 건강가족캠프 개최 - 월간인물")</f>
        <v>(사)울산청소년선도지도회 울주군지부, 건강가족캠프 개최 - 월간인물</v>
      </c>
      <c r="B7" s="2" t="str">
        <f ca="1">IFERROR(__xludf.DUMMYFUNCTION("""COMPUTED_VALUE"""),"https://news.google.com/rss/articles/CBMiQGh0dHBzOi8vd3d3Lm1vbnRobHlwZW9wbGUuY29tL25ld3MvYXJ0aWNsZVZpZXcuaHRtbD9pZHhubz02NDY2NjDSAQA?oc=5")</f>
        <v>https://news.google.com/rss/articles/CBMiQGh0dHBzOi8vd3d3Lm1vbnRobHlwZW9wbGUuY29tL25ld3MvYXJ0aWNsZVZpZXcuaHRtbD9pZHhubz02NDY2NjDSAQA?oc=5</v>
      </c>
      <c r="C7" s="1" t="str">
        <f ca="1">IFERROR(__xludf.DUMMYFUNCTION("""COMPUTED_VALUE"""),"Sun, 03 Sep 2023 07:38:42 GMT")</f>
        <v>Sun, 03 Sep 2023 07:38:42 GMT</v>
      </c>
      <c r="D7" s="1" t="str">
        <f ca="1">IFERROR(__xludf.DUMMYFUNCTION("""COMPUTED_VALUE"""),"(사)울산청소년선도지도회 울주군지부, 건강가족캠프 개최  월간인물")</f>
        <v>(사)울산청소년선도지도회 울주군지부, 건강가족캠프 개최  월간인물</v>
      </c>
    </row>
    <row r="8" spans="1:4" ht="15.75" customHeight="1" x14ac:dyDescent="0.25">
      <c r="A8" s="1" t="str">
        <f ca="1">IFERROR(__xludf.DUMMYFUNCTION("""COMPUTED_VALUE"""),"[광화문약국] 부작용 줄이고 월경 질환, 여드름 치료 효과까지...먹는 피임약은 진화 중 - 조선비즈 - 조선비즈")</f>
        <v>[광화문약국] 부작용 줄이고 월경 질환, 여드름 치료 효과까지...먹는 피임약은 진화 중 - 조선비즈 - 조선비즈</v>
      </c>
      <c r="B8" s="2" t="str">
        <f ca="1">IFERROR(__xludf.DUMMYFUNCTION("""COMPUTED_VALUE"""),"https://news.google.com/rss/articles/CBMiUGh0dHBzOi8vYml6LmNob3N1bi5jb20vc2NpZW5jZS1jaG9zdW4vYmlvLzIwMjMvMDkvMDMvUVlUSDRLQlJNVkRKSkY3WUw3Q1dZVUMyRlkv0gFfaHR0cHM6Ly9iaXouY2hvc3VuLmNvbS9zY2llbmNlLWNob3N1bi9iaW8vMjAyMy8wOS8wMy9RWVRINEtCUk1WREpKRjdZTDdDV1lVQz"&amp;"JGWS8_b3V0cHV0VHlwZT1hbXA?oc=5")</f>
        <v>https://news.google.com/rss/articles/CBMiUGh0dHBzOi8vYml6LmNob3N1bi5jb20vc2NpZW5jZS1jaG9zdW4vYmlvLzIwMjMvMDkvMDMvUVlUSDRLQlJNVkRKSkY3WUw3Q1dZVUMyRlkv0gFfaHR0cHM6Ly9iaXouY2hvc3VuLmNvbS9zY2llbmNlLWNob3N1bi9iaW8vMjAyMy8wOS8wMy9RWVRINEtCUk1WREpKRjdZTDdDV1lVQzJGWS8_b3V0cHV0VHlwZT1hbXA?oc=5</v>
      </c>
      <c r="C8" s="1" t="str">
        <f ca="1">IFERROR(__xludf.DUMMYFUNCTION("""COMPUTED_VALUE"""),"Sat, 02 Sep 2023 21:00:00 GMT")</f>
        <v>Sat, 02 Sep 2023 21:00:00 GMT</v>
      </c>
      <c r="D8" s="1" t="str">
        <f ca="1">IFERROR(__xludf.DUMMYFUNCTION("""COMPUTED_VALUE"""),"[광화문약국] 부작용 줄이고 월경 질환, 여드름 치료 효과까지...먹는 피임약은 진화 중 - 조선비즈  조선비즈")</f>
        <v>[광화문약국] 부작용 줄이고 월경 질환, 여드름 치료 효과까지...먹는 피임약은 진화 중 - 조선비즈  조선비즈</v>
      </c>
    </row>
    <row r="9" spans="1:4" ht="15.75" customHeight="1" x14ac:dyDescent="0.25">
      <c r="A9" s="1" t="str">
        <f ca="1">IFERROR(__xludf.DUMMYFUNCTION("""COMPUTED_VALUE"""),"기수파괴' 행안부 차관, 동기들과 정책 호흡…실장급 대거 세대교체 - 머니투데이")</f>
        <v>기수파괴' 행안부 차관, 동기들과 정책 호흡…실장급 대거 세대교체 - 머니투데이</v>
      </c>
      <c r="B9" s="2" t="str">
        <f ca="1">IFERROR(__xludf.DUMMYFUNCTION("""COMPUTED_VALUE"""),"https://news.google.com/rss/articles/CBMiN2h0dHBzOi8vbmV3cy5tdC5jby5rci9tdHZpZXcucGhwP25vPTIwMjMwOTAzMTYwODMwNTcwMTTSAT1odHRwczovL20ubXQuY28ua3IvcmVuZXcvdmlld19hbXAuaHRtbD9ubz0yMDIzMDkwMzE2MDgzMDU3MDE0?oc=5")</f>
        <v>https://news.google.com/rss/articles/CBMiN2h0dHBzOi8vbmV3cy5tdC5jby5rci9tdHZpZXcucGhwP25vPTIwMjMwOTAzMTYwODMwNTcwMTTSAT1odHRwczovL20ubXQuY28ua3IvcmVuZXcvdmlld19hbXAuaHRtbD9ubz0yMDIzMDkwMzE2MDgzMDU3MDE0?oc=5</v>
      </c>
      <c r="C9" s="1" t="str">
        <f ca="1">IFERROR(__xludf.DUMMYFUNCTION("""COMPUTED_VALUE"""),"Sun, 03 Sep 2023 07:27:03 GMT")</f>
        <v>Sun, 03 Sep 2023 07:27:03 GMT</v>
      </c>
      <c r="D9" s="1" t="str">
        <f ca="1">IFERROR(__xludf.DUMMYFUNCTION("""COMPUTED_VALUE"""),"기수파괴' 행안부 차관, 동기들과 정책 호흡…실장급 대거 세대교체  머니투데이")</f>
        <v>기수파괴' 행안부 차관, 동기들과 정책 호흡…실장급 대거 세대교체  머니투데이</v>
      </c>
    </row>
    <row r="10" spans="1:4" ht="15.75" customHeight="1" x14ac:dyDescent="0.25">
      <c r="A10" s="1" t="str">
        <f ca="1">IFERROR(__xludf.DUMMYFUNCTION("""COMPUTED_VALUE"""),"세대 교체 시작된 D램 시장, 고난 후 '열매' 누가 먹을까 - 메트로신문-중산층과 서민을 위한 알찬 정보")</f>
        <v>세대 교체 시작된 D램 시장, 고난 후 '열매' 누가 먹을까 - 메트로신문-중산층과 서민을 위한 알찬 정보</v>
      </c>
      <c r="B10" s="2" t="str">
        <f ca="1">IFERROR(__xludf.DUMMYFUNCTION("""COMPUTED_VALUE"""),"https://news.google.com/rss/articles/CBMiM2h0dHBzOi8vd3d3Lm1ldHJvc2VvdWwuY28ua3IvYXJ0aWNsZS8yMDIzMDkwMzUwMDEyMNIBAA?oc=5")</f>
        <v>https://news.google.com/rss/articles/CBMiM2h0dHBzOi8vd3d3Lm1ldHJvc2VvdWwuY28ua3IvYXJ0aWNsZS8yMDIzMDkwMzUwMDEyMNIBAA?oc=5</v>
      </c>
      <c r="C10" s="1" t="str">
        <f ca="1">IFERROR(__xludf.DUMMYFUNCTION("""COMPUTED_VALUE"""),"Sun, 03 Sep 2023 02:00:44 GMT")</f>
        <v>Sun, 03 Sep 2023 02:00:44 GMT</v>
      </c>
      <c r="D10" s="1" t="str">
        <f ca="1">IFERROR(__xludf.DUMMYFUNCTION("""COMPUTED_VALUE"""),"세대 교체 시작된 D램 시장, 고난 후 '열매' 누가 먹을까  메트로신문-중산층과 서민을 위한 알찬 정보")</f>
        <v>세대 교체 시작된 D램 시장, 고난 후 '열매' 누가 먹을까  메트로신문-중산층과 서민을 위한 알찬 정보</v>
      </c>
    </row>
    <row r="11" spans="1:4" ht="15.75" customHeight="1" x14ac:dyDescent="0.25">
      <c r="A11" s="1" t="str">
        <f ca="1">IFERROR(__xludf.DUMMYFUNCTION("""COMPUTED_VALUE"""),"""이 정도일 줄은""…국민연금 '더 내고 더 받자' 하나마나 - 한국경제")</f>
        <v>"이 정도일 줄은"…국민연금 '더 내고 더 받자' 하나마나 - 한국경제</v>
      </c>
      <c r="B11" s="2" t="str">
        <f ca="1">IFERROR(__xludf.DUMMYFUNCTION("""COMPUTED_VALUE"""),"https://news.google.com/rss/articles/CBMiLmh0dHBzOi8vd3d3Lmhhbmt5dW5nLmNvbS9hcnRpY2xlLzIwMjMwOTAzMDE4MDHSASpodHRwczovL3d3dy5oYW5reXVuZy5jb20vYW1wLzIwMjMwOTAzMDE4MDE?oc=5")</f>
        <v>https://news.google.com/rss/articles/CBMiLmh0dHBzOi8vd3d3Lmhhbmt5dW5nLmNvbS9hcnRpY2xlLzIwMjMwOTAzMDE4MDHSASpodHRwczovL3d3dy5oYW5reXVuZy5jb20vYW1wLzIwMjMwOTAzMDE4MDE?oc=5</v>
      </c>
      <c r="C11" s="1" t="str">
        <f ca="1">IFERROR(__xludf.DUMMYFUNCTION("""COMPUTED_VALUE"""),"Sun, 03 Sep 2023 09:29:39 GMT")</f>
        <v>Sun, 03 Sep 2023 09:29:39 GMT</v>
      </c>
      <c r="D11" s="1" t="str">
        <f ca="1">IFERROR(__xludf.DUMMYFUNCTION("""COMPUTED_VALUE"""),"""이 정도일 줄은""…국민연금 '더 내고 더 받자' 하나마나  한국경제")</f>
        <v>"이 정도일 줄은"…국민연금 '더 내고 더 받자' 하나마나  한국경제</v>
      </c>
    </row>
    <row r="12" spans="1:4" ht="15.75" customHeight="1" x14ac:dyDescent="0.25">
      <c r="A12" s="1" t="str">
        <f ca="1">IFERROR(__xludf.DUMMYFUNCTION("""COMPUTED_VALUE"""),"2023 대구치맥페스티벌' 성공 이끈 박준 집행위원장 ""세계인 함께 ... - 영남일보")</f>
        <v>2023 대구치맥페스티벌' 성공 이끈 박준 집행위원장 "세계인 함께 ... - 영남일보</v>
      </c>
      <c r="B12" s="2" t="str">
        <f ca="1">IFERROR(__xludf.DUMMYFUNCTION("""COMPUTED_VALUE"""),"https://news.google.com/rss/articles/CBMiO2h0dHBzOi8vd3d3Lnllb25nbmFtLmNvbS93ZWIvdmlldy5waHA_a2V5PTIwMjMwOTAzMDEwMDAwMjIz0gEA?oc=5")</f>
        <v>https://news.google.com/rss/articles/CBMiO2h0dHBzOi8vd3d3Lnllb25nbmFtLmNvbS93ZWIvdmlldy5waHA_a2V5PTIwMjMwOTAzMDEwMDAwMjIz0gEA?oc=5</v>
      </c>
      <c r="C12" s="1" t="str">
        <f ca="1">IFERROR(__xludf.DUMMYFUNCTION("""COMPUTED_VALUE"""),"Sun, 03 Sep 2023 22:16:00 GMT")</f>
        <v>Sun, 03 Sep 2023 22:16:00 GMT</v>
      </c>
      <c r="D12" s="1" t="str">
        <f ca="1">IFERROR(__xludf.DUMMYFUNCTION("""COMPUTED_VALUE"""),"2023 대구치맥페스티벌' 성공 이끈 박준 집행위원장 ""세계인 함께 ...  영남일보")</f>
        <v>2023 대구치맥페스티벌' 성공 이끈 박준 집행위원장 "세계인 함께 ...  영남일보</v>
      </c>
    </row>
    <row r="13" spans="1:4" ht="15.75" customHeight="1" x14ac:dyDescent="0.25">
      <c r="A13" s="1" t="str">
        <f ca="1">IFERROR(__xludf.DUMMYFUNCTION("""COMPUTED_VALUE"""),"성인지감수성 회복을 통한 성평등한 충북을 기대하며 - 충북일보")</f>
        <v>성인지감수성 회복을 통한 성평등한 충북을 기대하며 - 충북일보</v>
      </c>
      <c r="B13" s="2" t="str">
        <f ca="1">IFERROR(__xludf.DUMMYFUNCTION("""COMPUTED_VALUE"""),"https://news.google.com/rss/articles/CBMiNGh0dHBzOi8vd3d3LmluZXdzMzY1LmNvbS9uZXdzL2FydGljbGUuaHRtbD9ubz03NzgwOTTSAQA?oc=5")</f>
        <v>https://news.google.com/rss/articles/CBMiNGh0dHBzOi8vd3d3LmluZXdzMzY1LmNvbS9uZXdzL2FydGljbGUuaHRtbD9ubz03NzgwOTTSAQA?oc=5</v>
      </c>
      <c r="C13" s="1" t="str">
        <f ca="1">IFERROR(__xludf.DUMMYFUNCTION("""COMPUTED_VALUE"""),"Sun, 03 Sep 2023 06:44:05 GMT")</f>
        <v>Sun, 03 Sep 2023 06:44:05 GMT</v>
      </c>
      <c r="D13" s="1" t="str">
        <f ca="1">IFERROR(__xludf.DUMMYFUNCTION("""COMPUTED_VALUE"""),"성인지감수성 회복을 통한 성평등한 충북을 기대하며  충북일보")</f>
        <v>성인지감수성 회복을 통한 성평등한 충북을 기대하며  충북일보</v>
      </c>
    </row>
    <row r="14" spans="1:4" ht="15.75" customHeight="1" x14ac:dyDescent="0.25">
      <c r="A14" s="1" t="str">
        <f ca="1">IFERROR(__xludf.DUMMYFUNCTION("""COMPUTED_VALUE"""),"힘든 시대 위로했던 여성국극…세대 넘어 부르는 '부활의 노래' - 한겨레")</f>
        <v>힘든 시대 위로했던 여성국극…세대 넘어 부르는 '부활의 노래' - 한겨레</v>
      </c>
      <c r="B14" s="2" t="str">
        <f ca="1">IFERROR(__xludf.DUMMYFUNCTION("""COMPUTED_VALUE"""),"https://news.google.com/rss/articles/CBMiQGh0dHBzOi8vd3d3LmhhbmkuY28ua3IvYXJ0aS9jdWx0dXJlL2N1bHR1cmVfZ2VuZXJhbC8xMTA1ODY4Lmh0bWzSAQA?oc=5")</f>
        <v>https://news.google.com/rss/articles/CBMiQGh0dHBzOi8vd3d3LmhhbmkuY28ua3IvYXJ0aS9jdWx0dXJlL2N1bHR1cmVfZ2VuZXJhbC8xMTA1ODY4Lmh0bWzSAQA?oc=5</v>
      </c>
      <c r="C14" s="1" t="str">
        <f ca="1">IFERROR(__xludf.DUMMYFUNCTION("""COMPUTED_VALUE"""),"Fri, 25 Aug 2023 22:30:17 GMT")</f>
        <v>Fri, 25 Aug 2023 22:30:17 GMT</v>
      </c>
      <c r="D14" s="1" t="str">
        <f ca="1">IFERROR(__xludf.DUMMYFUNCTION("""COMPUTED_VALUE"""),"힘든 시대 위로했던 여성국극…세대 넘어 부르는 '부활의 노래'  한겨레")</f>
        <v>힘든 시대 위로했던 여성국극…세대 넘어 부르는 '부활의 노래'  한겨레</v>
      </c>
    </row>
    <row r="15" spans="1:4" ht="15.75" customHeight="1" x14ac:dyDescent="0.25">
      <c r="A15" s="1" t="str">
        <f ca="1">IFERROR(__xludf.DUMMYFUNCTION("""COMPUTED_VALUE"""),"윤여정부터 해쭈, 리즈까지, 모델로 성공한 지그재그? - 매드타임스(MAD Times)")</f>
        <v>윤여정부터 해쭈, 리즈까지, 모델로 성공한 지그재그? - 매드타임스(MAD Times)</v>
      </c>
      <c r="B15" s="2" t="str">
        <f ca="1">IFERROR(__xludf.DUMMYFUNCTION("""COMPUTED_VALUE"""),"https://news.google.com/rss/articles/CBMiOmh0dHBzOi8vd3d3Lm1hZHRpbWVzLm9yZy9uZXdzL2FydGljbGVWaWV3Lmh0bWw_aWR4bm89MTg2NTHSAQA?oc=5")</f>
        <v>https://news.google.com/rss/articles/CBMiOmh0dHBzOi8vd3d3Lm1hZHRpbWVzLm9yZy9uZXdzL2FydGljbGVWaWV3Lmh0bWw_aWR4bm89MTg2NTHSAQA?oc=5</v>
      </c>
      <c r="C15" s="1" t="str">
        <f ca="1">IFERROR(__xludf.DUMMYFUNCTION("""COMPUTED_VALUE"""),"Sun, 03 Sep 2023 15:00:00 GMT")</f>
        <v>Sun, 03 Sep 2023 15:00:00 GMT</v>
      </c>
      <c r="D15" s="1" t="str">
        <f ca="1">IFERROR(__xludf.DUMMYFUNCTION("""COMPUTED_VALUE"""),"윤여정부터 해쭈, 리즈까지, 모델로 성공한 지그재그?  매드타임스(MAD Times)")</f>
        <v>윤여정부터 해쭈, 리즈까지, 모델로 성공한 지그재그?  매드타임스(MAD Times)</v>
      </c>
    </row>
    <row r="16" spans="1:4" ht="15.75" customHeight="1" x14ac:dyDescent="0.25">
      <c r="A16" s="1" t="str">
        <f ca="1">IFERROR(__xludf.DUMMYFUNCTION("""COMPUTED_VALUE"""),"마루타'에 엽기적인 생체실험…日 '731부대' 명단 최초 발견 - 뉴스프리존")</f>
        <v>마루타'에 엽기적인 생체실험…日 '731부대' 명단 최초 발견 - 뉴스프리존</v>
      </c>
      <c r="B16" s="2" t="str">
        <f ca="1">IFERROR(__xludf.DUMMYFUNCTION("""COMPUTED_VALUE"""),"https://news.google.com/rss/articles/CBMiQWh0dHBzOi8vd3d3Lm5ld3NmcmVlem9uZS5jby5rci9uZXdzL2FydGljbGVWaWV3Lmh0bWw_aWR4bm89NTA5NzM50gFEaHR0cHM6Ly93d3cubmV3c2ZyZWV6b25lLmNvLmtyL25ld3MvYXJ0aWNsZVZpZXdBbXAuaHRtbD9pZHhubz01MDk3Mzk?oc=5")</f>
        <v>https://news.google.com/rss/articles/CBMiQWh0dHBzOi8vd3d3Lm5ld3NmcmVlem9uZS5jby5rci9uZXdzL2FydGljbGVWaWV3Lmh0bWw_aWR4bm89NTA5NzM50gFEaHR0cHM6Ly93d3cubmV3c2ZyZWV6b25lLmNvLmtyL25ld3MvYXJ0aWNsZVZpZXdBbXAuaHRtbD9pZHhubz01MDk3Mzk?oc=5</v>
      </c>
      <c r="C16" s="1" t="str">
        <f ca="1">IFERROR(__xludf.DUMMYFUNCTION("""COMPUTED_VALUE"""),"Sun, 03 Sep 2023 01:55:00 GMT")</f>
        <v>Sun, 03 Sep 2023 01:55:00 GMT</v>
      </c>
      <c r="D16" s="1" t="str">
        <f ca="1">IFERROR(__xludf.DUMMYFUNCTION("""COMPUTED_VALUE"""),"마루타'에 엽기적인 생체실험…日 '731부대' 명단 최초 발견  뉴스프리존")</f>
        <v>마루타'에 엽기적인 생체실험…日 '731부대' 명단 최초 발견  뉴스프리존</v>
      </c>
    </row>
    <row r="17" spans="1:4" ht="15.75" customHeight="1" x14ac:dyDescent="0.25">
      <c r="A17" s="1" t="str">
        <f ca="1">IFERROR(__xludf.DUMMYFUNCTION("""COMPUTED_VALUE"""),"[반짝! 항저우의 D-20] 황금세대의 중심…황선우, 정상을 향해 - 스포츠월드")</f>
        <v>[반짝! 항저우의 D-20] 황금세대의 중심…황선우, 정상을 향해 - 스포츠월드</v>
      </c>
      <c r="B17" s="2" t="str">
        <f ca="1">IFERROR(__xludf.DUMMYFUNCTION("""COMPUTED_VALUE"""),"https://news.google.com/rss/articles/CBMiM2h0dHA6Ly93d3cuc3BvcnRzd29ybGRpLmNvbS9uZXdzVmlldy8yMDIzMDkwMzUwNzg5MtIBAA?oc=5")</f>
        <v>https://news.google.com/rss/articles/CBMiM2h0dHA6Ly93d3cuc3BvcnRzd29ybGRpLmNvbS9uZXdzVmlldy8yMDIzMDkwMzUwNzg5MtIBAA?oc=5</v>
      </c>
      <c r="C17" s="1" t="str">
        <f ca="1">IFERROR(__xludf.DUMMYFUNCTION("""COMPUTED_VALUE"""),"Sun, 03 Sep 2023 07:20:15 GMT")</f>
        <v>Sun, 03 Sep 2023 07:20:15 GMT</v>
      </c>
      <c r="D17" s="1" t="str">
        <f ca="1">IFERROR(__xludf.DUMMYFUNCTION("""COMPUTED_VALUE"""),"[반짝! 항저우의 D-20] 황금세대의 중심…황선우, 정상을 향해  스포츠월드")</f>
        <v>[반짝! 항저우의 D-20] 황금세대의 중심…황선우, 정상을 향해  스포츠월드</v>
      </c>
    </row>
    <row r="18" spans="1:4" ht="15.75" customHeight="1" x14ac:dyDescent="0.25">
      <c r="A18" s="1" t="str">
        <f ca="1">IFERROR(__xludf.DUMMYFUNCTION("""COMPUTED_VALUE"""),"“1차원적 ‘공정’은 구조적 불평등 해결 못해” - 고대신문")</f>
        <v>“1차원적 ‘공정’은 구조적 불평등 해결 못해” - 고대신문</v>
      </c>
      <c r="B18" s="2" t="str">
        <f ca="1">IFERROR(__xludf.DUMMYFUNCTION("""COMPUTED_VALUE"""),"https://news.google.com/rss/articles/CBMiOmh0dHBzOi8vd3d3Lmt1bmV3cy5hYy5rci9uZXdzL2FydGljbGVWaWV3Lmh0bWw_aWR4bm89NDEyODfSATxodHRwOi8vd3d3Lmt1bmV3cy5hYy5rci9uZXdzL2FydGljbGVWaWV3QW1wLmh0bWw_aWR4bm89NDEyODc?oc=5")</f>
        <v>https://news.google.com/rss/articles/CBMiOmh0dHBzOi8vd3d3Lmt1bmV3cy5hYy5rci9uZXdzL2FydGljbGVWaWV3Lmh0bWw_aWR4bm89NDEyODfSATxodHRwOi8vd3d3Lmt1bmV3cy5hYy5rci9uZXdzL2FydGljbGVWaWV3QW1wLmh0bWw_aWR4bm89NDEyODc?oc=5</v>
      </c>
      <c r="C18" s="1" t="str">
        <f ca="1">IFERROR(__xludf.DUMMYFUNCTION("""COMPUTED_VALUE"""),"Sun, 03 Sep 2023 15:30:56 GMT")</f>
        <v>Sun, 03 Sep 2023 15:30:56 GMT</v>
      </c>
      <c r="D18" s="1" t="str">
        <f ca="1">IFERROR(__xludf.DUMMYFUNCTION("""COMPUTED_VALUE"""),"“1차원적 ‘공정’은 구조적 불평등 해결 못해”  고대신문")</f>
        <v>“1차원적 ‘공정’은 구조적 불평등 해결 못해”  고대신문</v>
      </c>
    </row>
    <row r="19" spans="1:4" ht="15.75" customHeight="1" x14ac:dyDescent="0.25">
      <c r="A19" s="1" t="str">
        <f ca="1">IFERROR(__xludf.DUMMYFUNCTION("""COMPUTED_VALUE"""),"전주시, 전주국제무형유산대상 시상식 개최 - 전북도민일보")</f>
        <v>전주시, 전주국제무형유산대상 시상식 개최 - 전북도민일보</v>
      </c>
      <c r="B19" s="2" t="str">
        <f ca="1">IFERROR(__xludf.DUMMYFUNCTION("""COMPUTED_VALUE"""),"https://news.google.com/rss/articles/CBMiOmh0dHA6Ly93d3cuZG9taW4uY28ua3IvbmV3cy9hcnRpY2xlVmlldy5odG1sP2lkeG5vPTE0MzgzMjDSAQA?oc=5")</f>
        <v>https://news.google.com/rss/articles/CBMiOmh0dHA6Ly93d3cuZG9taW4uY28ua3IvbmV3cy9hcnRpY2xlVmlldy5odG1sP2lkeG5vPTE0MzgzMjDSAQA?oc=5</v>
      </c>
      <c r="C19" s="1" t="str">
        <f ca="1">IFERROR(__xludf.DUMMYFUNCTION("""COMPUTED_VALUE"""),"Sun, 03 Sep 2023 00:53:00 GMT")</f>
        <v>Sun, 03 Sep 2023 00:53:00 GMT</v>
      </c>
      <c r="D19" s="1" t="str">
        <f ca="1">IFERROR(__xludf.DUMMYFUNCTION("""COMPUTED_VALUE"""),"전주시, 전주국제무형유산대상 시상식 개최  전북도민일보")</f>
        <v>전주시, 전주국제무형유산대상 시상식 개최  전북도민일보</v>
      </c>
    </row>
    <row r="20" spans="1:4" ht="15.75" customHeight="1" x14ac:dyDescent="0.25">
      <c r="A20" s="1" t="str">
        <f ca="1">IFERROR(__xludf.DUMMYFUNCTION("""COMPUTED_VALUE"""),"[월드 프리즘] 부메랑 가족이 증가하는 뉴질랜드...생활고 때문에 본가 ... - 위키리크스한국")</f>
        <v>[월드 프리즘] 부메랑 가족이 증가하는 뉴질랜드...생활고 때문에 본가 ... - 위키리크스한국</v>
      </c>
      <c r="B20" s="2" t="str">
        <f ca="1">IFERROR(__xludf.DUMMYFUNCTION("""COMPUTED_VALUE"""),"https://news.google.com/rss/articles/CBMiP2h0dHBzOi8vd3d3Lndpa2lsZWFrcy1rci5vcmcvbmV3cy9hcnRpY2xlVmlldy5odG1sP2lkeG5vPTE0MjgwOdIBAA?oc=5")</f>
        <v>https://news.google.com/rss/articles/CBMiP2h0dHBzOi8vd3d3Lndpa2lsZWFrcy1rci5vcmcvbmV3cy9hcnRpY2xlVmlldy5odG1sP2lkeG5vPTE0MjgwOdIBAA?oc=5</v>
      </c>
      <c r="C20" s="1" t="str">
        <f ca="1">IFERROR(__xludf.DUMMYFUNCTION("""COMPUTED_VALUE"""),"Sun, 03 Sep 2023 20:18:30 GMT")</f>
        <v>Sun, 03 Sep 2023 20:18:30 GMT</v>
      </c>
      <c r="D20" s="1" t="str">
        <f ca="1">IFERROR(__xludf.DUMMYFUNCTION("""COMPUTED_VALUE"""),"[월드 프리즘] 부메랑 가족이 증가하는 뉴질랜드...생활고 때문에 본가 ...  위키리크스한국")</f>
        <v>[월드 프리즘] 부메랑 가족이 증가하는 뉴질랜드...생활고 때문에 본가 ...  위키리크스한국</v>
      </c>
    </row>
    <row r="21" spans="1:4" ht="15.75" customHeight="1" x14ac:dyDescent="0.25">
      <c r="A21" s="1" t="str">
        <f ca="1">IFERROR(__xludf.DUMMYFUNCTION("""COMPUTED_VALUE"""),"압구정3구역 탈락' 해안건축, '설계사 선정 무효' 가처분 취하 부터 시티 ... - Investing.com")</f>
        <v>압구정3구역 탈락' 해안건축, '설계사 선정 무효' 가처분 취하 부터 시티 ... - Investing.com</v>
      </c>
      <c r="B21" s="2" t="str">
        <f ca="1">IFERROR(__xludf.DUMMYFUNCTION("""COMPUTED_VALUE"""),"https://news.google.com/rss/articles/CBMiQmh0dHBzOi8va3IuaW52ZXN0aW5nLmNvbS9uZXdzL3BlcnNvbmFsLWZpbmFuY2UtbmV3cy9hcnRpY2xlLTk0MzQwMNIBTmh0dHBzOi8vbS5rci5pbnZlc3RpbmcuY29tL25ld3MvcGVyc29uYWwtZmluYW5jZS1uZXdzL2FydGljbGUtOTQzNDAwP2FtcE1vZGU9MQ?oc=5")</f>
        <v>https://news.google.com/rss/articles/CBMiQmh0dHBzOi8va3IuaW52ZXN0aW5nLmNvbS9uZXdzL3BlcnNvbmFsLWZpbmFuY2UtbmV3cy9hcnRpY2xlLTk0MzQwMNIBTmh0dHBzOi8vbS5rci5pbnZlc3RpbmcuY29tL25ld3MvcGVyc29uYWwtZmluYW5jZS1uZXdzL2FydGljbGUtOTQzNDAwP2FtcE1vZGU9MQ?oc=5</v>
      </c>
      <c r="C21" s="1" t="str">
        <f ca="1">IFERROR(__xludf.DUMMYFUNCTION("""COMPUTED_VALUE"""),"Sun, 03 Sep 2023 22:47:06 GMT")</f>
        <v>Sun, 03 Sep 2023 22:47:06 GMT</v>
      </c>
      <c r="D21" s="1" t="str">
        <f ca="1">IFERROR(__xludf.DUMMYFUNCTION("""COMPUTED_VALUE"""),"압구정3구역 탈락' 해안건축, '설계사 선정 무효' 가처분 취하 부터 시티 ...  Investing.com")</f>
        <v>압구정3구역 탈락' 해안건축, '설계사 선정 무효' 가처분 취하 부터 시티 ...  Investing.com</v>
      </c>
    </row>
    <row r="22" spans="1:4" ht="15.75" customHeight="1" x14ac:dyDescent="0.25">
      <c r="A22" s="1" t="str">
        <f ca="1">IFERROR(__xludf.DUMMYFUNCTION("""COMPUTED_VALUE"""),"희귀혈액암 ‘WM’ 치료환경, 2세대 BTK억제제가 확 바꿨다 - 코리아헬스로그")</f>
        <v>희귀혈액암 ‘WM’ 치료환경, 2세대 BTK억제제가 확 바꿨다 - 코리아헬스로그</v>
      </c>
      <c r="B22" s="2" t="str">
        <f ca="1">IFERROR(__xludf.DUMMYFUNCTION("""COMPUTED_VALUE"""),"https://news.google.com/rss/articles/CBMiQGh0dHBzOi8vd3d3LmtvcmVhaGVhbHRobG9nLmNvbS9uZXdzL2FydGljbGVWaWV3Lmh0bWw_aWR4bm89NDI0ODbSAUNodHRwczovL3d3dy5rb3JlYWhlYWx0aGxvZy5jb20vbmV3cy9hcnRpY2xlVmlld0FtcC5odG1sP2lkeG5vPTQyNDg2?oc=5")</f>
        <v>https://news.google.com/rss/articles/CBMiQGh0dHBzOi8vd3d3LmtvcmVhaGVhbHRobG9nLmNvbS9uZXdzL2FydGljbGVWaWV3Lmh0bWw_aWR4bm89NDI0ODbSAUNodHRwczovL3d3dy5rb3JlYWhlYWx0aGxvZy5jb20vbmV3cy9hcnRpY2xlVmlld0FtcC5odG1sP2lkeG5vPTQyNDg2?oc=5</v>
      </c>
      <c r="C22" s="1" t="str">
        <f ca="1">IFERROR(__xludf.DUMMYFUNCTION("""COMPUTED_VALUE"""),"Mon, 07 Aug 2023 07:00:00 GMT")</f>
        <v>Mon, 07 Aug 2023 07:00:00 GMT</v>
      </c>
      <c r="D22" s="1" t="str">
        <f ca="1">IFERROR(__xludf.DUMMYFUNCTION("""COMPUTED_VALUE"""),"희귀혈액암 ‘WM’ 치료환경, 2세대 BTK억제제가 확 바꿨다  코리아헬스로그")</f>
        <v>희귀혈액암 ‘WM’ 치료환경, 2세대 BTK억제제가 확 바꿨다  코리아헬스로그</v>
      </c>
    </row>
    <row r="23" spans="1:4" ht="12.5" x14ac:dyDescent="0.25">
      <c r="A23" s="1" t="str">
        <f ca="1">IFERROR(__xludf.DUMMYFUNCTION("""COMPUTED_VALUE"""),"앱도 세대차이··· α·Z세대는 '엔터 앱'·M·X세대는 '생활 앱' 선호 - 글로벌경제신문")</f>
        <v>앱도 세대차이··· α·Z세대는 '엔터 앱'·M·X세대는 '생활 앱' 선호 - 글로벌경제신문</v>
      </c>
      <c r="B23" s="2" t="str">
        <f ca="1">IFERROR(__xludf.DUMMYFUNCTION("""COMPUTED_VALUE"""),"https://news.google.com/rss/articles/CBMiPGh0dHBzOi8vd3d3LmdldG5ld3MuY28ua3IvbmV3cy9hcnRpY2xlVmlldy5odG1sP2lkeG5vPTYwOTg2NtIBP2h0dHBzOi8vd3d3LmdldG5ld3MuY28ua3IvbmV3cy9hcnRpY2xlVmlld0FtcC5odG1sP2lkeG5vPTYwOTg2Ng?oc=5")</f>
        <v>https://news.google.com/rss/articles/CBMiPGh0dHBzOi8vd3d3LmdldG5ld3MuY28ua3IvbmV3cy9hcnRpY2xlVmlldy5odG1sP2lkeG5vPTYwOTg2NtIBP2h0dHBzOi8vd3d3LmdldG5ld3MuY28ua3IvbmV3cy9hcnRpY2xlVmlld0FtcC5odG1sP2lkeG5vPTYwOTg2Ng?oc=5</v>
      </c>
      <c r="C23" s="1" t="str">
        <f ca="1">IFERROR(__xludf.DUMMYFUNCTION("""COMPUTED_VALUE"""),"Fri, 16 Dec 2022 08:00:00 GMT")</f>
        <v>Fri, 16 Dec 2022 08:00:00 GMT</v>
      </c>
      <c r="D23" s="1" t="str">
        <f ca="1">IFERROR(__xludf.DUMMYFUNCTION("""COMPUTED_VALUE"""),"앱도 세대차이··· α·Z세대는 '엔터 앱'·M·X세대는 '생활 앱' 선호  글로벌경제신문")</f>
        <v>앱도 세대차이··· α·Z세대는 '엔터 앱'·M·X세대는 '생활 앱' 선호  글로벌경제신문</v>
      </c>
    </row>
    <row r="24" spans="1:4" ht="12.5" x14ac:dyDescent="0.25">
      <c r="A24" s="1" t="str">
        <f ca="1">IFERROR(__xludf.DUMMYFUNCTION("""COMPUTED_VALUE"""),"BMW 디자인총괄 ""중국차·테슬라엔 스토리 없어…아이오닉은 눈길"" - 파이낸셜뉴스")</f>
        <v>BMW 디자인총괄 "중국차·테슬라엔 스토리 없어…아이오닉은 눈길" - 파이낸셜뉴스</v>
      </c>
      <c r="B24" s="2" t="str">
        <f ca="1">IFERROR(__xludf.DUMMYFUNCTION("""COMPUTED_VALUE"""),"https://news.google.com/rss/articles/CBMiLmh0dHBzOi8vd3d3LmZubmV3cy5jb20vbmV3cy8yMDIzMDkwMzE4MDEzNzQxMTHSATFodHRwczovL3d3dy5mbm5ld3MuY29tL2FtcE5ld3MvMjAyMzA5MDMxODAxMzc0MTEx?oc=5")</f>
        <v>https://news.google.com/rss/articles/CBMiLmh0dHBzOi8vd3d3LmZubmV3cy5jb20vbmV3cy8yMDIzMDkwMzE4MDEzNzQxMTHSATFodHRwczovL3d3dy5mbm5ld3MuY29tL2FtcE5ld3MvMjAyMzA5MDMxODAxMzc0MTEx?oc=5</v>
      </c>
      <c r="C24" s="1" t="str">
        <f ca="1">IFERROR(__xludf.DUMMYFUNCTION("""COMPUTED_VALUE"""),"Sun, 03 Sep 2023 09:01:00 GMT")</f>
        <v>Sun, 03 Sep 2023 09:01:00 GMT</v>
      </c>
      <c r="D24" s="1" t="str">
        <f ca="1">IFERROR(__xludf.DUMMYFUNCTION("""COMPUTED_VALUE"""),"BMW 디자인총괄 ""중국차·테슬라엔 스토리 없어…아이오닉은 눈길""  파이낸셜뉴스")</f>
        <v>BMW 디자인총괄 "중국차·테슬라엔 스토리 없어…아이오닉은 눈길"  파이낸셜뉴스</v>
      </c>
    </row>
    <row r="25" spans="1:4" ht="12.5" x14ac:dyDescent="0.25">
      <c r="A25" s="1" t="str">
        <f ca="1">IFERROR(__xludf.DUMMYFUNCTION("""COMPUTED_VALUE"""),"기후 위기의 더 큰 재앙 피하려면 에너지 전환에 성공해야 한다 - MIT Technology Review")</f>
        <v>기후 위기의 더 큰 재앙 피하려면 에너지 전환에 성공해야 한다 - MIT Technology Review</v>
      </c>
      <c r="B25" s="2" t="str">
        <f ca="1">IFERROR(__xludf.DUMMYFUNCTION("""COMPUTED_VALUE"""),"https://news.google.com/rss/articles/CBMiL2h0dHBzOi8vd3d3LnRlY2hub2xvZ3lyZXZpZXcua3IvY2xpbWF0ZS1jcmlzaXMv0gEA?oc=5")</f>
        <v>https://news.google.com/rss/articles/CBMiL2h0dHBzOi8vd3d3LnRlY2hub2xvZ3lyZXZpZXcua3IvY2xpbWF0ZS1jcmlzaXMv0gEA?oc=5</v>
      </c>
      <c r="C25" s="1" t="str">
        <f ca="1">IFERROR(__xludf.DUMMYFUNCTION("""COMPUTED_VALUE"""),"Sun, 03 Sep 2023 21:00:15 GMT")</f>
        <v>Sun, 03 Sep 2023 21:00:15 GMT</v>
      </c>
      <c r="D25" s="1" t="str">
        <f ca="1">IFERROR(__xludf.DUMMYFUNCTION("""COMPUTED_VALUE"""),"기후 위기의 더 큰 재앙 피하려면 에너지 전환에 성공해야 한다  MIT Technology Review")</f>
        <v>기후 위기의 더 큰 재앙 피하려면 에너지 전환에 성공해야 한다  MIT Technology Review</v>
      </c>
    </row>
    <row r="26" spans="1:4" ht="12.5" x14ac:dyDescent="0.25">
      <c r="A26" s="1" t="str">
        <f ca="1">IFERROR(__xludf.DUMMYFUNCTION("""COMPUTED_VALUE"""),"영케이, 내려놓는 순간 청춘은 끝난다 - 뉴시스")</f>
        <v>영케이, 내려놓는 순간 청춘은 끝난다 - 뉴시스</v>
      </c>
      <c r="B26" s="2" t="str">
        <f ca="1">IFERROR(__xludf.DUMMYFUNCTION("""COMPUTED_VALUE"""),"https://news.google.com/rss/articles/CBMiQWh0dHBzOi8vbW9iaWxlLm5ld3Npcy5jb20vdmlldy5odG1sP2FyX2lkPU5JU1gyMDIzMDkwNF8wMDAyNDM2MTg40gFFaHR0cHM6Ly9tb2JpbGUubmV3c2lzLmNvbS92aWV3X2FtcC5odG1sP2FyX2lkPU5JU1gyMDIzMDkwNF8wMDAyNDM2MTg4?oc=5")</f>
        <v>https://news.google.com/rss/articles/CBMiQWh0dHBzOi8vbW9iaWxlLm5ld3Npcy5jb20vdmlldy5odG1sP2FyX2lkPU5JU1gyMDIzMDkwNF8wMDAyNDM2MTg40gFFaHR0cHM6Ly9tb2JpbGUubmV3c2lzLmNvbS92aWV3X2FtcC5odG1sP2FyX2lkPU5JU1gyMDIzMDkwNF8wMDAyNDM2MTg4?oc=5</v>
      </c>
      <c r="C26" s="1" t="str">
        <f ca="1">IFERROR(__xludf.DUMMYFUNCTION("""COMPUTED_VALUE"""),"Sun, 03 Sep 2023 23:11:32 GMT")</f>
        <v>Sun, 03 Sep 2023 23:11:32 GMT</v>
      </c>
      <c r="D26" s="1" t="str">
        <f ca="1">IFERROR(__xludf.DUMMYFUNCTION("""COMPUTED_VALUE"""),"영케이, 내려놓는 순간 청춘은 끝난다  뉴시스")</f>
        <v>영케이, 내려놓는 순간 청춘은 끝난다  뉴시스</v>
      </c>
    </row>
    <row r="27" spans="1:4" ht="12.5" x14ac:dyDescent="0.25">
      <c r="A27" s="1" t="str">
        <f ca="1">IFERROR(__xludf.DUMMYFUNCTION("""COMPUTED_VALUE"""),"가격 오르며 부동산 다시 들썩…""9월 중 공급 대책 발표"" - SBS 뉴스")</f>
        <v>가격 오르며 부동산 다시 들썩…"9월 중 공급 대책 발표" - SBS 뉴스</v>
      </c>
      <c r="B27" s="2" t="str">
        <f ca="1">IFERROR(__xludf.DUMMYFUNCTION("""COMPUTED_VALUE"""),"https://news.google.com/rss/articles/CBMiOmh0dHBzOi8vbmV3cy5zYnMuY28ua3IvbmV3cy9lbmRQYWdlLmRvP25ld3NfaWQ9TjEwMDczMzEzMznSATdodHRwczovL25ld3Muc2JzLmNvLmtyL2FtcC9uZXdzLmFtcD9uZXdzX2lkPU4xMDA3MzMxMzM5?oc=5")</f>
        <v>https://news.google.com/rss/articles/CBMiOmh0dHBzOi8vbmV3cy5zYnMuY28ua3IvbmV3cy9lbmRQYWdlLmRvP25ld3NfaWQ9TjEwMDczMzEzMznSATdodHRwczovL25ld3Muc2JzLmNvLmtyL2FtcC9uZXdzLmFtcD9uZXdzX2lkPU4xMDA3MzMxMzM5?oc=5</v>
      </c>
      <c r="C27" s="1" t="str">
        <f ca="1">IFERROR(__xludf.DUMMYFUNCTION("""COMPUTED_VALUE"""),"Fri, 01 Sep 2023 11:43:00 GMT")</f>
        <v>Fri, 01 Sep 2023 11:43:00 GMT</v>
      </c>
      <c r="D27" s="1" t="str">
        <f ca="1">IFERROR(__xludf.DUMMYFUNCTION("""COMPUTED_VALUE"""),"가격 오르며 부동산 다시 들썩…""9월 중 공급 대책 발표""  SBS 뉴스")</f>
        <v>가격 오르며 부동산 다시 들썩…"9월 중 공급 대책 발표"  SBS 뉴스</v>
      </c>
    </row>
    <row r="28" spans="1:4" ht="12.5" x14ac:dyDescent="0.25">
      <c r="A28" s="1" t="str">
        <f ca="1">IFERROR(__xludf.DUMMYFUNCTION("""COMPUTED_VALUE"""),"“AI는 빅테크 기업 전유물? 이제는 아냐”… 연합체 꾸리는 기업들 - 디지털데일리")</f>
        <v>“AI는 빅테크 기업 전유물? 이제는 아냐”… 연합체 꾸리는 기업들 - 디지털데일리</v>
      </c>
      <c r="B28" s="2" t="str">
        <f ca="1">IFERROR(__xludf.DUMMYFUNCTION("""COMPUTED_VALUE"""),"https://news.google.com/rss/articles/CBMiNGh0dHBzOi8vbS5kZGFpbHkuY28ua3IvcGFnZS92aWV3LzIwMjMwOTAzMTcxNjIxNDE2NzbSAQA?oc=5")</f>
        <v>https://news.google.com/rss/articles/CBMiNGh0dHBzOi8vbS5kZGFpbHkuY28ua3IvcGFnZS92aWV3LzIwMjMwOTAzMTcxNjIxNDE2NzbSAQA?oc=5</v>
      </c>
      <c r="C28" s="1" t="str">
        <f ca="1">IFERROR(__xludf.DUMMYFUNCTION("""COMPUTED_VALUE"""),"Sun, 03 Sep 2023 21:30:00 GMT")</f>
        <v>Sun, 03 Sep 2023 21:30:00 GMT</v>
      </c>
      <c r="D28" s="1" t="str">
        <f ca="1">IFERROR(__xludf.DUMMYFUNCTION("""COMPUTED_VALUE"""),"“AI는 빅테크 기업 전유물? 이제는 아냐”… 연합체 꾸리는 기업들  디지털데일리")</f>
        <v>“AI는 빅테크 기업 전유물? 이제는 아냐”… 연합체 꾸리는 기업들  디지털데일리</v>
      </c>
    </row>
    <row r="29" spans="1:4" ht="12.5" x14ac:dyDescent="0.25">
      <c r="A29" s="1" t="str">
        <f ca="1">IFERROR(__xludf.DUMMYFUNCTION("""COMPUTED_VALUE"""),"[2023 머니엑스포] 100세 시대, 늦었을 때가 가장 빠른 법...""은퇴 후 ... - 이코노믹리뷰")</f>
        <v>[2023 머니엑스포] 100세 시대, 늦었을 때가 가장 빠른 법..."은퇴 후 ... - 이코노믹리뷰</v>
      </c>
      <c r="B29" s="2" t="str">
        <f ca="1">IFERROR(__xludf.DUMMYFUNCTION("""COMPUTED_VALUE"""),"https://news.google.com/rss/articles/CBMiPGh0dHBzOi8vd3d3LmVjb25vdmlsbC5jb20vbmV3cy9hcnRpY2xlVmlldy5odG1sP2lkeG5vPTYyMjA3OdIBAA?oc=5")</f>
        <v>https://news.google.com/rss/articles/CBMiPGh0dHBzOi8vd3d3LmVjb25vdmlsbC5jb20vbmV3cy9hcnRpY2xlVmlldy5odG1sP2lkeG5vPTYyMjA3OdIBAA?oc=5</v>
      </c>
      <c r="C29" s="1" t="str">
        <f ca="1">IFERROR(__xludf.DUMMYFUNCTION("""COMPUTED_VALUE"""),"Sat, 02 Sep 2023 21:00:00 GMT")</f>
        <v>Sat, 02 Sep 2023 21:00:00 GMT</v>
      </c>
      <c r="D29" s="1" t="str">
        <f ca="1">IFERROR(__xludf.DUMMYFUNCTION("""COMPUTED_VALUE"""),"[2023 머니엑스포] 100세 시대, 늦었을 때가 가장 빠른 법...""은퇴 후 ...  이코노믹리뷰")</f>
        <v>[2023 머니엑스포] 100세 시대, 늦었을 때가 가장 빠른 법..."은퇴 후 ...  이코노믹리뷰</v>
      </c>
    </row>
    <row r="30" spans="1:4" ht="12.5" x14ac:dyDescent="0.25">
      <c r="A30" s="1" t="str">
        <f ca="1">IFERROR(__xludf.DUMMYFUNCTION("""COMPUTED_VALUE"""),"[0904개장체크] 美 증시, 일부 Fed 위원들의 매파적 발언 및 제조업 ... - Investing.com")</f>
        <v>[0904개장체크] 美 증시, 일부 Fed 위원들의 매파적 발언 및 제조업 ... - Investing.com</v>
      </c>
      <c r="B30" s="2" t="str">
        <f ca="1">IFERROR(__xludf.DUMMYFUNCTION("""COMPUTED_VALUE"""),"https://news.google.com/rss/articles/CBMiPmh0dHBzOi8va3IuaW52ZXN0aW5nLmNvbS9uZXdzL3N0b2NrLW1hcmtldC1uZXdzL2FydGljbGUtOTQzNDE20gEA?oc=5")</f>
        <v>https://news.google.com/rss/articles/CBMiPmh0dHBzOi8va3IuaW52ZXN0aW5nLmNvbS9uZXdzL3N0b2NrLW1hcmtldC1uZXdzL2FydGljbGUtOTQzNDE20gEA?oc=5</v>
      </c>
      <c r="C30" s="1" t="str">
        <f ca="1">IFERROR(__xludf.DUMMYFUNCTION("""COMPUTED_VALUE"""),"Mon, 04 Sep 2023 00:00:10 GMT")</f>
        <v>Mon, 04 Sep 2023 00:00:10 GMT</v>
      </c>
      <c r="D30" s="1" t="str">
        <f ca="1">IFERROR(__xludf.DUMMYFUNCTION("""COMPUTED_VALUE"""),"[0904개장체크] 美 증시, 일부 Fed 위원들의 매파적 발언 및 제조업 ...  Investing.com")</f>
        <v>[0904개장체크] 美 증시, 일부 Fed 위원들의 매파적 발언 및 제조업 ...  Investing.com</v>
      </c>
    </row>
    <row r="31" spans="1:4" ht="12.5" x14ac:dyDescent="0.25">
      <c r="A31" s="1" t="str">
        <f ca="1">IFERROR(__xludf.DUMMYFUNCTION("""COMPUTED_VALUE"""),"“박근혜·문재인·윤석열, 다 기대 저버려…인물의 문제 아냐” - 시사저널")</f>
        <v>“박근혜·문재인·윤석열, 다 기대 저버려…인물의 문제 아냐” - 시사저널</v>
      </c>
      <c r="B31" s="2" t="str">
        <f ca="1">IFERROR(__xludf.DUMMYFUNCTION("""COMPUTED_VALUE"""),"https://news.google.com/rss/articles/CBMiPmh0dHBzOi8vd3d3LnNpc2Fqb3VybmFsLmNvbS9uZXdzL2FydGljbGVWaWV3Lmh0bWw_aWR4bm89MjcxMzQ00gEA?oc=5")</f>
        <v>https://news.google.com/rss/articles/CBMiPmh0dHBzOi8vd3d3LnNpc2Fqb3VybmFsLmNvbS9uZXdzL2FydGljbGVWaWV3Lmh0bWw_aWR4bm89MjcxMzQ00gEA?oc=5</v>
      </c>
      <c r="C31" s="1" t="str">
        <f ca="1">IFERROR(__xludf.DUMMYFUNCTION("""COMPUTED_VALUE"""),"Sun, 03 Sep 2023 22:35:00 GMT")</f>
        <v>Sun, 03 Sep 2023 22:35:00 GMT</v>
      </c>
      <c r="D31" s="1" t="str">
        <f ca="1">IFERROR(__xludf.DUMMYFUNCTION("""COMPUTED_VALUE"""),"“박근혜·문재인·윤석열, 다 기대 저버려…인물의 문제 아냐”  시사저널")</f>
        <v>“박근혜·문재인·윤석열, 다 기대 저버려…인물의 문제 아냐”  시사저널</v>
      </c>
    </row>
    <row r="32" spans="1:4" ht="12.5" x14ac:dyDescent="0.25">
      <c r="A32" s="1" t="str">
        <f ca="1">IFERROR(__xludf.DUMMYFUNCTION("""COMPUTED_VALUE"""),"中스텔스기 ‘대만 우롱 숨바꼭질’ 끝났다... 美, 추적장비 제공 [최유식의 온차이나] - 조선일보")</f>
        <v>中스텔스기 ‘대만 우롱 숨바꼭질’ 끝났다... 美, 추적장비 제공 [최유식의 온차이나] - 조선일보</v>
      </c>
      <c r="B32" s="2" t="str">
        <f ca="1">IFERROR(__xludf.DUMMYFUNCTION("""COMPUTED_VALUE"""),"https://news.google.com/rss/articles/CBMiUWh0dHBzOi8vd3d3LmNob3N1bi5jb20vaW50ZXJuYXRpb25hbC9jaGluYS8yMDIzLzA5LzAzL1haQ1BaVUJJVEpIWUZQRExBQUUyWk5YT1ZRL9IBYGh0dHBzOi8vd3d3LmNob3N1bi5jb20vaW50ZXJuYXRpb25hbC9jaGluYS8yMDIzLzA5LzAzL1haQ1BaVUJJVEpIWUZQRExBQUUyWk"&amp;"5YT1ZRLz9vdXRwdXRUeXBlPWFtcA?oc=5")</f>
        <v>https://news.google.com/rss/articles/CBMiUWh0dHBzOi8vd3d3LmNob3N1bi5jb20vaW50ZXJuYXRpb25hbC9jaGluYS8yMDIzLzA5LzAzL1haQ1BaVUJJVEpIWUZQRExBQUUyWk5YT1ZRL9IBYGh0dHBzOi8vd3d3LmNob3N1bi5jb20vaW50ZXJuYXRpb25hbC9jaGluYS8yMDIzLzA5LzAzL1haQ1BaVUJJVEpIWUZQRExBQUUyWk5YT1ZRLz9vdXRwdXRUeXBlPWFtcA?oc=5</v>
      </c>
      <c r="C32" s="1" t="str">
        <f ca="1">IFERROR(__xludf.DUMMYFUNCTION("""COMPUTED_VALUE"""),"Sat, 02 Sep 2023 15:00:56 GMT")</f>
        <v>Sat, 02 Sep 2023 15:00:56 GMT</v>
      </c>
      <c r="D32" s="1" t="str">
        <f ca="1">IFERROR(__xludf.DUMMYFUNCTION("""COMPUTED_VALUE"""),"中스텔스기 ‘대만 우롱 숨바꼭질’ 끝났다... 美, 추적장비 제공 [최유식의 온차이나]  조선일보")</f>
        <v>中스텔스기 ‘대만 우롱 숨바꼭질’ 끝났다... 美, 추적장비 제공 [최유식의 온차이나]  조선일보</v>
      </c>
    </row>
    <row r="33" spans="1:4" ht="12.5" x14ac:dyDescent="0.25">
      <c r="A33" s="1" t="str">
        <f ca="1">IFERROR(__xludf.DUMMYFUNCTION("""COMPUTED_VALUE"""),"내일 '공교육 멈춤의 날'...교육부 ""엄중 대응"" - YTN")</f>
        <v>내일 '공교육 멈춤의 날'...교육부 "엄중 대응" - YTN</v>
      </c>
      <c r="B33" s="2" t="str">
        <f ca="1">IFERROR(__xludf.DUMMYFUNCTION("""COMPUTED_VALUE"""),"https://news.google.com/rss/articles/CBMiMWh0dHBzOi8vd3d3Lnl0bi5jby5rci9fbG4vMDEwMV8yMDIzMDkwMzEwMzYzNTMyODnSAUNodHRwczovL20ueXRuLmNvLmtyL25ld3Nfdmlldy5hbXAucGhwP3BhcmFtPTAxMDFfMjAyMzA5MDMxMDM2MzUzMjg5?oc=5")</f>
        <v>https://news.google.com/rss/articles/CBMiMWh0dHBzOi8vd3d3Lnl0bi5jby5rci9fbG4vMDEwMV8yMDIzMDkwMzEwMzYzNTMyODnSAUNodHRwczovL20ueXRuLmNvLmtyL25ld3Nfdmlldy5hbXAucGhwP3BhcmFtPTAxMDFfMjAyMzA5MDMxMDM2MzUzMjg5?oc=5</v>
      </c>
      <c r="C33" s="1" t="str">
        <f ca="1">IFERROR(__xludf.DUMMYFUNCTION("""COMPUTED_VALUE"""),"Sun, 03 Sep 2023 01:36:00 GMT")</f>
        <v>Sun, 03 Sep 2023 01:36:00 GMT</v>
      </c>
      <c r="D33" s="1" t="str">
        <f ca="1">IFERROR(__xludf.DUMMYFUNCTION("""COMPUTED_VALUE"""),"내일 '공교육 멈춤의 날'...교육부 ""엄중 대응""  YTN")</f>
        <v>내일 '공교육 멈춤의 날'...교육부 "엄중 대응"  YTN</v>
      </c>
    </row>
    <row r="34" spans="1:4" ht="12.5" x14ac:dyDescent="0.25">
      <c r="A34" s="1" t="str">
        <f ca="1">IFERROR(__xludf.DUMMYFUNCTION("""COMPUTED_VALUE"""),"불면에 빠진 두명의 공동창업자...숙면 유도 기술로 '꿀잠' 잡았다 - 머니투데이")</f>
        <v>불면에 빠진 두명의 공동창업자...숙면 유도 기술로 '꿀잠' 잡았다 - 머니투데이</v>
      </c>
      <c r="B34" s="2" t="str">
        <f ca="1">IFERROR(__xludf.DUMMYFUNCTION("""COMPUTED_VALUE"""),"https://news.google.com/rss/articles/CBMiN2h0dHBzOi8vbmV3cy5tdC5jby5rci9tdHZpZXcucGhwP25vPTIwMjMwODMxMTYxOTE0OTYxMjjSAT1odHRwczovL20ubXQuY28ua3IvcmVuZXcvdmlld19hbXAuaHRtbD9ubz0yMDIzMDgzMTE2MTkxNDk2MTI4?oc=5")</f>
        <v>https://news.google.com/rss/articles/CBMiN2h0dHBzOi8vbmV3cy5tdC5jby5rci9tdHZpZXcucGhwP25vPTIwMjMwODMxMTYxOTE0OTYxMjjSAT1odHRwczovL20ubXQuY28ua3IvcmVuZXcvdmlld19hbXAuaHRtbD9ubz0yMDIzMDgzMTE2MTkxNDk2MTI4?oc=5</v>
      </c>
      <c r="C34" s="1" t="str">
        <f ca="1">IFERROR(__xludf.DUMMYFUNCTION("""COMPUTED_VALUE"""),"Sat, 02 Sep 2023 05:00:00 GMT")</f>
        <v>Sat, 02 Sep 2023 05:00:00 GMT</v>
      </c>
      <c r="D34" s="1" t="str">
        <f ca="1">IFERROR(__xludf.DUMMYFUNCTION("""COMPUTED_VALUE"""),"불면에 빠진 두명의 공동창업자...숙면 유도 기술로 '꿀잠' 잡았다  머니투데이")</f>
        <v>불면에 빠진 두명의 공동창업자...숙면 유도 기술로 '꿀잠' 잡았다  머니투데이</v>
      </c>
    </row>
    <row r="35" spans="1:4" ht="12.5" x14ac:dyDescent="0.25">
      <c r="A35" s="1" t="str">
        <f ca="1">IFERROR(__xludf.DUMMYFUNCTION("""COMPUTED_VALUE"""),"이어지는 세대, 올라타는 건기식… 라인업 확장, 정답일까? - 히트뉴스")</f>
        <v>이어지는 세대, 올라타는 건기식… 라인업 확장, 정답일까? - 히트뉴스</v>
      </c>
      <c r="B35" s="2" t="str">
        <f ca="1">IFERROR(__xludf.DUMMYFUNCTION("""COMPUTED_VALUE"""),"https://news.google.com/rss/articles/CBMiOmh0dHA6Ly93d3cuaGl0bmV3cy5jby5rci9uZXdzL2FydGljbGVWaWV3Lmh0bWw_aWR4bm89NDc5MTTSAQA?oc=5")</f>
        <v>https://news.google.com/rss/articles/CBMiOmh0dHA6Ly93d3cuaGl0bmV3cy5jby5rci9uZXdzL2FydGljbGVWaWV3Lmh0bWw_aWR4bm89NDc5MTTSAQA?oc=5</v>
      </c>
      <c r="C35" s="1" t="str">
        <f ca="1">IFERROR(__xludf.DUMMYFUNCTION("""COMPUTED_VALUE"""),"Fri, 01 Sep 2023 21:04:00 GMT")</f>
        <v>Fri, 01 Sep 2023 21:04:00 GMT</v>
      </c>
      <c r="D35" s="1" t="str">
        <f ca="1">IFERROR(__xludf.DUMMYFUNCTION("""COMPUTED_VALUE"""),"이어지는 세대, 올라타는 건기식… 라인업 확장, 정답일까?  히트뉴스")</f>
        <v>이어지는 세대, 올라타는 건기식… 라인업 확장, 정답일까?  히트뉴스</v>
      </c>
    </row>
    <row r="36" spans="1:4" ht="12.5" x14ac:dyDescent="0.25">
      <c r="A36" s="1" t="str">
        <f ca="1">IFERROR(__xludf.DUMMYFUNCTION("""COMPUTED_VALUE"""),"우리 동네 정치인 누군지 묻자 70% “모르는데요” - 조선일보")</f>
        <v>우리 동네 정치인 누군지 묻자 70% “모르는데요” - 조선일보</v>
      </c>
      <c r="B36" s="2" t="str">
        <f ca="1">IFERROR(__xludf.DUMMYFUNCTION("""COMPUTED_VALUE"""),"https://news.google.com/rss/articles/CBMiTmh0dHBzOi8vd3d3LmNob3N1bi5jb20vbmF0aW9uYWwvd2Vla2VuZC8yMDIzLzA5LzAyL01PNFNYTEpYTEpCS05KUU5TNU9RWjcyUVVFL9IBXWh0dHBzOi8vd3d3LmNob3N1bi5jb20vbmF0aW9uYWwvd2Vla2VuZC8yMDIzLzA5LzAyL01PNFNYTEpYTEpCS05KUU5TNU9RWjcyUVVFLz"&amp;"9vdXRwdXRUeXBlPWFtcA?oc=5")</f>
        <v>https://news.google.com/rss/articles/CBMiTmh0dHBzOi8vd3d3LmNob3N1bi5jb20vbmF0aW9uYWwvd2Vla2VuZC8yMDIzLzA5LzAyL01PNFNYTEpYTEpCS05KUU5TNU9RWjcyUVVFL9IBXWh0dHBzOi8vd3d3LmNob3N1bi5jb20vbmF0aW9uYWwvd2Vla2VuZC8yMDIzLzA5LzAyL01PNFNYTEpYTEpCS05KUU5TNU9RWjcyUVVFLz9vdXRwdXRUeXBlPWFtcA?oc=5</v>
      </c>
      <c r="C36" s="1" t="str">
        <f ca="1">IFERROR(__xludf.DUMMYFUNCTION("""COMPUTED_VALUE"""),"Fri, 01 Sep 2023 18:00:00 GMT")</f>
        <v>Fri, 01 Sep 2023 18:00:00 GMT</v>
      </c>
      <c r="D36" s="1" t="str">
        <f ca="1">IFERROR(__xludf.DUMMYFUNCTION("""COMPUTED_VALUE"""),"우리 동네 정치인 누군지 묻자 70% “모르는데요”  조선일보")</f>
        <v>우리 동네 정치인 누군지 묻자 70% “모르는데요”  조선일보</v>
      </c>
    </row>
    <row r="37" spans="1:4" ht="12.5" x14ac:dyDescent="0.25">
      <c r="A37" s="1" t="str">
        <f ca="1">IFERROR(__xludf.DUMMYFUNCTION("""COMPUTED_VALUE"""),"윤 대통령 ‘이념의 깊이’는? : 정치일반 : 정치 : 뉴스 - 한겨레")</f>
        <v>윤 대통령 ‘이념의 깊이’는? : 정치일반 : 정치 : 뉴스 - 한겨레</v>
      </c>
      <c r="B37" s="2" t="str">
        <f ca="1">IFERROR(__xludf.DUMMYFUNCTION("""COMPUTED_VALUE"""),"https://news.google.com/rss/articles/CBMiQmh0dHBzOi8vd3d3LmhhbmkuY28ua3IvYXJ0aS9wb2xpdGljcy9wb2xpdGljc19nZW5lcmFsLzExMDY4MDkuaHRtbNIBAA?oc=5")</f>
        <v>https://news.google.com/rss/articles/CBMiQmh0dHBzOi8vd3d3LmhhbmkuY28ua3IvYXJ0aS9wb2xpdGljcy9wb2xpdGljc19nZW5lcmFsLzExMDY4MDkuaHRtbNIBAA?oc=5</v>
      </c>
      <c r="C37" s="1" t="str">
        <f ca="1">IFERROR(__xludf.DUMMYFUNCTION("""COMPUTED_VALUE"""),"Fri, 01 Sep 2023 13:31:51 GMT")</f>
        <v>Fri, 01 Sep 2023 13:31:51 GMT</v>
      </c>
      <c r="D37" s="1" t="str">
        <f ca="1">IFERROR(__xludf.DUMMYFUNCTION("""COMPUTED_VALUE"""),"윤 대통령 ‘이념의 깊이’는? : 정치일반 : 정치 : 뉴스  한겨레")</f>
        <v>윤 대통령 ‘이념의 깊이’는? : 정치일반 : 정치 : 뉴스  한겨레</v>
      </c>
    </row>
    <row r="38" spans="1:4" ht="12.5" x14ac:dyDescent="0.25">
      <c r="A38" s="1" t="str">
        <f ca="1">IFERROR(__xludf.DUMMYFUNCTION("""COMPUTED_VALUE"""),"‘소득대체율 인상’ 빠진 국민연금 개혁안에 각계 입장차…연금행동 “노후소득 보장 목표 상실” - 경향신문")</f>
        <v>‘소득대체율 인상’ 빠진 국민연금 개혁안에 각계 입장차…연금행동 “노후소득 보장 목표 상실” - 경향신문</v>
      </c>
      <c r="B38" s="2" t="str">
        <f ca="1">IFERROR(__xludf.DUMMYFUNCTION("""COMPUTED_VALUE"""),"https://news.google.com/rss/articles/CBMiLGh0dHBzOi8vbS5raGFuLmNvLmtyL2FydGljbGUvMjAyMzA5MDExNTQyMDAx0gFIaHR0cHM6Ly9tLmtoYW4uY28ua3IvbmF0aW9uYWwvaGVhbHRoLXdlbGZhcmUvYXJ0aWNsZS8yMDIzMDkwMTE1NDIwMDEvYW1w?oc=5")</f>
        <v>https://news.google.com/rss/articles/CBMiLGh0dHBzOi8vbS5raGFuLmNvLmtyL2FydGljbGUvMjAyMzA5MDExNTQyMDAx0gFIaHR0cHM6Ly9tLmtoYW4uY28ua3IvbmF0aW9uYWwvaGVhbHRoLXdlbGZhcmUvYXJ0aWNsZS8yMDIzMDkwMTE1NDIwMDEvYW1w?oc=5</v>
      </c>
      <c r="C38" s="1" t="str">
        <f ca="1">IFERROR(__xludf.DUMMYFUNCTION("""COMPUTED_VALUE"""),"Fri, 01 Sep 2023 06:42:00 GMT")</f>
        <v>Fri, 01 Sep 2023 06:42:00 GMT</v>
      </c>
      <c r="D38" s="1" t="str">
        <f ca="1">IFERROR(__xludf.DUMMYFUNCTION("""COMPUTED_VALUE"""),"‘소득대체율 인상’ 빠진 국민연금 개혁안에 각계 입장차…연금행동 “노후소득 보장 목표 상실”  경향신문")</f>
        <v>‘소득대체율 인상’ 빠진 국민연금 개혁안에 각계 입장차…연금행동 “노후소득 보장 목표 상실”  경향신문</v>
      </c>
    </row>
    <row r="39" spans="1:4" ht="12.5" x14ac:dyDescent="0.25">
      <c r="A39" s="1" t="str">
        <f ca="1">IFERROR(__xludf.DUMMYFUNCTION("""COMPUTED_VALUE"""),"알유 넥스트?' 종영... 하이브 신인 아일릿, 4세대 아이돌 시장 석권? - 오마이스타")</f>
        <v>알유 넥스트?' 종영... 하이브 신인 아일릿, 4세대 아이돌 시장 석권? - 오마이스타</v>
      </c>
      <c r="B39" s="2" t="str">
        <f ca="1">IFERROR(__xludf.DUMMYFUNCTION("""COMPUTED_VALUE"""),"https://news.google.com/rss/articles/CBMiSWh0dHBzOi8vc3Rhci5vaG15bmV3cy5jb20vTldTX1dlYi9PaG15U3Rhci9hdF9wZy5hc3B4P0NOVE5fQ0Q9QTAwMDI5NTgxMTLSAUJodHRwczovL20ub2hteW5ld3MuY29tL05XU19XZWIvTW9iaWxlL2FtcC5hc3B4P0NOVE5fQ0Q9QTAwMDI5NTgxMTI?oc=5")</f>
        <v>https://news.google.com/rss/articles/CBMiSWh0dHBzOi8vc3Rhci5vaG15bmV3cy5jb20vTldTX1dlYi9PaG15U3Rhci9hdF9wZy5hc3B4P0NOVE5fQ0Q9QTAwMDI5NTgxMTLSAUJodHRwczovL20ub2hteW5ld3MuY29tL05XU19XZWIvTW9iaWxlL2FtcC5hc3B4P0NOVE5fQ0Q9QTAwMDI5NTgxMTI?oc=5</v>
      </c>
      <c r="C39" s="1" t="str">
        <f ca="1">IFERROR(__xludf.DUMMYFUNCTION("""COMPUTED_VALUE"""),"Sat, 02 Sep 2023 01:00:00 GMT")</f>
        <v>Sat, 02 Sep 2023 01:00:00 GMT</v>
      </c>
      <c r="D39" s="1" t="str">
        <f ca="1">IFERROR(__xludf.DUMMYFUNCTION("""COMPUTED_VALUE"""),"알유 넥스트?' 종영... 하이브 신인 아일릿, 4세대 아이돌 시장 석권?  오마이스타")</f>
        <v>알유 넥스트?' 종영... 하이브 신인 아일릿, 4세대 아이돌 시장 석권?  오마이스타</v>
      </c>
    </row>
    <row r="40" spans="1:4" ht="12.5" x14ac:dyDescent="0.25">
      <c r="A40" s="1" t="str">
        <f ca="1">IFERROR(__xludf.DUMMYFUNCTION("""COMPUTED_VALUE"""),"13배 차이... 젊은 男이 女보다 '통풍' 많은 까닭은? - 코메디닷컴")</f>
        <v>13배 차이... 젊은 男이 女보다 '통풍' 많은 까닭은? - 코메디닷컴</v>
      </c>
      <c r="B40" s="2" t="str">
        <f ca="1">IFERROR(__xludf.DUMMYFUNCTION("""COMPUTED_VALUE"""),"https://news.google.com/rss/articles/CBMitgFodHRwczovL2tvcm1lZGkuY29tLzE2MTY2MzUvJUVDJUI5JTk4JUVCJUE3JUE1LSVFQiU5NSU4QyVFQiVBQyVCOC1teiVFQyU4NCVCOCVFQiU4QyU4MCVFQiU4RiU4NC0lRUQlOTQlQkMlRUQlOTUlQTAtJUVDJTg4JTk4LSVFQyU5NyU4NiVFQiU4QSU5NC0lRUQlODYlQjUlRUQlOT"&amp;"IlOEQlRUMlOUQlOTgtJUVCJThBJUFBL9IBAA?oc=5")</f>
        <v>https://news.google.com/rss/articles/CBMitgFodHRwczovL2tvcm1lZGkuY29tLzE2MTY2MzUvJUVDJUI5JTk4JUVCJUE3JUE1LSVFQiU5NSU4QyVFQiVBQyVCOC1teiVFQyU4NCVCOCVFQiU4QyU4MCVFQiU4RiU4NC0lRUQlOTQlQkMlRUQlOTUlQTAtJUVDJTg4JTk4LSVFQyU5NyU4NiVFQiU4QSU5NC0lRUQlODYlQjUlRUQlOTIlOEQlRUMlOUQlOTgtJUVCJThBJUFBL9IBAA?oc=5</v>
      </c>
      <c r="C40" s="1" t="str">
        <f ca="1">IFERROR(__xludf.DUMMYFUNCTION("""COMPUTED_VALUE"""),"Fri, 25 Aug 2023 02:00:54 GMT")</f>
        <v>Fri, 25 Aug 2023 02:00:54 GMT</v>
      </c>
      <c r="D40" s="1" t="str">
        <f ca="1">IFERROR(__xludf.DUMMYFUNCTION("""COMPUTED_VALUE"""),"13배 차이... 젊은 男이 女보다 '통풍' 많은 까닭은?  코메디닷컴")</f>
        <v>13배 차이... 젊은 男이 女보다 '통풍' 많은 까닭은?  코메디닷컴</v>
      </c>
    </row>
    <row r="41" spans="1:4" ht="12.5" x14ac:dyDescent="0.25">
      <c r="A41" s="1" t="str">
        <f ca="1">IFERROR(__xludf.DUMMYFUNCTION("""COMPUTED_VALUE"""),"사춘기 아들 제이미는 '기절놀이'를 하다 병원에 실려갔다 - 한국경제")</f>
        <v>사춘기 아들 제이미는 '기절놀이'를 하다 병원에 실려갔다 - 한국경제</v>
      </c>
      <c r="B41" s="2" t="str">
        <f ca="1">IFERROR(__xludf.DUMMYFUNCTION("""COMPUTED_VALUE"""),"https://news.google.com/rss/articles/CBMiM2h0dHBzOi8vd3d3Lmhhbmt5dW5nLmNvbS9saWZlL2FydGljbGUvMjAyMzA3Mjc3NzU5adIBL2h0dHBzOi8vd3d3Lmhhbmt5dW5nLmNvbS9saWZlL2FtcC8yMDIzMDcyNzc3NTlp?oc=5")</f>
        <v>https://news.google.com/rss/articles/CBMiM2h0dHBzOi8vd3d3Lmhhbmt5dW5nLmNvbS9saWZlL2FydGljbGUvMjAyMzA3Mjc3NzU5adIBL2h0dHBzOi8vd3d3Lmhhbmt5dW5nLmNvbS9saWZlL2FtcC8yMDIzMDcyNzc3NTlp?oc=5</v>
      </c>
      <c r="C41" s="1" t="str">
        <f ca="1">IFERROR(__xludf.DUMMYFUNCTION("""COMPUTED_VALUE"""),"Wed, 30 Aug 2023 04:54:30 GMT")</f>
        <v>Wed, 30 Aug 2023 04:54:30 GMT</v>
      </c>
      <c r="D41" s="1" t="str">
        <f ca="1">IFERROR(__xludf.DUMMYFUNCTION("""COMPUTED_VALUE"""),"사춘기 아들 제이미는 '기절놀이'를 하다 병원에 실려갔다  한국경제")</f>
        <v>사춘기 아들 제이미는 '기절놀이'를 하다 병원에 실려갔다  한국경제</v>
      </c>
    </row>
    <row r="42" spans="1:4" ht="12.5" x14ac:dyDescent="0.25">
      <c r="A42" s="1" t="str">
        <f ca="1">IFERROR(__xludf.DUMMYFUNCTION("""COMPUTED_VALUE"""),"""경기 3곳 부동산 뜬다""…수십억 자산 일군 40대 아빠가 콕 찍었다 - 머니투데이")</f>
        <v>"경기 3곳 부동산 뜬다"…수십억 자산 일군 40대 아빠가 콕 찍었다 - 머니투데이</v>
      </c>
      <c r="B42" s="2" t="str">
        <f ca="1">IFERROR(__xludf.DUMMYFUNCTION("""COMPUTED_VALUE"""),"https://news.google.com/rss/articles/CBMiN2h0dHBzOi8vbmV3cy5tdC5jby5rci9tdHZpZXcucGhwP25vPTIwMjMwOTAxMTUyNTQwNzg0OTjSAT1odHRwczovL20ubXQuY28ua3IvcmVuZXcvdmlld19hbXAuaHRtbD9ubz0yMDIzMDkwMTE1MjU0MDc4NDk4?oc=5")</f>
        <v>https://news.google.com/rss/articles/CBMiN2h0dHBzOi8vbmV3cy5tdC5jby5rci9tdHZpZXcucGhwP25vPTIwMjMwOTAxMTUyNTQwNzg0OTjSAT1odHRwczovL20ubXQuY28ua3IvcmVuZXcvdmlld19hbXAuaHRtbD9ubz0yMDIzMDkwMTE1MjU0MDc4NDk4?oc=5</v>
      </c>
      <c r="C42" s="1" t="str">
        <f ca="1">IFERROR(__xludf.DUMMYFUNCTION("""COMPUTED_VALUE"""),"Fri, 01 Sep 2023 23:00:00 GMT")</f>
        <v>Fri, 01 Sep 2023 23:00:00 GMT</v>
      </c>
      <c r="D42" s="1" t="str">
        <f ca="1">IFERROR(__xludf.DUMMYFUNCTION("""COMPUTED_VALUE"""),"""경기 3곳 부동산 뜬다""…수십억 자산 일군 40대 아빠가 콕 찍었다  머니투데이")</f>
        <v>"경기 3곳 부동산 뜬다"…수십억 자산 일군 40대 아빠가 콕 찍었다  머니투데이</v>
      </c>
    </row>
    <row r="43" spans="1:4" ht="12.5" x14ac:dyDescent="0.25">
      <c r="A43" s="1" t="str">
        <f ca="1">IFERROR(__xludf.DUMMYFUNCTION("""COMPUTED_VALUE"""),"교육감이 듣고, 젊은 직원들이 말하는 청렴 소통의 시간 갖다! - 데일리대구경북뉴스")</f>
        <v>교육감이 듣고, 젊은 직원들이 말하는 청렴 소통의 시간 갖다! - 데일리대구경북뉴스</v>
      </c>
      <c r="B43" s="2" t="str">
        <f ca="1">IFERROR(__xludf.DUMMYFUNCTION("""COMPUTED_VALUE"""),"https://news.google.com/rss/articles/CBMiNmh0dHA6Ly93d3cuZGFpbHlkZ25ld3MuY29tL25ld3MvYXJ0aWNsZS5odG1sP25vPTE2NDE0MtIBAA?oc=5")</f>
        <v>https://news.google.com/rss/articles/CBMiNmh0dHA6Ly93d3cuZGFpbHlkZ25ld3MuY29tL25ld3MvYXJ0aWNsZS5odG1sP25vPTE2NDE0MtIBAA?oc=5</v>
      </c>
      <c r="C43" s="1" t="str">
        <f ca="1">IFERROR(__xludf.DUMMYFUNCTION("""COMPUTED_VALUE"""),"Fri, 01 Sep 2023 08:33:18 GMT")</f>
        <v>Fri, 01 Sep 2023 08:33:18 GMT</v>
      </c>
      <c r="D43" s="1" t="str">
        <f ca="1">IFERROR(__xludf.DUMMYFUNCTION("""COMPUTED_VALUE"""),"교육감이 듣고, 젊은 직원들이 말하는 청렴 소통의 시간 갖다!  데일리대구경북뉴스")</f>
        <v>교육감이 듣고, 젊은 직원들이 말하는 청렴 소통의 시간 갖다!  데일리대구경북뉴스</v>
      </c>
    </row>
    <row r="44" spans="1:4" ht="12.5" x14ac:dyDescent="0.25">
      <c r="A44" s="1" t="str">
        <f ca="1">IFERROR(__xludf.DUMMYFUNCTION("""COMPUTED_VALUE"""),"이갑재 광주광역시감사위원장, “광주시-강진군, '청렴가치 현장교육 ... - 광주일등뉴스")</f>
        <v>이갑재 광주광역시감사위원장, “광주시-강진군, '청렴가치 현장교육 ... - 광주일등뉴스</v>
      </c>
      <c r="B44" s="2" t="str">
        <f ca="1">IFERROR(__xludf.DUMMYFUNCTION("""COMPUTED_VALUE"""),"https://news.google.com/rss/articles/CBMiN2h0dHA6Ly93d3cuaWdqLmNvLmtyL25ld3MvYXJ0aWNsZVZpZXcuaHRtbD9pZHhubz0yMDcyMTPSAQA?oc=5")</f>
        <v>https://news.google.com/rss/articles/CBMiN2h0dHA6Ly93d3cuaWdqLmNvLmtyL25ld3MvYXJ0aWNsZVZpZXcuaHRtbD9pZHhubz0yMDcyMTPSAQA?oc=5</v>
      </c>
      <c r="C44" s="1" t="str">
        <f ca="1">IFERROR(__xludf.DUMMYFUNCTION("""COMPUTED_VALUE"""),"Fri, 25 Aug 2023 05:55:19 GMT")</f>
        <v>Fri, 25 Aug 2023 05:55:19 GMT</v>
      </c>
      <c r="D44" s="1" t="str">
        <f ca="1">IFERROR(__xludf.DUMMYFUNCTION("""COMPUTED_VALUE"""),"이갑재 광주광역시감사위원장, “광주시-강진군, '청렴가치 현장교육 ...  광주일등뉴스")</f>
        <v>이갑재 광주광역시감사위원장, “광주시-강진군, '청렴가치 현장교육 ...  광주일등뉴스</v>
      </c>
    </row>
    <row r="45" spans="1:4" ht="12.5" x14ac:dyDescent="0.25">
      <c r="A45" s="1" t="str">
        <f ca="1">IFERROR(__xludf.DUMMYFUNCTION("""COMPUTED_VALUE"""),"한국판 마인크래프트 '브릭시티' 흥행 조짐 - 한국경제")</f>
        <v>한국판 마인크래프트 '브릭시티' 흥행 조짐 - 한국경제</v>
      </c>
      <c r="B45" s="2" t="str">
        <f ca="1">IFERROR(__xludf.DUMMYFUNCTION("""COMPUTED_VALUE"""),"https://news.google.com/rss/articles/CBMiLmh0dHBzOi8vd3d3Lmhhbmt5dW5nLmNvbS9hcnRpY2xlLzIwMjMwOTAxODA2NTHSASpodHRwczovL3d3dy5oYW5reXVuZy5jb20vYW1wLzIwMjMwOTAxODA2NTE?oc=5")</f>
        <v>https://news.google.com/rss/articles/CBMiLmh0dHBzOi8vd3d3Lmhhbmt5dW5nLmNvbS9hcnRpY2xlLzIwMjMwOTAxODA2NTHSASpodHRwczovL3d3dy5oYW5reXVuZy5jb20vYW1wLzIwMjMwOTAxODA2NTE?oc=5</v>
      </c>
      <c r="C45" s="1" t="str">
        <f ca="1">IFERROR(__xludf.DUMMYFUNCTION("""COMPUTED_VALUE"""),"Fri, 01 Sep 2023 09:09:09 GMT")</f>
        <v>Fri, 01 Sep 2023 09:09:09 GMT</v>
      </c>
      <c r="D45" s="1" t="str">
        <f ca="1">IFERROR(__xludf.DUMMYFUNCTION("""COMPUTED_VALUE"""),"한국판 마인크래프트 '브릭시티' 흥행 조짐  한국경제")</f>
        <v>한국판 마인크래프트 '브릭시티' 흥행 조짐  한국경제</v>
      </c>
    </row>
    <row r="46" spans="1:4" ht="12.5" x14ac:dyDescent="0.25">
      <c r="A46" s="1" t="str">
        <f ca="1">IFERROR(__xludf.DUMMYFUNCTION("""COMPUTED_VALUE"""),"‘바비’ 글로벌 흥행에도 한국에선 들리지 않는 ‘통합’ 메시지 - 미디어오늘")</f>
        <v>‘바비’ 글로벌 흥행에도 한국에선 들리지 않는 ‘통합’ 메시지 - 미디어오늘</v>
      </c>
      <c r="B46" s="2" t="str">
        <f ca="1">IFERROR(__xludf.DUMMYFUNCTION("""COMPUTED_VALUE"""),"https://news.google.com/rss/articles/CBMiPmh0dHA6Ly93d3cubWVkaWF0b2RheS5jby5rci9uZXdzL2FydGljbGVWaWV3Lmh0bWw_aWR4bm89MzEyMTQ10gFBaHR0cDovL3d3dy5tZWRpYXRvZGF5LmNvLmtyL25ld3MvYXJ0aWNsZVZpZXdBbXAuaHRtbD9pZHhubz0zMTIxNDU?oc=5")</f>
        <v>https://news.google.com/rss/articles/CBMiPmh0dHA6Ly93d3cubWVkaWF0b2RheS5jby5rci9uZXdzL2FydGljbGVWaWV3Lmh0bWw_aWR4bm89MzEyMTQ10gFBaHR0cDovL3d3dy5tZWRpYXRvZGF5LmNvLmtyL25ld3MvYXJ0aWNsZVZpZXdBbXAuaHRtbD9pZHhubz0zMTIxNDU?oc=5</v>
      </c>
      <c r="C46" s="1" t="str">
        <f ca="1">IFERROR(__xludf.DUMMYFUNCTION("""COMPUTED_VALUE"""),"Sat, 02 Sep 2023 04:05:00 GMT")</f>
        <v>Sat, 02 Sep 2023 04:05:00 GMT</v>
      </c>
      <c r="D46" s="1" t="str">
        <f ca="1">IFERROR(__xludf.DUMMYFUNCTION("""COMPUTED_VALUE"""),"‘바비’ 글로벌 흥행에도 한국에선 들리지 않는 ‘통합’ 메시지  미디어오늘")</f>
        <v>‘바비’ 글로벌 흥행에도 한국에선 들리지 않는 ‘통합’ 메시지  미디어오늘</v>
      </c>
    </row>
    <row r="47" spans="1:4" ht="12.5" x14ac:dyDescent="0.25">
      <c r="A47" s="1" t="str">
        <f ca="1">IFERROR(__xludf.DUMMYFUNCTION("""COMPUTED_VALUE"""),"""북미형 쏘나타, 무엇이 달라졌나?""... 내수형과 다른 압도적 스펙 공개 - 오토트리뷴")</f>
        <v>"북미형 쏘나타, 무엇이 달라졌나?"... 내수형과 다른 압도적 스펙 공개 - 오토트리뷴</v>
      </c>
      <c r="B47" s="2" t="str">
        <f ca="1">IFERROR(__xludf.DUMMYFUNCTION("""COMPUTED_VALUE"""),"https://news.google.com/rss/articles/CBMiPmh0dHBzOi8vd3d3LmF1dG90cmlidW5lLmNvLmtyL25ld3MvYXJ0aWNsZVZpZXcuaHRtbD9pZHhubz05NDY50gEA?oc=5")</f>
        <v>https://news.google.com/rss/articles/CBMiPmh0dHBzOi8vd3d3LmF1dG90cmlidW5lLmNvLmtyL25ld3MvYXJ0aWNsZVZpZXcuaHRtbD9pZHhubz05NDY50gEA?oc=5</v>
      </c>
      <c r="C47" s="1" t="str">
        <f ca="1">IFERROR(__xludf.DUMMYFUNCTION("""COMPUTED_VALUE"""),"Thu, 31 Aug 2023 08:49:16 GMT")</f>
        <v>Thu, 31 Aug 2023 08:49:16 GMT</v>
      </c>
      <c r="D47" s="1" t="str">
        <f ca="1">IFERROR(__xludf.DUMMYFUNCTION("""COMPUTED_VALUE"""),"""북미형 쏘나타, 무엇이 달라졌나?""... 내수형과 다른 압도적 스펙 공개  오토트리뷴")</f>
        <v>"북미형 쏘나타, 무엇이 달라졌나?"... 내수형과 다른 압도적 스펙 공개  오토트리뷴</v>
      </c>
    </row>
    <row r="48" spans="1:4" ht="12.5" x14ac:dyDescent="0.25">
      <c r="A48" s="1" t="str">
        <f ca="1">IFERROR(__xludf.DUMMYFUNCTION("""COMPUTED_VALUE"""),"아이에게 '공교육 멈춤의 날'을 설명해줬습니다 - 오마이뉴스")</f>
        <v>아이에게 '공교육 멈춤의 날'을 설명해줬습니다 - 오마이뉴스</v>
      </c>
      <c r="B48" s="2" t="str">
        <f ca="1">IFERROR(__xludf.DUMMYFUNCTION("""COMPUTED_VALUE"""),"https://news.google.com/rss/articles/CBMiRGh0dHBzOi8vd3d3Lm9obXluZXdzLmNvbS9OV1NfV2ViL1ZpZXcvYXRfcGcuYXNweD9DTlROX0NEPUEwMDAyOTU4MTQx0gFCaHR0cHM6Ly9tLm9obXluZXdzLmNvbS9OV1NfV2ViL01vYmlsZS9hbXAuYXNweD9DTlROX0NEPUEwMDAyOTU4MTQx?oc=5")</f>
        <v>https://news.google.com/rss/articles/CBMiRGh0dHBzOi8vd3d3Lm9obXluZXdzLmNvbS9OV1NfV2ViL1ZpZXcvYXRfcGcuYXNweD9DTlROX0NEPUEwMDAyOTU4MTQx0gFCaHR0cHM6Ly9tLm9obXluZXdzLmNvbS9OV1NfV2ViL01vYmlsZS9hbXAuYXNweD9DTlROX0NEPUEwMDAyOTU4MTQx?oc=5</v>
      </c>
      <c r="C48" s="1" t="str">
        <f ca="1">IFERROR(__xludf.DUMMYFUNCTION("""COMPUTED_VALUE"""),"Sat, 02 Sep 2023 02:18:00 GMT")</f>
        <v>Sat, 02 Sep 2023 02:18:00 GMT</v>
      </c>
      <c r="D48" s="1" t="str">
        <f ca="1">IFERROR(__xludf.DUMMYFUNCTION("""COMPUTED_VALUE"""),"아이에게 '공교육 멈춤의 날'을 설명해줬습니다  오마이뉴스")</f>
        <v>아이에게 '공교육 멈춤의 날'을 설명해줬습니다  오마이뉴스</v>
      </c>
    </row>
    <row r="49" spans="1:4" ht="12.5" x14ac:dyDescent="0.25">
      <c r="A49" s="1" t="str">
        <f ca="1">IFERROR(__xludf.DUMMYFUNCTION("""COMPUTED_VALUE"""),"경찰청, ‘2023 양성평등주간’ 기념행사 개최 - 빛가람뉴스")</f>
        <v>경찰청, ‘2023 양성평등주간’ 기념행사 개최 - 빛가람뉴스</v>
      </c>
      <c r="B49" s="2" t="str">
        <f ca="1">IFERROR(__xludf.DUMMYFUNCTION("""COMPUTED_VALUE"""),"https://news.google.com/rss/articles/CBMiOmh0dHA6Ly93d3cuZm9jdXNpLmNvLmtyL25ld3MvYXJ0aWNsZVZpZXcuaHRtbD9pZHhubz0yODYxNDXSAT1odHRwOi8vd3d3LmZvY3VzaS5jby5rci9uZXdzL2FydGljbGVWaWV3QW1wLmh0bWw_aWR4bm89Mjg2MTQ1?oc=5")</f>
        <v>https://news.google.com/rss/articles/CBMiOmh0dHA6Ly93d3cuZm9jdXNpLmNvLmtyL25ld3MvYXJ0aWNsZVZpZXcuaHRtbD9pZHhubz0yODYxNDXSAT1odHRwOi8vd3d3LmZvY3VzaS5jby5rci9uZXdzL2FydGljbGVWaWV3QW1wLmh0bWw_aWR4bm89Mjg2MTQ1?oc=5</v>
      </c>
      <c r="C49" s="1" t="str">
        <f ca="1">IFERROR(__xludf.DUMMYFUNCTION("""COMPUTED_VALUE"""),"Fri, 01 Sep 2023 05:35:43 GMT")</f>
        <v>Fri, 01 Sep 2023 05:35:43 GMT</v>
      </c>
      <c r="D49" s="1" t="str">
        <f ca="1">IFERROR(__xludf.DUMMYFUNCTION("""COMPUTED_VALUE"""),"경찰청, ‘2023 양성평등주간’ 기념행사 개최  빛가람뉴스")</f>
        <v>경찰청, ‘2023 양성평등주간’ 기념행사 개최  빛가람뉴스</v>
      </c>
    </row>
    <row r="50" spans="1:4" ht="12.5" x14ac:dyDescent="0.25">
      <c r="A50" s="1" t="str">
        <f ca="1">IFERROR(__xludf.DUMMYFUNCTION("""COMPUTED_VALUE"""),"전주 세계무형유산 대상에 호주 우디포디아·미국 난민 예술단체 - 한국경제")</f>
        <v>전주 세계무형유산 대상에 호주 우디포디아·미국 난민 예술단체 - 한국경제</v>
      </c>
      <c r="B50" s="2" t="str">
        <f ca="1">IFERROR(__xludf.DUMMYFUNCTION("""COMPUTED_VALUE"""),"https://news.google.com/rss/articles/CBMiLmh0dHBzOi8vd3d3Lmhhbmt5dW5nLmNvbS9hcnRpY2xlLzIwMjMwOTAxNzQ4OVnSASpodHRwczovL3d3dy5oYW5reXVuZy5jb20vYW1wLzIwMjMwOTAxNzQ4OVk?oc=5")</f>
        <v>https://news.google.com/rss/articles/CBMiLmh0dHBzOi8vd3d3Lmhhbmt5dW5nLmNvbS9hcnRpY2xlLzIwMjMwOTAxNzQ4OVnSASpodHRwczovL3d3dy5oYW5reXVuZy5jb20vYW1wLzIwMjMwOTAxNzQ4OVk?oc=5</v>
      </c>
      <c r="C50" s="1" t="str">
        <f ca="1">IFERROR(__xludf.DUMMYFUNCTION("""COMPUTED_VALUE"""),"Fri, 01 Sep 2023 05:57:31 GMT")</f>
        <v>Fri, 01 Sep 2023 05:57:31 GMT</v>
      </c>
      <c r="D50" s="1" t="str">
        <f ca="1">IFERROR(__xludf.DUMMYFUNCTION("""COMPUTED_VALUE"""),"전주 세계무형유산 대상에 호주 우디포디아·미국 난민 예술단체  한국경제")</f>
        <v>전주 세계무형유산 대상에 호주 우디포디아·미국 난민 예술단체  한국경제</v>
      </c>
    </row>
    <row r="51" spans="1:4" ht="12.5" x14ac:dyDescent="0.25">
      <c r="A51" s="1" t="str">
        <f ca="1">IFERROR(__xludf.DUMMYFUNCTION("""COMPUTED_VALUE"""),"“붙여 보니 되게 비슷하네” 삼성 vs. LG 누가 더 잘 만들었나요? [IFA 2023] - 헤럴드경제")</f>
        <v>“붙여 보니 되게 비슷하네” 삼성 vs. LG 누가 더 잘 만들었나요? [IFA 2023] - 헤럴드경제</v>
      </c>
      <c r="B51" s="2" t="str">
        <f ca="1">IFERROR(__xludf.DUMMYFUNCTION("""COMPUTED_VALUE"""),"https://news.google.com/rss/articles/CBMiNWh0dHBzOi8vYml6LmhlcmFsZGNvcnAuY29tL3ZpZXcucGhwP3VkPTIwMjMwOTAyMDAwMDI10gE6aHR0cHM6Ly9tYml6LmhlcmFsZGNvcnAuY29tL2FtcC92aWV3LnBocD91ZD0yMDIzMDkwMjAwMDAyNQ?oc=5")</f>
        <v>https://news.google.com/rss/articles/CBMiNWh0dHBzOi8vYml6LmhlcmFsZGNvcnAuY29tL3ZpZXcucGhwP3VkPTIwMjMwOTAyMDAwMDI10gE6aHR0cHM6Ly9tYml6LmhlcmFsZGNvcnAuY29tL2FtcC92aWV3LnBocD91ZD0yMDIzMDkwMjAwMDAyNQ?oc=5</v>
      </c>
      <c r="C51" s="1" t="str">
        <f ca="1">IFERROR(__xludf.DUMMYFUNCTION("""COMPUTED_VALUE"""),"Fri, 01 Sep 2023 15:00:00 GMT")</f>
        <v>Fri, 01 Sep 2023 15:00:00 GMT</v>
      </c>
      <c r="D51" s="1" t="str">
        <f ca="1">IFERROR(__xludf.DUMMYFUNCTION("""COMPUTED_VALUE"""),"“붙여 보니 되게 비슷하네” 삼성 vs. LG 누가 더 잘 만들었나요? [IFA 2023]  헤럴드경제")</f>
        <v>“붙여 보니 되게 비슷하네” 삼성 vs. LG 누가 더 잘 만들었나요? [IFA 2023]  헤럴드경제</v>
      </c>
    </row>
    <row r="52" spans="1:4" ht="12.5" x14ac:dyDescent="0.25">
      <c r="A52" s="1" t="str">
        <f ca="1">IFERROR(__xludf.DUMMYFUNCTION("""COMPUTED_VALUE"""),"유럽 찾은 삼성전자, BTS 슈가가 지원사격…""삼성만 가능한 제품"" - 머니투데이")</f>
        <v>유럽 찾은 삼성전자, BTS 슈가가 지원사격…"삼성만 가능한 제품" - 머니투데이</v>
      </c>
      <c r="B52" s="2" t="str">
        <f ca="1">IFERROR(__xludf.DUMMYFUNCTION("""COMPUTED_VALUE"""),"https://news.google.com/rss/articles/CBMiN2h0dHBzOi8vbmV3cy5tdC5jby5rci9tdHZpZXcucGhwP25vPTIwMjMwOTAxMTgwNzM4MzE4NDXSAT1odHRwczovL20ubXQuY28ua3IvcmVuZXcvdmlld19hbXAuaHRtbD9ubz0yMDIzMDkwMTE4MDczODMxODQ1?oc=5")</f>
        <v>https://news.google.com/rss/articles/CBMiN2h0dHBzOi8vbmV3cy5tdC5jby5rci9tdHZpZXcucGhwP25vPTIwMjMwOTAxMTgwNzM4MzE4NDXSAT1odHRwczovL20ubXQuY28ua3IvcmVuZXcvdmlld19hbXAuaHRtbD9ubz0yMDIzMDkwMTE4MDczODMxODQ1?oc=5</v>
      </c>
      <c r="C52" s="1" t="str">
        <f ca="1">IFERROR(__xludf.DUMMYFUNCTION("""COMPUTED_VALUE"""),"Fri, 01 Sep 2023 09:30:00 GMT")</f>
        <v>Fri, 01 Sep 2023 09:30:00 GMT</v>
      </c>
      <c r="D52" s="1" t="str">
        <f ca="1">IFERROR(__xludf.DUMMYFUNCTION("""COMPUTED_VALUE"""),"유럽 찾은 삼성전자, BTS 슈가가 지원사격…""삼성만 가능한 제품""  머니투데이")</f>
        <v>유럽 찾은 삼성전자, BTS 슈가가 지원사격…"삼성만 가능한 제품"  머니투데이</v>
      </c>
    </row>
    <row r="53" spans="1:4" ht="12.5" x14ac:dyDescent="0.25">
      <c r="A53" s="1" t="str">
        <f ca="1">IFERROR(__xludf.DUMMYFUNCTION("""COMPUTED_VALUE"""),"벤츠코리아, 4세대 부분변경 '더 뉴 GLE' 5개 모델 출시 - 머니투데이")</f>
        <v>벤츠코리아, 4세대 부분변경 '더 뉴 GLE' 5개 모델 출시 - 머니투데이</v>
      </c>
      <c r="B53" s="2" t="str">
        <f ca="1">IFERROR(__xludf.DUMMYFUNCTION("""COMPUTED_VALUE"""),"https://news.google.com/rss/articles/CBMiN2h0dHBzOi8vbmV3cy5tdC5jby5rci9tdHZpZXcucGhwP25vPTIwMjMwODI4MTEwODMxNzg0MjDSAT1odHRwczovL20ubXQuY28ua3IvcmVuZXcvdmlld19hbXAuaHRtbD9ubz0yMDIzMDgyODExMDgzMTc4NDIw?oc=5")</f>
        <v>https://news.google.com/rss/articles/CBMiN2h0dHBzOi8vbmV3cy5tdC5jby5rci9tdHZpZXcucGhwP25vPTIwMjMwODI4MTEwODMxNzg0MjDSAT1odHRwczovL20ubXQuY28ua3IvcmVuZXcvdmlld19hbXAuaHRtbD9ubz0yMDIzMDgyODExMDgzMTc4NDIw?oc=5</v>
      </c>
      <c r="C53" s="1" t="str">
        <f ca="1">IFERROR(__xludf.DUMMYFUNCTION("""COMPUTED_VALUE"""),"Mon, 28 Aug 2023 02:31:43 GMT")</f>
        <v>Mon, 28 Aug 2023 02:31:43 GMT</v>
      </c>
      <c r="D53" s="1" t="str">
        <f ca="1">IFERROR(__xludf.DUMMYFUNCTION("""COMPUTED_VALUE"""),"벤츠코리아, 4세대 부분변경 '더 뉴 GLE' 5개 모델 출시  머니투데이")</f>
        <v>벤츠코리아, 4세대 부분변경 '더 뉴 GLE' 5개 모델 출시  머니투데이</v>
      </c>
    </row>
    <row r="54" spans="1:4" ht="12.5" x14ac:dyDescent="0.25">
      <c r="A54" s="1" t="str">
        <f ca="1">IFERROR(__xludf.DUMMYFUNCTION("""COMPUTED_VALUE"""),"[삶과문화] 보이지 않는 벽을 넘어서 - 세계일보")</f>
        <v>[삶과문화] 보이지 않는 벽을 넘어서 - 세계일보</v>
      </c>
      <c r="B54" s="2" t="str">
        <f ca="1">IFERROR(__xludf.DUMMYFUNCTION("""COMPUTED_VALUE"""),"https://news.google.com/rss/articles/CBMiJ2h0dHBzOi8vbS5zZWd5ZS5jb20vdmlldy8yMDIzMDkwMTUxMTU1NdIBKmh0dHBzOi8vbS5zZWd5ZS5jb20vYW1wVmlldy8yMDIzMDkwMTUxMTU1NQ?oc=5")</f>
        <v>https://news.google.com/rss/articles/CBMiJ2h0dHBzOi8vbS5zZWd5ZS5jb20vdmlldy8yMDIzMDkwMTUxMTU1NdIBKmh0dHBzOi8vbS5zZWd5ZS5jb20vYW1wVmlldy8yMDIzMDkwMTUxMTU1NQ?oc=5</v>
      </c>
      <c r="C54" s="1" t="str">
        <f ca="1">IFERROR(__xludf.DUMMYFUNCTION("""COMPUTED_VALUE"""),"Fri, 01 Sep 2023 13:48:16 GMT")</f>
        <v>Fri, 01 Sep 2023 13:48:16 GMT</v>
      </c>
      <c r="D54" s="1" t="str">
        <f ca="1">IFERROR(__xludf.DUMMYFUNCTION("""COMPUTED_VALUE"""),"[삶과문화] 보이지 않는 벽을 넘어서  세계일보")</f>
        <v>[삶과문화] 보이지 않는 벽을 넘어서  세계일보</v>
      </c>
    </row>
    <row r="55" spans="1:4" ht="12.5" x14ac:dyDescent="0.25">
      <c r="A55" s="1" t="str">
        <f ca="1">IFERROR(__xludf.DUMMYFUNCTION("""COMPUTED_VALUE"""),"[시승기] 성공의 첫 단추, 이젠 혁신이 필요하다..현대 아이오닉 5 - 카가이")</f>
        <v>[시승기] 성공의 첫 단추, 이젠 혁신이 필요하다..현대 아이오닉 5 - 카가이</v>
      </c>
      <c r="B55" s="2" t="str">
        <f ca="1">IFERROR(__xludf.DUMMYFUNCTION("""COMPUTED_VALUE"""),"https://news.google.com/rss/articles/CBMiNmh0dHA6Ly93d3cuY2FyZ3V5LmtyL25ld3MvYXJ0aWNsZVZpZXcuaHRtbD9pZHhubz00Njc3NdIBAA?oc=5")</f>
        <v>https://news.google.com/rss/articles/CBMiNmh0dHA6Ly93d3cuY2FyZ3V5LmtyL25ld3MvYXJ0aWNsZVZpZXcuaHRtbD9pZHhubz00Njc3NdIBAA?oc=5</v>
      </c>
      <c r="C55" s="1" t="str">
        <f ca="1">IFERROR(__xludf.DUMMYFUNCTION("""COMPUTED_VALUE"""),"Fri, 01 Sep 2023 23:30:00 GMT")</f>
        <v>Fri, 01 Sep 2023 23:30:00 GMT</v>
      </c>
      <c r="D55" s="1" t="str">
        <f ca="1">IFERROR(__xludf.DUMMYFUNCTION("""COMPUTED_VALUE"""),"[시승기] 성공의 첫 단추, 이젠 혁신이 필요하다..현대 아이오닉 5  카가이")</f>
        <v>[시승기] 성공의 첫 단추, 이젠 혁신이 필요하다..현대 아이오닉 5  카가이</v>
      </c>
    </row>
    <row r="56" spans="1:4" ht="12.5" x14ac:dyDescent="0.25">
      <c r="A56" s="1" t="str">
        <f ca="1">IFERROR(__xludf.DUMMYFUNCTION("""COMPUTED_VALUE"""),"[경제기자M] 한물간 CD의 부활?…K-팝 수출 전성시대 - MBN")</f>
        <v>[경제기자M] 한물간 CD의 부활?…K-팝 수출 전성시대 - MBN</v>
      </c>
      <c r="B56" s="2" t="str">
        <f ca="1">IFERROR(__xludf.DUMMYFUNCTION("""COMPUTED_VALUE"""),"https://news.google.com/rss/articles/CBMiJGh0dHBzOi8vbS5tYm4uY28ua3IvbmV3cy1hbXAvNDk1OTQzN9IBAA?oc=5")</f>
        <v>https://news.google.com/rss/articles/CBMiJGh0dHBzOi8vbS5tYm4uY28ua3IvbmV3cy1hbXAvNDk1OTQzN9IBAA?oc=5</v>
      </c>
      <c r="C56" s="1" t="str">
        <f ca="1">IFERROR(__xludf.DUMMYFUNCTION("""COMPUTED_VALUE"""),"Fri, 01 Sep 2023 10:02:00 GMT")</f>
        <v>Fri, 01 Sep 2023 10:02:00 GMT</v>
      </c>
      <c r="D56" s="1" t="str">
        <f ca="1">IFERROR(__xludf.DUMMYFUNCTION("""COMPUTED_VALUE"""),"[경제기자M] 한물간 CD의 부활?…K-팝 수출 전성시대  MBN")</f>
        <v>[경제기자M] 한물간 CD의 부활?…K-팝 수출 전성시대  MBN</v>
      </c>
    </row>
    <row r="57" spans="1:4" ht="12.5" x14ac:dyDescent="0.25">
      <c r="A57" s="1" t="str">
        <f ca="1">IFERROR(__xludf.DUMMYFUNCTION("""COMPUTED_VALUE"""),"최고 외국어 공부법은 번역이다｜주간동아 - 주간동아")</f>
        <v>최고 외국어 공부법은 번역이다｜주간동아 - 주간동아</v>
      </c>
      <c r="B57" s="2" t="str">
        <f ca="1">IFERROR(__xludf.DUMMYFUNCTION("""COMPUTED_VALUE"""),"https://news.google.com/rss/articles/CBMiK2h0dHBzOi8vd2Vla2x5LmRvbmdhLmNvbS8zL2FsbC8xMS80Mzk2ODQ2LzHSAQA?oc=5")</f>
        <v>https://news.google.com/rss/articles/CBMiK2h0dHBzOi8vd2Vla2x5LmRvbmdhLmNvbS8zL2FsbC8xMS80Mzk2ODQ2LzHSAQA?oc=5</v>
      </c>
      <c r="C57" s="1" t="str">
        <f ca="1">IFERROR(__xludf.DUMMYFUNCTION("""COMPUTED_VALUE"""),"Sat, 02 Sep 2023 01:00:01 GMT")</f>
        <v>Sat, 02 Sep 2023 01:00:01 GMT</v>
      </c>
      <c r="D57" s="1" t="str">
        <f ca="1">IFERROR(__xludf.DUMMYFUNCTION("""COMPUTED_VALUE"""),"최고 외국어 공부법은 번역이다｜주간동아  주간동아")</f>
        <v>최고 외국어 공부법은 번역이다｜주간동아  주간동아</v>
      </c>
    </row>
    <row r="58" spans="1:4" ht="12.5" x14ac:dyDescent="0.25">
      <c r="A58" s="1" t="str">
        <f ca="1">IFERROR(__xludf.DUMMYFUNCTION("""COMPUTED_VALUE"""),"[차이나 줌인] 중국 순회공연 중 천안문 시위를 주제로 한 뮤지컬에서 ... - 위키리크스한국")</f>
        <v>[차이나 줌인] 중국 순회공연 중 천안문 시위를 주제로 한 뮤지컬에서 ... - 위키리크스한국</v>
      </c>
      <c r="B58" s="2" t="str">
        <f ca="1">IFERROR(__xludf.DUMMYFUNCTION("""COMPUTED_VALUE"""),"https://news.google.com/rss/articles/CBMiP2h0dHBzOi8vd3d3Lndpa2lsZWFrcy1rci5vcmcvbmV3cy9hcnRpY2xlVmlldy5odG1sP2lkeG5vPTE0MjcwNNIBAA?oc=5")</f>
        <v>https://news.google.com/rss/articles/CBMiP2h0dHBzOi8vd3d3Lndpa2lsZWFrcy1rci5vcmcvbmV3cy9hcnRpY2xlVmlldy5odG1sP2lkeG5vPTE0MjcwNNIBAA?oc=5</v>
      </c>
      <c r="C58" s="1" t="str">
        <f ca="1">IFERROR(__xludf.DUMMYFUNCTION("""COMPUTED_VALUE"""),"Fri, 01 Sep 2023 21:59:21 GMT")</f>
        <v>Fri, 01 Sep 2023 21:59:21 GMT</v>
      </c>
      <c r="D58" s="1" t="str">
        <f ca="1">IFERROR(__xludf.DUMMYFUNCTION("""COMPUTED_VALUE"""),"[차이나 줌인] 중국 순회공연 중 천안문 시위를 주제로 한 뮤지컬에서 ...  위키리크스한국")</f>
        <v>[차이나 줌인] 중국 순회공연 중 천안문 시위를 주제로 한 뮤지컬에서 ...  위키리크스한국</v>
      </c>
    </row>
    <row r="59" spans="1:4" ht="12.5" x14ac:dyDescent="0.25">
      <c r="A59" s="1" t="str">
        <f ca="1">IFERROR(__xludf.DUMMYFUNCTION("""COMPUTED_VALUE"""),"심각한 세대 갈등…""갈등 안 보이는 교회, 더 심각"" - 기독신문")</f>
        <v>심각한 세대 갈등…"갈등 안 보이는 교회, 더 심각" - 기독신문</v>
      </c>
      <c r="B59" s="2" t="str">
        <f ca="1">IFERROR(__xludf.DUMMYFUNCTION("""COMPUTED_VALUE"""),"https://news.google.com/rss/articles/CBMiOGh0dHBzOi8vd3d3LmtpZG9rLmNvbS9uZXdzL2FydGljbGVWaWV3Lmh0bWw_aWR4bm89MjE5MjQ40gE7aHR0cHM6Ly93d3cua2lkb2suY29tL25ld3MvYXJ0aWNsZVZpZXdBbXAuaHRtbD9pZHhubz0yMTkyNDg?oc=5")</f>
        <v>https://news.google.com/rss/articles/CBMiOGh0dHBzOi8vd3d3LmtpZG9rLmNvbS9uZXdzL2FydGljbGVWaWV3Lmh0bWw_aWR4bm89MjE5MjQ40gE7aHR0cHM6Ly93d3cua2lkb2suY29tL25ld3MvYXJ0aWNsZVZpZXdBbXAuaHRtbD9pZHhubz0yMTkyNDg?oc=5</v>
      </c>
      <c r="C59" s="1" t="str">
        <f ca="1">IFERROR(__xludf.DUMMYFUNCTION("""COMPUTED_VALUE"""),"Mon, 27 Mar 2023 07:00:00 GMT")</f>
        <v>Mon, 27 Mar 2023 07:00:00 GMT</v>
      </c>
      <c r="D59" s="1" t="str">
        <f ca="1">IFERROR(__xludf.DUMMYFUNCTION("""COMPUTED_VALUE"""),"심각한 세대 갈등…""갈등 안 보이는 교회, 더 심각""  기독신문")</f>
        <v>심각한 세대 갈등…"갈등 안 보이는 교회, 더 심각"  기독신문</v>
      </c>
    </row>
    <row r="60" spans="1:4" ht="12.5" x14ac:dyDescent="0.25">
      <c r="A60" s="1" t="str">
        <f ca="1">IFERROR(__xludf.DUMMYFUNCTION("""COMPUTED_VALUE"""),"월간중앙 - 중앙시사매거진")</f>
        <v>월간중앙 - 중앙시사매거진</v>
      </c>
      <c r="B60" s="2" t="str">
        <f ca="1">IFERROR(__xludf.DUMMYFUNCTION("""COMPUTED_VALUE"""),"https://news.google.com/rss/articles/CBMiL2h0dHBzOi8vam1hZ2F6aW5lLmpvaW5zLmNvbS9tb250aGx5L3ZpZXcvMzM4Mjcz0gEA?oc=5")</f>
        <v>https://news.google.com/rss/articles/CBMiL2h0dHBzOi8vam1hZ2F6aW5lLmpvaW5zLmNvbS9tb250aGx5L3ZpZXcvMzM4Mjcz0gEA?oc=5</v>
      </c>
      <c r="C60" s="1" t="str">
        <f ca="1">IFERROR(__xludf.DUMMYFUNCTION("""COMPUTED_VALUE"""),"Thu, 17 Aug 2023 07:00:00 GMT")</f>
        <v>Thu, 17 Aug 2023 07:00:00 GMT</v>
      </c>
      <c r="D60" s="1" t="str">
        <f ca="1">IFERROR(__xludf.DUMMYFUNCTION("""COMPUTED_VALUE"""),"월간중앙  중앙시사매거진")</f>
        <v>월간중앙  중앙시사매거진</v>
      </c>
    </row>
    <row r="61" spans="1:4" ht="12.5" x14ac:dyDescent="0.25">
      <c r="A61" s="1" t="str">
        <f ca="1">IFERROR(__xludf.DUMMYFUNCTION("""COMPUTED_VALUE"""),"“시니어 인재 얼마?” 세대별 차이 ‘14배’ - 포춘코리아")</f>
        <v>“시니어 인재 얼마?” 세대별 차이 ‘14배’ - 포춘코리아</v>
      </c>
      <c r="B61" s="2" t="str">
        <f ca="1">IFERROR(__xludf.DUMMYFUNCTION("""COMPUTED_VALUE"""),"https://news.google.com/rss/articles/CBMiQGh0dHBzOi8vd3d3LmZvcnR1bmVrb3JlYS5jby5rci9uZXdzL2FydGljbGVWaWV3Lmh0bWw_aWR4bm89Mjg0NzLSAUNodHRwczovL3d3dy5mb3J0dW5la29yZWEuY28ua3IvbmV3cy9hcnRpY2xlVmlld0FtcC5odG1sP2lkeG5vPTI4NDcy?oc=5")</f>
        <v>https://news.google.com/rss/articles/CBMiQGh0dHBzOi8vd3d3LmZvcnR1bmVrb3JlYS5jby5rci9uZXdzL2FydGljbGVWaWV3Lmh0bWw_aWR4bm89Mjg0NzLSAUNodHRwczovL3d3dy5mb3J0dW5la29yZWEuY28ua3IvbmV3cy9hcnRpY2xlVmlld0FtcC5odG1sP2lkeG5vPTI4NDcy?oc=5</v>
      </c>
      <c r="C61" s="1" t="str">
        <f ca="1">IFERROR(__xludf.DUMMYFUNCTION("""COMPUTED_VALUE"""),"Sat, 24 Jun 2023 07:00:00 GMT")</f>
        <v>Sat, 24 Jun 2023 07:00:00 GMT</v>
      </c>
      <c r="D61" s="1" t="str">
        <f ca="1">IFERROR(__xludf.DUMMYFUNCTION("""COMPUTED_VALUE"""),"“시니어 인재 얼마?” 세대별 차이 ‘14배’  포춘코리아")</f>
        <v>“시니어 인재 얼마?” 세대별 차이 ‘14배’  포춘코리아</v>
      </c>
    </row>
    <row r="62" spans="1:4" ht="12.5" x14ac:dyDescent="0.25">
      <c r="A62" s="1" t="str">
        <f ca="1">IFERROR(__xludf.DUMMYFUNCTION("""COMPUTED_VALUE"""),"[돌아온 유커]② 기대반 우려반 화장품 업계, 왜? - 뉴스핌")</f>
        <v>[돌아온 유커]② 기대반 우려반 화장품 업계, 왜? - 뉴스핌</v>
      </c>
      <c r="B62" s="2" t="str">
        <f ca="1">IFERROR(__xludf.DUMMYFUNCTION("""COMPUTED_VALUE"""),"https://news.google.com/rss/articles/CBMiMGh0dHBzOi8vd3d3Lm5ld3NwaW0uY29tL25ld3Mvdmlldy8yMDIzMDgzMDAwMDkzN9IBMWh0dHBzOi8vbS5uZXdzcGltLmNvbS9uZXdzYW1wL3ZpZXcvMjAyMzA4MzAwMDA5Mzc?oc=5")</f>
        <v>https://news.google.com/rss/articles/CBMiMGh0dHBzOi8vd3d3Lm5ld3NwaW0uY29tL25ld3Mvdmlldy8yMDIzMDgzMDAwMDkzN9IBMWh0dHBzOi8vbS5uZXdzcGltLmNvbS9uZXdzYW1wL3ZpZXcvMjAyMzA4MzAwMDA5Mzc?oc=5</v>
      </c>
      <c r="C62" s="1" t="str">
        <f ca="1">IFERROR(__xludf.DUMMYFUNCTION("""COMPUTED_VALUE"""),"Wed, 30 Aug 2023 08:09:00 GMT")</f>
        <v>Wed, 30 Aug 2023 08:09:00 GMT</v>
      </c>
      <c r="D62" s="1" t="str">
        <f ca="1">IFERROR(__xludf.DUMMYFUNCTION("""COMPUTED_VALUE"""),"[돌아온 유커]② 기대반 우려반 화장품 업계, 왜?  뉴스핌")</f>
        <v>[돌아온 유커]② 기대반 우려반 화장품 업계, 왜?  뉴스핌</v>
      </c>
    </row>
    <row r="63" spans="1:4" ht="12.5" x14ac:dyDescent="0.25">
      <c r="A63" s="1" t="str">
        <f ca="1">IFERROR(__xludf.DUMMYFUNCTION("""COMPUTED_VALUE"""),"“신입과의 갈등…세대 차이로 너무 힘듭니다”[안주연의 다시, 연결] - 한국경제매거진")</f>
        <v>“신입과의 갈등…세대 차이로 너무 힘듭니다”[안주연의 다시, 연결] - 한국경제매거진</v>
      </c>
      <c r="B63" s="2" t="str">
        <f ca="1">IFERROR(__xludf.DUMMYFUNCTION("""COMPUTED_VALUE"""),"https://news.google.com/rss/articles/CBMiPGh0dHBzOi8vbWFnYXppbmUuaGFua3l1bmcuY29tL2J1c2luZXNzL2FydGljbGUvMjAyMzAzMDg0ODU4YtIBOGh0dHBzOi8vbWFnYXppbmUuaGFua3l1bmcuY29tL2J1c2luZXNzL2FtcC8yMDIzMDMwODQ4NThi?oc=5")</f>
        <v>https://news.google.com/rss/articles/CBMiPGh0dHBzOi8vbWFnYXppbmUuaGFua3l1bmcuY29tL2J1c2luZXNzL2FydGljbGUvMjAyMzAzMDg0ODU4YtIBOGh0dHBzOi8vbWFnYXppbmUuaGFua3l1bmcuY29tL2J1c2luZXNzL2FtcC8yMDIzMDMwODQ4NThi?oc=5</v>
      </c>
      <c r="C63" s="1" t="str">
        <f ca="1">IFERROR(__xludf.DUMMYFUNCTION("""COMPUTED_VALUE"""),"Mon, 13 Mar 2023 07:00:00 GMT")</f>
        <v>Mon, 13 Mar 2023 07:00:00 GMT</v>
      </c>
      <c r="D63" s="1" t="str">
        <f ca="1">IFERROR(__xludf.DUMMYFUNCTION("""COMPUTED_VALUE"""),"“신입과의 갈등…세대 차이로 너무 힘듭니다”[안주연의 다시, 연결]  한국경제매거진")</f>
        <v>“신입과의 갈등…세대 차이로 너무 힘듭니다”[안주연의 다시, 연결]  한국경제매거진</v>
      </c>
    </row>
    <row r="64" spans="1:4" ht="12.5" x14ac:dyDescent="0.25">
      <c r="A64" s="1" t="str">
        <f ca="1">IFERROR(__xludf.DUMMYFUNCTION("""COMPUTED_VALUE"""),"질문 실력이 중요한 챗GPT시대…세대간 '업무능력 갈등' 해소할 기회다 - 한국경제")</f>
        <v>질문 실력이 중요한 챗GPT시대…세대간 '업무능력 갈등' 해소할 기회다 - 한국경제</v>
      </c>
      <c r="B64" s="2" t="str">
        <f ca="1">IFERROR(__xludf.DUMMYFUNCTION("""COMPUTED_VALUE"""),"https://news.google.com/rss/articles/CBMiNmh0dHBzOi8vd3d3Lmhhbmt5dW5nLmNvbS9vcGluaW9uL2FydGljbGUvMjAyMzAzMjkyNzA2MdIBMmh0dHBzOi8vd3d3Lmhhbmt5dW5nLmNvbS9vcGluaW9uL2FtcC8yMDIzMDMyOTI3MDYx?oc=5")</f>
        <v>https://news.google.com/rss/articles/CBMiNmh0dHBzOi8vd3d3Lmhhbmt5dW5nLmNvbS9vcGluaW9uL2FydGljbGUvMjAyMzAzMjkyNzA2MdIBMmh0dHBzOi8vd3d3Lmhhbmt5dW5nLmNvbS9vcGluaW9uL2FtcC8yMDIzMDMyOTI3MDYx?oc=5</v>
      </c>
      <c r="C64" s="1" t="str">
        <f ca="1">IFERROR(__xludf.DUMMYFUNCTION("""COMPUTED_VALUE"""),"Wed, 29 Mar 2023 07:00:00 GMT")</f>
        <v>Wed, 29 Mar 2023 07:00:00 GMT</v>
      </c>
      <c r="D64" s="1" t="str">
        <f ca="1">IFERROR(__xludf.DUMMYFUNCTION("""COMPUTED_VALUE"""),"질문 실력이 중요한 챗GPT시대…세대간 '업무능력 갈등' 해소할 기회다  한국경제")</f>
        <v>질문 실력이 중요한 챗GPT시대…세대간 '업무능력 갈등' 해소할 기회다  한국경제</v>
      </c>
    </row>
    <row r="65" spans="1:4" ht="12.5" x14ac:dyDescent="0.25">
      <c r="A65" s="1" t="str">
        <f ca="1">IFERROR(__xludf.DUMMYFUNCTION("""COMPUTED_VALUE"""),"12세 연상♥열애설' 화사 ""세대차이? 중요하지 않아"" [Oh!쎈 포인트] - 조선일보")</f>
        <v>12세 연상♥열애설' 화사 "세대차이? 중요하지 않아" [Oh!쎈 포인트] - 조선일보</v>
      </c>
      <c r="B65" s="2" t="str">
        <f ca="1">IFERROR(__xludf.DUMMYFUNCTION("""COMPUTED_VALUE"""),"https://news.google.com/rss/articles/CBMiVmh0dHBzOi8vd3d3LmNob3N1bi5jb20vZW50ZXJ0YWlubWVudHMvYnJvYWRjYXN0LzIwMjMvMDcvMDYvSEdVS1oyNURJTFJFRzVYUlBVTVFUUDNaRkkv0gFlaHR0cHM6Ly93d3cuY2hvc3VuLmNvbS9lbnRlcnRhaW5tZW50cy9icm9hZGNhc3QvMjAyMy8wNy8wNi9IR1VLWjI1RElMUk"&amp;"VHNVhSUFVNUVRQM1pGSS8_b3V0cHV0VHlwZT1hbXA?oc=5")</f>
        <v>https://news.google.com/rss/articles/CBMiVmh0dHBzOi8vd3d3LmNob3N1bi5jb20vZW50ZXJ0YWlubWVudHMvYnJvYWRjYXN0LzIwMjMvMDcvMDYvSEdVS1oyNURJTFJFRzVYUlBVTVFUUDNaRkkv0gFlaHR0cHM6Ly93d3cuY2hvc3VuLmNvbS9lbnRlcnRhaW5tZW50cy9icm9hZGNhc3QvMjAyMy8wNy8wNi9IR1VLWjI1RElMUkVHNVhSUFVNUVRQM1pGSS8_b3V0cHV0VHlwZT1hbXA?oc=5</v>
      </c>
      <c r="C65" s="1" t="str">
        <f ca="1">IFERROR(__xludf.DUMMYFUNCTION("""COMPUTED_VALUE"""),"Thu, 06 Jul 2023 07:00:00 GMT")</f>
        <v>Thu, 06 Jul 2023 07:00:00 GMT</v>
      </c>
      <c r="D65" s="1" t="str">
        <f ca="1">IFERROR(__xludf.DUMMYFUNCTION("""COMPUTED_VALUE"""),"12세 연상♥열애설' 화사 ""세대차이? 중요하지 않아"" [Oh!쎈 포인트]  조선일보")</f>
        <v>12세 연상♥열애설' 화사 "세대차이? 중요하지 않아" [Oh!쎈 포인트]  조선일보</v>
      </c>
    </row>
    <row r="66" spans="1:4" ht="12.5" x14ac:dyDescent="0.25">
      <c r="A66" s="1" t="str">
        <f ca="1">IFERROR(__xludf.DUMMYFUNCTION("""COMPUTED_VALUE"""),"[사심담론] 준비된 파워 'ATX 3.0 READY', 왜 마이크로닉스 WIZMAX ... - 위클리포스트")</f>
        <v>[사심담론] 준비된 파워 'ATX 3.0 READY', 왜 마이크로닉스 WIZMAX ... - 위클리포스트</v>
      </c>
      <c r="B66" s="2" t="str">
        <f ca="1">IFERROR(__xludf.DUMMYFUNCTION("""COMPUTED_VALUE"""),"https://news.google.com/rss/articles/CBMiOWh0dHA6Ly93d3cud2Vla2x5cG9zdC5rci9uZXdzL2FydGljbGVWaWV3Lmh0bWw_aWR4bm89NTMwMtIBAA?oc=5")</f>
        <v>https://news.google.com/rss/articles/CBMiOWh0dHA6Ly93d3cud2Vla2x5cG9zdC5rci9uZXdzL2FydGljbGVWaWV3Lmh0bWw_aWR4bm89NTMwMtIBAA?oc=5</v>
      </c>
      <c r="C66" s="1" t="str">
        <f ca="1">IFERROR(__xludf.DUMMYFUNCTION("""COMPUTED_VALUE"""),"Tue, 29 Aug 2023 03:46:39 GMT")</f>
        <v>Tue, 29 Aug 2023 03:46:39 GMT</v>
      </c>
      <c r="D66" s="1" t="str">
        <f ca="1">IFERROR(__xludf.DUMMYFUNCTION("""COMPUTED_VALUE"""),"[사심담론] 준비된 파워 'ATX 3.0 READY', 왜 마이크로닉스 WIZMAX ...  위클리포스트")</f>
        <v>[사심담론] 준비된 파워 'ATX 3.0 READY', 왜 마이크로닉스 WIZMAX ...  위클리포스트</v>
      </c>
    </row>
    <row r="67" spans="1:4" ht="12.5" x14ac:dyDescent="0.25">
      <c r="A67" s="1" t="str">
        <f ca="1">IFERROR(__xludf.DUMMYFUNCTION("""COMPUTED_VALUE"""),"[신간] 회사에서 바로 통하는 세대 갈등 솔루션 '꼰대지수 낮춰드립니다' - 매일일보")</f>
        <v>[신간] 회사에서 바로 통하는 세대 갈등 솔루션 '꼰대지수 낮춰드립니다' - 매일일보</v>
      </c>
      <c r="B67" s="2" t="str">
        <f ca="1">IFERROR(__xludf.DUMMYFUNCTION("""COMPUTED_VALUE"""),"https://news.google.com/rss/articles/CBMiNmh0dHBzOi8vd3d3Lm0taS5rci9uZXdzL2FydGljbGVWaWV3Lmh0bWw_aWR4bm89MTAyNDc5MtIBAA?oc=5")</f>
        <v>https://news.google.com/rss/articles/CBMiNmh0dHBzOi8vd3d3Lm0taS5rci9uZXdzL2FydGljbGVWaWV3Lmh0bWw_aWR4bm89MTAyNDc5MtIBAA?oc=5</v>
      </c>
      <c r="C67" s="1" t="str">
        <f ca="1">IFERROR(__xludf.DUMMYFUNCTION("""COMPUTED_VALUE"""),"Fri, 23 Jun 2023 07:00:00 GMT")</f>
        <v>Fri, 23 Jun 2023 07:00:00 GMT</v>
      </c>
      <c r="D67" s="1" t="str">
        <f ca="1">IFERROR(__xludf.DUMMYFUNCTION("""COMPUTED_VALUE"""),"[신간] 회사에서 바로 통하는 세대 갈등 솔루션 '꼰대지수 낮춰드립니다'  매일일보")</f>
        <v>[신간] 회사에서 바로 통하는 세대 갈등 솔루션 '꼰대지수 낮춰드립니다'  매일일보</v>
      </c>
    </row>
    <row r="68" spans="1:4" ht="12.5" x14ac:dyDescent="0.25">
      <c r="A68" s="1" t="str">
        <f ca="1">IFERROR(__xludf.DUMMYFUNCTION("""COMPUTED_VALUE"""),"혜리, 세대차이 느끼며 '멀뚱멀뚱' - 폴리뉴스")</f>
        <v>혜리, 세대차이 느끼며 '멀뚱멀뚱' - 폴리뉴스</v>
      </c>
      <c r="B68" s="2" t="str">
        <f ca="1">IFERROR(__xludf.DUMMYFUNCTION("""COMPUTED_VALUE"""),"https://news.google.com/rss/articles/CBMiPWh0dHBzOi8vd3d3LnBvbGluZXdzLmNvLmtyL25ld3MvYXJ0aWNsZVZpZXcuaHRtbD9pZHhubz02MTAzMDHSAUBodHRwczovL3d3dy5wb2xpbmV3cy5jby5rci9uZXdzL2FydGljbGVWaWV3QW1wLmh0bWw_aWR4bm89NjEwMzAx?oc=5")</f>
        <v>https://news.google.com/rss/articles/CBMiPWh0dHBzOi8vd3d3LnBvbGluZXdzLmNvLmtyL25ld3MvYXJ0aWNsZVZpZXcuaHRtbD9pZHhubz02MTAzMDHSAUBodHRwczovL3d3dy5wb2xpbmV3cy5jby5rci9uZXdzL2FydGljbGVWaWV3QW1wLmh0bWw_aWR4bm89NjEwMzAx?oc=5</v>
      </c>
      <c r="C68" s="1" t="str">
        <f ca="1">IFERROR(__xludf.DUMMYFUNCTION("""COMPUTED_VALUE"""),"Sun, 21 May 2023 07:00:00 GMT")</f>
        <v>Sun, 21 May 2023 07:00:00 GMT</v>
      </c>
      <c r="D68" s="1" t="str">
        <f ca="1">IFERROR(__xludf.DUMMYFUNCTION("""COMPUTED_VALUE"""),"혜리, 세대차이 느끼며 '멀뚱멀뚱'  폴리뉴스")</f>
        <v>혜리, 세대차이 느끼며 '멀뚱멀뚱'  폴리뉴스</v>
      </c>
    </row>
    <row r="69" spans="1:4" ht="12.5" x14ac:dyDescent="0.25">
      <c r="A69" s="1" t="str">
        <f ca="1">IFERROR(__xludf.DUMMYFUNCTION("""COMPUTED_VALUE"""),"ESG 세대차이… MZ투자자들, 낮은 수익 감수하며 ESG 투자 진행 - 임팩트온")</f>
        <v>ESG 세대차이… MZ투자자들, 낮은 수익 감수하며 ESG 투자 진행 - 임팩트온</v>
      </c>
      <c r="B69" s="2" t="str">
        <f ca="1">IFERROR(__xludf.DUMMYFUNCTION("""COMPUTED_VALUE"""),"https://news.google.com/rss/articles/CBMiOWh0dHBzOi8vd3d3LmltcGFjdG9uLm5ldC9uZXdzL2FydGljbGVWaWV3Lmh0bWw_aWR4bm89NzEzM9IBAA?oc=5")</f>
        <v>https://news.google.com/rss/articles/CBMiOWh0dHBzOi8vd3d3LmltcGFjdG9uLm5ldC9uZXdzL2FydGljbGVWaWV3Lmh0bWw_aWR4bm89NzEzM9IBAA?oc=5</v>
      </c>
      <c r="C69" s="1" t="str">
        <f ca="1">IFERROR(__xludf.DUMMYFUNCTION("""COMPUTED_VALUE"""),"Tue, 29 Aug 2023 02:33:05 GMT")</f>
        <v>Tue, 29 Aug 2023 02:33:05 GMT</v>
      </c>
      <c r="D69" s="1" t="str">
        <f ca="1">IFERROR(__xludf.DUMMYFUNCTION("""COMPUTED_VALUE"""),"ESG 세대차이… MZ투자자들, 낮은 수익 감수하며 ESG 투자 진행  임팩트온")</f>
        <v>ESG 세대차이… MZ투자자들, 낮은 수익 감수하며 ESG 투자 진행  임팩트온</v>
      </c>
    </row>
    <row r="70" spans="1:4" ht="12.5" x14ac:dyDescent="0.25">
      <c r="A70" s="1" t="str">
        <f ca="1">IFERROR(__xludf.DUMMYFUNCTION("""COMPUTED_VALUE"""),"전문가가 말하는 출생 순서에 따른 성격 차이 - 보그 코리아")</f>
        <v>전문가가 말하는 출생 순서에 따른 성격 차이 - 보그 코리아</v>
      </c>
      <c r="B70" s="2" t="str">
        <f ca="1">IFERROR(__xludf.DUMMYFUNCTION("""COMPUTED_VALUE"""),"https://news.google.com/rss/articles/CBMizAFodHRwczovL3d3dy52b2d1ZS5jby5rci8yMDIzLzA4LzMxLyVFQyVBMCU4NCVFQiVBQyVCOCVFQSVCMCU4MCVFQSVCMCU4MC0lRUIlQTclOTAlRUQlOTUlOTglRUIlOEElOTQtJUVDJUI2JTlDJUVDJTgzJTlELSVFQyU4OCU5QyVFQyU4NCU5QyVFQyU5NyU5MC0lRUIlOTQlQjAlRU"&amp;"IlQTUlQjgtJUVDJTg0JUIxJUVBJUIyJUE5LSVFQyVCMCVBOCVFQyU5RCVCNC_SAQA?oc=5")</f>
        <v>https://news.google.com/rss/articles/CBMizAFodHRwczovL3d3dy52b2d1ZS5jby5rci8yMDIzLzA4LzMxLyVFQyVBMCU4NCVFQiVBQyVCOCVFQSVCMCU4MCVFQSVCMCU4MC0lRUIlQTclOTAlRUQlOTUlOTglRUIlOEElOTQtJUVDJUI2JTlDJUVDJTgzJTlELSVFQyU4OCU5QyVFQyU4NCU5QyVFQyU5NyU5MC0lRUIlOTQlQjAlRUIlQTUlQjgtJUVDJTg0JUIxJUVBJUIyJUE5LSVFQyVCMCVBOCVFQyU5RCVCNC_SAQA?oc=5</v>
      </c>
      <c r="C70" s="1" t="str">
        <f ca="1">IFERROR(__xludf.DUMMYFUNCTION("""COMPUTED_VALUE"""),"Thu, 31 Aug 2023 06:10:04 GMT")</f>
        <v>Thu, 31 Aug 2023 06:10:04 GMT</v>
      </c>
      <c r="D70" s="1" t="str">
        <f ca="1">IFERROR(__xludf.DUMMYFUNCTION("""COMPUTED_VALUE"""),"전문가가 말하는 출생 순서에 따른 성격 차이  보그 코리아")</f>
        <v>전문가가 말하는 출생 순서에 따른 성격 차이  보그 코리아</v>
      </c>
    </row>
    <row r="71" spans="1:4" ht="12.5" x14ac:dyDescent="0.25">
      <c r="A71" s="1" t="str">
        <f ca="1">IFERROR(__xludf.DUMMYFUNCTION("""COMPUTED_VALUE"""),"99즈'와 함께 지내는 베테랑 최진수, “세대 차이가 많이 느껴진다 ... - 바스켓코리아")</f>
        <v>99즈'와 함께 지내는 베테랑 최진수, “세대 차이가 많이 느껴진다 ... - 바스켓코리아</v>
      </c>
      <c r="B71" s="2" t="str">
        <f ca="1">IFERROR(__xludf.DUMMYFUNCTION("""COMPUTED_VALUE"""),"https://news.google.com/rss/articles/CBMiQGh0dHBzOi8vYmFza2V0a29yZWEuY29tL25ld3MvbmV3c3ZpZXcucGhwP25jb2RlPTEwNjU1ODY0NTg5ODk3NTbSAQA?oc=5")</f>
        <v>https://news.google.com/rss/articles/CBMiQGh0dHBzOi8vYmFza2V0a29yZWEuY29tL25ld3MvbmV3c3ZpZXcucGhwP25jb2RlPTEwNjU1ODY0NTg5ODk3NTbSAQA?oc=5</v>
      </c>
      <c r="C71" s="1" t="str">
        <f ca="1">IFERROR(__xludf.DUMMYFUNCTION("""COMPUTED_VALUE"""),"Mon, 21 Aug 2023 07:00:00 GMT")</f>
        <v>Mon, 21 Aug 2023 07:00:00 GMT</v>
      </c>
      <c r="D71" s="1" t="str">
        <f ca="1">IFERROR(__xludf.DUMMYFUNCTION("""COMPUTED_VALUE"""),"99즈'와 함께 지내는 베테랑 최진수, “세대 차이가 많이 느껴진다 ...  바스켓코리아")</f>
        <v>99즈'와 함께 지내는 베테랑 최진수, “세대 차이가 많이 느껴진다 ...  바스켓코리아</v>
      </c>
    </row>
    <row r="72" spans="1:4" ht="12.5" x14ac:dyDescent="0.25">
      <c r="A72" s="1" t="str">
        <f ca="1">IFERROR(__xludf.DUMMYFUNCTION("""COMPUTED_VALUE"""),"일본 Z세대 '셀프 케어' 식품·서비스에 주목 - 식품음료신문")</f>
        <v>일본 Z세대 '셀프 케어' 식품·서비스에 주목 - 식품음료신문</v>
      </c>
      <c r="B72" s="2" t="str">
        <f ca="1">IFERROR(__xludf.DUMMYFUNCTION("""COMPUTED_VALUE"""),"https://news.google.com/rss/articles/CBMiPGh0dHA6Ly93d3cudGhpbmtmb29kLmNvLmtyL25ld3MvYXJ0aWNsZVZpZXcuaHRtbD9pZHhubz05ODYxNtIBAA?oc=5")</f>
        <v>https://news.google.com/rss/articles/CBMiPGh0dHA6Ly93d3cudGhpbmtmb29kLmNvLmtyL25ld3MvYXJ0aWNsZVZpZXcuaHRtbD9pZHhubz05ODYxNtIBAA?oc=5</v>
      </c>
      <c r="C72" s="1" t="str">
        <f ca="1">IFERROR(__xludf.DUMMYFUNCTION("""COMPUTED_VALUE"""),"Fri, 01 Sep 2023 01:02:36 GMT")</f>
        <v>Fri, 01 Sep 2023 01:02:36 GMT</v>
      </c>
      <c r="D72" s="1" t="str">
        <f ca="1">IFERROR(__xludf.DUMMYFUNCTION("""COMPUTED_VALUE"""),"일본 Z세대 '셀프 케어' 식품·서비스에 주목  식품음료신문")</f>
        <v>일본 Z세대 '셀프 케어' 식품·서비스에 주목  식품음료신문</v>
      </c>
    </row>
    <row r="73" spans="1:4" ht="12.5" x14ac:dyDescent="0.25">
      <c r="A73" s="1" t="str">
        <f ca="1">IFERROR(__xludf.DUMMYFUNCTION("""COMPUTED_VALUE"""),"[종합] '돌싱포맨' 홍진호, 연하 여자친구와 세대 차이→프러포즈 실패 ... - 매일경제")</f>
        <v>[종합] '돌싱포맨' 홍진호, 연하 여자친구와 세대 차이→프러포즈 실패 ... - 매일경제</v>
      </c>
      <c r="B73" s="2" t="str">
        <f ca="1">IFERROR(__xludf.DUMMYFUNCTION("""COMPUTED_VALUE"""),"https://news.google.com/rss/articles/CBMiOWh0dHBzOi8vd3d3Lm1rLmNvLmtyL3N0YXIvaG90LWlzc3Vlcy92aWV3LzIwMjMvMDgvNjA2MDAwL9IBAA?oc=5")</f>
        <v>https://news.google.com/rss/articles/CBMiOWh0dHBzOi8vd3d3Lm1rLmNvLmtyL3N0YXIvaG90LWlzc3Vlcy92aWV3LzIwMjMvMDgvNjA2MDAwL9IBAA?oc=5</v>
      </c>
      <c r="C73" s="1" t="str">
        <f ca="1">IFERROR(__xludf.DUMMYFUNCTION("""COMPUTED_VALUE"""),"Tue, 08 Aug 2023 07:00:00 GMT")</f>
        <v>Tue, 08 Aug 2023 07:00:00 GMT</v>
      </c>
      <c r="D73" s="1" t="str">
        <f ca="1">IFERROR(__xludf.DUMMYFUNCTION("""COMPUTED_VALUE"""),"[종합] '돌싱포맨' 홍진호, 연하 여자친구와 세대 차이→프러포즈 실패 ...  매일경제")</f>
        <v>[종합] '돌싱포맨' 홍진호, 연하 여자친구와 세대 차이→프러포즈 실패 ...  매일경제</v>
      </c>
    </row>
    <row r="74" spans="1:4" ht="12.5" x14ac:dyDescent="0.25">
      <c r="A74" s="1" t="str">
        <f ca="1">IFERROR(__xludf.DUMMYFUNCTION("""COMPUTED_VALUE"""),"경상원, 라떼 MZ에게 듣는다…원장-MZ세대 직원과 소통 토크쇼 개최 - 이코노뉴스")</f>
        <v>경상원, 라떼 MZ에게 듣는다…원장-MZ세대 직원과 소통 토크쇼 개최 - 이코노뉴스</v>
      </c>
      <c r="B74" s="2" t="str">
        <f ca="1">IFERROR(__xludf.DUMMYFUNCTION("""COMPUTED_VALUE"""),"https://news.google.com/rss/articles/CBMiPWh0dHA6Ly93d3cuZWNvbm9uZXdzLmNvLmtyL25ld3MvYXJ0aWNsZVZpZXcuaHRtbD9pZHhubz0zMDE0MDnSAQA?oc=5")</f>
        <v>https://news.google.com/rss/articles/CBMiPWh0dHA6Ly93d3cuZWNvbm9uZXdzLmNvLmtyL25ld3MvYXJ0aWNsZVZpZXcuaHRtbD9pZHhubz0zMDE0MDnSAQA?oc=5</v>
      </c>
      <c r="C74" s="1" t="str">
        <f ca="1">IFERROR(__xludf.DUMMYFUNCTION("""COMPUTED_VALUE"""),"Thu, 31 Aug 2023 07:35:00 GMT")</f>
        <v>Thu, 31 Aug 2023 07:35:00 GMT</v>
      </c>
      <c r="D74" s="1" t="str">
        <f ca="1">IFERROR(__xludf.DUMMYFUNCTION("""COMPUTED_VALUE"""),"경상원, 라떼 MZ에게 듣는다…원장-MZ세대 직원과 소통 토크쇼 개최  이코노뉴스")</f>
        <v>경상원, 라떼 MZ에게 듣는다…원장-MZ세대 직원과 소통 토크쇼 개최  이코노뉴스</v>
      </c>
    </row>
    <row r="75" spans="1:4" ht="12.5" x14ac:dyDescent="0.25">
      <c r="A75" s="1" t="str">
        <f ca="1">IFERROR(__xludf.DUMMYFUNCTION("""COMPUTED_VALUE"""),"“홈 인테리어 내 손으로 뚝딱!” - 매일신문")</f>
        <v>“홈 인테리어 내 손으로 뚝딱!” - 매일신문</v>
      </c>
      <c r="B75" s="2" t="str">
        <f ca="1">IFERROR(__xludf.DUMMYFUNCTION("""COMPUTED_VALUE"""),"https://news.google.com/rss/articles/CBMiNWh0dHBzOi8vbmV3cy5pbWFlaWwuY29tL3BhZ2Uvdmlldy8yMDIzMDgzMTE4NTYwNzUzNjk00gEA?oc=5")</f>
        <v>https://news.google.com/rss/articles/CBMiNWh0dHBzOi8vbmV3cy5pbWFlaWwuY29tL3BhZ2Uvdmlldy8yMDIzMDgzMTE4NTYwNzUzNjk00gEA?oc=5</v>
      </c>
      <c r="C75" s="1" t="str">
        <f ca="1">IFERROR(__xludf.DUMMYFUNCTION("""COMPUTED_VALUE"""),"Thu, 31 Aug 2023 10:17:57 GMT")</f>
        <v>Thu, 31 Aug 2023 10:17:57 GMT</v>
      </c>
      <c r="D75" s="1" t="str">
        <f ca="1">IFERROR(__xludf.DUMMYFUNCTION("""COMPUTED_VALUE"""),"“홈 인테리어 내 손으로 뚝딱!”  매일신문")</f>
        <v>“홈 인테리어 내 손으로 뚝딱!”  매일신문</v>
      </c>
    </row>
    <row r="76" spans="1:4" ht="12.5" x14ac:dyDescent="0.25">
      <c r="A76" s="1" t="str">
        <f ca="1">IFERROR(__xludf.DUMMYFUNCTION("""COMPUTED_VALUE"""),"신협, '웹예능·웹드라마'로 MZ세대와 소통 강화 - 경기신문")</f>
        <v>신협, '웹예능·웹드라마'로 MZ세대와 소통 강화 - 경기신문</v>
      </c>
      <c r="B76" s="2" t="str">
        <f ca="1">IFERROR(__xludf.DUMMYFUNCTION("""COMPUTED_VALUE"""),"https://news.google.com/rss/articles/CBMiNGh0dHBzOi8vd3d3LmtnbmV3cy5jby5rci9uZXdzL2FydGljbGUuaHRtbD9ubz03NjEwMjjSAQA?oc=5")</f>
        <v>https://news.google.com/rss/articles/CBMiNGh0dHBzOi8vd3d3LmtnbmV3cy5jby5rci9uZXdzL2FydGljbGUuaHRtbD9ubz03NjEwMjjSAQA?oc=5</v>
      </c>
      <c r="C76" s="1" t="str">
        <f ca="1">IFERROR(__xludf.DUMMYFUNCTION("""COMPUTED_VALUE"""),"Tue, 29 Aug 2023 01:38:42 GMT")</f>
        <v>Tue, 29 Aug 2023 01:38:42 GMT</v>
      </c>
      <c r="D76" s="1" t="str">
        <f ca="1">IFERROR(__xludf.DUMMYFUNCTION("""COMPUTED_VALUE"""),"신협, '웹예능·웹드라마'로 MZ세대와 소통 강화  경기신문")</f>
        <v>신협, '웹예능·웹드라마'로 MZ세대와 소통 강화  경기신문</v>
      </c>
    </row>
    <row r="77" spans="1:4" ht="12.5" x14ac:dyDescent="0.25">
      <c r="A77" s="1" t="str">
        <f ca="1">IFERROR(__xludf.DUMMYFUNCTION("""COMPUTED_VALUE"""),"애플 '아이폰 15 울트라' 등장하나…가장 값비싼 모델에 쏠린 눈 - 테크M")</f>
        <v>애플 '아이폰 15 울트라' 등장하나…가장 값비싼 모델에 쏠린 눈 - 테크M</v>
      </c>
      <c r="B77" s="2" t="str">
        <f ca="1">IFERROR(__xludf.DUMMYFUNCTION("""COMPUTED_VALUE"""),"https://news.google.com/rss/articles/CBMiN2h0dHBzOi8vd3d3LnRlY2htLmtyL25ld3MvYXJ0aWNsZVZpZXcuaHRtbD9pZHhubz0xMTQwMDTSATpodHRwczovL3d3dy50ZWNobS5rci9uZXdzL2FydGljbGVWaWV3QW1wLmh0bWw_aWR4bm89MTE0MDA0?oc=5")</f>
        <v>https://news.google.com/rss/articles/CBMiN2h0dHBzOi8vd3d3LnRlY2htLmtyL25ld3MvYXJ0aWNsZVZpZXcuaHRtbD9pZHhubz0xMTQwMDTSATpodHRwczovL3d3dy50ZWNobS5rci9uZXdzL2FydGljbGVWaWV3QW1wLmh0bWw_aWR4bm89MTE0MDA0?oc=5</v>
      </c>
      <c r="C77" s="1" t="str">
        <f ca="1">IFERROR(__xludf.DUMMYFUNCTION("""COMPUTED_VALUE"""),"Thu, 31 Aug 2023 21:00:00 GMT")</f>
        <v>Thu, 31 Aug 2023 21:00:00 GMT</v>
      </c>
      <c r="D77" s="1" t="str">
        <f ca="1">IFERROR(__xludf.DUMMYFUNCTION("""COMPUTED_VALUE"""),"애플 '아이폰 15 울트라' 등장하나…가장 값비싼 모델에 쏠린 눈  테크M")</f>
        <v>애플 '아이폰 15 울트라' 등장하나…가장 값비싼 모델에 쏠린 눈  테크M</v>
      </c>
    </row>
    <row r="78" spans="1:4" ht="12.5" x14ac:dyDescent="0.25">
      <c r="A78" s="1" t="str">
        <f ca="1">IFERROR(__xludf.DUMMYFUNCTION("""COMPUTED_VALUE"""),"문세윤 “유선호 3살 때 아내와 연애 시작” 세대차이 깜짝 (1박 2일) - 뉴스엔")</f>
        <v>문세윤 “유선호 3살 때 아내와 연애 시작” 세대차이 깜짝 (1박 2일) - 뉴스엔</v>
      </c>
      <c r="B78" s="2" t="str">
        <f ca="1">IFERROR(__xludf.DUMMYFUNCTION("""COMPUTED_VALUE"""),"https://news.google.com/rss/articles/CBMiOWh0dHBzOi8vbS5uZXdzZW4uY29tL25ld3Nfdmlldy5waHA_dWlkPTIwMjMwODEzMTgwNzU4MTExMNIBAA?oc=5")</f>
        <v>https://news.google.com/rss/articles/CBMiOWh0dHBzOi8vbS5uZXdzZW4uY29tL25ld3Nfdmlldy5waHA_dWlkPTIwMjMwODEzMTgwNzU4MTExMNIBAA?oc=5</v>
      </c>
      <c r="C78" s="1" t="str">
        <f ca="1">IFERROR(__xludf.DUMMYFUNCTION("""COMPUTED_VALUE"""),"Sun, 13 Aug 2023 07:00:00 GMT")</f>
        <v>Sun, 13 Aug 2023 07:00:00 GMT</v>
      </c>
      <c r="D78" s="1" t="str">
        <f ca="1">IFERROR(__xludf.DUMMYFUNCTION("""COMPUTED_VALUE"""),"문세윤 “유선호 3살 때 아내와 연애 시작” 세대차이 깜짝 (1박 2일)  뉴스엔")</f>
        <v>문세윤 “유선호 3살 때 아내와 연애 시작” 세대차이 깜짝 (1박 2일)  뉴스엔</v>
      </c>
    </row>
    <row r="79" spans="1:4" ht="12.5" x14ac:dyDescent="0.25">
      <c r="A79" s="1" t="str">
        <f ca="1">IFERROR(__xludf.DUMMYFUNCTION("""COMPUTED_VALUE"""),"""한국, 망했네요!"" 美 석학도 놀란 출산율...인구 전문가 ""원인? 한 둘이 아냐"" - YTN")</f>
        <v>"한국, 망했네요!" 美 석학도 놀란 출산율...인구 전문가 "원인? 한 둘이 아냐" - YTN</v>
      </c>
      <c r="B79" s="2" t="str">
        <f ca="1">IFERROR(__xludf.DUMMYFUNCTION("""COMPUTED_VALUE"""),"https://news.google.com/rss/articles/CBMiMWh0dHBzOi8vd3d3Lnl0bi5jby5rci9fbG4vMDEwM18yMDIzMDkwMTE1MDE0MDk2MjXSAUNodHRwczovL20ueXRuLmNvLmtyL25ld3Nfdmlldy5hbXAucGhwP3BhcmFtPTAxMDNfMjAyMzA5MDExNTAxNDA5NjI1?oc=5")</f>
        <v>https://news.google.com/rss/articles/CBMiMWh0dHBzOi8vd3d3Lnl0bi5jby5rci9fbG4vMDEwM18yMDIzMDkwMTE1MDE0MDk2MjXSAUNodHRwczovL20ueXRuLmNvLmtyL25ld3Nfdmlldy5hbXAucGhwP3BhcmFtPTAxMDNfMjAyMzA5MDExNTAxNDA5NjI1?oc=5</v>
      </c>
      <c r="C79" s="1" t="str">
        <f ca="1">IFERROR(__xludf.DUMMYFUNCTION("""COMPUTED_VALUE"""),"Fri, 01 Sep 2023 06:01:00 GMT")</f>
        <v>Fri, 01 Sep 2023 06:01:00 GMT</v>
      </c>
      <c r="D79" s="1" t="str">
        <f ca="1">IFERROR(__xludf.DUMMYFUNCTION("""COMPUTED_VALUE"""),"""한국, 망했네요!"" 美 석학도 놀란 출산율...인구 전문가 ""원인? 한 둘이 아냐""  YTN")</f>
        <v>"한국, 망했네요!" 美 석학도 놀란 출산율...인구 전문가 "원인? 한 둘이 아냐"  YTN</v>
      </c>
    </row>
    <row r="80" spans="1:4" ht="12.5" x14ac:dyDescent="0.25">
      <c r="A80" s="1" t="str">
        <f ca="1">IFERROR(__xludf.DUMMYFUNCTION("""COMPUTED_VALUE"""),"대단지 아파트값, 소단지 보다 2억 7천만원 비싸 - 리얼캐스트")</f>
        <v>대단지 아파트값, 소단지 보다 2억 7천만원 비싸 - 리얼캐스트</v>
      </c>
      <c r="B80" s="2" t="str">
        <f ca="1">IFERROR(__xludf.DUMMYFUNCTION("""COMPUTED_VALUE"""),"https://news.google.com/rss/articles/CBMiOWh0dHBzOi8vd3d3LnJjYXN0LmNvLmtyL25ld3MvYXJ0aWNsZVZpZXcuaHRtbD9pZHhubz0yMjYxMdIBPGh0dHBzOi8vd3d3LnJjYXN0LmNvLmtyL25ld3MvYXJ0aWNsZVZpZXdBbXAuaHRtbD9pZHhubz0yMjYxMQ?oc=5")</f>
        <v>https://news.google.com/rss/articles/CBMiOWh0dHBzOi8vd3d3LnJjYXN0LmNvLmtyL25ld3MvYXJ0aWNsZVZpZXcuaHRtbD9pZHhubz0yMjYxMdIBPGh0dHBzOi8vd3d3LnJjYXN0LmNvLmtyL25ld3MvYXJ0aWNsZVZpZXdBbXAuaHRtbD9pZHhubz0yMjYxMQ?oc=5</v>
      </c>
      <c r="C80" s="1" t="str">
        <f ca="1">IFERROR(__xludf.DUMMYFUNCTION("""COMPUTED_VALUE"""),"Wed, 30 Aug 2023 23:52:39 GMT")</f>
        <v>Wed, 30 Aug 2023 23:52:39 GMT</v>
      </c>
      <c r="D80" s="1" t="str">
        <f ca="1">IFERROR(__xludf.DUMMYFUNCTION("""COMPUTED_VALUE"""),"대단지 아파트값, 소단지 보다 2억 7천만원 비싸  리얼캐스트")</f>
        <v>대단지 아파트값, 소단지 보다 2억 7천만원 비싸  리얼캐스트</v>
      </c>
    </row>
    <row r="81" spans="1:4" ht="12.5" x14ac:dyDescent="0.25">
      <c r="A81" s="1" t="str">
        <f ca="1">IFERROR(__xludf.DUMMYFUNCTION("""COMPUTED_VALUE"""),"[어쩌다 Z세대⑧] 미국의 Gen Z, 한국의 MZ… 어떻게 시작됐을까 - 시사위크")</f>
        <v>[어쩌다 Z세대⑧] 미국의 Gen Z, 한국의 MZ… 어떻게 시작됐을까 - 시사위크</v>
      </c>
      <c r="B81" s="2" t="str">
        <f ca="1">IFERROR(__xludf.DUMMYFUNCTION("""COMPUTED_VALUE"""),"https://news.google.com/rss/articles/CBMiOmh0dHA6Ly93d3cuc2lzYXdlZWsuY29tL25ld3MvYXJ0aWNsZVZpZXcuaHRtbD9pZHhubz0yMDc0ODnSAQA?oc=5")</f>
        <v>https://news.google.com/rss/articles/CBMiOmh0dHA6Ly93d3cuc2lzYXdlZWsuY29tL25ld3MvYXJ0aWNsZVZpZXcuaHRtbD9pZHhubz0yMDc0ODnSAQA?oc=5</v>
      </c>
      <c r="C81" s="1" t="str">
        <f ca="1">IFERROR(__xludf.DUMMYFUNCTION("""COMPUTED_VALUE"""),"Mon, 28 Aug 2023 08:07:59 GMT")</f>
        <v>Mon, 28 Aug 2023 08:07:59 GMT</v>
      </c>
      <c r="D81" s="1" t="str">
        <f ca="1">IFERROR(__xludf.DUMMYFUNCTION("""COMPUTED_VALUE"""),"[어쩌다 Z세대⑧] 미국의 Gen Z, 한국의 MZ… 어떻게 시작됐을까  시사위크")</f>
        <v>[어쩌다 Z세대⑧] 미국의 Gen Z, 한국의 MZ… 어떻게 시작됐을까  시사위크</v>
      </c>
    </row>
    <row r="82" spans="1:4" ht="12.5" x14ac:dyDescent="0.25">
      <c r="A82" s="1" t="str">
        <f ca="1">IFERROR(__xludf.DUMMYFUNCTION("""COMPUTED_VALUE"""),"KB증권 “3040세대, 내 집 마련 콘텐츠에 관심 커” - 이코노미스트")</f>
        <v>KB증권 “3040세대, 내 집 마련 콘텐츠에 관심 커” - 이코노미스트</v>
      </c>
      <c r="B82" s="2" t="str">
        <f ca="1">IFERROR(__xludf.DUMMYFUNCTION("""COMPUTED_VALUE"""),"https://news.google.com/rss/articles/CBMiNGh0dHBzOi8vZWNvbm9taXN0LmNvLmtyL2FydGljbGUvdmlldy9lY24yMDIzMDkwMTAwMTDSAQA?oc=5")</f>
        <v>https://news.google.com/rss/articles/CBMiNGh0dHBzOi8vZWNvbm9taXN0LmNvLmtyL2FydGljbGUvdmlldy9lY24yMDIzMDkwMTAwMTDSAQA?oc=5</v>
      </c>
      <c r="C82" s="1" t="str">
        <f ca="1">IFERROR(__xludf.DUMMYFUNCTION("""COMPUTED_VALUE"""),"Fri, 01 Sep 2023 02:14:00 GMT")</f>
        <v>Fri, 01 Sep 2023 02:14:00 GMT</v>
      </c>
      <c r="D82" s="1" t="str">
        <f ca="1">IFERROR(__xludf.DUMMYFUNCTION("""COMPUTED_VALUE"""),"KB증권 “3040세대, 내 집 마련 콘텐츠에 관심 커”  이코노미스트")</f>
        <v>KB증권 “3040세대, 내 집 마련 콘텐츠에 관심 커”  이코노미스트</v>
      </c>
    </row>
    <row r="83" spans="1:4" ht="12.5" x14ac:dyDescent="0.25">
      <c r="A83" s="1" t="str">
        <f ca="1">IFERROR(__xludf.DUMMYFUNCTION("""COMPUTED_VALUE"""),"""논리 잃게 될 수도"" 김상욱 교수가 지적한 젊은이들의 습관은 단순 ... - 허프포스트코리아")</f>
        <v>"논리 잃게 될 수도" 김상욱 교수가 지적한 젊은이들의 습관은 단순 ... - 허프포스트코리아</v>
      </c>
      <c r="B83" s="2" t="str">
        <f ca="1">IFERROR(__xludf.DUMMYFUNCTION("""COMPUTED_VALUE"""),"https://news.google.com/rss/articles/CBMiQGh0dHBzOi8vd3d3Lmh1ZmZpbmd0b25wb3N0LmtyL25ld3MvYXJ0aWNsZVZpZXcuaHRtbD9pZHhubz0yMTI1ODTSAUNodHRwczovL3d3dy5odWZmaW5ndG9ucG9zdC5rci9uZXdzL2FydGljbGVWaWV3QW1wLmh0bWw_aWR4bm89MjEyNTg0?oc=5")</f>
        <v>https://news.google.com/rss/articles/CBMiQGh0dHBzOi8vd3d3Lmh1ZmZpbmd0b25wb3N0LmtyL25ld3MvYXJ0aWNsZVZpZXcuaHRtbD9pZHhubz0yMTI1ODTSAUNodHRwczovL3d3dy5odWZmaW5ndG9ucG9zdC5rci9uZXdzL2FydGljbGVWaWV3QW1wLmh0bWw_aWR4bm89MjEyNTg0?oc=5</v>
      </c>
      <c r="C83" s="1" t="str">
        <f ca="1">IFERROR(__xludf.DUMMYFUNCTION("""COMPUTED_VALUE"""),"Wed, 30 Aug 2023 07:00:00 GMT")</f>
        <v>Wed, 30 Aug 2023 07:00:00 GMT</v>
      </c>
      <c r="D83" s="1" t="str">
        <f ca="1">IFERROR(__xludf.DUMMYFUNCTION("""COMPUTED_VALUE"""),"""논리 잃게 될 수도"" 김상욱 교수가 지적한 젊은이들의 습관은 단순 ...  허프포스트코리아")</f>
        <v>"논리 잃게 될 수도" 김상욱 교수가 지적한 젊은이들의 습관은 단순 ...  허프포스트코리아</v>
      </c>
    </row>
    <row r="84" spans="1:4" ht="12.5" x14ac:dyDescent="0.25">
      <c r="A84" s="1" t="str">
        <f ca="1">IFERROR(__xludf.DUMMYFUNCTION("""COMPUTED_VALUE"""),"안성시 토지민원과, 소통·공감·화합을 위한 청렴 세대공감노트 작성 - 경기탑뉴스")</f>
        <v>안성시 토지민원과, 소통·공감·화합을 위한 청렴 세대공감노트 작성 - 경기탑뉴스</v>
      </c>
      <c r="B84" s="2" t="str">
        <f ca="1">IFERROR(__xludf.DUMMYFUNCTION("""COMPUTED_VALUE"""),"https://news.google.com/rss/articles/CBMiNGh0dHA6Ly93d3cuZ2d0b3BuZXdzLmNvbS9uZXdzL2FydGljbGUuaHRtbD9ubz0xMjk5NTDSAQA?oc=5")</f>
        <v>https://news.google.com/rss/articles/CBMiNGh0dHA6Ly93d3cuZ2d0b3BuZXdzLmNvbS9uZXdzL2FydGljbGUuaHRtbD9ubz0xMjk5NTDSAQA?oc=5</v>
      </c>
      <c r="C84" s="1" t="str">
        <f ca="1">IFERROR(__xludf.DUMMYFUNCTION("""COMPUTED_VALUE"""),"Thu, 31 Aug 2023 04:00:54 GMT")</f>
        <v>Thu, 31 Aug 2023 04:00:54 GMT</v>
      </c>
      <c r="D84" s="1" t="str">
        <f ca="1">IFERROR(__xludf.DUMMYFUNCTION("""COMPUTED_VALUE"""),"안성시 토지민원과, 소통·공감·화합을 위한 청렴 세대공감노트 작성  경기탑뉴스")</f>
        <v>안성시 토지민원과, 소통·공감·화합을 위한 청렴 세대공감노트 작성  경기탑뉴스</v>
      </c>
    </row>
    <row r="85" spans="1:4" ht="12.5" x14ac:dyDescent="0.25">
      <c r="A85" s="1" t="str">
        <f ca="1">IFERROR(__xludf.DUMMYFUNCTION("""COMPUTED_VALUE"""),"‘극단선택’ 시도, 2명 중 1명은 MZ세대 - 세계일보")</f>
        <v>‘극단선택’ 시도, 2명 중 1명은 MZ세대 - 세계일보</v>
      </c>
      <c r="B85" s="2" t="str">
        <f ca="1">IFERROR(__xludf.DUMMYFUNCTION("""COMPUTED_VALUE"""),"https://news.google.com/rss/articles/CBMiJ2h0dHBzOi8vbS5zZWd5ZS5jb20vdmlldy8yMDIzMDgzMTUxMjg5M9IBKmh0dHBzOi8vbS5zZWd5ZS5jb20vYW1wVmlldy8yMDIzMDgzMTUxMjg5Mw?oc=5")</f>
        <v>https://news.google.com/rss/articles/CBMiJ2h0dHBzOi8vbS5zZWd5ZS5jb20vdmlldy8yMDIzMDgzMTUxMjg5M9IBKmh0dHBzOi8vbS5zZWd5ZS5jb20vYW1wVmlldy8yMDIzMDgzMTUxMjg5Mw?oc=5</v>
      </c>
      <c r="C85" s="1" t="str">
        <f ca="1">IFERROR(__xludf.DUMMYFUNCTION("""COMPUTED_VALUE"""),"Thu, 31 Aug 2023 21:50:00 GMT")</f>
        <v>Thu, 31 Aug 2023 21:50:00 GMT</v>
      </c>
      <c r="D85" s="1" t="str">
        <f ca="1">IFERROR(__xludf.DUMMYFUNCTION("""COMPUTED_VALUE"""),"‘극단선택’ 시도, 2명 중 1명은 MZ세대  세계일보")</f>
        <v>‘극단선택’ 시도, 2명 중 1명은 MZ세대  세계일보</v>
      </c>
    </row>
    <row r="86" spans="1:4" ht="12.5" x14ac:dyDescent="0.25">
      <c r="A86" s="1" t="str">
        <f ca="1">IFERROR(__xludf.DUMMYFUNCTION("""COMPUTED_VALUE"""),"목포 사랑의교회 행복목회콘퍼런스 - 기독신문")</f>
        <v>목포 사랑의교회 행복목회콘퍼런스 - 기독신문</v>
      </c>
      <c r="B86" s="2" t="str">
        <f ca="1">IFERROR(__xludf.DUMMYFUNCTION("""COMPUTED_VALUE"""),"https://news.google.com/rss/articles/CBMiOGh0dHBzOi8vd3d3LmtpZG9rLmNvbS9uZXdzL2FydGljbGVWaWV3Lmh0bWw_aWR4bm89MzAxNTU10gE7aHR0cHM6Ly93d3cua2lkb2suY29tL25ld3MvYXJ0aWNsZVZpZXdBbXAuaHRtbD9pZHhubz0zMDE1NTU?oc=5")</f>
        <v>https://news.google.com/rss/articles/CBMiOGh0dHBzOi8vd3d3LmtpZG9rLmNvbS9uZXdzL2FydGljbGVWaWV3Lmh0bWw_aWR4bm89MzAxNTU10gE7aHR0cHM6Ly93d3cua2lkb2suY29tL25ld3MvYXJ0aWNsZVZpZXdBbXAuaHRtbD9pZHhubz0zMDE1NTU?oc=5</v>
      </c>
      <c r="C86" s="1" t="str">
        <f ca="1">IFERROR(__xludf.DUMMYFUNCTION("""COMPUTED_VALUE"""),"Tue, 29 Aug 2023 00:24:57 GMT")</f>
        <v>Tue, 29 Aug 2023 00:24:57 GMT</v>
      </c>
      <c r="D86" s="1" t="str">
        <f ca="1">IFERROR(__xludf.DUMMYFUNCTION("""COMPUTED_VALUE"""),"목포 사랑의교회 행복목회콘퍼런스  기독신문")</f>
        <v>목포 사랑의교회 행복목회콘퍼런스  기독신문</v>
      </c>
    </row>
    <row r="87" spans="1:4" ht="12.5" x14ac:dyDescent="0.25">
      <c r="A87" s="1" t="str">
        <f ca="1">IFERROR(__xludf.DUMMYFUNCTION("""COMPUTED_VALUE"""),"부부상담가 자처한 황현식, LG유플 이끄는 '소통 리더십' - 전자신문")</f>
        <v>부부상담가 자처한 황현식, LG유플 이끄는 '소통 리더십' - 전자신문</v>
      </c>
      <c r="B87" s="2" t="str">
        <f ca="1">IFERROR(__xludf.DUMMYFUNCTION("""COMPUTED_VALUE"""),"https://news.google.com/rss/articles/CBMiJWh0dHBzOi8vd3d3LmV0bmV3cy5jb20vMjAyMzA4MDQwMDAwNjHSAQA?oc=5")</f>
        <v>https://news.google.com/rss/articles/CBMiJWh0dHBzOi8vd3d3LmV0bmV3cy5jb20vMjAyMzA4MDQwMDAwNjHSAQA?oc=5</v>
      </c>
      <c r="C87" s="1" t="str">
        <f ca="1">IFERROR(__xludf.DUMMYFUNCTION("""COMPUTED_VALUE"""),"Sun, 06 Aug 2023 07:00:00 GMT")</f>
        <v>Sun, 06 Aug 2023 07:00:00 GMT</v>
      </c>
      <c r="D87" s="1" t="str">
        <f ca="1">IFERROR(__xludf.DUMMYFUNCTION("""COMPUTED_VALUE"""),"부부상담가 자처한 황현식, LG유플 이끄는 '소통 리더십'  전자신문")</f>
        <v>부부상담가 자처한 황현식, LG유플 이끄는 '소통 리더십'  전자신문</v>
      </c>
    </row>
    <row r="88" spans="1:4" ht="12.5" x14ac:dyDescent="0.25">
      <c r="A88" s="1" t="str">
        <f ca="1">IFERROR(__xludf.DUMMYFUNCTION("""COMPUTED_VALUE"""),"퇴준생, MZ세대에 대한 이해와 오해 - 뉴스코리아")</f>
        <v>퇴준생, MZ세대에 대한 이해와 오해 - 뉴스코리아</v>
      </c>
      <c r="B88" s="2" t="str">
        <f ca="1">IFERROR(__xludf.DUMMYFUNCTION("""COMPUTED_VALUE"""),"https://news.google.com/rss/articles/CBMiO2h0dHA6Ly93d3cubmV3c2tvcmVhLm5lLmtyL25ld3MvYXJ0aWNsZVZpZXcuaHRtbD9pZHhubz04NDIy0gEA?oc=5")</f>
        <v>https://news.google.com/rss/articles/CBMiO2h0dHA6Ly93d3cubmV3c2tvcmVhLm5lLmtyL25ld3MvYXJ0aWNsZVZpZXcuaHRtbD9pZHhubz04NDIy0gEA?oc=5</v>
      </c>
      <c r="C88" s="1" t="str">
        <f ca="1">IFERROR(__xludf.DUMMYFUNCTION("""COMPUTED_VALUE"""),"Fri, 11 Aug 2023 02:35:03 GMT")</f>
        <v>Fri, 11 Aug 2023 02:35:03 GMT</v>
      </c>
      <c r="D88" s="1" t="str">
        <f ca="1">IFERROR(__xludf.DUMMYFUNCTION("""COMPUTED_VALUE"""),"퇴준생, MZ세대에 대한 이해와 오해  뉴스코리아")</f>
        <v>퇴준생, MZ세대에 대한 이해와 오해  뉴스코리아</v>
      </c>
    </row>
    <row r="89" spans="1:4" ht="12.5" x14ac:dyDescent="0.25">
      <c r="A89" s="1" t="str">
        <f ca="1">IFERROR(__xludf.DUMMYFUNCTION("""COMPUTED_VALUE"""),"전주 세계무형유산 대상에 호주 우디포디아·미국 난민 예술단체 - 연합뉴스")</f>
        <v>전주 세계무형유산 대상에 호주 우디포디아·미국 난민 예술단체 - 연합뉴스</v>
      </c>
      <c r="B89" s="2" t="str">
        <f ca="1">IFERROR(__xludf.DUMMYFUNCTION("""COMPUTED_VALUE"""),"https://news.google.com/rss/articles/CBMiL2h0dHBzOi8vd3d3LnluYS5jby5rci92aWV3L0FLUjIwMjMwOTAxMDk5OTAwMDU10gExaHR0cHM6Ly9tLnluYS5jby5rci9hbXAvdmlldy9BS1IyMDIzMDkwMTA5OTkwMDA1NQ?oc=5")</f>
        <v>https://news.google.com/rss/articles/CBMiL2h0dHBzOi8vd3d3LnluYS5jby5rci92aWV3L0FLUjIwMjMwOTAxMDk5OTAwMDU10gExaHR0cHM6Ly9tLnluYS5jby5rci9hbXAvdmlldy9BS1IyMDIzMDkwMTA5OTkwMDA1NQ?oc=5</v>
      </c>
      <c r="C89" s="1" t="str">
        <f ca="1">IFERROR(__xludf.DUMMYFUNCTION("""COMPUTED_VALUE"""),"Fri, 01 Sep 2023 05:57:26 GMT")</f>
        <v>Fri, 01 Sep 2023 05:57:26 GMT</v>
      </c>
      <c r="D89" s="1" t="str">
        <f ca="1">IFERROR(__xludf.DUMMYFUNCTION("""COMPUTED_VALUE"""),"전주 세계무형유산 대상에 호주 우디포디아·미국 난민 예술단체  연합뉴스")</f>
        <v>전주 세계무형유산 대상에 호주 우디포디아·미국 난민 예술단체  연합뉴스</v>
      </c>
    </row>
    <row r="90" spans="1:4" ht="12.5" x14ac:dyDescent="0.25">
      <c r="A90" s="1" t="str">
        <f ca="1">IFERROR(__xludf.DUMMYFUNCTION("""COMPUTED_VALUE"""),"""세대초월 워맨스""..손나은♥정유미·수지♥한지민·한소희♥송혜교 '훈훈' - 조선비즈 - 조선비즈")</f>
        <v>"세대초월 워맨스"..손나은♥정유미·수지♥한지민·한소희♥송혜교 '훈훈' - 조선비즈 - 조선비즈</v>
      </c>
      <c r="B90" s="2" t="str">
        <f ca="1">IFERROR(__xludf.DUMMYFUNCTION("""COMPUTED_VALUE"""),"https://news.google.com/rss/articles/CBMiWWh0dHBzOi8vYml6LmNob3N1bi5jb20vZW50ZXJ0YWlubWVudC9lbnRlcl9nZW5lcmFsLzIwMjMvMDgvMjgvVkwyVU1CWFAzV0RLRk5KTzROMzc2NklGVTQv0gFoaHR0cHM6Ly9iaXouY2hvc3VuLmNvbS9lbnRlcnRhaW5tZW50L2VudGVyX2dlbmVyYWwvMjAyMy8wOC8yOC9WTDJVTU"&amp;"JYUDNXREtGTkpPNE4zNzY2SUZVNC8_b3V0cHV0VHlwZT1hbXA?oc=5")</f>
        <v>https://news.google.com/rss/articles/CBMiWWh0dHBzOi8vYml6LmNob3N1bi5jb20vZW50ZXJ0YWlubWVudC9lbnRlcl9nZW5lcmFsLzIwMjMvMDgvMjgvVkwyVU1CWFAzV0RLRk5KTzROMzc2NklGVTQv0gFoaHR0cHM6Ly9iaXouY2hvc3VuLmNvbS9lbnRlcnRhaW5tZW50L2VudGVyX2dlbmVyYWwvMjAyMy8wOC8yOC9WTDJVTUJYUDNXREtGTkpPNE4zNzY2SUZVNC8_b3V0cHV0VHlwZT1hbXA?oc=5</v>
      </c>
      <c r="C90" s="1" t="str">
        <f ca="1">IFERROR(__xludf.DUMMYFUNCTION("""COMPUTED_VALUE"""),"Sun, 27 Aug 2023 21:53:00 GMT")</f>
        <v>Sun, 27 Aug 2023 21:53:00 GMT</v>
      </c>
      <c r="D90" s="1" t="str">
        <f ca="1">IFERROR(__xludf.DUMMYFUNCTION("""COMPUTED_VALUE"""),"""세대초월 워맨스""..손나은♥정유미·수지♥한지민·한소희♥송혜교 '훈훈' - 조선비즈  조선비즈")</f>
        <v>"세대초월 워맨스"..손나은♥정유미·수지♥한지민·한소희♥송혜교 '훈훈' - 조선비즈  조선비즈</v>
      </c>
    </row>
    <row r="91" spans="1:4" ht="12.5" x14ac:dyDescent="0.25">
      <c r="A91" s="1" t="str">
        <f ca="1">IFERROR(__xludf.DUMMYFUNCTION("""COMPUTED_VALUE"""),"선호은행, Z세대는 시중은행, 알파세대는? - 디지털타임스")</f>
        <v>선호은행, Z세대는 시중은행, 알파세대는? - 디지털타임스</v>
      </c>
      <c r="B91" s="2" t="str">
        <f ca="1">IFERROR(__xludf.DUMMYFUNCTION("""COMPUTED_VALUE"""),"https://news.google.com/rss/articles/CBMiQ2h0dHA6Ly93d3cuZHQuY28ua3IvY29udGVudHMuaHRtbD9hcnRpY2xlX25vPTIwMjMwODMwMDIxMDk5NjMwNzYwMDHSAQA?oc=5")</f>
        <v>https://news.google.com/rss/articles/CBMiQ2h0dHA6Ly93d3cuZHQuY28ua3IvY29udGVudHMuaHRtbD9hcnRpY2xlX25vPTIwMjMwODMwMDIxMDk5NjMwNzYwMDHSAQA?oc=5</v>
      </c>
      <c r="C91" s="1" t="str">
        <f ca="1">IFERROR(__xludf.DUMMYFUNCTION("""COMPUTED_VALUE"""),"Tue, 29 Aug 2023 23:30:00 GMT")</f>
        <v>Tue, 29 Aug 2023 23:30:00 GMT</v>
      </c>
      <c r="D91" s="1" t="str">
        <f ca="1">IFERROR(__xludf.DUMMYFUNCTION("""COMPUTED_VALUE"""),"선호은행, Z세대는 시중은행, 알파세대는?  디지털타임스")</f>
        <v>선호은행, Z세대는 시중은행, 알파세대는?  디지털타임스</v>
      </c>
    </row>
    <row r="92" spans="1:4" ht="12.5" x14ac:dyDescent="0.25">
      <c r="A92" s="1" t="str">
        <f ca="1">IFERROR(__xludf.DUMMYFUNCTION("""COMPUTED_VALUE"""),"93세부터 93년생까지… 세대 넘어 돌아온 국극 - 조선일보")</f>
        <v>93세부터 93년생까지… 세대 넘어 돌아온 국극 - 조선일보</v>
      </c>
      <c r="B92" s="2" t="str">
        <f ca="1">IFERROR(__xludf.DUMMYFUNCTION("""COMPUTED_VALUE"""),"https://news.google.com/rss/articles/CBMiW2h0dHBzOi8vd3d3LmNob3N1bi5jb20vY3VsdHVyZS1saWZlL3BlcmZvcm1hbmNlLWFydHMvMjAyMy8wOC8yOS9FSzczV0lCNTY1R09ET1lWQ1BCMlRSSFVNUS_SAWpodHRwczovL3d3dy5jaG9zdW4uY29tL2N1bHR1cmUtbGlmZS9wZXJmb3JtYW5jZS1hcnRzLzIwMjMvMDgvMjkvRU"&amp;"s3M1dJQjU2NUdPRE9ZVkNQQjJUUkhVTVEvP291dHB1dFR5cGU9YW1w?oc=5")</f>
        <v>https://news.google.com/rss/articles/CBMiW2h0dHBzOi8vd3d3LmNob3N1bi5jb20vY3VsdHVyZS1saWZlL3BlcmZvcm1hbmNlLWFydHMvMjAyMy8wOC8yOS9FSzczV0lCNTY1R09ET1lWQ1BCMlRSSFVNUS_SAWpodHRwczovL3d3dy5jaG9zdW4uY29tL2N1bHR1cmUtbGlmZS9wZXJmb3JtYW5jZS1hcnRzLzIwMjMvMDgvMjkvRUs3M1dJQjU2NUdPRE9ZVkNQQjJUUkhVTVEvP291dHB1dFR5cGU9YW1w?oc=5</v>
      </c>
      <c r="C92" s="1" t="str">
        <f ca="1">IFERROR(__xludf.DUMMYFUNCTION("""COMPUTED_VALUE"""),"Mon, 28 Aug 2023 21:16:35 GMT")</f>
        <v>Mon, 28 Aug 2023 21:16:35 GMT</v>
      </c>
      <c r="D92" s="1" t="str">
        <f ca="1">IFERROR(__xludf.DUMMYFUNCTION("""COMPUTED_VALUE"""),"93세부터 93년생까지… 세대 넘어 돌아온 국극  조선일보")</f>
        <v>93세부터 93년생까지… 세대 넘어 돌아온 국극  조선일보</v>
      </c>
    </row>
    <row r="93" spans="1:4" ht="12.5" x14ac:dyDescent="0.25">
      <c r="A93" s="1" t="str">
        <f ca="1">IFERROR(__xludf.DUMMYFUNCTION("""COMPUTED_VALUE"""),"여행 검색도 세대별·국가별 큰 차이 - 트래블데일리")</f>
        <v>여행 검색도 세대별·국가별 큰 차이 - 트래블데일리</v>
      </c>
      <c r="B93" s="2" t="str">
        <f ca="1">IFERROR(__xludf.DUMMYFUNCTION("""COMPUTED_VALUE"""),"https://news.google.com/rss/articles/CBMiPGh0dHA6Ly9tLnRyYXZlbGRhaWx5LmNvLmtyL25ld3MvYXJ0aWNsZVZpZXcuaHRtbD9pZHhubz00NjQ1NtIBAA?oc=5")</f>
        <v>https://news.google.com/rss/articles/CBMiPGh0dHA6Ly9tLnRyYXZlbGRhaWx5LmNvLmtyL25ld3MvYXJ0aWNsZVZpZXcuaHRtbD9pZHhubz00NjQ1NtIBAA?oc=5</v>
      </c>
      <c r="C93" s="1" t="str">
        <f ca="1">IFERROR(__xludf.DUMMYFUNCTION("""COMPUTED_VALUE"""),"Thu, 24 Aug 2023 13:54:35 GMT")</f>
        <v>Thu, 24 Aug 2023 13:54:35 GMT</v>
      </c>
      <c r="D93" s="1" t="str">
        <f ca="1">IFERROR(__xludf.DUMMYFUNCTION("""COMPUTED_VALUE"""),"여행 검색도 세대별·국가별 큰 차이  트래블데일리")</f>
        <v>여행 검색도 세대별·국가별 큰 차이  트래블데일리</v>
      </c>
    </row>
    <row r="94" spans="1:4" ht="12.5" x14ac:dyDescent="0.25">
      <c r="A94" s="1" t="str">
        <f ca="1">IFERROR(__xludf.DUMMYFUNCTION("""COMPUTED_VALUE"""),"여자월드컵: 미국, 8강 진출 실패에 충격 받은 팬들, '우리가 영원히 이길 순 없다' - BBC News 코리아")</f>
        <v>여자월드컵: 미국, 8강 진출 실패에 충격 받은 팬들, '우리가 영원히 이길 순 없다' - BBC News 코리아</v>
      </c>
      <c r="B94" s="2" t="str">
        <f ca="1">IFERROR(__xludf.DUMMYFUNCTION("""COMPUTED_VALUE"""),"https://news.google.com/rss/articles/CBMiI2h0dHBzOi8vd3d3LmJiYy5jb20va29yZWFuLzY2NDI1Mjc40gEnaHR0cHM6Ly93d3cuYmJjLmNvbS9rb3JlYW4vNjY0MjUyNzguYW1w?oc=5")</f>
        <v>https://news.google.com/rss/articles/CBMiI2h0dHBzOi8vd3d3LmJiYy5jb20va29yZWFuLzY2NDI1Mjc40gEnaHR0cHM6Ly93d3cuYmJjLmNvbS9rb3JlYW4vNjY0MjUyNzguYW1w?oc=5</v>
      </c>
      <c r="C94" s="1" t="str">
        <f ca="1">IFERROR(__xludf.DUMMYFUNCTION("""COMPUTED_VALUE"""),"Mon, 07 Aug 2023 07:00:00 GMT")</f>
        <v>Mon, 07 Aug 2023 07:00:00 GMT</v>
      </c>
      <c r="D94" s="1" t="str">
        <f ca="1">IFERROR(__xludf.DUMMYFUNCTION("""COMPUTED_VALUE"""),"여자월드컵: 미국, 8강 진출 실패에 충격 받은 팬들, '우리가 영원히 이길 순 없다'  BBC News 코리아")</f>
        <v>여자월드컵: 미국, 8강 진출 실패에 충격 받은 팬들, '우리가 영원히 이길 순 없다'  BBC News 코리아</v>
      </c>
    </row>
    <row r="95" spans="1:4" ht="12.5" x14ac:dyDescent="0.25">
      <c r="A95" s="1" t="str">
        <f ca="1">IFERROR(__xludf.DUMMYFUNCTION("""COMPUTED_VALUE"""),"""연금 개혁안, 노후소득 보장 목표 상실""…반발 속 열린 공청회(종합) - 연합뉴스")</f>
        <v>"연금 개혁안, 노후소득 보장 목표 상실"…반발 속 열린 공청회(종합) - 연합뉴스</v>
      </c>
      <c r="B95" s="2" t="str">
        <f ca="1">IFERROR(__xludf.DUMMYFUNCTION("""COMPUTED_VALUE"""),"https://news.google.com/rss/articles/CBMiL2h0dHBzOi8vd3d3LnluYS5jby5rci92aWV3L0FLUjIwMjMwOTAxMDU0NTUxNTMw0gEA?oc=5")</f>
        <v>https://news.google.com/rss/articles/CBMiL2h0dHBzOi8vd3d3LnluYS5jby5rci92aWV3L0FLUjIwMjMwOTAxMDU0NTUxNTMw0gEA?oc=5</v>
      </c>
      <c r="C95" s="1" t="str">
        <f ca="1">IFERROR(__xludf.DUMMYFUNCTION("""COMPUTED_VALUE"""),"Fri, 01 Sep 2023 06:51:29 GMT")</f>
        <v>Fri, 01 Sep 2023 06:51:29 GMT</v>
      </c>
      <c r="D95" s="1" t="str">
        <f ca="1">IFERROR(__xludf.DUMMYFUNCTION("""COMPUTED_VALUE"""),"""연금 개혁안, 노후소득 보장 목표 상실""…반발 속 열린 공청회(종합)  연합뉴스")</f>
        <v>"연금 개혁안, 노후소득 보장 목표 상실"…반발 속 열린 공청회(종합)  연합뉴스</v>
      </c>
    </row>
    <row r="96" spans="1:4" ht="12.5" x14ac:dyDescent="0.25">
      <c r="A96" s="1" t="str">
        <f ca="1">IFERROR(__xludf.DUMMYFUNCTION("""COMPUTED_VALUE"""),"광주-강진, '청렴가치 현장교육' 협약 체결 - AI타임스")</f>
        <v>광주-강진, '청렴가치 현장교육' 협약 체결 - AI타임스</v>
      </c>
      <c r="B96" s="2" t="str">
        <f ca="1">IFERROR(__xludf.DUMMYFUNCTION("""COMPUTED_VALUE"""),"https://news.google.com/rss/articles/CBMiOmh0dHBzOi8vd3d3LmFpdGltZXMuY29tL25ld3MvYXJ0aWNsZVZpZXcuaHRtbD9pZHhubz0xNTMxMzHSAQA?oc=5")</f>
        <v>https://news.google.com/rss/articles/CBMiOmh0dHBzOi8vd3d3LmFpdGltZXMuY29tL25ld3MvYXJ0aWNsZVZpZXcuaHRtbD9pZHhubz0xNTMxMzHSAQA?oc=5</v>
      </c>
      <c r="C96" s="1" t="str">
        <f ca="1">IFERROR(__xludf.DUMMYFUNCTION("""COMPUTED_VALUE"""),"Fri, 25 Aug 2023 09:03:27 GMT")</f>
        <v>Fri, 25 Aug 2023 09:03:27 GMT</v>
      </c>
      <c r="D96" s="1" t="str">
        <f ca="1">IFERROR(__xludf.DUMMYFUNCTION("""COMPUTED_VALUE"""),"광주-강진, '청렴가치 현장교육' 협약 체결  AI타임스")</f>
        <v>광주-강진, '청렴가치 현장교육' 협약 체결  AI타임스</v>
      </c>
    </row>
    <row r="97" spans="1:4" ht="12.5" x14ac:dyDescent="0.25">
      <c r="A97" s="1" t="str">
        <f ca="1">IFERROR(__xludf.DUMMYFUNCTION("""COMPUTED_VALUE"""),"3040세대, '정책 프리미엄'에 주택시장 큰 손 굳힌다 - 에너지경제")</f>
        <v>3040세대, '정책 프리미엄'에 주택시장 큰 손 굳힌다 - 에너지경제</v>
      </c>
      <c r="B97" s="2" t="str">
        <f ca="1">IFERROR(__xludf.DUMMYFUNCTION("""COMPUTED_VALUE"""),"https://news.google.com/rss/articles/CBMiL2h0dHBzOi8vbS5la24ua3Ivdmlldy5waHA_a2V5PTIwMjMwODMwMDEwMDA3OTk10gEA?oc=5")</f>
        <v>https://news.google.com/rss/articles/CBMiL2h0dHBzOi8vbS5la24ua3Ivdmlldy5waHA_a2V5PTIwMjMwODMwMDEwMDA3OTk10gEA?oc=5</v>
      </c>
      <c r="C97" s="1" t="str">
        <f ca="1">IFERROR(__xludf.DUMMYFUNCTION("""COMPUTED_VALUE"""),"Wed, 30 Aug 2023 04:40:40 GMT")</f>
        <v>Wed, 30 Aug 2023 04:40:40 GMT</v>
      </c>
      <c r="D97" s="1" t="str">
        <f ca="1">IFERROR(__xludf.DUMMYFUNCTION("""COMPUTED_VALUE"""),"3040세대, '정책 프리미엄'에 주택시장 큰 손 굳힌다  에너지경제")</f>
        <v>3040세대, '정책 프리미엄'에 주택시장 큰 손 굳힌다  에너지경제</v>
      </c>
    </row>
    <row r="98" spans="1:4" ht="12.5" x14ac:dyDescent="0.25">
      <c r="A98" s="1" t="str">
        <f ca="1">IFERROR(__xludf.DUMMYFUNCTION("""COMPUTED_VALUE"""),"영등포종합사회복지관, 98일의 동행으로 1·3세대를 잇다 - 영등포방송")</f>
        <v>영등포종합사회복지관, 98일의 동행으로 1·3세대를 잇다 - 영등포방송</v>
      </c>
      <c r="B98" s="2" t="str">
        <f ca="1">IFERROR(__xludf.DUMMYFUNCTION("""COMPUTED_VALUE"""),"https://news.google.com/rss/articles/CBMiL2h0dHA6Ly93d3cueWJzdHYubmV0L25ld3MvYXJ0aWNsZS5odG1sP25vPTU0OTU10gEA?oc=5")</f>
        <v>https://news.google.com/rss/articles/CBMiL2h0dHA6Ly93d3cueWJzdHYubmV0L25ld3MvYXJ0aWNsZS5odG1sP25vPTU0OTU10gEA?oc=5</v>
      </c>
      <c r="C98" s="1" t="str">
        <f ca="1">IFERROR(__xludf.DUMMYFUNCTION("""COMPUTED_VALUE"""),"Fri, 18 Aug 2023 07:00:00 GMT")</f>
        <v>Fri, 18 Aug 2023 07:00:00 GMT</v>
      </c>
      <c r="D98" s="1" t="str">
        <f ca="1">IFERROR(__xludf.DUMMYFUNCTION("""COMPUTED_VALUE"""),"영등포종합사회복지관, 98일의 동행으로 1·3세대를 잇다  영등포방송")</f>
        <v>영등포종합사회복지관, 98일의 동행으로 1·3세대를 잇다  영등포방송</v>
      </c>
    </row>
    <row r="99" spans="1:4" ht="12.5" x14ac:dyDescent="0.25">
      <c r="A99" s="1" t="str">
        <f ca="1">IFERROR(__xludf.DUMMYFUNCTION("""COMPUTED_VALUE"""),"‘함께하는 미래 세대’ 꿈꾸며 다문화 가정 지원 - 동아일보")</f>
        <v>‘함께하는 미래 세대’ 꿈꾸며 다문화 가정 지원 - 동아일보</v>
      </c>
      <c r="B99" s="2" t="str">
        <f ca="1">IFERROR(__xludf.DUMMYFUNCTION("""COMPUTED_VALUE"""),"https://news.google.com/rss/articles/CBMiQ2h0dHBzOi8vd3d3LmRvbmdhLmNvbS9uZXdzL1NvY2lldHkvYXJ0aWNsZS9hbGwvMjAyMzA4MzAvMTIwOTM3ODM1LzHSATdodHRwczovL3d3dy5kb25nYS5jb20vbmV3cy9hbXAvYWxsLzIwMjMwODMwLzEyMDkzNzgzNS8x?oc=5")</f>
        <v>https://news.google.com/rss/articles/CBMiQ2h0dHBzOi8vd3d3LmRvbmdhLmNvbS9uZXdzL1NvY2lldHkvYXJ0aWNsZS9hbGwvMjAyMzA4MzAvMTIwOTM3ODM1LzHSATdodHRwczovL3d3dy5kb25nYS5jb20vbmV3cy9hbXAvYWxsLzIwMjMwODMwLzEyMDkzNzgzNS8x?oc=5</v>
      </c>
      <c r="C99" s="1" t="str">
        <f ca="1">IFERROR(__xludf.DUMMYFUNCTION("""COMPUTED_VALUE"""),"Wed, 30 Aug 2023 18:00:00 GMT")</f>
        <v>Wed, 30 Aug 2023 18:00:00 GMT</v>
      </c>
      <c r="D99" s="1" t="str">
        <f ca="1">IFERROR(__xludf.DUMMYFUNCTION("""COMPUTED_VALUE"""),"‘함께하는 미래 세대’ 꿈꾸며 다문화 가정 지원  동아일보")</f>
        <v>‘함께하는 미래 세대’ 꿈꾸며 다문화 가정 지원  동아일보</v>
      </c>
    </row>
    <row r="100" spans="1:4" ht="12.5" x14ac:dyDescent="0.25">
      <c r="A100" s="1" t="str">
        <f ca="1">IFERROR(__xludf.DUMMYFUNCTION("""COMPUTED_VALUE"""),"어르신이 사진작가·모델 되어 ‘찰칵’… 문화 체험 기회 늘린다 - 조선일보")</f>
        <v>어르신이 사진작가·모델 되어 ‘찰칵’… 문화 체험 기회 늘린다 - 조선일보</v>
      </c>
      <c r="B100" s="2" t="str">
        <f ca="1">IFERROR(__xludf.DUMMYFUNCTION("""COMPUTED_VALUE"""),"https://news.google.com/rss/articles/CBMiVWh0dHBzOi8vd3d3LmNob3N1bi5jb20vc3BlY2lhbC9zcGVjaWFsX3NlY3Rpb24vMjAyMy8wOC8zMS9TSFdWV1JJQllSSFFaTjRIVzU1M0kzTUE1TS_SAWRodHRwczovL3d3dy5jaG9zdW4uY29tL3NwZWNpYWwvc3BlY2lhbF9zZWN0aW9uLzIwMjMvMDgvMzEvU0hXVldSSUJZUkhRWk"&amp;"40SFc1NTNJM01BNU0vP291dHB1dFR5cGU9YW1w?oc=5")</f>
        <v>https://news.google.com/rss/articles/CBMiVWh0dHBzOi8vd3d3LmNob3N1bi5jb20vc3BlY2lhbC9zcGVjaWFsX3NlY3Rpb24vMjAyMy8wOC8zMS9TSFdWV1JJQllSSFFaTjRIVzU1M0kzTUE1TS_SAWRodHRwczovL3d3dy5jaG9zdW4uY29tL3NwZWNpYWwvc3BlY2lhbF9zZWN0aW9uLzIwMjMvMDgvMzEvU0hXVldSSUJZUkhRWk40SFc1NTNJM01BNU0vP291dHB1dFR5cGU9YW1w?oc=5</v>
      </c>
      <c r="C100" s="1" t="str">
        <f ca="1">IFERROR(__xludf.DUMMYFUNCTION("""COMPUTED_VALUE"""),"Wed, 30 Aug 2023 18:03:59 GMT")</f>
        <v>Wed, 30 Aug 2023 18:03:59 GMT</v>
      </c>
      <c r="D100" s="1" t="str">
        <f ca="1">IFERROR(__xludf.DUMMYFUNCTION("""COMPUTED_VALUE"""),"어르신이 사진작가·모델 되어 ‘찰칵’… 문화 체험 기회 늘린다  조선일보")</f>
        <v>어르신이 사진작가·모델 되어 ‘찰칵’… 문화 체험 기회 늘린다  조선일보</v>
      </c>
    </row>
    <row r="101" spans="1:4" ht="12.5" x14ac:dyDescent="0.25">
      <c r="A101" s="1" t="str">
        <f ca="1">IFERROR(__xludf.DUMMYFUNCTION("""COMPUTED_VALUE"""),"[아파트 광장] ‘낀’ 관리소장의 행복-② - 아파트관리신문")</f>
        <v>[아파트 광장] ‘낀’ 관리소장의 행복-② - 아파트관리신문</v>
      </c>
      <c r="B101" s="2" t="str">
        <f ca="1">IFERROR(__xludf.DUMMYFUNCTION("""COMPUTED_VALUE"""),"https://news.google.com/rss/articles/CBMiOGh0dHA6Ly93d3cuYXB0bi5jby5rci9uZXdzL2FydGljbGVWaWV3Lmh0bWw_aWR4bm89MTA0MTU50gE7aHR0cDovL3d3dy5hcHRuLmNvLmtyL25ld3MvYXJ0aWNsZVZpZXdBbXAuaHRtbD9pZHhubz0xMDQxNTk?oc=5")</f>
        <v>https://news.google.com/rss/articles/CBMiOGh0dHA6Ly93d3cuYXB0bi5jby5rci9uZXdzL2FydGljbGVWaWV3Lmh0bWw_aWR4bm89MTA0MTU50gE7aHR0cDovL3d3dy5hcHRuLmNvLmtyL25ld3MvYXJ0aWNsZVZpZXdBbXAuaHRtbD9pZHhubz0xMDQxNTk?oc=5</v>
      </c>
      <c r="C101" s="1" t="str">
        <f ca="1">IFERROR(__xludf.DUMMYFUNCTION("""COMPUTED_VALUE"""),"Thu, 31 Aug 2023 22:41:39 GMT")</f>
        <v>Thu, 31 Aug 2023 22:41:39 GMT</v>
      </c>
      <c r="D101" s="1" t="str">
        <f ca="1">IFERROR(__xludf.DUMMYFUNCTION("""COMPUTED_VALUE"""),"[아파트 광장] ‘낀’ 관리소장의 행복-②  아파트관리신문")</f>
        <v>[아파트 광장] ‘낀’ 관리소장의 행복-②  아파트관리신문</v>
      </c>
    </row>
    <row r="102" spans="1:4" ht="12.5" x14ac:dyDescent="0.25">
      <c r="A102" s="1" t="str">
        <f ca="1">IFERROR(__xludf.DUMMYFUNCTION("""COMPUTED_VALUE"""),"벼랑 끝으로 내몰리는 'MZ세대' - 경북도민일보")</f>
        <v>벼랑 끝으로 내몰리는 'MZ세대' - 경북도민일보</v>
      </c>
      <c r="B102" s="2" t="str">
        <f ca="1">IFERROR(__xludf.DUMMYFUNCTION("""COMPUTED_VALUE"""),"https://news.google.com/rss/articles/CBMiOWh0dHA6Ly93d3cuaGlkb21pbi5jb20vbmV3cy9hcnRpY2xlVmlldy5odG1sP2lkeG5vPTUyNTE1OdIBAA?oc=5")</f>
        <v>https://news.google.com/rss/articles/CBMiOWh0dHA6Ly93d3cuaGlkb21pbi5jb20vbmV3cy9hcnRpY2xlVmlldy5odG1sP2lkeG5vPTUyNTE1OdIBAA?oc=5</v>
      </c>
      <c r="C102" s="1" t="str">
        <f ca="1">IFERROR(__xludf.DUMMYFUNCTION("""COMPUTED_VALUE"""),"Thu, 31 Aug 2023 09:04:00 GMT")</f>
        <v>Thu, 31 Aug 2023 09:04:00 GMT</v>
      </c>
      <c r="D102" s="1" t="str">
        <f ca="1">IFERROR(__xludf.DUMMYFUNCTION("""COMPUTED_VALUE"""),"벼랑 끝으로 내몰리는 'MZ세대'  경북도민일보")</f>
        <v>벼랑 끝으로 내몰리는 'MZ세대'  경북도민일보</v>
      </c>
    </row>
    <row r="103" spans="1:4" ht="12.5" x14ac:dyDescent="0.25">
      <c r="A103" s="1" t="str">
        <f ca="1">IFERROR(__xludf.DUMMYFUNCTION("""COMPUTED_VALUE"""),"[인터뷰.1st] 경남 역사에 이름 남긴 이광진이 보여주는 베테랑의 역할 - 풋볼리스트 FOOTBALLIST")</f>
        <v>[인터뷰.1st] 경남 역사에 이름 남긴 이광진이 보여주는 베테랑의 역할 - 풋볼리스트 FOOTBALLIST</v>
      </c>
      <c r="B103" s="2" t="str">
        <f ca="1">IFERROR(__xludf.DUMMYFUNCTION("""COMPUTED_VALUE"""),"https://news.google.com/rss/articles/CBMiP2h0dHA6Ly93d3cuZm9vdGJhbGxpc3QuY28ua3IvbmV3cy9hcnRpY2xlVmlldy5odG1sP2lkeG5vPTE3MjM5MtIBAA?oc=5")</f>
        <v>https://news.google.com/rss/articles/CBMiP2h0dHA6Ly93d3cuZm9vdGJhbGxpc3QuY28ua3IvbmV3cy9hcnRpY2xlVmlldy5odG1sP2lkeG5vPTE3MjM5MtIBAA?oc=5</v>
      </c>
      <c r="C103" s="1" t="str">
        <f ca="1">IFERROR(__xludf.DUMMYFUNCTION("""COMPUTED_VALUE"""),"Tue, 29 Aug 2023 07:00:00 GMT")</f>
        <v>Tue, 29 Aug 2023 07:00:00 GMT</v>
      </c>
      <c r="D103" s="1" t="str">
        <f ca="1">IFERROR(__xludf.DUMMYFUNCTION("""COMPUTED_VALUE"""),"[인터뷰.1st] 경남 역사에 이름 남긴 이광진이 보여주는 베테랑의 역할  풋볼리스트 FOOTBALLIST")</f>
        <v>[인터뷰.1st] 경남 역사에 이름 남긴 이광진이 보여주는 베테랑의 역할  풋볼리스트 FOOTBALLIST</v>
      </c>
    </row>
    <row r="104" spans="1:4" ht="12.5" x14ac:dyDescent="0.25">
      <c r="A104" s="1" t="str">
        <f ca="1">IFERROR(__xludf.DUMMYFUNCTION("""COMPUTED_VALUE"""),"""직장 내 세대 차이 느낀다"" 74%, ""부정적 영향""은 23% - 한국일보")</f>
        <v>"직장 내 세대 차이 느낀다" 74%, "부정적 영향"은 23% - 한국일보</v>
      </c>
      <c r="B104" s="2" t="str">
        <f ca="1">IFERROR(__xludf.DUMMYFUNCTION("""COMPUTED_VALUE"""),"https://news.google.com/rss/articles/CBMiOGh0dHBzOi8vbS5oYW5rb29raWxiby5jb20vTmV3cy9SZWFkL0EyMDIzMDQyNTAxMzQwMDAwMTk30gEA?oc=5")</f>
        <v>https://news.google.com/rss/articles/CBMiOGh0dHBzOi8vbS5oYW5rb29raWxiby5jb20vTmV3cy9SZWFkL0EyMDIzMDQyNTAxMzQwMDAwMTk30gEA?oc=5</v>
      </c>
      <c r="C104" s="1" t="str">
        <f ca="1">IFERROR(__xludf.DUMMYFUNCTION("""COMPUTED_VALUE"""),"Sat, 06 May 2023 07:00:00 GMT")</f>
        <v>Sat, 06 May 2023 07:00:00 GMT</v>
      </c>
      <c r="D104" s="1" t="str">
        <f ca="1">IFERROR(__xludf.DUMMYFUNCTION("""COMPUTED_VALUE"""),"""직장 내 세대 차이 느낀다"" 74%, ""부정적 영향""은 23%  한국일보")</f>
        <v>"직장 내 세대 차이 느낀다" 74%, "부정적 영향"은 23%  한국일보</v>
      </c>
    </row>
    <row r="105" spans="1:4" ht="12.5" x14ac:dyDescent="0.25">
      <c r="A105" s="1" t="str">
        <f ca="1">IFERROR(__xludf.DUMMYFUNCTION("""COMPUTED_VALUE"""),"건설기계안전관리원 MZ직원, 경영 직접 참여… 소통 강화한다 - 국토일보")</f>
        <v>건설기계안전관리원 MZ직원, 경영 직접 참여… 소통 강화한다 - 국토일보</v>
      </c>
      <c r="B105" s="2" t="str">
        <f ca="1">IFERROR(__xludf.DUMMYFUNCTION("""COMPUTED_VALUE"""),"https://news.google.com/rss/articles/CBMiNWh0dHA6Ly93d3cuaWtsZC5rci9uZXdzL2FydGljbGVWaWV3Lmh0bWw_aWR4bm89MjgwMjA20gEA?oc=5")</f>
        <v>https://news.google.com/rss/articles/CBMiNWh0dHA6Ly93d3cuaWtsZC5rci9uZXdzL2FydGljbGVWaWV3Lmh0bWw_aWR4bm89MjgwMjA20gEA?oc=5</v>
      </c>
      <c r="C105" s="1" t="str">
        <f ca="1">IFERROR(__xludf.DUMMYFUNCTION("""COMPUTED_VALUE"""),"Fri, 01 Sep 2023 07:23:48 GMT")</f>
        <v>Fri, 01 Sep 2023 07:23:48 GMT</v>
      </c>
      <c r="D105" s="1" t="str">
        <f ca="1">IFERROR(__xludf.DUMMYFUNCTION("""COMPUTED_VALUE"""),"건설기계안전관리원 MZ직원, 경영 직접 참여… 소통 강화한다  국토일보")</f>
        <v>건설기계안전관리원 MZ직원, 경영 직접 참여… 소통 강화한다  국토일보</v>
      </c>
    </row>
    <row r="106" spans="1:4" ht="12.5" x14ac:dyDescent="0.25">
      <c r="A106" s="1" t="str">
        <f ca="1">IFERROR(__xludf.DUMMYFUNCTION("""COMPUTED_VALUE"""),"Z세대 4명 중 1명 ""광복의 의미 모른다"" - YTN")</f>
        <v>Z세대 4명 중 1명 "광복의 의미 모른다" - YTN</v>
      </c>
      <c r="B106" s="2" t="str">
        <f ca="1">IFERROR(__xludf.DUMMYFUNCTION("""COMPUTED_VALUE"""),"https://news.google.com/rss/articles/CBMiMWh0dHBzOi8vd3d3Lnl0bi5jby5rci9fbG4vMDEwNl8yMDIzMDgxNTAyMDg1ODgzMzbSAUNodHRwczovL20ueXRuLmNvLmtyL25ld3Nfdmlldy5hbXAucGhwP3BhcmFtPTAxMDZfMjAyMzA4MTUwMjA4NTg4MzM2?oc=5")</f>
        <v>https://news.google.com/rss/articles/CBMiMWh0dHBzOi8vd3d3Lnl0bi5jby5rci9fbG4vMDEwNl8yMDIzMDgxNTAyMDg1ODgzMzbSAUNodHRwczovL20ueXRuLmNvLmtyL25ld3Nfdmlldy5hbXAucGhwP3BhcmFtPTAxMDZfMjAyMzA4MTUwMjA4NTg4MzM2?oc=5</v>
      </c>
      <c r="C106" s="1" t="str">
        <f ca="1">IFERROR(__xludf.DUMMYFUNCTION("""COMPUTED_VALUE"""),"Tue, 15 Aug 2023 07:00:00 GMT")</f>
        <v>Tue, 15 Aug 2023 07:00:00 GMT</v>
      </c>
      <c r="D106" s="1" t="str">
        <f ca="1">IFERROR(__xludf.DUMMYFUNCTION("""COMPUTED_VALUE"""),"Z세대 4명 중 1명 ""광복의 의미 모른다""  YTN")</f>
        <v>Z세대 4명 중 1명 "광복의 의미 모른다"  YTN</v>
      </c>
    </row>
    <row r="107" spans="1:4" ht="12.5" x14ac:dyDescent="0.25">
      <c r="A107" s="1" t="str">
        <f ca="1">IFERROR(__xludf.DUMMYFUNCTION("""COMPUTED_VALUE"""),"[책과 삶] ‘쿨함이 전부였던 시대’는 어디로···X세대는 갔지만 ‘386세대’는 장기집권 - 경향신문")</f>
        <v>[책과 삶] ‘쿨함이 전부였던 시대’는 어디로···X세대는 갔지만 ‘386세대’는 장기집권 - 경향신문</v>
      </c>
      <c r="B107" s="2" t="str">
        <f ca="1">IFERROR(__xludf.DUMMYFUNCTION("""COMPUTED_VALUE"""),"https://news.google.com/rss/articles/CBMiLGh0dHBzOi8vbS5raGFuLmNvLmtyL2FydGljbGUvMjAyMzA4MTExNjM5MDAx0gE9aHR0cHM6Ly9tLmtoYW4uY28ua3IvY3VsdHVyZS9ib29rL2FydGljbGUvMjAyMzA4MTExNjM5MDAxL2FtcA?oc=5")</f>
        <v>https://news.google.com/rss/articles/CBMiLGh0dHBzOi8vbS5raGFuLmNvLmtyL2FydGljbGUvMjAyMzA4MTExNjM5MDAx0gE9aHR0cHM6Ly9tLmtoYW4uY28ua3IvY3VsdHVyZS9ib29rL2FydGljbGUvMjAyMzA4MTExNjM5MDAxL2FtcA?oc=5</v>
      </c>
      <c r="C107" s="1" t="str">
        <f ca="1">IFERROR(__xludf.DUMMYFUNCTION("""COMPUTED_VALUE"""),"Fri, 11 Aug 2023 07:00:00 GMT")</f>
        <v>Fri, 11 Aug 2023 07:00:00 GMT</v>
      </c>
      <c r="D107" s="1" t="str">
        <f ca="1">IFERROR(__xludf.DUMMYFUNCTION("""COMPUTED_VALUE"""),"[책과 삶] ‘쿨함이 전부였던 시대’는 어디로···X세대는 갔지만 ‘386세대’는 장기집권  경향신문")</f>
        <v>[책과 삶] ‘쿨함이 전부였던 시대’는 어디로···X세대는 갔지만 ‘386세대’는 장기집권  경향신문</v>
      </c>
    </row>
    <row r="108" spans="1:4" ht="12.5" x14ac:dyDescent="0.25">
      <c r="A108" s="1" t="str">
        <f ca="1">IFERROR(__xludf.DUMMYFUNCTION("""COMPUTED_VALUE"""),"[기획] 직장 내 세대차이에 대한 오해와 진실 - 한국리서치 정기조사 여론 속의 여론")</f>
        <v>[기획] 직장 내 세대차이에 대한 오해와 진실 - 한국리서치 정기조사 여론 속의 여론</v>
      </c>
      <c r="B108" s="2" t="str">
        <f ca="1">IFERROR(__xludf.DUMMYFUNCTION("""COMPUTED_VALUE"""),"https://news.google.com/rss/articles/CBMiJ2h0dHBzOi8vaHJjb3Bpbmlvbi5jby5rci9hcmNoaXZlcy8yNjYxONIBK2h0dHBzOi8vaHJjb3Bpbmlvbi5jby5rci9hcmNoaXZlcy8yNjYxOC9hbXA?oc=5")</f>
        <v>https://news.google.com/rss/articles/CBMiJ2h0dHBzOi8vaHJjb3Bpbmlvbi5jby5rci9hcmNoaXZlcy8yNjYxONIBK2h0dHBzOi8vaHJjb3Bpbmlvbi5jby5rci9hcmNoaXZlcy8yNjYxOC9hbXA?oc=5</v>
      </c>
      <c r="C108" s="1" t="str">
        <f ca="1">IFERROR(__xludf.DUMMYFUNCTION("""COMPUTED_VALUE"""),"Wed, 17 May 2023 07:00:00 GMT")</f>
        <v>Wed, 17 May 2023 07:00:00 GMT</v>
      </c>
      <c r="D108" s="1" t="str">
        <f ca="1">IFERROR(__xludf.DUMMYFUNCTION("""COMPUTED_VALUE"""),"[기획] 직장 내 세대차이에 대한 오해와 진실  한국리서치 정기조사 여론 속의 여론")</f>
        <v>[기획] 직장 내 세대차이에 대한 오해와 진실  한국리서치 정기조사 여론 속의 여론</v>
      </c>
    </row>
    <row r="109" spans="1:4" ht="12.5" x14ac:dyDescent="0.25">
      <c r="A109" s="1" t="str">
        <f ca="1">IFERROR(__xludf.DUMMYFUNCTION("""COMPUTED_VALUE"""),"삼성 갤럭시 워치 6 클래식 리뷰ㅣ밤낮으로 착용하고 싶은 스마트워치 - ITWorld Korea")</f>
        <v>삼성 갤럭시 워치 6 클래식 리뷰ㅣ밤낮으로 착용하고 싶은 스마트워치 - ITWorld Korea</v>
      </c>
      <c r="B109" s="2" t="str">
        <f ca="1">IFERROR(__xludf.DUMMYFUNCTION("""COMPUTED_VALUE"""),"https://news.google.com/rss/articles/CBMiJWh0dHBzOi8vd3d3Lml0d29ybGQuY28ua3IvbmV3cy8zMDU3NDPSAQA?oc=5")</f>
        <v>https://news.google.com/rss/articles/CBMiJWh0dHBzOi8vd3d3Lml0d29ybGQuY28ua3IvbmV3cy8zMDU3NDPSAQA?oc=5</v>
      </c>
      <c r="C109" s="1" t="str">
        <f ca="1">IFERROR(__xludf.DUMMYFUNCTION("""COMPUTED_VALUE"""),"Fri, 01 Sep 2023 05:57:44 GMT")</f>
        <v>Fri, 01 Sep 2023 05:57:44 GMT</v>
      </c>
      <c r="D109" s="1" t="str">
        <f ca="1">IFERROR(__xludf.DUMMYFUNCTION("""COMPUTED_VALUE"""),"삼성 갤럭시 워치 6 클래식 리뷰ㅣ밤낮으로 착용하고 싶은 스마트워치  ITWorld Korea")</f>
        <v>삼성 갤럭시 워치 6 클래식 리뷰ㅣ밤낮으로 착용하고 싶은 스마트워치  ITWorld Korea</v>
      </c>
    </row>
    <row r="110" spans="1:4" ht="12.5" x14ac:dyDescent="0.25">
      <c r="A110" s="1" t="str">
        <f ca="1">IFERROR(__xludf.DUMMYFUNCTION("""COMPUTED_VALUE"""),"경찰청, '2023 양성평등주간' 기념행사 개최 - 이데일리")</f>
        <v>경찰청, '2023 양성평등주간' 기념행사 개최 - 이데일리</v>
      </c>
      <c r="B110" s="2" t="str">
        <f ca="1">IFERROR(__xludf.DUMMYFUNCTION("""COMPUTED_VALUE"""),"https://news.google.com/rss/articles/CBMiS2h0dHBzOi8vd3d3LmVkYWlseS5jby5rci9uZXdzL3JlYWQ_bmV3c0lkPTAyMDkyNjQ2NjM1NzM1ODU2Jm1lZGlhQ29kZU5vPTI1N9IBSGh0dHBzOi8vbS5lZGFpbHkuY28ua3IvYW1wL3JlYWQ_bmV3c0lkPTAyMDkyNjQ2NjM1NzM1ODU2Jm1lZGlhQ29kZU5vPTI1Nw?oc=5")</f>
        <v>https://news.google.com/rss/articles/CBMiS2h0dHBzOi8vd3d3LmVkYWlseS5jby5rci9uZXdzL3JlYWQ_bmV3c0lkPTAyMDkyNjQ2NjM1NzM1ODU2Jm1lZGlhQ29kZU5vPTI1N9IBSGh0dHBzOi8vbS5lZGFpbHkuY28ua3IvYW1wL3JlYWQ_bmV3c0lkPTAyMDkyNjQ2NjM1NzM1ODU2Jm1lZGlhQ29kZU5vPTI1Nw?oc=5</v>
      </c>
      <c r="C110" s="1" t="str">
        <f ca="1">IFERROR(__xludf.DUMMYFUNCTION("""COMPUTED_VALUE"""),"Fri, 01 Sep 2023 02:00:00 GMT")</f>
        <v>Fri, 01 Sep 2023 02:00:00 GMT</v>
      </c>
      <c r="D110" s="1" t="str">
        <f ca="1">IFERROR(__xludf.DUMMYFUNCTION("""COMPUTED_VALUE"""),"경찰청, '2023 양성평등주간' 기념행사 개최  이데일리")</f>
        <v>경찰청, '2023 양성평등주간' 기념행사 개최  이데일리</v>
      </c>
    </row>
    <row r="111" spans="1:4" ht="12.5" x14ac:dyDescent="0.25">
      <c r="A111" s="1" t="str">
        <f ca="1">IFERROR(__xludf.DUMMYFUNCTION("""COMPUTED_VALUE"""),"[김규항의 교육·시장·인간](2)반공 노인과 반페미 소년 - 주간경향")</f>
        <v>[김규항의 교육·시장·인간](2)반공 노인과 반페미 소년 - 주간경향</v>
      </c>
      <c r="B111" s="2" t="str">
        <f ca="1">IFERROR(__xludf.DUMMYFUNCTION("""COMPUTED_VALUE"""),"https://news.google.com/rss/articles/CBMiTWh0dHBzOi8vd2Vla2x5LmtoYW4uY28ua3Iva2hubS5odG1sP21vZGU9dmlldyZkZXB0PTExNSZhcnRfaWQ9MjAyMzA4MjUxMDU1MTcx0gEA?oc=5")</f>
        <v>https://news.google.com/rss/articles/CBMiTWh0dHBzOi8vd2Vla2x5LmtoYW4uY28ua3Iva2hubS5odG1sP21vZGU9dmlldyZkZXB0PTExNSZhcnRfaWQ9MjAyMzA4MjUxMDU1MTcx0gEA?oc=5</v>
      </c>
      <c r="C111" s="1" t="str">
        <f ca="1">IFERROR(__xludf.DUMMYFUNCTION("""COMPUTED_VALUE"""),"Fri, 25 Aug 2023 07:00:00 GMT")</f>
        <v>Fri, 25 Aug 2023 07:00:00 GMT</v>
      </c>
      <c r="D111" s="1" t="str">
        <f ca="1">IFERROR(__xludf.DUMMYFUNCTION("""COMPUTED_VALUE"""),"[김규항의 교육·시장·인간](2)반공 노인과 반페미 소년  주간경향")</f>
        <v>[김규항의 교육·시장·인간](2)반공 노인과 반페미 소년  주간경향</v>
      </c>
    </row>
    <row r="112" spans="1:4" ht="12.5" x14ac:dyDescent="0.25">
      <c r="A112" s="1" t="str">
        <f ca="1">IFERROR(__xludf.DUMMYFUNCTION("""COMPUTED_VALUE"""),"4세대 걸그룹은 왜 멤버 수가 줄었을까? - 토스피드")</f>
        <v>4세대 걸그룹은 왜 멤버 수가 줄었을까? - 토스피드</v>
      </c>
      <c r="B112" s="2" t="str">
        <f ca="1">IFERROR(__xludf.DUMMYFUNCTION("""COMPUTED_VALUE"""),"https://news.google.com/rss/articles/CBMiNWh0dHBzOi8vYmxvZy50b3NzLmltL2FydGljbGUvZ2lybC1ncm91cHMtZWNvbm9taWNzLTAx0gEA?oc=5")</f>
        <v>https://news.google.com/rss/articles/CBMiNWh0dHBzOi8vYmxvZy50b3NzLmltL2FydGljbGUvZ2lybC1ncm91cHMtZWNvbm9taWNzLTAx0gEA?oc=5</v>
      </c>
      <c r="C112" s="1" t="str">
        <f ca="1">IFERROR(__xludf.DUMMYFUNCTION("""COMPUTED_VALUE"""),"Tue, 29 Aug 2023 00:01:15 GMT")</f>
        <v>Tue, 29 Aug 2023 00:01:15 GMT</v>
      </c>
      <c r="D112" s="1" t="str">
        <f ca="1">IFERROR(__xludf.DUMMYFUNCTION("""COMPUTED_VALUE"""),"4세대 걸그룹은 왜 멤버 수가 줄었을까?  토스피드")</f>
        <v>4세대 걸그룹은 왜 멤버 수가 줄었을까?  토스피드</v>
      </c>
    </row>
    <row r="113" spans="1:4" ht="12.5" x14ac:dyDescent="0.25">
      <c r="A113" s="1" t="str">
        <f ca="1">IFERROR(__xludf.DUMMYFUNCTION("""COMPUTED_VALUE"""),"[히스토리] 미국이 사랑한 대형 SUV의 표본 – 포드 익스플로러 히스토리 - 한국일보")</f>
        <v>[히스토리] 미국이 사랑한 대형 SUV의 표본 – 포드 익스플로러 히스토리 - 한국일보</v>
      </c>
      <c r="B113" s="2" t="str">
        <f ca="1">IFERROR(__xludf.DUMMYFUNCTION("""COMPUTED_VALUE"""),"https://news.google.com/rss/articles/CBMiOGh0dHBzOi8vbS5oYW5rb29raWxiby5jb20vTmV3cy9SZWFkL0EyMDIzMDgyOTA3MjEwMDAxNTMw0gEA?oc=5")</f>
        <v>https://news.google.com/rss/articles/CBMiOGh0dHBzOi8vbS5oYW5rb29raWxiby5jb20vTmV3cy9SZWFkL0EyMDIzMDgyOTA3MjEwMDAxNTMw0gEA?oc=5</v>
      </c>
      <c r="C113" s="1" t="str">
        <f ca="1">IFERROR(__xludf.DUMMYFUNCTION("""COMPUTED_VALUE"""),"Mon, 28 Aug 2023 22:25:09 GMT")</f>
        <v>Mon, 28 Aug 2023 22:25:09 GMT</v>
      </c>
      <c r="D113" s="1" t="str">
        <f ca="1">IFERROR(__xludf.DUMMYFUNCTION("""COMPUTED_VALUE"""),"[히스토리] 미국이 사랑한 대형 SUV의 표본 – 포드 익스플로러 히스토리  한국일보")</f>
        <v>[히스토리] 미국이 사랑한 대형 SUV의 표본 – 포드 익스플로러 히스토리  한국일보</v>
      </c>
    </row>
    <row r="114" spans="1:4" ht="12.5" x14ac:dyDescent="0.25">
      <c r="A114" s="1" t="str">
        <f ca="1">IFERROR(__xludf.DUMMYFUNCTION("""COMPUTED_VALUE"""),"스타벅스R, DT점 무슨 차이?… 매장 특징 총정리 - 머니S")</f>
        <v>스타벅스R, DT점 무슨 차이?… 매장 특징 총정리 - 머니S</v>
      </c>
      <c r="B114" s="2" t="str">
        <f ca="1">IFERROR(__xludf.DUMMYFUNCTION("""COMPUTED_VALUE"""),"https://news.google.com/rss/articles/CBMiP2h0dHBzOi8vd3d3Lm1vbmV5cy5jby5rci9uZXdzL213Vmlldy5waHA_bm89MjAyMzA4MzExNzM1MzE1ODExMtIBAA?oc=5")</f>
        <v>https://news.google.com/rss/articles/CBMiP2h0dHBzOi8vd3d3Lm1vbmV5cy5jby5rci9uZXdzL213Vmlldy5waHA_bm89MjAyMzA4MzExNzM1MzE1ODExMtIBAA?oc=5</v>
      </c>
      <c r="C114" s="1" t="str">
        <f ca="1">IFERROR(__xludf.DUMMYFUNCTION("""COMPUTED_VALUE"""),"Thu, 31 Aug 2023 20:50:00 GMT")</f>
        <v>Thu, 31 Aug 2023 20:50:00 GMT</v>
      </c>
      <c r="D114" s="1" t="str">
        <f ca="1">IFERROR(__xludf.DUMMYFUNCTION("""COMPUTED_VALUE"""),"스타벅스R, DT점 무슨 차이?… 매장 특징 총정리  머니S")</f>
        <v>스타벅스R, DT점 무슨 차이?… 매장 특징 총정리  머니S</v>
      </c>
    </row>
    <row r="115" spans="1:4" ht="12.5" x14ac:dyDescent="0.25">
      <c r="A115" s="1" t="str">
        <f ca="1">IFERROR(__xludf.DUMMYFUNCTION("""COMPUTED_VALUE"""),"희귀혈액암 ‘WM’ 치료환경, 2세대 BTK억제제가 확 바꿨다 - 청년의사")</f>
        <v>희귀혈액암 ‘WM’ 치료환경, 2세대 BTK억제제가 확 바꿨다 - 청년의사</v>
      </c>
      <c r="B115" s="2" t="str">
        <f ca="1">IFERROR(__xludf.DUMMYFUNCTION("""COMPUTED_VALUE"""),"https://news.google.com/rss/articles/CBMiPmh0dHA6Ly93d3cuZG9jZG9jZG9jLmNvLmtyL25ld3MvYXJ0aWNsZVZpZXcuaHRtbD9pZHhubz0zMDA4NDQz0gFBaHR0cDovL3d3dy5kb2Nkb2Nkb2MuY28ua3IvbmV3cy9hcnRpY2xlVmlld0FtcC5odG1sP2lkeG5vPTMwMDg0NDM?oc=5")</f>
        <v>https://news.google.com/rss/articles/CBMiPmh0dHA6Ly93d3cuZG9jZG9jZG9jLmNvLmtyL25ld3MvYXJ0aWNsZVZpZXcuaHRtbD9pZHhubz0zMDA4NDQz0gFBaHR0cDovL3d3dy5kb2Nkb2Nkb2MuY28ua3IvbmV3cy9hcnRpY2xlVmlld0FtcC5odG1sP2lkeG5vPTMwMDg0NDM?oc=5</v>
      </c>
      <c r="C115" s="1" t="str">
        <f ca="1">IFERROR(__xludf.DUMMYFUNCTION("""COMPUTED_VALUE"""),"Tue, 08 Aug 2023 07:00:00 GMT")</f>
        <v>Tue, 08 Aug 2023 07:00:00 GMT</v>
      </c>
      <c r="D115" s="1" t="str">
        <f ca="1">IFERROR(__xludf.DUMMYFUNCTION("""COMPUTED_VALUE"""),"희귀혈액암 ‘WM’ 치료환경, 2세대 BTK억제제가 확 바꿨다  청년의사")</f>
        <v>희귀혈액암 ‘WM’ 치료환경, 2세대 BTK억제제가 확 바꿨다  청년의사</v>
      </c>
    </row>
    <row r="116" spans="1:4" ht="12.5" x14ac:dyDescent="0.25">
      <c r="A116" s="1" t="str">
        <f ca="1">IFERROR(__xludf.DUMMYFUNCTION("""COMPUTED_VALUE"""),"국민 10명중 8명 “세대갈등 심각하다”…'매우 심각' 전년대비 5%p↑ - 강원도민일보")</f>
        <v>국민 10명중 8명 “세대갈등 심각하다”…'매우 심각' 전년대비 5%p↑ - 강원도민일보</v>
      </c>
      <c r="B116" s="2" t="str">
        <f ca="1">IFERROR(__xludf.DUMMYFUNCTION("""COMPUTED_VALUE"""),"https://news.google.com/rss/articles/CBMiOGh0dHBzOi8vd3d3LmthZG8ubmV0L25ld3MvYXJ0aWNsZVZpZXcuaHRtbD9pZHhubz0xMTczNTgy0gEA?oc=5")</f>
        <v>https://news.google.com/rss/articles/CBMiOGh0dHBzOi8vd3d3LmthZG8ubmV0L25ld3MvYXJ0aWNsZVZpZXcuaHRtbD9pZHhubz0xMTczNTgy0gEA?oc=5</v>
      </c>
      <c r="C116" s="1" t="str">
        <f ca="1">IFERROR(__xludf.DUMMYFUNCTION("""COMPUTED_VALUE"""),"Wed, 15 Mar 2023 07:00:00 GMT")</f>
        <v>Wed, 15 Mar 2023 07:00:00 GMT</v>
      </c>
      <c r="D116" s="1" t="str">
        <f ca="1">IFERROR(__xludf.DUMMYFUNCTION("""COMPUTED_VALUE"""),"국민 10명중 8명 “세대갈등 심각하다”…'매우 심각' 전년대비 5%p↑  강원도민일보")</f>
        <v>국민 10명중 8명 “세대갈등 심각하다”…'매우 심각' 전년대비 5%p↑  강원도민일보</v>
      </c>
    </row>
    <row r="117" spans="1:4" ht="12.5" x14ac:dyDescent="0.25">
      <c r="A117" s="1" t="str">
        <f ca="1">IFERROR(__xludf.DUMMYFUNCTION("""COMPUTED_VALUE"""),"""엄마 몰래 야식 먹는 꿀팁""…LG '이 제품' 써본 Z세대가 한 말 - 머니투데이")</f>
        <v>"엄마 몰래 야식 먹는 꿀팁"…LG '이 제품' 써본 Z세대가 한 말 - 머니투데이</v>
      </c>
      <c r="B117" s="2" t="str">
        <f ca="1">IFERROR(__xludf.DUMMYFUNCTION("""COMPUTED_VALUE"""),"https://news.google.com/rss/articles/CBMiN2h0dHBzOi8vbmV3cy5tdC5jby5rci9tdHZpZXcucGhwP25vPTIwMjMwODMxMDk0NzE2NDE0MTHSAT1odHRwczovL20ubXQuY28ua3IvcmVuZXcvdmlld19hbXAuaHRtbD9ubz0yMDIzMDgzMTA5NDcxNjQxNDEx?oc=5")</f>
        <v>https://news.google.com/rss/articles/CBMiN2h0dHBzOi8vbmV3cy5tdC5jby5rci9tdHZpZXcucGhwP25vPTIwMjMwODMxMDk0NzE2NDE0MTHSAT1odHRwczovL20ubXQuY28ua3IvcmVuZXcvdmlld19hbXAuaHRtbD9ubz0yMDIzMDgzMTA5NDcxNjQxNDEx?oc=5</v>
      </c>
      <c r="C117" s="1" t="str">
        <f ca="1">IFERROR(__xludf.DUMMYFUNCTION("""COMPUTED_VALUE"""),"Thu, 31 Aug 2023 02:00:20 GMT")</f>
        <v>Thu, 31 Aug 2023 02:00:20 GMT</v>
      </c>
      <c r="D117" s="1" t="str">
        <f ca="1">IFERROR(__xludf.DUMMYFUNCTION("""COMPUTED_VALUE"""),"""엄마 몰래 야식 먹는 꿀팁""…LG '이 제품' 써본 Z세대가 한 말  머니투데이")</f>
        <v>"엄마 몰래 야식 먹는 꿀팁"…LG '이 제품' 써본 Z세대가 한 말  머니투데이</v>
      </c>
    </row>
    <row r="118" spans="1:4" ht="12.5" x14ac:dyDescent="0.25">
      <c r="A118" s="1" t="str">
        <f ca="1">IFERROR(__xludf.DUMMYFUNCTION("""COMPUTED_VALUE"""),"[시승기] 신형 싼타페 2.5T, 매력적인 포인트는 승차감 - 탑라이더")</f>
        <v>[시승기] 신형 싼타페 2.5T, 매력적인 포인트는 승차감 - 탑라이더</v>
      </c>
      <c r="B118" s="2" t="str">
        <f ca="1">IFERROR(__xludf.DUMMYFUNCTION("""COMPUTED_VALUE"""),"https://news.google.com/rss/articles/CBMiO2h0dHBzOi8vd3d3LnRvcC1yaWRlci5jb20vbmV3cy9hcnRpY2xlVmlldy5odG1sP2lkeG5vPTYzNzU10gEA?oc=5")</f>
        <v>https://news.google.com/rss/articles/CBMiO2h0dHBzOi8vd3d3LnRvcC1yaWRlci5jb20vbmV3cy9hcnRpY2xlVmlldy5odG1sP2lkeG5vPTYzNzU10gEA?oc=5</v>
      </c>
      <c r="C118" s="1" t="str">
        <f ca="1">IFERROR(__xludf.DUMMYFUNCTION("""COMPUTED_VALUE"""),"Thu, 24 Aug 2023 23:30:00 GMT")</f>
        <v>Thu, 24 Aug 2023 23:30:00 GMT</v>
      </c>
      <c r="D118" s="1" t="str">
        <f ca="1">IFERROR(__xludf.DUMMYFUNCTION("""COMPUTED_VALUE"""),"[시승기] 신형 싼타페 2.5T, 매력적인 포인트는 승차감  탑라이더")</f>
        <v>[시승기] 신형 싼타페 2.5T, 매력적인 포인트는 승차감  탑라이더</v>
      </c>
    </row>
    <row r="119" spans="1:4" ht="12.5" x14ac:dyDescent="0.25">
      <c r="A119" s="1" t="str">
        <f ca="1">IFERROR(__xludf.DUMMYFUNCTION("""COMPUTED_VALUE"""),"제넥신, 지속형 성장호르몬 임상 3상 1차 평가변수 충족 - 히트뉴스")</f>
        <v>제넥신, 지속형 성장호르몬 임상 3상 1차 평가변수 충족 - 히트뉴스</v>
      </c>
      <c r="B119" s="2" t="str">
        <f ca="1">IFERROR(__xludf.DUMMYFUNCTION("""COMPUTED_VALUE"""),"https://news.google.com/rss/articles/CBMiOmh0dHA6Ly93d3cuaGl0bmV3cy5jby5rci9uZXdzL2FydGljbGVWaWV3Lmh0bWw_aWR4bm89NDc4NDLSAQA?oc=5")</f>
        <v>https://news.google.com/rss/articles/CBMiOmh0dHA6Ly93d3cuaGl0bmV3cy5jby5rci9uZXdzL2FydGljbGVWaWV3Lmh0bWw_aWR4bm89NDc4NDLSAQA?oc=5</v>
      </c>
      <c r="C119" s="1" t="str">
        <f ca="1">IFERROR(__xludf.DUMMYFUNCTION("""COMPUTED_VALUE"""),"Wed, 30 Aug 2023 09:23:47 GMT")</f>
        <v>Wed, 30 Aug 2023 09:23:47 GMT</v>
      </c>
      <c r="D119" s="1" t="str">
        <f ca="1">IFERROR(__xludf.DUMMYFUNCTION("""COMPUTED_VALUE"""),"제넥신, 지속형 성장호르몬 임상 3상 1차 평가변수 충족  히트뉴스")</f>
        <v>제넥신, 지속형 성장호르몬 임상 3상 1차 평가변수 충족  히트뉴스</v>
      </c>
    </row>
    <row r="120" spans="1:4" ht="12.5" x14ac:dyDescent="0.25">
      <c r="A120" s="1" t="str">
        <f ca="1">IFERROR(__xludf.DUMMYFUNCTION("""COMPUTED_VALUE"""),"아파트 난방 기본구조 알아야 고장 위치도 보인다 - 한국아파트신문")</f>
        <v>아파트 난방 기본구조 알아야 고장 위치도 보인다 - 한국아파트신문</v>
      </c>
      <c r="B120" s="2" t="str">
        <f ca="1">IFERROR(__xludf.DUMMYFUNCTION("""COMPUTED_VALUE"""),"https://news.google.com/rss/articles/CBMiOGh0dHA6Ly93d3cuaGFwdC5jby5rci9uZXdzL2FydGljbGVWaWV3Lmh0bWw_aWR4bm89MTU5ODQx0gEA?oc=5")</f>
        <v>https://news.google.com/rss/articles/CBMiOGh0dHA6Ly93d3cuaGFwdC5jby5rci9uZXdzL2FydGljbGVWaWV3Lmh0bWw_aWR4bm89MTU5ODQx0gEA?oc=5</v>
      </c>
      <c r="C120" s="1" t="str">
        <f ca="1">IFERROR(__xludf.DUMMYFUNCTION("""COMPUTED_VALUE"""),"Thu, 31 Aug 2023 00:12:54 GMT")</f>
        <v>Thu, 31 Aug 2023 00:12:54 GMT</v>
      </c>
      <c r="D120" s="1" t="str">
        <f ca="1">IFERROR(__xludf.DUMMYFUNCTION("""COMPUTED_VALUE"""),"아파트 난방 기본구조 알아야 고장 위치도 보인다  한국아파트신문")</f>
        <v>아파트 난방 기본구조 알아야 고장 위치도 보인다  한국아파트신문</v>
      </c>
    </row>
    <row r="121" spans="1:4" ht="12.5" x14ac:dyDescent="0.25">
      <c r="A121" s="1" t="str">
        <f ca="1">IFERROR(__xludf.DUMMYFUNCTION("""COMPUTED_VALUE"""),"[우리말 바루기] 맞춤법 - 미주중앙일보")</f>
        <v>[우리말 바루기] 맞춤법 - 미주중앙일보</v>
      </c>
      <c r="B121" s="2" t="str">
        <f ca="1">IFERROR(__xludf.DUMMYFUNCTION("""COMPUTED_VALUE"""),"https://news.google.com/rss/articles/CBMiTWh0dHBzOi8vbmV3cy5rb3JlYWRhaWx5LmNvbS8yMDIzLzA4LzEwL3NvY2lldHkvb3Bpbmlvbi8yMDIzMDgxMDE5MjYzMjczOC5odG1s0gEA?oc=5")</f>
        <v>https://news.google.com/rss/articles/CBMiTWh0dHBzOi8vbmV3cy5rb3JlYWRhaWx5LmNvbS8yMDIzLzA4LzEwL3NvY2lldHkvb3Bpbmlvbi8yMDIzMDgxMDE5MjYzMjczOC5odG1s0gEA?oc=5</v>
      </c>
      <c r="C121" s="1" t="str">
        <f ca="1">IFERROR(__xludf.DUMMYFUNCTION("""COMPUTED_VALUE"""),"Thu, 10 Aug 2023 07:00:00 GMT")</f>
        <v>Thu, 10 Aug 2023 07:00:00 GMT</v>
      </c>
      <c r="D121" s="1" t="str">
        <f ca="1">IFERROR(__xludf.DUMMYFUNCTION("""COMPUTED_VALUE"""),"[우리말 바루기] 맞춤법  미주중앙일보")</f>
        <v>[우리말 바루기] 맞춤법  미주중앙일보</v>
      </c>
    </row>
    <row r="122" spans="1:4" ht="12.5" x14ac:dyDescent="0.25">
      <c r="A122" s="1" t="str">
        <f ca="1">IFERROR(__xludf.DUMMYFUNCTION("""COMPUTED_VALUE"""),"[인생3막 기업]4050 커리어우먼 패션 커머스 '라빔' - 아시아경제")</f>
        <v>[인생3막 기업]4050 커리어우먼 패션 커머스 '라빔' - 아시아경제</v>
      </c>
      <c r="B122" s="2" t="str">
        <f ca="1">IFERROR(__xludf.DUMMYFUNCTION("""COMPUTED_VALUE"""),"https://news.google.com/rss/articles/CBMiTGh0dHBzOi8vd3d3LmFzaWFlLmNvLmtyL3JlYWx0aW1lL3Nva2JvX3ZpZXdOZXcuaHRtP2lkeG5vPTIwMjMwODMwMTE0MTE4NTM4MDHSAQA?oc=5")</f>
        <v>https://news.google.com/rss/articles/CBMiTGh0dHBzOi8vd3d3LmFzaWFlLmNvLmtyL3JlYWx0aW1lL3Nva2JvX3ZpZXdOZXcuaHRtP2lkeG5vPTIwMjMwODMwMTE0MTE4NTM4MDHSAQA?oc=5</v>
      </c>
      <c r="C122" s="1" t="str">
        <f ca="1">IFERROR(__xludf.DUMMYFUNCTION("""COMPUTED_VALUE"""),"Wed, 30 Aug 2023 21:18:35 GMT")</f>
        <v>Wed, 30 Aug 2023 21:18:35 GMT</v>
      </c>
      <c r="D122" s="1" t="str">
        <f ca="1">IFERROR(__xludf.DUMMYFUNCTION("""COMPUTED_VALUE"""),"[인생3막 기업]4050 커리어우먼 패션 커머스 '라빔'  아시아경제")</f>
        <v>[인생3막 기업]4050 커리어우먼 패션 커머스 '라빔'  아시아경제</v>
      </c>
    </row>
    <row r="123" spans="1:4" ht="12.5" x14ac:dyDescent="0.25">
      <c r="A123" s="1" t="str">
        <f ca="1">IFERROR(__xludf.DUMMYFUNCTION("""COMPUTED_VALUE"""),"정성훈 PD ""세븐나이츠 키우기, 라이트함으로 글로벌에 어필"" - 인벤")</f>
        <v>정성훈 PD "세븐나이츠 키우기, 라이트함으로 글로벌에 어필" - 인벤</v>
      </c>
      <c r="B123" s="2" t="str">
        <f ca="1">IFERROR(__xludf.DUMMYFUNCTION("""COMPUTED_VALUE"""),"https://news.google.com/rss/articles/CBMiMWh0dHBzOi8vd3d3LmludmVuLmNvLmtyL3dlYnppbmUvbmV3cy8_bmV3cz0yODgxOTHSAQA?oc=5")</f>
        <v>https://news.google.com/rss/articles/CBMiMWh0dHBzOi8vd3d3LmludmVuLmNvLmtyL3dlYnppbmUvbmV3cy8_bmV3cz0yODgxOTHSAQA?oc=5</v>
      </c>
      <c r="C123" s="1" t="str">
        <f ca="1">IFERROR(__xludf.DUMMYFUNCTION("""COMPUTED_VALUE"""),"Fri, 01 Sep 2023 01:01:02 GMT")</f>
        <v>Fri, 01 Sep 2023 01:01:02 GMT</v>
      </c>
      <c r="D123" s="1" t="str">
        <f ca="1">IFERROR(__xludf.DUMMYFUNCTION("""COMPUTED_VALUE"""),"정성훈 PD ""세븐나이츠 키우기, 라이트함으로 글로벌에 어필""  인벤")</f>
        <v>정성훈 PD "세븐나이츠 키우기, 라이트함으로 글로벌에 어필"  인벤</v>
      </c>
    </row>
    <row r="124" spans="1:4" ht="12.5" x14ac:dyDescent="0.25">
      <c r="A124" s="1" t="str">
        <f ca="1">IFERROR(__xludf.DUMMYFUNCTION("""COMPUTED_VALUE"""),"""색깔·기술 힙하네""…다이슨, MZ세대 사로잡을 헤어케어 한정판 출시 - ZD넷 코리아")</f>
        <v>"색깔·기술 힙하네"…다이슨, MZ세대 사로잡을 헤어케어 한정판 출시 - ZD넷 코리아</v>
      </c>
      <c r="B124" s="2" t="str">
        <f ca="1">IFERROR(__xludf.DUMMYFUNCTION("""COMPUTED_VALUE"""),"https://news.google.com/rss/articles/CBMiK2h0dHBzOi8vemRuZXQuY28ua3Ivdmlldy8_bm89MjAyMzA4MjkxNDQ2MDTSAQA?oc=5")</f>
        <v>https://news.google.com/rss/articles/CBMiK2h0dHBzOi8vemRuZXQuY28ua3Ivdmlldy8_bm89MjAyMzA4MjkxNDQ2MDTSAQA?oc=5</v>
      </c>
      <c r="C124" s="1" t="str">
        <f ca="1">IFERROR(__xludf.DUMMYFUNCTION("""COMPUTED_VALUE"""),"Wed, 30 Aug 2023 01:19:47 GMT")</f>
        <v>Wed, 30 Aug 2023 01:19:47 GMT</v>
      </c>
      <c r="D124" s="1" t="str">
        <f ca="1">IFERROR(__xludf.DUMMYFUNCTION("""COMPUTED_VALUE"""),"""색깔·기술 힙하네""…다이슨, MZ세대 사로잡을 헤어케어 한정판 출시  ZD넷 코리아")</f>
        <v>"색깔·기술 힙하네"…다이슨, MZ세대 사로잡을 헤어케어 한정판 출시  ZD넷 코리아</v>
      </c>
    </row>
    <row r="125" spans="1:4" ht="12.5" x14ac:dyDescent="0.25">
      <c r="A125" s="1" t="str">
        <f ca="1">IFERROR(__xludf.DUMMYFUNCTION("""COMPUTED_VALUE"""),"애플카' 2024년 정식 발표 가능성, 완전자율주행 차량 출시는 늦춘 듯 - 비즈니스포스트")</f>
        <v>애플카' 2024년 정식 발표 가능성, 완전자율주행 차량 출시는 늦춘 듯 - 비즈니스포스트</v>
      </c>
      <c r="B125" s="2" t="str">
        <f ca="1">IFERROR(__xludf.DUMMYFUNCTION("""COMPUTED_VALUE"""),"https://news.google.com/rss/articles/CBMiQWh0dHBzOi8vd3d3LmJ1c2luZXNzcG9zdC5jby5rci9CUD9jb21tYW5kPWFydGljbGVfdmlldyZudW09MzI1NTY10gEA?oc=5")</f>
        <v>https://news.google.com/rss/articles/CBMiQWh0dHBzOi8vd3d3LmJ1c2luZXNzcG9zdC5jby5rci9CUD9jb21tYW5kPWFydGljbGVfdmlldyZudW09MzI1NTY10gEA?oc=5</v>
      </c>
      <c r="C125" s="1" t="str">
        <f ca="1">IFERROR(__xludf.DUMMYFUNCTION("""COMPUTED_VALUE"""),"Mon, 28 Aug 2023 05:57:30 GMT")</f>
        <v>Mon, 28 Aug 2023 05:57:30 GMT</v>
      </c>
      <c r="D125" s="1" t="str">
        <f ca="1">IFERROR(__xludf.DUMMYFUNCTION("""COMPUTED_VALUE"""),"애플카' 2024년 정식 발표 가능성, 완전자율주행 차량 출시는 늦춘 듯  비즈니스포스트")</f>
        <v>애플카' 2024년 정식 발표 가능성, 완전자율주행 차량 출시는 늦춘 듯  비즈니스포스트</v>
      </c>
    </row>
    <row r="126" spans="1:4" ht="12.5" x14ac:dyDescent="0.25">
      <c r="A126" s="1" t="str">
        <f ca="1">IFERROR(__xludf.DUMMYFUNCTION("""COMPUTED_VALUE"""),"꺾일 줄 모르는 '엘리멘탈', 오늘 600만 넘는다 - 매일경제")</f>
        <v>꺾일 줄 모르는 '엘리멘탈', 오늘 600만 넘는다 - 매일경제</v>
      </c>
      <c r="B126" s="2" t="str">
        <f ca="1">IFERROR(__xludf.DUMMYFUNCTION("""COMPUTED_VALUE"""),"https://news.google.com/rss/articles/CBMiNWh0dHBzOi8vd3d3Lm1rLmNvLmtyL3N0YXIvbW92aWVzL3ZpZXcvMjAyMy8wOC81OTEzNTcv0gEA?oc=5")</f>
        <v>https://news.google.com/rss/articles/CBMiNWh0dHBzOi8vd3d3Lm1rLmNvLmtyL3N0YXIvbW92aWVzL3ZpZXcvMjAyMy8wOC81OTEzNTcv0gEA?oc=5</v>
      </c>
      <c r="C126" s="1" t="str">
        <f ca="1">IFERROR(__xludf.DUMMYFUNCTION("""COMPUTED_VALUE"""),"Thu, 03 Aug 2023 07:00:00 GMT")</f>
        <v>Thu, 03 Aug 2023 07:00:00 GMT</v>
      </c>
      <c r="D126" s="1" t="str">
        <f ca="1">IFERROR(__xludf.DUMMYFUNCTION("""COMPUTED_VALUE"""),"꺾일 줄 모르는 '엘리멘탈', 오늘 600만 넘는다  매일경제")</f>
        <v>꺾일 줄 모르는 '엘리멘탈', 오늘 600만 넘는다  매일경제</v>
      </c>
    </row>
    <row r="127" spans="1:4" ht="12.5" x14ac:dyDescent="0.25">
      <c r="A127" s="1" t="str">
        <f ca="1">IFERROR(__xludf.DUMMYFUNCTION("""COMPUTED_VALUE"""),"[2023 차세대 방화벽 리포트] 유통기한 지난 방화벽, 기업 네트워크엔 ... - 보안뉴스")</f>
        <v>[2023 차세대 방화벽 리포트] 유통기한 지난 방화벽, 기업 네트워크엔 ... - 보안뉴스</v>
      </c>
      <c r="B127" s="2" t="str">
        <f ca="1">IFERROR(__xludf.DUMMYFUNCTION("""COMPUTED_VALUE"""),"https://news.google.com/rss/articles/CBMiPWh0dHBzOi8vbS5ib2FubmV3cy5jb20vaHRtbC9kZXRhaWwuaHRtbD90YWJfdHlwZT0xJmlkeD0xMjEzNTLSAQA?oc=5")</f>
        <v>https://news.google.com/rss/articles/CBMiPWh0dHBzOi8vbS5ib2FubmV3cy5jb20vaHRtbC9kZXRhaWwuaHRtbD90YWJfdHlwZT0xJmlkeD0xMjEzNTLSAQA?oc=5</v>
      </c>
      <c r="C127" s="1" t="str">
        <f ca="1">IFERROR(__xludf.DUMMYFUNCTION("""COMPUTED_VALUE"""),"Thu, 31 Aug 2023 07:03:00 GMT")</f>
        <v>Thu, 31 Aug 2023 07:03:00 GMT</v>
      </c>
      <c r="D127" s="1" t="str">
        <f ca="1">IFERROR(__xludf.DUMMYFUNCTION("""COMPUTED_VALUE"""),"[2023 차세대 방화벽 리포트] 유통기한 지난 방화벽, 기업 네트워크엔 ...  보안뉴스")</f>
        <v>[2023 차세대 방화벽 리포트] 유통기한 지난 방화벽, 기업 네트워크엔 ...  보안뉴스</v>
      </c>
    </row>
    <row r="128" spans="1:4" ht="12.5" x14ac:dyDescent="0.25">
      <c r="A128" s="1" t="str">
        <f ca="1">IFERROR(__xludf.DUMMYFUNCTION("""COMPUTED_VALUE"""),"역전세 걱정하던 헬리오시티도 10억 회복…전세 매물도 절반 가까이 감소 - 땅집고")</f>
        <v>역전세 걱정하던 헬리오시티도 10억 회복…전세 매물도 절반 가까이 감소 - 땅집고</v>
      </c>
      <c r="B128" s="2" t="str">
        <f ca="1">IFERROR(__xludf.DUMMYFUNCTION("""COMPUTED_VALUE"""),"https://news.google.com/rss/articles/CBMiSmh0dHBzOi8vcmVhbHR5LmNob3N1bi5jb20vc2l0ZS9kYXRhL2h0bWxfZGlyLzIwMjMvMDgvMzEvMjAyMzA4MzEwMjMzNy5odG1s0gFBaHR0cHM6Ly9yZWFsdHkuY2hvc3VuLmNvbS9tL2FydGljbGUuYW1wLmh0bWw_Y29udGlkPTIwMjMwODMxMDIzMzc?oc=5")</f>
        <v>https://news.google.com/rss/articles/CBMiSmh0dHBzOi8vcmVhbHR5LmNob3N1bi5jb20vc2l0ZS9kYXRhL2h0bWxfZGlyLzIwMjMvMDgvMzEvMjAyMzA4MzEwMjMzNy5odG1s0gFBaHR0cHM6Ly9yZWFsdHkuY2hvc3VuLmNvbS9tL2FydGljbGUuYW1wLmh0bWw_Y29udGlkPTIwMjMwODMxMDIzMzc?oc=5</v>
      </c>
      <c r="C128" s="1" t="str">
        <f ca="1">IFERROR(__xludf.DUMMYFUNCTION("""COMPUTED_VALUE"""),"Thu, 31 Aug 2023 22:31:00 GMT")</f>
        <v>Thu, 31 Aug 2023 22:31:00 GMT</v>
      </c>
      <c r="D128" s="1" t="str">
        <f ca="1">IFERROR(__xludf.DUMMYFUNCTION("""COMPUTED_VALUE"""),"역전세 걱정하던 헬리오시티도 10억 회복…전세 매물도 절반 가까이 감소  땅집고")</f>
        <v>역전세 걱정하던 헬리오시티도 10억 회복…전세 매물도 절반 가까이 감소  땅집고</v>
      </c>
    </row>
    <row r="129" spans="1:4" ht="12.5" x14ac:dyDescent="0.25">
      <c r="A129" s="1" t="str">
        <f ca="1">IFERROR(__xludf.DUMMYFUNCTION("""COMPUTED_VALUE"""),"[투데이 窓]디지털 전환기의 세대 차이 - 머니투데이")</f>
        <v>[투데이 窓]디지털 전환기의 세대 차이 - 머니투데이</v>
      </c>
      <c r="B129" s="2" t="str">
        <f ca="1">IFERROR(__xludf.DUMMYFUNCTION("""COMPUTED_VALUE"""),"https://news.google.com/rss/articles/CBMiN2h0dHBzOi8vbmV3cy5tdC5jby5rci9tdHZpZXcucGhwP25vPTIwMjMwMjA3MTgwMzM4OTk3NDPSAT1odHRwczovL20ubXQuY28ua3IvcmVuZXcvdmlld19hbXAuaHRtbD9ubz0yMDIzMDIwNzE4MDMzODk5NzQz?oc=5")</f>
        <v>https://news.google.com/rss/articles/CBMiN2h0dHBzOi8vbmV3cy5tdC5jby5rci9tdHZpZXcucGhwP25vPTIwMjMwMjA3MTgwMzM4OTk3NDPSAT1odHRwczovL20ubXQuY28ua3IvcmVuZXcvdmlld19hbXAuaHRtbD9ubz0yMDIzMDIwNzE4MDMzODk5NzQz?oc=5</v>
      </c>
      <c r="C129" s="1" t="str">
        <f ca="1">IFERROR(__xludf.DUMMYFUNCTION("""COMPUTED_VALUE"""),"Tue, 14 Feb 2023 08:00:00 GMT")</f>
        <v>Tue, 14 Feb 2023 08:00:00 GMT</v>
      </c>
      <c r="D129" s="1" t="str">
        <f ca="1">IFERROR(__xludf.DUMMYFUNCTION("""COMPUTED_VALUE"""),"[투데이 窓]디지털 전환기의 세대 차이  머니투데이")</f>
        <v>[투데이 窓]디지털 전환기의 세대 차이  머니투데이</v>
      </c>
    </row>
    <row r="130" spans="1:4" ht="12.5" x14ac:dyDescent="0.25">
      <c r="A130" s="1" t="str">
        <f ca="1">IFERROR(__xludf.DUMMYFUNCTION("""COMPUTED_VALUE"""),"노 타투 존 타당한가? - 뉴스웨이")</f>
        <v>노 타투 존 타당한가? - 뉴스웨이</v>
      </c>
      <c r="B130" s="2" t="str">
        <f ca="1">IFERROR(__xludf.DUMMYFUNCTION("""COMPUTED_VALUE"""),"https://news.google.com/rss/articles/CBMiOmh0dHBzOi8vd3d3Lm5ld3N3YXkuY28ua3IvbmV3cy92aWV3P3VkPTIwMjMwOTAxMTQxOTIxMjM1NDbSAQA?oc=5")</f>
        <v>https://news.google.com/rss/articles/CBMiOmh0dHBzOi8vd3d3Lm5ld3N3YXkuY28ua3IvbmV3cy92aWV3P3VkPTIwMjMwOTAxMTQxOTIxMjM1NDbSAQA?oc=5</v>
      </c>
      <c r="C130" s="1" t="str">
        <f ca="1">IFERROR(__xludf.DUMMYFUNCTION("""COMPUTED_VALUE"""),"Fri, 01 Sep 2023 05:19:31 GMT")</f>
        <v>Fri, 01 Sep 2023 05:19:31 GMT</v>
      </c>
      <c r="D130" s="1" t="str">
        <f ca="1">IFERROR(__xludf.DUMMYFUNCTION("""COMPUTED_VALUE"""),"노 타투 존 타당한가?  뉴스웨이")</f>
        <v>노 타투 존 타당한가?  뉴스웨이</v>
      </c>
    </row>
    <row r="131" spans="1:4" ht="12.5" x14ac:dyDescent="0.25">
      <c r="A131" s="1" t="str">
        <f ca="1">IFERROR(__xludf.DUMMYFUNCTION("""COMPUTED_VALUE"""),"김희철, 훈련소 입소 시절 사진 공개에 깜짝 ""어디서 구했어""(힛트쏭 ... - 네이트 뉴스")</f>
        <v>김희철, 훈련소 입소 시절 사진 공개에 깜짝 "어디서 구했어"(힛트쏭 ... - 네이트 뉴스</v>
      </c>
      <c r="B131" s="2" t="str">
        <f ca="1">IFERROR(__xludf.DUMMYFUNCTION("""COMPUTED_VALUE"""),"https://news.google.com/rss/articles/CBMiKWh0dHBzOi8vbmV3cy5uYXRlLmNvbS92aWV3LzIwMjMwODI1bjE3NDEz0gEA?oc=5")</f>
        <v>https://news.google.com/rss/articles/CBMiKWh0dHBzOi8vbmV3cy5uYXRlLmNvbS92aWV3LzIwMjMwODI1bjE3NDEz0gEA?oc=5</v>
      </c>
      <c r="C131" s="1" t="str">
        <f ca="1">IFERROR(__xludf.DUMMYFUNCTION("""COMPUTED_VALUE"""),"Fri, 25 Aug 2023 05:25:00 GMT")</f>
        <v>Fri, 25 Aug 2023 05:25:00 GMT</v>
      </c>
      <c r="D131" s="1" t="str">
        <f ca="1">IFERROR(__xludf.DUMMYFUNCTION("""COMPUTED_VALUE"""),"김희철, 훈련소 입소 시절 사진 공개에 깜짝 ""어디서 구했어""(힛트쏭 ...  네이트 뉴스")</f>
        <v>김희철, 훈련소 입소 시절 사진 공개에 깜짝 "어디서 구했어"(힛트쏭 ...  네이트 뉴스</v>
      </c>
    </row>
    <row r="132" spans="1:4" ht="12.5" x14ac:dyDescent="0.25">
      <c r="A132" s="1" t="str">
        <f ca="1">IFERROR(__xludf.DUMMYFUNCTION("""COMPUTED_VALUE"""),"모토롤라 레이저 40 울트라 vs 삼성전자 갤럭시Z 플립5 - IT동아")</f>
        <v>모토롤라 레이저 40 울트라 vs 삼성전자 갤럭시Z 플립5 - IT동아</v>
      </c>
      <c r="B132" s="2" t="str">
        <f ca="1">IFERROR(__xludf.DUMMYFUNCTION("""COMPUTED_VALUE"""),"https://news.google.com/rss/articles/CBMiHGh0dHBzOi8vaXQuZG9uZ2EuY29tLzEwNDI0Mi_SAQA?oc=5")</f>
        <v>https://news.google.com/rss/articles/CBMiHGh0dHBzOi8vaXQuZG9uZ2EuY29tLzEwNDI0Mi_SAQA?oc=5</v>
      </c>
      <c r="C132" s="1" t="str">
        <f ca="1">IFERROR(__xludf.DUMMYFUNCTION("""COMPUTED_VALUE"""),"Mon, 28 Aug 2023 09:23:56 GMT")</f>
        <v>Mon, 28 Aug 2023 09:23:56 GMT</v>
      </c>
      <c r="D132" s="1" t="str">
        <f ca="1">IFERROR(__xludf.DUMMYFUNCTION("""COMPUTED_VALUE"""),"모토롤라 레이저 40 울트라 vs 삼성전자 갤럭시Z 플립5  IT동아")</f>
        <v>모토롤라 레이저 40 울트라 vs 삼성전자 갤럭시Z 플립5  IT동아</v>
      </c>
    </row>
    <row r="133" spans="1:4" ht="12.5" x14ac:dyDescent="0.25">
      <c r="A133" s="1" t="str">
        <f ca="1">IFERROR(__xludf.DUMMYFUNCTION("""COMPUTED_VALUE"""),"이직에도 세대차이…나이 들수록 '적은 월급 감수' - 시민언론 민들레")</f>
        <v>이직에도 세대차이…나이 들수록 '적은 월급 감수' - 시민언론 민들레</v>
      </c>
      <c r="B133" s="2" t="str">
        <f ca="1">IFERROR(__xludf.DUMMYFUNCTION("""COMPUTED_VALUE"""),"https://news.google.com/rss/articles/CBMiO2h0dHBzOi8vd3d3Lm1pbmRsZW5ld3MuY29tL25ld3MvYXJ0aWNsZVZpZXcuaHRtbD9pZHhubz0zNTE10gEA?oc=5")</f>
        <v>https://news.google.com/rss/articles/CBMiO2h0dHBzOi8vd3d3Lm1pbmRsZW5ld3MuY29tL25ld3MvYXJ0aWNsZVZpZXcuaHRtbD9pZHhubz0zNTE10gEA?oc=5</v>
      </c>
      <c r="C133" s="1" t="str">
        <f ca="1">IFERROR(__xludf.DUMMYFUNCTION("""COMPUTED_VALUE"""),"Thu, 08 Jun 2023 07:00:00 GMT")</f>
        <v>Thu, 08 Jun 2023 07:00:00 GMT</v>
      </c>
      <c r="D133" s="1" t="str">
        <f ca="1">IFERROR(__xludf.DUMMYFUNCTION("""COMPUTED_VALUE"""),"이직에도 세대차이…나이 들수록 '적은 월급 감수'  시민언론 민들레")</f>
        <v>이직에도 세대차이…나이 들수록 '적은 월급 감수'  시민언론 민들레</v>
      </c>
    </row>
    <row r="134" spans="1:4" ht="12.5" x14ac:dyDescent="0.25">
      <c r="A134" s="1" t="str">
        <f ca="1">IFERROR(__xludf.DUMMYFUNCTION("""COMPUTED_VALUE"""),"하버드 1세대가 말하는 점수보다 중요한 것…EBS1 ‘세계의 교육’ - 경향신문")</f>
        <v>하버드 1세대가 말하는 점수보다 중요한 것…EBS1 ‘세계의 교육’ - 경향신문</v>
      </c>
      <c r="B134" s="2" t="str">
        <f ca="1">IFERROR(__xludf.DUMMYFUNCTION("""COMPUTED_VALUE"""),"https://news.google.com/rss/articles/CBMiLGh0dHBzOi8vbS5raGFuLmNvLmtyL2FydGljbGUvMjAyMzA4MDgyMDI0MDA10gE7aHR0cHM6Ly9tLmtoYW4uY28ua3IvY3VsdHVyZS90di9hcnRpY2xlLzIwMjMwODA4MjAyNDAwNS9hbXA?oc=5")</f>
        <v>https://news.google.com/rss/articles/CBMiLGh0dHBzOi8vbS5raGFuLmNvLmtyL2FydGljbGUvMjAyMzA4MDgyMDI0MDA10gE7aHR0cHM6Ly9tLmtoYW4uY28ua3IvY3VsdHVyZS90di9hcnRpY2xlLzIwMjMwODA4MjAyNDAwNS9hbXA?oc=5</v>
      </c>
      <c r="C134" s="1" t="str">
        <f ca="1">IFERROR(__xludf.DUMMYFUNCTION("""COMPUTED_VALUE"""),"Tue, 08 Aug 2023 07:00:00 GMT")</f>
        <v>Tue, 08 Aug 2023 07:00:00 GMT</v>
      </c>
      <c r="D134" s="1" t="str">
        <f ca="1">IFERROR(__xludf.DUMMYFUNCTION("""COMPUTED_VALUE"""),"하버드 1세대가 말하는 점수보다 중요한 것…EBS1 ‘세계의 교육’  경향신문")</f>
        <v>하버드 1세대가 말하는 점수보다 중요한 것…EBS1 ‘세계의 교육’  경향신문</v>
      </c>
    </row>
    <row r="135" spans="1:4" ht="12.5" x14ac:dyDescent="0.25">
      <c r="A135" s="1" t="str">
        <f ca="1">IFERROR(__xludf.DUMMYFUNCTION("""COMPUTED_VALUE"""),"[바이블시론] 세대 차이를 극복하는 법 - 국민일보")</f>
        <v>[바이블시론] 세대 차이를 극복하는 법 - 국민일보</v>
      </c>
      <c r="B135" s="2" t="str">
        <f ca="1">IFERROR(__xludf.DUMMYFUNCTION("""COMPUTED_VALUE"""),"https://news.google.com/rss/articles/CBMiLmh0dHBzOi8vbS5rbWliLmNvLmtyL3ZpZXcuYXNwP2FyY2lkPTA5MjQyODM3MTLSATJodHRwczovL20ua21pYi5jby5rci92aWV3X2FtcC5hc3A_YXJjaWQ9MDkyNDI4MzcxMg?oc=5")</f>
        <v>https://news.google.com/rss/articles/CBMiLmh0dHBzOi8vbS5rbWliLmNvLmtyL3ZpZXcuYXNwP2FyY2lkPTA5MjQyODM3MTLSATJodHRwczovL20ua21pYi5jby5rci92aWV3X2FtcC5hc3A_YXJjaWQ9MDkyNDI4MzcxMg?oc=5</v>
      </c>
      <c r="C135" s="1" t="str">
        <f ca="1">IFERROR(__xludf.DUMMYFUNCTION("""COMPUTED_VALUE"""),"Fri, 20 Jan 2023 08:00:00 GMT")</f>
        <v>Fri, 20 Jan 2023 08:00:00 GMT</v>
      </c>
      <c r="D135" s="1" t="str">
        <f ca="1">IFERROR(__xludf.DUMMYFUNCTION("""COMPUTED_VALUE"""),"[바이블시론] 세대 차이를 극복하는 법  국민일보")</f>
        <v>[바이블시론] 세대 차이를 극복하는 법  국민일보</v>
      </c>
    </row>
    <row r="136" spans="1:4" ht="12.5" x14ac:dyDescent="0.25">
      <c r="A136" s="1" t="str">
        <f ca="1">IFERROR(__xludf.DUMMYFUNCTION("""COMPUTED_VALUE"""),"[김강중 칼럼] 세대 차이와 세대 갈등 - 뉴스티앤티")</f>
        <v>[김강중 칼럼] 세대 차이와 세대 갈등 - 뉴스티앤티</v>
      </c>
      <c r="B136" s="2" t="str">
        <f ca="1">IFERROR(__xludf.DUMMYFUNCTION("""COMPUTED_VALUE"""),"https://news.google.com/rss/articles/CBMiOWh0dHA6Ly93d3cubmV3c3RudC5jb20vbmV3cy9hcnRpY2xlVmlldy5odG1sP2lkeG5vPTIzMDE3MNIBPGh0dHA6Ly93d3cubmV3c3RudC5jb20vbmV3cy9hcnRpY2xlVmlld0FtcC5odG1sP2lkeG5vPTIzMDE3MA?oc=5")</f>
        <v>https://news.google.com/rss/articles/CBMiOWh0dHA6Ly93d3cubmV3c3RudC5jb20vbmV3cy9hcnRpY2xlVmlldy5odG1sP2lkeG5vPTIzMDE3MNIBPGh0dHA6Ly93d3cubmV3c3RudC5jb20vbmV3cy9hcnRpY2xlVmlld0FtcC5odG1sP2lkeG5vPTIzMDE3MA?oc=5</v>
      </c>
      <c r="C136" s="1" t="str">
        <f ca="1">IFERROR(__xludf.DUMMYFUNCTION("""COMPUTED_VALUE"""),"Mon, 10 Oct 2022 07:00:00 GMT")</f>
        <v>Mon, 10 Oct 2022 07:00:00 GMT</v>
      </c>
      <c r="D136" s="1" t="str">
        <f ca="1">IFERROR(__xludf.DUMMYFUNCTION("""COMPUTED_VALUE"""),"[김강중 칼럼] 세대 차이와 세대 갈등  뉴스티앤티")</f>
        <v>[김강중 칼럼] 세대 차이와 세대 갈등  뉴스티앤티</v>
      </c>
    </row>
    <row r="137" spans="1:4" ht="12.5" x14ac:dyDescent="0.25">
      <c r="A137" s="1" t="str">
        <f ca="1">IFERROR(__xludf.DUMMYFUNCTION("""COMPUTED_VALUE"""),"삼성전자, 갤럭시 Z 플립5 내수차별 논란...“1020세대 애플 압도적 ... - 일요주간")</f>
        <v>삼성전자, 갤럭시 Z 플립5 내수차별 논란...“1020세대 애플 압도적 ... - 일요주간</v>
      </c>
      <c r="B137" s="2" t="str">
        <f ca="1">IFERROR(__xludf.DUMMYFUNCTION("""COMPUTED_VALUE"""),"https://news.google.com/rss/articles/CBMiRWh0dHBzOi8vd3d3LmlseW93ZWVrbHkuY28ua3IvbmV3cy9uZXdzdmlldy5waHA_bmNvZGU9MTA2NTU3MjMxMDMyMzM5MtIBAA?oc=5")</f>
        <v>https://news.google.com/rss/articles/CBMiRWh0dHBzOi8vd3d3LmlseW93ZWVrbHkuY28ua3IvbmV3cy9uZXdzdmlldy5waHA_bmNvZGU9MTA2NTU3MjMxMDMyMzM5MtIBAA?oc=5</v>
      </c>
      <c r="C137" s="1" t="str">
        <f ca="1">IFERROR(__xludf.DUMMYFUNCTION("""COMPUTED_VALUE"""),"Wed, 23 Aug 2023 05:28:29 GMT")</f>
        <v>Wed, 23 Aug 2023 05:28:29 GMT</v>
      </c>
      <c r="D137" s="1" t="str">
        <f ca="1">IFERROR(__xludf.DUMMYFUNCTION("""COMPUTED_VALUE"""),"삼성전자, 갤럭시 Z 플립5 내수차별 논란...“1020세대 애플 압도적 ...  일요주간")</f>
        <v>삼성전자, 갤럭시 Z 플립5 내수차별 논란...“1020세대 애플 압도적 ...  일요주간</v>
      </c>
    </row>
    <row r="138" spans="1:4" ht="12.5" x14ac:dyDescent="0.25">
      <c r="A138" s="1" t="str">
        <f ca="1">IFERROR(__xludf.DUMMYFUNCTION("""COMPUTED_VALUE"""),"혼다, 8인승 대형 SUV '올 뉴 파일럿' 4세대 출시…6940만원 - 머니투데이")</f>
        <v>혼다, 8인승 대형 SUV '올 뉴 파일럿' 4세대 출시…6940만원 - 머니투데이</v>
      </c>
      <c r="B138" s="2" t="str">
        <f ca="1">IFERROR(__xludf.DUMMYFUNCTION("""COMPUTED_VALUE"""),"https://news.google.com/rss/articles/CBMiN2h0dHBzOi8vbmV3cy5tdC5jby5rci9tdHZpZXcucGhwP25vPTIwMjMwODI5MTQyNDA2MTM4MDDSAT1odHRwczovL20ubXQuY28ua3IvcmVuZXcvdmlld19hbXAuaHRtbD9ubz0yMDIzMDgyOTE0MjQwNjEzODAw?oc=5")</f>
        <v>https://news.google.com/rss/articles/CBMiN2h0dHBzOi8vbmV3cy5tdC5jby5rci9tdHZpZXcucGhwP25vPTIwMjMwODI5MTQyNDA2MTM4MDDSAT1odHRwczovL20ubXQuY28ua3IvcmVuZXcvdmlld19hbXAuaHRtbD9ubz0yMDIzMDgyOTE0MjQwNjEzODAw?oc=5</v>
      </c>
      <c r="C138" s="1" t="str">
        <f ca="1">IFERROR(__xludf.DUMMYFUNCTION("""COMPUTED_VALUE"""),"Tue, 29 Aug 2023 05:42:37 GMT")</f>
        <v>Tue, 29 Aug 2023 05:42:37 GMT</v>
      </c>
      <c r="D138" s="1" t="str">
        <f ca="1">IFERROR(__xludf.DUMMYFUNCTION("""COMPUTED_VALUE"""),"혼다, 8인승 대형 SUV '올 뉴 파일럿' 4세대 출시…6940만원  머니투데이")</f>
        <v>혼다, 8인승 대형 SUV '올 뉴 파일럿' 4세대 출시…6940만원  머니투데이</v>
      </c>
    </row>
    <row r="139" spans="1:4" ht="12.5" x14ac:dyDescent="0.25">
      <c r="A139" s="1" t="str">
        <f ca="1">IFERROR(__xludf.DUMMYFUNCTION("""COMPUTED_VALUE"""),"달리는 힘 좋고 유지비 저렴 …'쏘나타 LPG' 납시오 - 매일경제")</f>
        <v>달리는 힘 좋고 유지비 저렴 …'쏘나타 LPG' 납시오 - 매일경제</v>
      </c>
      <c r="B139" s="2" t="str">
        <f ca="1">IFERROR(__xludf.DUMMYFUNCTION("""COMPUTED_VALUE"""),"https://news.google.com/rss/articles/CBMiK2h0dHBzOi8vd3d3Lm1rLmNvLmtyL25ld3MvYnVzaW5lc3MvMTA4MTY3NTbSAR9odHRwczovL20ubWsuY28ua3IvYW1wLzEwODE2NzU2?oc=5")</f>
        <v>https://news.google.com/rss/articles/CBMiK2h0dHBzOi8vd3d3Lm1rLmNvLmtyL25ld3MvYnVzaW5lc3MvMTA4MTY3NTbSAR9odHRwczovL20ubWsuY28ua3IvYW1wLzEwODE2NzU2?oc=5</v>
      </c>
      <c r="C139" s="1" t="str">
        <f ca="1">IFERROR(__xludf.DUMMYFUNCTION("""COMPUTED_VALUE"""),"Mon, 28 Aug 2023 07:13:36 GMT")</f>
        <v>Mon, 28 Aug 2023 07:13:36 GMT</v>
      </c>
      <c r="D139" s="1" t="str">
        <f ca="1">IFERROR(__xludf.DUMMYFUNCTION("""COMPUTED_VALUE"""),"달리는 힘 좋고 유지비 저렴 …'쏘나타 LPG' 납시오  매일경제")</f>
        <v>달리는 힘 좋고 유지비 저렴 …'쏘나타 LPG' 납시오  매일경제</v>
      </c>
    </row>
    <row r="140" spans="1:4" ht="12.5" x14ac:dyDescent="0.25">
      <c r="A140" s="1" t="str">
        <f ca="1">IFERROR(__xludf.DUMMYFUNCTION("""COMPUTED_VALUE"""),"보장도 보험료도 2030 맞춤… 포스트 ‘어른이 보험’ 찾아라 - 서울신문")</f>
        <v>보장도 보험료도 2030 맞춤… 포스트 ‘어른이 보험’ 찾아라 - 서울신문</v>
      </c>
      <c r="B140" s="2" t="str">
        <f ca="1">IFERROR(__xludf.DUMMYFUNCTION("""COMPUTED_VALUE"""),"https://news.google.com/rss/articles/CBMiO2h0dHBzOi8vd3d3LnNlb3VsLmNvLmtyL25ld3MvbmV3c1ZpZXcucGhwP2lkPTIwMjMwODMxMDE2MDAz0gEsaHR0cHM6Ly9hbXAuc2VvdWwuY28ua3Ivc2VvdWwvMjAyMzA4MzEwMTYwMDM?oc=5")</f>
        <v>https://news.google.com/rss/articles/CBMiO2h0dHBzOi8vd3d3LnNlb3VsLmNvLmtyL25ld3MvbmV3c1ZpZXcucGhwP2lkPTIwMjMwODMxMDE2MDAz0gEsaHR0cHM6Ly9hbXAuc2VvdWwuY28ua3Ivc2VvdWwvMjAyMzA4MzEwMTYwMDM?oc=5</v>
      </c>
      <c r="C140" s="1" t="str">
        <f ca="1">IFERROR(__xludf.DUMMYFUNCTION("""COMPUTED_VALUE"""),"Wed, 30 Aug 2023 15:25:52 GMT")</f>
        <v>Wed, 30 Aug 2023 15:25:52 GMT</v>
      </c>
      <c r="D140" s="1" t="str">
        <f ca="1">IFERROR(__xludf.DUMMYFUNCTION("""COMPUTED_VALUE"""),"보장도 보험료도 2030 맞춤… 포스트 ‘어른이 보험’ 찾아라  서울신문")</f>
        <v>보장도 보험료도 2030 맞춤… 포스트 ‘어른이 보험’ 찾아라  서울신문</v>
      </c>
    </row>
    <row r="141" spans="1:4" ht="12.5" x14ac:dyDescent="0.25">
      <c r="A141" s="1" t="str">
        <f ca="1">IFERROR(__xludf.DUMMYFUNCTION("""COMPUTED_VALUE"""),"[교육이슈+] Z세대 학생과 교사 &lt; 칼럼 &lt; 오피니언 &lt; 기사본문 - 교육플러스")</f>
        <v>[교육이슈+] Z세대 학생과 교사 &lt; 칼럼 &lt; 오피니언 &lt; 기사본문 - 교육플러스</v>
      </c>
      <c r="B141" s="2" t="str">
        <f ca="1">IFERROR(__xludf.DUMMYFUNCTION("""COMPUTED_VALUE"""),"https://news.google.com/rss/articles/CBMiN2h0dHBzOi8vd3d3LmVkcGwuY28ua3IvbmV3cy9hcnRpY2xlVmlldy5odG1sP2lkeG5vPTg2OTHSAQA?oc=5")</f>
        <v>https://news.google.com/rss/articles/CBMiN2h0dHBzOi8vd3d3LmVkcGwuY28ua3IvbmV3cy9hcnRpY2xlVmlldy5odG1sP2lkeG5vPTg2OTHSAQA?oc=5</v>
      </c>
      <c r="C141" s="1" t="str">
        <f ca="1">IFERROR(__xludf.DUMMYFUNCTION("""COMPUTED_VALUE"""),"Mon, 27 Mar 2023 07:00:00 GMT")</f>
        <v>Mon, 27 Mar 2023 07:00:00 GMT</v>
      </c>
      <c r="D141" s="1" t="str">
        <f ca="1">IFERROR(__xludf.DUMMYFUNCTION("""COMPUTED_VALUE"""),"[교육이슈+] Z세대 학생과 교사 &lt; 칼럼 &lt; 오피니언 &lt; 기사본문  교육플러스")</f>
        <v>[교육이슈+] Z세대 학생과 교사 &lt; 칼럼 &lt; 오피니언 &lt; 기사본문  교육플러스</v>
      </c>
    </row>
    <row r="142" spans="1:4" ht="12.5" x14ac:dyDescent="0.25">
      <c r="A142" s="1" t="str">
        <f ca="1">IFERROR(__xludf.DUMMYFUNCTION("""COMPUTED_VALUE"""),"IT인벤 9월 추천 PC견적&amp;부품 - 인벤")</f>
        <v>IT인벤 9월 추천 PC견적&amp;부품 - 인벤</v>
      </c>
      <c r="B142" s="2" t="str">
        <f ca="1">IFERROR(__xludf.DUMMYFUNCTION("""COMPUTED_VALUE"""),"https://news.google.com/rss/articles/CBMiMWh0dHBzOi8vd3d3LmludmVuLmNvLmtyL3dlYnppbmUvbmV3cy8_bmV3cz0yODgyNjHSAQA?oc=5")</f>
        <v>https://news.google.com/rss/articles/CBMiMWh0dHBzOi8vd3d3LmludmVuLmNvLmtyL3dlYnppbmUvbmV3cy8_bmV3cz0yODgyNjHSAQA?oc=5</v>
      </c>
      <c r="C142" s="1" t="str">
        <f ca="1">IFERROR(__xludf.DUMMYFUNCTION("""COMPUTED_VALUE"""),"Fri, 01 Sep 2023 01:40:09 GMT")</f>
        <v>Fri, 01 Sep 2023 01:40:09 GMT</v>
      </c>
      <c r="D142" s="1" t="str">
        <f ca="1">IFERROR(__xludf.DUMMYFUNCTION("""COMPUTED_VALUE"""),"IT인벤 9월 추천 PC견적&amp;부품  인벤")</f>
        <v>IT인벤 9월 추천 PC견적&amp;부품  인벤</v>
      </c>
    </row>
    <row r="143" spans="1:4" ht="12.5" x14ac:dyDescent="0.25">
      <c r="A143" s="1" t="str">
        <f ca="1">IFERROR(__xludf.DUMMYFUNCTION("""COMPUTED_VALUE"""),"구글, 고성능 컴퓨팅으로 클라우드 업그레이드...""좋은 건 다 붙였다"" - AI타임스")</f>
        <v>구글, 고성능 컴퓨팅으로 클라우드 업그레이드..."좋은 건 다 붙였다" - AI타임스</v>
      </c>
      <c r="B143" s="2" t="str">
        <f ca="1">IFERROR(__xludf.DUMMYFUNCTION("""COMPUTED_VALUE"""),"https://news.google.com/rss/articles/CBMiOmh0dHBzOi8vd3d3LmFpdGltZXMuY29tL25ld3MvYXJ0aWNsZVZpZXcuaHRtbD9pZHhubz0xNTMyMznSAQA?oc=5")</f>
        <v>https://news.google.com/rss/articles/CBMiOmh0dHBzOi8vd3d3LmFpdGltZXMuY29tL25ld3MvYXJ0aWNsZVZpZXcuaHRtbD9pZHhubz0xNTMyMznSAQA?oc=5</v>
      </c>
      <c r="C143" s="1" t="str">
        <f ca="1">IFERROR(__xludf.DUMMYFUNCTION("""COMPUTED_VALUE"""),"Wed, 30 Aug 2023 07:37:55 GMT")</f>
        <v>Wed, 30 Aug 2023 07:37:55 GMT</v>
      </c>
      <c r="D143" s="1" t="str">
        <f ca="1">IFERROR(__xludf.DUMMYFUNCTION("""COMPUTED_VALUE"""),"구글, 고성능 컴퓨팅으로 클라우드 업그레이드...""좋은 건 다 붙였다""  AI타임스")</f>
        <v>구글, 고성능 컴퓨팅으로 클라우드 업그레이드..."좋은 건 다 붙였다"  AI타임스</v>
      </c>
    </row>
    <row r="144" spans="1:4" ht="12.5" x14ac:dyDescent="0.25">
      <c r="A144" s="1" t="str">
        <f ca="1">IFERROR(__xludf.DUMMYFUNCTION("""COMPUTED_VALUE"""),"동대문 화장품, 중국서 1등...에뛰드, 과거에 발목 - 뷰티경제")</f>
        <v>동대문 화장품, 중국서 1등...에뛰드, 과거에 발목 - 뷰티경제</v>
      </c>
      <c r="B144" s="2" t="str">
        <f ca="1">IFERROR(__xludf.DUMMYFUNCTION("""COMPUTED_VALUE"""),"https://news.google.com/rss/articles/CBMiOWh0dHA6Ly93d3cudGhlYmsuY28ua3IvbmV3cy9hcnRpY2xlVmlldy5odG1sP2lkeG5vPTIwNTEzNNIBAA?oc=5")</f>
        <v>https://news.google.com/rss/articles/CBMiOWh0dHA6Ly93d3cudGhlYmsuY28ua3IvbmV3cy9hcnRpY2xlVmlldy5odG1sP2lkeG5vPTIwNTEzNNIBAA?oc=5</v>
      </c>
      <c r="C144" s="1" t="str">
        <f ca="1">IFERROR(__xludf.DUMMYFUNCTION("""COMPUTED_VALUE"""),"Thu, 31 Aug 2023 00:20:00 GMT")</f>
        <v>Thu, 31 Aug 2023 00:20:00 GMT</v>
      </c>
      <c r="D144" s="1" t="str">
        <f ca="1">IFERROR(__xludf.DUMMYFUNCTION("""COMPUTED_VALUE"""),"동대문 화장품, 중국서 1등...에뛰드, 과거에 발목  뷰티경제")</f>
        <v>동대문 화장품, 중국서 1등...에뛰드, 과거에 발목  뷰티경제</v>
      </c>
    </row>
    <row r="145" spans="1:4" ht="12.5" x14ac:dyDescent="0.25">
      <c r="A145" s="1" t="str">
        <f ca="1">IFERROR(__xludf.DUMMYFUNCTION("""COMPUTED_VALUE"""),"美 싼타페 하이브리드-PHEV는 800만원 차이라는데...국내 출시될 그랜저는 얼마나 오를까? - M TODAY")</f>
        <v>美 싼타페 하이브리드-PHEV는 800만원 차이라는데...국내 출시될 그랜저는 얼마나 오를까? - M TODAY</v>
      </c>
      <c r="B145" s="2" t="str">
        <f ca="1">IFERROR(__xludf.DUMMYFUNCTION("""COMPUTED_VALUE"""),"https://news.google.com/rss/articles/CBMiPmh0dHBzOi8vd3d3LmF1dG9kYWlseS5jby5rci9uZXdzL2FydGljbGVWaWV3Lmh0bWw_aWR4bm89NTA5MTA00gFBaHR0cHM6Ly93d3cuYXV0b2RhaWx5LmNvLmtyL25ld3MvYXJ0aWNsZVZpZXdBbXAuaHRtbD9pZHhubz01MDkxMDQ?oc=5")</f>
        <v>https://news.google.com/rss/articles/CBMiPmh0dHBzOi8vd3d3LmF1dG9kYWlseS5jby5rci9uZXdzL2FydGljbGVWaWV3Lmh0bWw_aWR4bm89NTA5MTA00gFBaHR0cHM6Ly93d3cuYXV0b2RhaWx5LmNvLmtyL25ld3MvYXJ0aWNsZVZpZXdBbXAuaHRtbD9pZHhubz01MDkxMDQ?oc=5</v>
      </c>
      <c r="C145" s="1" t="str">
        <f ca="1">IFERROR(__xludf.DUMMYFUNCTION("""COMPUTED_VALUE"""),"Tue, 29 Aug 2023 10:05:00 GMT")</f>
        <v>Tue, 29 Aug 2023 10:05:00 GMT</v>
      </c>
      <c r="D145" s="1" t="str">
        <f ca="1">IFERROR(__xludf.DUMMYFUNCTION("""COMPUTED_VALUE"""),"美 싼타페 하이브리드-PHEV는 800만원 차이라는데...국내 출시될 그랜저는 얼마나 오를까?  M TODAY")</f>
        <v>美 싼타페 하이브리드-PHEV는 800만원 차이라는데...국내 출시될 그랜저는 얼마나 오를까?  M TODAY</v>
      </c>
    </row>
    <row r="146" spans="1:4" ht="12.5" x14ac:dyDescent="0.25">
      <c r="A146" s="1" t="str">
        <f ca="1">IFERROR(__xludf.DUMMYFUNCTION("""COMPUTED_VALUE"""),"[경일칼럼]세대 차이(世代差異)(2) - 경남일보")</f>
        <v>[경일칼럼]세대 차이(世代差異)(2) - 경남일보</v>
      </c>
      <c r="B146" s="2" t="str">
        <f ca="1">IFERROR(__xludf.DUMMYFUNCTION("""COMPUTED_VALUE"""),"https://news.google.com/rss/articles/CBMiOmh0dHA6Ly93d3cuZ25uZXdzLmNvLmtyL25ld3MvYXJ0aWNsZVZpZXcuaHRtbD9pZHhubz01MTQ3MDPSAQA?oc=5")</f>
        <v>https://news.google.com/rss/articles/CBMiOmh0dHA6Ly93d3cuZ25uZXdzLmNvLmtyL25ld3MvYXJ0aWNsZVZpZXcuaHRtbD9pZHhubz01MTQ3MDPSAQA?oc=5</v>
      </c>
      <c r="C146" s="1" t="str">
        <f ca="1">IFERROR(__xludf.DUMMYFUNCTION("""COMPUTED_VALUE"""),"Tue, 15 Nov 2022 08:00:00 GMT")</f>
        <v>Tue, 15 Nov 2022 08:00:00 GMT</v>
      </c>
      <c r="D146" s="1" t="str">
        <f ca="1">IFERROR(__xludf.DUMMYFUNCTION("""COMPUTED_VALUE"""),"[경일칼럼]세대 차이(世代差異)(2)  경남일보")</f>
        <v>[경일칼럼]세대 차이(世代差異)(2)  경남일보</v>
      </c>
    </row>
    <row r="147" spans="1:4" ht="12.5" x14ac:dyDescent="0.25">
      <c r="A147" s="1" t="str">
        <f ca="1">IFERROR(__xludf.DUMMYFUNCTION("""COMPUTED_VALUE"""),"버려진 병뚜껑이 키링으로? - MZ가 선택한 힙한 업사이클링 브랜드 ... - 임팩트온")</f>
        <v>버려진 병뚜껑이 키링으로? - MZ가 선택한 힙한 업사이클링 브랜드 ... - 임팩트온</v>
      </c>
      <c r="B147" s="2" t="str">
        <f ca="1">IFERROR(__xludf.DUMMYFUNCTION("""COMPUTED_VALUE"""),"https://news.google.com/rss/articles/CBMiOWh0dHBzOi8vd3d3LmltcGFjdG9uLm5ldC9uZXdzL2FydGljbGVWaWV3Lmh0bWw_aWR4bm89NzE0MNIBAA?oc=5")</f>
        <v>https://news.google.com/rss/articles/CBMiOWh0dHBzOi8vd3d3LmltcGFjdG9uLm5ldC9uZXdzL2FydGljbGVWaWV3Lmh0bWw_aWR4bm89NzE0MNIBAA?oc=5</v>
      </c>
      <c r="C147" s="1" t="str">
        <f ca="1">IFERROR(__xludf.DUMMYFUNCTION("""COMPUTED_VALUE"""),"Thu, 31 Aug 2023 03:20:18 GMT")</f>
        <v>Thu, 31 Aug 2023 03:20:18 GMT</v>
      </c>
      <c r="D147" s="1" t="str">
        <f ca="1">IFERROR(__xludf.DUMMYFUNCTION("""COMPUTED_VALUE"""),"버려진 병뚜껑이 키링으로? - MZ가 선택한 힙한 업사이클링 브랜드 ...  임팩트온")</f>
        <v>버려진 병뚜껑이 키링으로? - MZ가 선택한 힙한 업사이클링 브랜드 ...  임팩트온</v>
      </c>
    </row>
    <row r="148" spans="1:4" ht="12.5" x14ac:dyDescent="0.25">
      <c r="A148" s="1" t="str">
        <f ca="1">IFERROR(__xludf.DUMMYFUNCTION("""COMPUTED_VALUE"""),"[전성인의 난세직필](17)잇단 흉기 난동과 세대 간 사회계약 - 주간경향")</f>
        <v>[전성인의 난세직필](17)잇단 흉기 난동과 세대 간 사회계약 - 주간경향</v>
      </c>
      <c r="B148" s="2" t="str">
        <f ca="1">IFERROR(__xludf.DUMMYFUNCTION("""COMPUTED_VALUE"""),"https://news.google.com/rss/articles/CBMiTWh0dHBzOi8vd2Vla2x5LmtoYW4uY28ua3Iva2hubS5odG1sP21vZGU9dmlldyZkZXB0PTExNSZhcnRfaWQ9MjAyMzA4MjUxMDU0NDEx0gEA?oc=5")</f>
        <v>https://news.google.com/rss/articles/CBMiTWh0dHBzOi8vd2Vla2x5LmtoYW4uY28ua3Iva2hubS5odG1sP21vZGU9dmlldyZkZXB0PTExNSZhcnRfaWQ9MjAyMzA4MjUxMDU0NDEx0gEA?oc=5</v>
      </c>
      <c r="C148" s="1" t="str">
        <f ca="1">IFERROR(__xludf.DUMMYFUNCTION("""COMPUTED_VALUE"""),"Fri, 25 Aug 2023 07:00:00 GMT")</f>
        <v>Fri, 25 Aug 2023 07:00:00 GMT</v>
      </c>
      <c r="D148" s="1" t="str">
        <f ca="1">IFERROR(__xludf.DUMMYFUNCTION("""COMPUTED_VALUE"""),"[전성인의 난세직필](17)잇단 흉기 난동과 세대 간 사회계약  주간경향")</f>
        <v>[전성인의 난세직필](17)잇단 흉기 난동과 세대 간 사회계약  주간경향</v>
      </c>
    </row>
    <row r="149" spans="1:4" ht="12.5" x14ac:dyDescent="0.25">
      <c r="A149" s="1" t="str">
        <f ca="1">IFERROR(__xludf.DUMMYFUNCTION("""COMPUTED_VALUE"""),"박남정X스테이씨 '살림남2' 출격…현진영과 라떼 토크 예고 : 네이트 연예 - 네이트 뉴스")</f>
        <v>박남정X스테이씨 '살림남2' 출격…현진영과 라떼 토크 예고 : 네이트 연예 - 네이트 뉴스</v>
      </c>
      <c r="B149" s="2" t="str">
        <f ca="1">IFERROR(__xludf.DUMMYFUNCTION("""COMPUTED_VALUE"""),"https://news.google.com/rss/articles/CBMiKWh0dHBzOi8vbmV3cy5uYXRlLmNvbS92aWV3LzIwMjMwODI1bjA2MDM00gEA?oc=5")</f>
        <v>https://news.google.com/rss/articles/CBMiKWh0dHBzOi8vbmV3cy5uYXRlLmNvbS92aWV3LzIwMjMwODI1bjA2MDM00gEA?oc=5</v>
      </c>
      <c r="C149" s="1" t="str">
        <f ca="1">IFERROR(__xludf.DUMMYFUNCTION("""COMPUTED_VALUE"""),"Fri, 25 Aug 2023 00:15:00 GMT")</f>
        <v>Fri, 25 Aug 2023 00:15:00 GMT</v>
      </c>
      <c r="D149" s="1" t="str">
        <f ca="1">IFERROR(__xludf.DUMMYFUNCTION("""COMPUTED_VALUE"""),"박남정X스테이씨 '살림남2' 출격…현진영과 라떼 토크 예고 : 네이트 연예  네이트 뉴스")</f>
        <v>박남정X스테이씨 '살림남2' 출격…현진영과 라떼 토크 예고 : 네이트 연예  네이트 뉴스</v>
      </c>
    </row>
    <row r="150" spans="1:4" ht="12.5" x14ac:dyDescent="0.25">
      <c r="A150" s="1" t="str">
        <f ca="1">IFERROR(__xludf.DUMMYFUNCTION("""COMPUTED_VALUE"""),"놀랍다! 갤럭시S24 전용 스냅드래곤8 3세대 CPU 정보 등장 - 베타뉴스 (BETANEWS)")</f>
        <v>놀랍다! 갤럭시S24 전용 스냅드래곤8 3세대 CPU 정보 등장 - 베타뉴스 (BETANEWS)</v>
      </c>
      <c r="B150" s="2" t="str">
        <f ca="1">IFERROR(__xludf.DUMMYFUNCTION("""COMPUTED_VALUE"""),"https://news.google.com/rss/articles/CBMiJmh0dHBzOi8vbS5iZXRhbmV3cy5uZXQvYXJ0aWNsZS8xNDM3MTQw0gEA?oc=5")</f>
        <v>https://news.google.com/rss/articles/CBMiJmh0dHBzOi8vbS5iZXRhbmV3cy5uZXQvYXJ0aWNsZS8xNDM3MTQw0gEA?oc=5</v>
      </c>
      <c r="C150" s="1" t="str">
        <f ca="1">IFERROR(__xludf.DUMMYFUNCTION("""COMPUTED_VALUE"""),"Sat, 26 Aug 2023 07:00:00 GMT")</f>
        <v>Sat, 26 Aug 2023 07:00:00 GMT</v>
      </c>
      <c r="D150" s="1" t="str">
        <f ca="1">IFERROR(__xludf.DUMMYFUNCTION("""COMPUTED_VALUE"""),"놀랍다! 갤럭시S24 전용 스냅드래곤8 3세대 CPU 정보 등장  베타뉴스 (BETANEWS)")</f>
        <v>놀랍다! 갤럭시S24 전용 스냅드래곤8 3세대 CPU 정보 등장  베타뉴스 (BETANEWS)</v>
      </c>
    </row>
    <row r="151" spans="1:4" ht="12.5" x14ac:dyDescent="0.25">
      <c r="A151" s="1" t="str">
        <f ca="1">IFERROR(__xludf.DUMMYFUNCTION("""COMPUTED_VALUE"""),"[2023 세대인식조사] 세대갈등 및 다른 세대에 대한 인식 - 한국리서치 정기조사 여론 속의 여론")</f>
        <v>[2023 세대인식조사] 세대갈등 및 다른 세대에 대한 인식 - 한국리서치 정기조사 여론 속의 여론</v>
      </c>
      <c r="B151" s="2" t="str">
        <f ca="1">IFERROR(__xludf.DUMMYFUNCTION("""COMPUTED_VALUE"""),"https://news.google.com/rss/articles/CBMiJ2h0dHBzOi8vaHJjb3Bpbmlvbi5jby5rci9hcmNoaXZlcy8yNTk3OdIBK2h0dHBzOi8vaHJjb3Bpbmlvbi5jby5rci9hcmNoaXZlcy8yNTk3OS9hbXA?oc=5")</f>
        <v>https://news.google.com/rss/articles/CBMiJ2h0dHBzOi8vaHJjb3Bpbmlvbi5jby5rci9hcmNoaXZlcy8yNTk3OdIBK2h0dHBzOi8vaHJjb3Bpbmlvbi5jby5rci9hcmNoaXZlcy8yNTk3OS9hbXA?oc=5</v>
      </c>
      <c r="C151" s="1" t="str">
        <f ca="1">IFERROR(__xludf.DUMMYFUNCTION("""COMPUTED_VALUE"""),"Tue, 14 Mar 2023 07:00:00 GMT")</f>
        <v>Tue, 14 Mar 2023 07:00:00 GMT</v>
      </c>
      <c r="D151" s="1" t="str">
        <f ca="1">IFERROR(__xludf.DUMMYFUNCTION("""COMPUTED_VALUE"""),"[2023 세대인식조사] 세대갈등 및 다른 세대에 대한 인식  한국리서치 정기조사 여론 속의 여론")</f>
        <v>[2023 세대인식조사] 세대갈등 및 다른 세대에 대한 인식  한국리서치 정기조사 여론 속의 여론</v>
      </c>
    </row>
    <row r="152" spans="1:4" ht="12.5" x14ac:dyDescent="0.25">
      <c r="A152" s="1" t="str">
        <f ca="1">IFERROR(__xludf.DUMMYFUNCTION("""COMPUTED_VALUE"""),"[리뷰] '전문 그래픽 작업' 최적화, AMD 라데온 프로 W7600 - IT조선")</f>
        <v>[리뷰] '전문 그래픽 작업' 최적화, AMD 라데온 프로 W7600 - IT조선</v>
      </c>
      <c r="B152" s="2" t="str">
        <f ca="1">IFERROR(__xludf.DUMMYFUNCTION("""COMPUTED_VALUE"""),"https://news.google.com/rss/articles/CBMiRmh0dHBzOi8vaXQuY2hvc3VuLmNvbS9zaXRlL2RhdGEvaHRtbF9kaXIvMjAyMy8wOC8yNS8yMDIzMDgyNTAwMzY3Lmh0bWzSAQA?oc=5")</f>
        <v>https://news.google.com/rss/articles/CBMiRmh0dHBzOi8vaXQuY2hvc3VuLmNvbS9zaXRlL2RhdGEvaHRtbF9kaXIvMjAyMy8wOC8yNS8yMDIzMDgyNTAwMzY3Lmh0bWzSAQA?oc=5</v>
      </c>
      <c r="C152" s="1" t="str">
        <f ca="1">IFERROR(__xludf.DUMMYFUNCTION("""COMPUTED_VALUE"""),"Thu, 24 Aug 2023 22:00:27 GMT")</f>
        <v>Thu, 24 Aug 2023 22:00:27 GMT</v>
      </c>
      <c r="D152" s="1" t="str">
        <f ca="1">IFERROR(__xludf.DUMMYFUNCTION("""COMPUTED_VALUE"""),"[리뷰] '전문 그래픽 작업' 최적화, AMD 라데온 프로 W7600  IT조선")</f>
        <v>[리뷰] '전문 그래픽 작업' 최적화, AMD 라데온 프로 W7600  IT조선</v>
      </c>
    </row>
    <row r="153" spans="1:4" ht="12.5" x14ac:dyDescent="0.25">
      <c r="A153" s="1" t="str">
        <f ca="1">IFERROR(__xludf.DUMMYFUNCTION("""COMPUTED_VALUE"""),"뛰고 싶지 않은데 뛰어야 하는 기분 - 브런치")</f>
        <v>뛰고 싶지 않은데 뛰어야 하는 기분 - 브런치</v>
      </c>
      <c r="B153" s="2" t="str">
        <f ca="1">IFERROR(__xludf.DUMMYFUNCTION("""COMPUTED_VALUE"""),"https://news.google.com/rss/articles/CBMiHmh0dHBzOi8vYnJ1bmNoLmNvLmtyL0BAN3lkLzEzNNIBAA?oc=5")</f>
        <v>https://news.google.com/rss/articles/CBMiHmh0dHBzOi8vYnJ1bmNoLmNvLmtyL0BAN3lkLzEzNNIBAA?oc=5</v>
      </c>
      <c r="C153" s="1" t="str">
        <f ca="1">IFERROR(__xludf.DUMMYFUNCTION("""COMPUTED_VALUE"""),"Wed, 30 Aug 2023 07:06:36 GMT")</f>
        <v>Wed, 30 Aug 2023 07:06:36 GMT</v>
      </c>
      <c r="D153" s="1" t="str">
        <f ca="1">IFERROR(__xludf.DUMMYFUNCTION("""COMPUTED_VALUE"""),"뛰고 싶지 않은데 뛰어야 하는 기분  브런치")</f>
        <v>뛰고 싶지 않은데 뛰어야 하는 기분  브런치</v>
      </c>
    </row>
    <row r="154" spans="1:4" ht="12.5" x14ac:dyDescent="0.25">
      <c r="A154" s="1" t="str">
        <f ca="1">IFERROR(__xludf.DUMMYFUNCTION("""COMPUTED_VALUE"""),"(마감 시황) 코스피, 외인 순매수 속 2,560선 안착…삼성전자 6%대 급등 - 뉴스투데이")</f>
        <v>(마감 시황) 코스피, 외인 순매수 속 2,560선 안착…삼성전자 6%대 급등 - 뉴스투데이</v>
      </c>
      <c r="B154" s="2" t="str">
        <f ca="1">IFERROR(__xludf.DUMMYFUNCTION("""COMPUTED_VALUE"""),"https://news.google.com/rss/articles/CBMiMWh0dHBzOi8vd3d3Lm5ld3MyZGF5LmNvLmtyL2FydGljbGUvMjAyMzA5MDE1MDAxODXSAQA?oc=5")</f>
        <v>https://news.google.com/rss/articles/CBMiMWh0dHBzOi8vd3d3Lm5ld3MyZGF5LmNvLmtyL2FydGljbGUvMjAyMzA5MDE1MDAxODXSAQA?oc=5</v>
      </c>
      <c r="C154" s="1" t="str">
        <f ca="1">IFERROR(__xludf.DUMMYFUNCTION("""COMPUTED_VALUE"""),"Fri, 01 Sep 2023 07:08:00 GMT")</f>
        <v>Fri, 01 Sep 2023 07:08:00 GMT</v>
      </c>
      <c r="D154" s="1" t="str">
        <f ca="1">IFERROR(__xludf.DUMMYFUNCTION("""COMPUTED_VALUE"""),"(마감 시황) 코스피, 외인 순매수 속 2,560선 안착…삼성전자 6%대 급등  뉴스투데이")</f>
        <v>(마감 시황) 코스피, 외인 순매수 속 2,560선 안착…삼성전자 6%대 급등  뉴스투데이</v>
      </c>
    </row>
    <row r="155" spans="1:4" ht="12.5" x14ac:dyDescent="0.25">
      <c r="A155" s="1" t="str">
        <f ca="1">IFERROR(__xludf.DUMMYFUNCTION("""COMPUTED_VALUE"""),"[김유찬의 실용재정](28)불평등과 계층이동성 - 주간경향")</f>
        <v>[김유찬의 실용재정](28)불평등과 계층이동성 - 주간경향</v>
      </c>
      <c r="B155" s="2" t="str">
        <f ca="1">IFERROR(__xludf.DUMMYFUNCTION("""COMPUTED_VALUE"""),"https://news.google.com/rss/articles/CBMiS2h0dHA6Ly93ZWVrbHkua2hhbi5jby5rci9raG5tLmh0bWw_bW9kZT12aWV3JmFydGlkPTIwMjMwODI1MTA1NDM5MSZjb2RlPTExNNIBAA?oc=5")</f>
        <v>https://news.google.com/rss/articles/CBMiS2h0dHA6Ly93ZWVrbHkua2hhbi5jby5rci9raG5tLmh0bWw_bW9kZT12aWV3JmFydGlkPTIwMjMwODI1MTA1NDM5MSZjb2RlPTExNNIBAA?oc=5</v>
      </c>
      <c r="C155" s="1" t="str">
        <f ca="1">IFERROR(__xludf.DUMMYFUNCTION("""COMPUTED_VALUE"""),"Wed, 30 Aug 2023 22:42:07 GMT")</f>
        <v>Wed, 30 Aug 2023 22:42:07 GMT</v>
      </c>
      <c r="D155" s="1" t="str">
        <f ca="1">IFERROR(__xludf.DUMMYFUNCTION("""COMPUTED_VALUE"""),"[김유찬의 실용재정](28)불평등과 계층이동성  주간경향")</f>
        <v>[김유찬의 실용재정](28)불평등과 계층이동성  주간경향</v>
      </c>
    </row>
    <row r="156" spans="1:4" ht="12.5" x14ac:dyDescent="0.25">
      <c r="A156" s="1" t="str">
        <f ca="1">IFERROR(__xludf.DUMMYFUNCTION("""COMPUTED_VALUE"""),"앱 이용 '세대 차이' 커...Z세대만 인스타가 1위·다른 세대는 카톡 - YTN")</f>
        <v>앱 이용 '세대 차이' 커...Z세대만 인스타가 1위·다른 세대는 카톡 - YTN</v>
      </c>
      <c r="B156" s="2" t="str">
        <f ca="1">IFERROR(__xludf.DUMMYFUNCTION("""COMPUTED_VALUE"""),"https://news.google.com/rss/articles/CBMiMWh0dHBzOi8vd3d3Lnl0bi5jby5rci9fbG4vMDEwMl8yMDIyMTIxNjEzNDcwOTU4MTLSAUNodHRwczovL20ueXRuLmNvLmtyL25ld3Nfdmlldy5hbXAucGhwP3BhcmFtPTAxMDJfMjAyMjEyMTYxMzQ3MDk1ODEy?oc=5")</f>
        <v>https://news.google.com/rss/articles/CBMiMWh0dHBzOi8vd3d3Lnl0bi5jby5rci9fbG4vMDEwMl8yMDIyMTIxNjEzNDcwOTU4MTLSAUNodHRwczovL20ueXRuLmNvLmtyL25ld3Nfdmlldy5hbXAucGhwP3BhcmFtPTAxMDJfMjAyMjEyMTYxMzQ3MDk1ODEy?oc=5</v>
      </c>
      <c r="C156" s="1" t="str">
        <f ca="1">IFERROR(__xludf.DUMMYFUNCTION("""COMPUTED_VALUE"""),"Fri, 16 Dec 2022 08:00:00 GMT")</f>
        <v>Fri, 16 Dec 2022 08:00:00 GMT</v>
      </c>
      <c r="D156" s="1" t="str">
        <f ca="1">IFERROR(__xludf.DUMMYFUNCTION("""COMPUTED_VALUE"""),"앱 이용 '세대 차이' 커...Z세대만 인스타가 1위·다른 세대는 카톡  YTN")</f>
        <v>앱 이용 '세대 차이' 커...Z세대만 인스타가 1위·다른 세대는 카톡  YTN</v>
      </c>
    </row>
    <row r="157" spans="1:4" ht="12.5" x14ac:dyDescent="0.25">
      <c r="A157" s="1" t="str">
        <f ca="1">IFERROR(__xludf.DUMMYFUNCTION("""COMPUTED_VALUE"""),"[김민의 라떼별곡] 세대차이 탈피하기 - 뉴스로(NEWSRO)")</f>
        <v>[김민의 라떼별곡] 세대차이 탈피하기 - 뉴스로(NEWSRO)</v>
      </c>
      <c r="B157" s="2" t="str">
        <f ca="1">IFERROR(__xludf.DUMMYFUNCTION("""COMPUTED_VALUE"""),"https://news.google.com/rss/articles/CBMioQFodHRwczovL3d3dy5uZXdzcm8ua3IvJUVBJUI5JTgwJUVCJUFGJUJDJUVDJTlEJTk4LSVFQiU5RCVCQyVFQiU5NiVCQyVFQiVCMyU4NCVFQSVCMyVBMS0lRUMlODQlQjglRUIlOEMlODAlRUMlQjAlQTglRUMlOUQlQjQtJUVEJTgzJTg4JUVEJTk0JUJDJUVEJTk1JTk4JUVBJUI4JU"&amp;"IwL9IBAA?oc=5")</f>
        <v>https://news.google.com/rss/articles/CBMioQFodHRwczovL3d3dy5uZXdzcm8ua3IvJUVBJUI5JTgwJUVCJUFGJUJDJUVDJTlEJTk4LSVFQiU5RCVCQyVFQiU5NiVCQyVFQiVCMyU4NCVFQSVCMyVBMS0lRUMlODQlQjglRUIlOEMlODAlRUMlQjAlQTglRUMlOUQlQjQtJUVEJTgzJTg4JUVEJTk0JUJDJUVEJTk1JTk4JUVBJUI4JUIwL9IBAA?oc=5</v>
      </c>
      <c r="C157" s="1" t="str">
        <f ca="1">IFERROR(__xludf.DUMMYFUNCTION("""COMPUTED_VALUE"""),"Mon, 30 May 2022 07:00:00 GMT")</f>
        <v>Mon, 30 May 2022 07:00:00 GMT</v>
      </c>
      <c r="D157" s="1" t="str">
        <f ca="1">IFERROR(__xludf.DUMMYFUNCTION("""COMPUTED_VALUE"""),"[김민의 라떼별곡] 세대차이 탈피하기  뉴스로(NEWSRO)")</f>
        <v>[김민의 라떼별곡] 세대차이 탈피하기  뉴스로(NEWSRO)</v>
      </c>
    </row>
    <row r="158" spans="1:4" ht="12.5" x14ac:dyDescent="0.25">
      <c r="A158" s="1" t="str">
        <f ca="1">IFERROR(__xludf.DUMMYFUNCTION("""COMPUTED_VALUE"""),"메타버스 ‘세컨블록’ 통해 세대 차이 극복, 문화·예술 한계 극복, 참여의 제약 극복 - 조선일보")</f>
        <v>메타버스 ‘세컨블록’ 통해 세대 차이 극복, 문화·예술 한계 극복, 참여의 제약 극복 - 조선일보</v>
      </c>
      <c r="B158" s="2" t="str">
        <f ca="1">IFERROR(__xludf.DUMMYFUNCTION("""COMPUTED_VALUE"""),"https://news.google.com/rss/articles/CBMiVWh0dHBzOi8vd3d3LmNob3N1bi5jb20vc3BlY2lhbC9zcGVjaWFsX3NlY3Rpb24vMjAyMi8xMi8yMC9VVUNCS1dNVllCR1FQRUdPRDdFWFI2WEhSWS_SAWRodHRwczovL3d3dy5jaG9zdW4uY29tL3NwZWNpYWwvc3BlY2lhbF9zZWN0aW9uLzIwMjIvMTIvMjAvVVVDQktXTVZZQkdRUE"&amp;"VHT0Q3RVhSNlhIUlkvP291dHB1dFR5cGU9YW1w?oc=5")</f>
        <v>https://news.google.com/rss/articles/CBMiVWh0dHBzOi8vd3d3LmNob3N1bi5jb20vc3BlY2lhbC9zcGVjaWFsX3NlY3Rpb24vMjAyMi8xMi8yMC9VVUNCS1dNVllCR1FQRUdPRDdFWFI2WEhSWS_SAWRodHRwczovL3d3dy5jaG9zdW4uY29tL3NwZWNpYWwvc3BlY2lhbF9zZWN0aW9uLzIwMjIvMTIvMjAvVVVDQktXTVZZQkdRUEVHT0Q3RVhSNlhIUlkvP291dHB1dFR5cGU9YW1w?oc=5</v>
      </c>
      <c r="C158" s="1" t="str">
        <f ca="1">IFERROR(__xludf.DUMMYFUNCTION("""COMPUTED_VALUE"""),"Tue, 20 Dec 2022 08:00:00 GMT")</f>
        <v>Tue, 20 Dec 2022 08:00:00 GMT</v>
      </c>
      <c r="D158" s="1" t="str">
        <f ca="1">IFERROR(__xludf.DUMMYFUNCTION("""COMPUTED_VALUE"""),"메타버스 ‘세컨블록’ 통해 세대 차이 극복, 문화·예술 한계 극복, 참여의 제약 극복  조선일보")</f>
        <v>메타버스 ‘세컨블록’ 통해 세대 차이 극복, 문화·예술 한계 극복, 참여의 제약 극복  조선일보</v>
      </c>
    </row>
    <row r="159" spans="1:4" ht="12.5" x14ac:dyDescent="0.25">
      <c r="A159" s="1" t="str">
        <f ca="1">IFERROR(__xludf.DUMMYFUNCTION("""COMPUTED_VALUE"""),"[옛날잡지] X세대 연애풍속도 대공개, 男 56% “바람피운 적 있다” - 경향신문")</f>
        <v>[옛날잡지] X세대 연애풍속도 대공개, 男 56% “바람피운 적 있다” - 경향신문</v>
      </c>
      <c r="B159" s="2" t="str">
        <f ca="1">IFERROR(__xludf.DUMMYFUNCTION("""COMPUTED_VALUE"""),"https://news.google.com/rss/articles/CBMiLGh0dHBzOi8vbS5raGFuLmNvLmtyL2FydGljbGUvMjAyMzA4MDMxMzUzMDAx0gFCaHR0cHM6Ly9tLmtoYW4uY28ua3IvbGlmZS9saWZlLWdlbmVyYWwvYXJ0aWNsZS8yMDIzMDgwMzEzNTMwMDEvYW1w?oc=5")</f>
        <v>https://news.google.com/rss/articles/CBMiLGh0dHBzOi8vbS5raGFuLmNvLmtyL2FydGljbGUvMjAyMzA4MDMxMzUzMDAx0gFCaHR0cHM6Ly9tLmtoYW4uY28ua3IvbGlmZS9saWZlLWdlbmVyYWwvYXJ0aWNsZS8yMDIzMDgwMzEzNTMwMDEvYW1w?oc=5</v>
      </c>
      <c r="C159" s="1" t="str">
        <f ca="1">IFERROR(__xludf.DUMMYFUNCTION("""COMPUTED_VALUE"""),"Thu, 03 Aug 2023 07:00:00 GMT")</f>
        <v>Thu, 03 Aug 2023 07:00:00 GMT</v>
      </c>
      <c r="D159" s="1" t="str">
        <f ca="1">IFERROR(__xludf.DUMMYFUNCTION("""COMPUTED_VALUE"""),"[옛날잡지] X세대 연애풍속도 대공개, 男 56% “바람피운 적 있다”  경향신문")</f>
        <v>[옛날잡지] X세대 연애풍속도 대공개, 男 56% “바람피운 적 있다”  경향신문</v>
      </c>
    </row>
    <row r="160" spans="1:4" ht="12.5" x14ac:dyDescent="0.25">
      <c r="A160" s="1" t="str">
        <f ca="1">IFERROR(__xludf.DUMMYFUNCTION("""COMPUTED_VALUE"""),"[2023 머니엑스포] 보험사, 고령자·유병자 모시기 적극 나섰다...눈 ... - 이코노믹리뷰")</f>
        <v>[2023 머니엑스포] 보험사, 고령자·유병자 모시기 적극 나섰다...눈 ... - 이코노믹리뷰</v>
      </c>
      <c r="B160" s="2" t="str">
        <f ca="1">IFERROR(__xludf.DUMMYFUNCTION("""COMPUTED_VALUE"""),"https://news.google.com/rss/articles/CBMiPGh0dHBzOi8vd3d3LmVjb25vdmlsbC5jb20vbmV3cy9hcnRpY2xlVmlldy5odG1sP2lkeG5vPTYyMTc2NNIBAA?oc=5")</f>
        <v>https://news.google.com/rss/articles/CBMiPGh0dHBzOi8vd3d3LmVjb25vdmlsbC5jb20vbmV3cy9hcnRpY2xlVmlldy5odG1sP2lkeG5vPTYyMTc2NNIBAA?oc=5</v>
      </c>
      <c r="C160" s="1" t="str">
        <f ca="1">IFERROR(__xludf.DUMMYFUNCTION("""COMPUTED_VALUE"""),"Sun, 27 Aug 2023 08:00:00 GMT")</f>
        <v>Sun, 27 Aug 2023 08:00:00 GMT</v>
      </c>
      <c r="D160" s="1" t="str">
        <f ca="1">IFERROR(__xludf.DUMMYFUNCTION("""COMPUTED_VALUE"""),"[2023 머니엑스포] 보험사, 고령자·유병자 모시기 적극 나섰다...눈 ...  이코노믹리뷰")</f>
        <v>[2023 머니엑스포] 보험사, 고령자·유병자 모시기 적극 나섰다...눈 ...  이코노믹리뷰</v>
      </c>
    </row>
    <row r="161" spans="1:4" ht="12.5" x14ac:dyDescent="0.25">
      <c r="A161" s="1" t="str">
        <f ca="1">IFERROR(__xludf.DUMMYFUNCTION("""COMPUTED_VALUE"""),"[전문가 칼럼] 세대 갈등 7단계로 풀기 - 미주중앙일보")</f>
        <v>[전문가 칼럼] 세대 갈등 7단계로 풀기 - 미주중앙일보</v>
      </c>
      <c r="B161" s="2" t="str">
        <f ca="1">IFERROR(__xludf.DUMMYFUNCTION("""COMPUTED_VALUE"""),"https://news.google.com/rss/articles/CBMiVGh0dHBzOi8vbmV3cy5rb3JlYWRhaWx5LmNvbS8yMDIzLzAzLzE1L2Vjb25vbXkvZWNvbm9teWdlbmVyYWwvMjAyMzAzMTUyMTQxMzAxNTguaHRtbNIBAA?oc=5")</f>
        <v>https://news.google.com/rss/articles/CBMiVGh0dHBzOi8vbmV3cy5rb3JlYWRhaWx5LmNvbS8yMDIzLzAzLzE1L2Vjb25vbXkvZWNvbm9teWdlbmVyYWwvMjAyMzAzMTUyMTQxMzAxNTguaHRtbNIBAA?oc=5</v>
      </c>
      <c r="C161" s="1" t="str">
        <f ca="1">IFERROR(__xludf.DUMMYFUNCTION("""COMPUTED_VALUE"""),"Wed, 15 Mar 2023 07:00:00 GMT")</f>
        <v>Wed, 15 Mar 2023 07:00:00 GMT</v>
      </c>
      <c r="D161" s="1" t="str">
        <f ca="1">IFERROR(__xludf.DUMMYFUNCTION("""COMPUTED_VALUE"""),"[전문가 칼럼] 세대 갈등 7단계로 풀기  미주중앙일보")</f>
        <v>[전문가 칼럼] 세대 갈등 7단계로 풀기  미주중앙일보</v>
      </c>
    </row>
    <row r="162" spans="1:4" ht="12.5" x14ac:dyDescent="0.25">
      <c r="A162" s="1" t="str">
        <f ca="1">IFERROR(__xludf.DUMMYFUNCTION("""COMPUTED_VALUE"""),"[청플 Report] MZ는 왜 그러냐고요?…청년 직장인이 말하는 MZ세대와 직장 내 세대 갈등 - 투데이신문")</f>
        <v>[청플 Report] MZ는 왜 그러냐고요?…청년 직장인이 말하는 MZ세대와 직장 내 세대 갈등 - 투데이신문</v>
      </c>
      <c r="B162" s="2" t="str">
        <f ca="1">IFERROR(__xludf.DUMMYFUNCTION("""COMPUTED_VALUE"""),"https://news.google.com/rss/articles/CBMiOmh0dHBzOi8vd3d3Lm50b2RheS5jby5rci9uZXdzL2FydGljbGVWaWV3Lmh0bWw_aWR4bm89OTc1MDHSAT1odHRwczovL3d3dy5udG9kYXkuY28ua3IvbmV3cy9hcnRpY2xlVmlld0FtcC5odG1sP2lkeG5vPTk3NTAx?oc=5")</f>
        <v>https://news.google.com/rss/articles/CBMiOmh0dHBzOi8vd3d3Lm50b2RheS5jby5rci9uZXdzL2FydGljbGVWaWV3Lmh0bWw_aWR4bm89OTc1MDHSAT1odHRwczovL3d3dy5udG9kYXkuY28ua3IvbmV3cy9hcnRpY2xlVmlld0FtcC5odG1sP2lkeG5vPTk3NTAx?oc=5</v>
      </c>
      <c r="C162" s="1" t="str">
        <f ca="1">IFERROR(__xludf.DUMMYFUNCTION("""COMPUTED_VALUE"""),"Fri, 12 May 2023 07:00:00 GMT")</f>
        <v>Fri, 12 May 2023 07:00:00 GMT</v>
      </c>
      <c r="D162" s="1" t="str">
        <f ca="1">IFERROR(__xludf.DUMMYFUNCTION("""COMPUTED_VALUE"""),"[청플 Report] MZ는 왜 그러냐고요?…청년 직장인이 말하는 MZ세대와 직장 내 세대 갈등  투데이신문")</f>
        <v>[청플 Report] MZ는 왜 그러냐고요?…청년 직장인이 말하는 MZ세대와 직장 내 세대 갈등  투데이신문</v>
      </c>
    </row>
    <row r="163" spans="1:4" ht="12.5" x14ac:dyDescent="0.25">
      <c r="A163" s="1" t="str">
        <f ca="1">IFERROR(__xludf.DUMMYFUNCTION("""COMPUTED_VALUE"""),"광명시, '구일역 광명 방면 출입구 및 환승시설 기본설계용역 주민 ... - 메트로신문-중산층과 서민을 위한 알찬 정보")</f>
        <v>광명시, '구일역 광명 방면 출입구 및 환승시설 기본설계용역 주민 ... - 메트로신문-중산층과 서민을 위한 알찬 정보</v>
      </c>
      <c r="B163" s="2" t="str">
        <f ca="1">IFERROR(__xludf.DUMMYFUNCTION("""COMPUTED_VALUE"""),"https://news.google.com/rss/articles/CBMiM2h0dHBzOi8vd3d3Lm1ldHJvc2VvdWwuY28ua3IvYXJ0aWNsZS8yMDIzMDkwMTUwMDEzMtIBAA?oc=5")</f>
        <v>https://news.google.com/rss/articles/CBMiM2h0dHBzOi8vd3d3Lm1ldHJvc2VvdWwuY28ua3IvYXJ0aWNsZS8yMDIzMDkwMTUwMDEzMtIBAA?oc=5</v>
      </c>
      <c r="C163" s="1" t="str">
        <f ca="1">IFERROR(__xludf.DUMMYFUNCTION("""COMPUTED_VALUE"""),"Fri, 01 Sep 2023 02:04:21 GMT")</f>
        <v>Fri, 01 Sep 2023 02:04:21 GMT</v>
      </c>
      <c r="D163" s="1" t="str">
        <f ca="1">IFERROR(__xludf.DUMMYFUNCTION("""COMPUTED_VALUE"""),"광명시, '구일역 광명 방면 출입구 및 환승시설 기본설계용역 주민 ...  메트로신문-중산층과 서민을 위한 알찬 정보")</f>
        <v>광명시, '구일역 광명 방면 출입구 및 환승시설 기본설계용역 주민 ...  메트로신문-중산층과 서민을 위한 알찬 정보</v>
      </c>
    </row>
    <row r="164" spans="1:4" ht="12.5" x14ac:dyDescent="0.25">
      <c r="A164" s="1" t="str">
        <f ca="1">IFERROR(__xludf.DUMMYFUNCTION("""COMPUTED_VALUE"""),"부티 나게 그러나 조용하게…‘올드머니룩’이 뜬다 - 경향신문")</f>
        <v>부티 나게 그러나 조용하게…‘올드머니룩’이 뜬다 - 경향신문</v>
      </c>
      <c r="B164" s="2" t="str">
        <f ca="1">IFERROR(__xludf.DUMMYFUNCTION("""COMPUTED_VALUE"""),"https://news.google.com/rss/articles/CBMiLGh0dHBzOi8vbS5raGFuLmNvLmtyL2FydGljbGUvMjAyMzA4MTkwNjAxMDAx0gFCaHR0cHM6Ly9tLmtoYW4uY28ua3IvbGlmZS9saWZlLWdlbmVyYWwvYXJ0aWNsZS8yMDIzMDgxOTA2MDEwMDEvYW1w?oc=5")</f>
        <v>https://news.google.com/rss/articles/CBMiLGh0dHBzOi8vbS5raGFuLmNvLmtyL2FydGljbGUvMjAyMzA4MTkwNjAxMDAx0gFCaHR0cHM6Ly9tLmtoYW4uY28ua3IvbGlmZS9saWZlLWdlbmVyYWwvYXJ0aWNsZS8yMDIzMDgxOTA2MDEwMDEvYW1w?oc=5</v>
      </c>
      <c r="C164" s="1" t="str">
        <f ca="1">IFERROR(__xludf.DUMMYFUNCTION("""COMPUTED_VALUE"""),"Sat, 19 Aug 2023 07:00:00 GMT")</f>
        <v>Sat, 19 Aug 2023 07:00:00 GMT</v>
      </c>
      <c r="D164" s="1" t="str">
        <f ca="1">IFERROR(__xludf.DUMMYFUNCTION("""COMPUTED_VALUE"""),"부티 나게 그러나 조용하게…‘올드머니룩’이 뜬다  경향신문")</f>
        <v>부티 나게 그러나 조용하게…‘올드머니룩’이 뜬다  경향신문</v>
      </c>
    </row>
    <row r="165" spans="1:4" ht="12.5" x14ac:dyDescent="0.25">
      <c r="A165" s="1" t="str">
        <f ca="1">IFERROR(__xludf.DUMMYFUNCTION("""COMPUTED_VALUE"""),"[플러스 시민기자-청소년존] ""전화받는 방법으로 세대별 구분""…실생활 ... - 경북일보")</f>
        <v>[플러스 시민기자-청소년존] "전화받는 방법으로 세대별 구분"…실생활 ... - 경북일보</v>
      </c>
      <c r="B165" s="2" t="str">
        <f ca="1">IFERROR(__xludf.DUMMYFUNCTION("""COMPUTED_VALUE"""),"https://news.google.com/rss/articles/CBMiPmh0dHBzOi8vd3d3Lmt5b25nYnVrLmNvLmtyL25ld3MvYXJ0aWNsZVZpZXcuaHRtbD9pZHhubz0yMTE2MTAx0gEA?oc=5")</f>
        <v>https://news.google.com/rss/articles/CBMiPmh0dHBzOi8vd3d3Lmt5b25nYnVrLmNvLmtyL25ld3MvYXJ0aWNsZVZpZXcuaHRtbD9pZHhubz0yMTE2MTAx0gEA?oc=5</v>
      </c>
      <c r="C165" s="1" t="str">
        <f ca="1">IFERROR(__xludf.DUMMYFUNCTION("""COMPUTED_VALUE"""),"Thu, 03 Nov 2022 07:00:00 GMT")</f>
        <v>Thu, 03 Nov 2022 07:00:00 GMT</v>
      </c>
      <c r="D165" s="1" t="str">
        <f ca="1">IFERROR(__xludf.DUMMYFUNCTION("""COMPUTED_VALUE"""),"[플러스 시민기자-청소년존] ""전화받는 방법으로 세대별 구분""…실생활 ...  경북일보")</f>
        <v>[플러스 시민기자-청소년존] "전화받는 방법으로 세대별 구분"…실생활 ...  경북일보</v>
      </c>
    </row>
    <row r="166" spans="1:4" ht="12.5" x14ac:dyDescent="0.25">
      <c r="A166" s="1" t="str">
        <f ca="1">IFERROR(__xludf.DUMMYFUNCTION("""COMPUTED_VALUE"""),"매일 함께할 파인 주얼리의 눈부신 매력 - 얼루어 코리아")</f>
        <v>매일 함께할 파인 주얼리의 눈부신 매력 - 얼루어 코리아</v>
      </c>
      <c r="B166" s="2" t="str">
        <f ca="1">IFERROR(__xludf.DUMMYFUNCTION("""COMPUTED_VALUE"""),"https://news.google.com/rss/articles/CBMivQFodHRwczovL3d3dy5hbGx1cmVrb3JlYS5jb20vMjAyMy8wOC8zMS8lRUIlQTclQTQlRUMlOUQlQkMtJUVEJTk1JUE4JUVBJUJCJTk4JUVEJTk1JUEwLSVFRCU4QyU4QyVFQyU5RCVCOC0lRUMlQTMlQkMlRUMlOTYlQkMlRUIlQTYlQUMlRUMlOUQlOTgtJUVCJTg4JTg4JUVCJUI2JT"&amp;"gwJUVDJThCJUEwLSVFQiVBNyVBNCVFQiVBMCVBNS_SAQA?oc=5")</f>
        <v>https://news.google.com/rss/articles/CBMivQFodHRwczovL3d3dy5hbGx1cmVrb3JlYS5jb20vMjAyMy8wOC8zMS8lRUIlQTclQTQlRUMlOUQlQkMtJUVEJTk1JUE4JUVBJUJCJTk4JUVEJTk1JUEwLSVFRCU4QyU4QyVFQyU5RCVCOC0lRUMlQTMlQkMlRUMlOTYlQkMlRUIlQTYlQUMlRUMlOUQlOTgtJUVCJTg4JTg4JUVCJUI2JTgwJUVDJThCJUEwLSVFQiVBNyVBNCVFQiVBMCVBNS_SAQA?oc=5</v>
      </c>
      <c r="C166" s="1" t="str">
        <f ca="1">IFERROR(__xludf.DUMMYFUNCTION("""COMPUTED_VALUE"""),"Wed, 30 Aug 2023 23:03:17 GMT")</f>
        <v>Wed, 30 Aug 2023 23:03:17 GMT</v>
      </c>
      <c r="D166" s="1" t="str">
        <f ca="1">IFERROR(__xludf.DUMMYFUNCTION("""COMPUTED_VALUE"""),"매일 함께할 파인 주얼리의 눈부신 매력  얼루어 코리아")</f>
        <v>매일 함께할 파인 주얼리의 눈부신 매력  얼루어 코리아</v>
      </c>
    </row>
    <row r="167" spans="1:4" ht="12.5" x14ac:dyDescent="0.25">
      <c r="A167" s="1" t="str">
        <f ca="1">IFERROR(__xludf.DUMMYFUNCTION("""COMPUTED_VALUE"""),"사일런트'부터 'MZ·폴라'까지…지금 지구에는 여섯 세대가 산다 - 한국경제")</f>
        <v>사일런트'부터 'MZ·폴라'까지…지금 지구에는 여섯 세대가 산다 - 한국경제</v>
      </c>
      <c r="B167" s="2" t="str">
        <f ca="1">IFERROR(__xludf.DUMMYFUNCTION("""COMPUTED_VALUE"""),"https://news.google.com/rss/articles/CBMiM2h0dHBzOi8vd3d3Lmhhbmt5dW5nLmNvbS9saWZlL2FydGljbGUvMjAyMzA2MDI2OTM0MdIBL2h0dHBzOi8vd3d3Lmhhbmt5dW5nLmNvbS9saWZlL2FtcC8yMDIzMDYwMjY5MzQx?oc=5")</f>
        <v>https://news.google.com/rss/articles/CBMiM2h0dHBzOi8vd3d3Lmhhbmt5dW5nLmNvbS9saWZlL2FydGljbGUvMjAyMzA2MDI2OTM0MdIBL2h0dHBzOi8vd3d3Lmhhbmt5dW5nLmNvbS9saWZlL2FtcC8yMDIzMDYwMjY5MzQx?oc=5</v>
      </c>
      <c r="C167" s="1" t="str">
        <f ca="1">IFERROR(__xludf.DUMMYFUNCTION("""COMPUTED_VALUE"""),"Fri, 02 Jun 2023 07:00:00 GMT")</f>
        <v>Fri, 02 Jun 2023 07:00:00 GMT</v>
      </c>
      <c r="D167" s="1" t="str">
        <f ca="1">IFERROR(__xludf.DUMMYFUNCTION("""COMPUTED_VALUE"""),"사일런트'부터 'MZ·폴라'까지…지금 지구에는 여섯 세대가 산다  한국경제")</f>
        <v>사일런트'부터 'MZ·폴라'까지…지금 지구에는 여섯 세대가 산다  한국경제</v>
      </c>
    </row>
  </sheetData>
  <phoneticPr fontId="4" type="noConversion"/>
  <hyperlinks>
    <hyperlink ref="B2" r:id="rId1" display="https://news.google.com/rss/articles/CBMiS2h0dHA6Ly93ZWVrbHkua2hhbi5jby5rci9raG5tLmh0bWw_bW9kZT12aWV3JmFydGlkPTIwMjMwOTAxMTA1NjUyMSZjb2RlPTExNNIBAA?oc=5" xr:uid="{00000000-0004-0000-0100-000000000000}"/>
    <hyperlink ref="B3" r:id="rId2" display="https://news.google.com/rss/articles/CBMiUmh0dHBzOi8vYml6LmNob3N1bi5jb20vdG9waWNzL3RvcGljc19zb2NpYWwvMjAyMy8wOS8wMy9OQVFYRUFNVUFSQlBSQ0dQVE1SMk9VNjRYQS_SAWFodHRwczovL2Jpei5jaG9zdW4uY29tL3RvcGljcy90b3BpY3Nfc29jaWFsLzIwMjMvMDkvMDMvTkFRWEVBTVVBUkJQUkNHUFRNUjJPVTY0WEEvP291dHB1dFR5cGU9YW1w?oc=5" xr:uid="{00000000-0004-0000-0100-000001000000}"/>
    <hyperlink ref="B4" r:id="rId3" display="https://news.google.com/rss/articles/CBMiO2h0dHBzOi8vd3d3Lnllb25nbmFtLmNvbS93ZWIvdmlldy5waHA_a2V5PTIwMjMwOTA0MDEwMDAwMjY50gEA?oc=5" xr:uid="{00000000-0004-0000-0100-000002000000}"/>
    <hyperlink ref="B5" r:id="rId4" display="https://news.google.com/rss/articles/CBMiLmh0dHBzOi8vd3d3Lmhhbmt5dW5nLmNvbS9hcnRpY2xlLzIwMjMwOTAzMDA4NjHSASpodHRwczovL3d3dy5oYW5reXVuZy5jb20vYW1wLzIwMjMwOTAzMDA4NjE?oc=5" xr:uid="{00000000-0004-0000-0100-000003000000}"/>
    <hyperlink ref="B6" r:id="rId5" display="https://news.google.com/rss/articles/CBMiK2h0dHBzOi8vd3d3LmRhaWxpYW4uY28ua3IvbmV3cy92aWV3LzEyNjg3MjHSAS1odHRwczovL20uZGFpbGlhbi5jby5rci9hbXAvbmV3cy92aWV3LzEyNjg3MjE?oc=5" xr:uid="{00000000-0004-0000-0100-000004000000}"/>
    <hyperlink ref="B7" r:id="rId6" display="https://news.google.com/rss/articles/CBMiQGh0dHBzOi8vd3d3Lm1vbnRobHlwZW9wbGUuY29tL25ld3MvYXJ0aWNsZVZpZXcuaHRtbD9pZHhubz02NDY2NjDSAQA?oc=5" xr:uid="{00000000-0004-0000-0100-000005000000}"/>
    <hyperlink ref="B8" r:id="rId7" display="https://news.google.com/rss/articles/CBMiUGh0dHBzOi8vYml6LmNob3N1bi5jb20vc2NpZW5jZS1jaG9zdW4vYmlvLzIwMjMvMDkvMDMvUVlUSDRLQlJNVkRKSkY3WUw3Q1dZVUMyRlkv0gFfaHR0cHM6Ly9iaXouY2hvc3VuLmNvbS9zY2llbmNlLWNob3N1bi9iaW8vMjAyMy8wOS8wMy9RWVRINEtCUk1WREpKRjdZTDdDV1lVQzJGWS8_b3V0cHV0VHlwZT1hbXA?oc=5" xr:uid="{00000000-0004-0000-0100-000006000000}"/>
    <hyperlink ref="B9" r:id="rId8" display="https://news.google.com/rss/articles/CBMiN2h0dHBzOi8vbmV3cy5tdC5jby5rci9tdHZpZXcucGhwP25vPTIwMjMwOTAzMTYwODMwNTcwMTTSAT1odHRwczovL20ubXQuY28ua3IvcmVuZXcvdmlld19hbXAuaHRtbD9ubz0yMDIzMDkwMzE2MDgzMDU3MDE0?oc=5" xr:uid="{00000000-0004-0000-0100-000007000000}"/>
    <hyperlink ref="B10" r:id="rId9" display="https://news.google.com/rss/articles/CBMiM2h0dHBzOi8vd3d3Lm1ldHJvc2VvdWwuY28ua3IvYXJ0aWNsZS8yMDIzMDkwMzUwMDEyMNIBAA?oc=5" xr:uid="{00000000-0004-0000-0100-000008000000}"/>
    <hyperlink ref="B11" r:id="rId10" display="https://news.google.com/rss/articles/CBMiLmh0dHBzOi8vd3d3Lmhhbmt5dW5nLmNvbS9hcnRpY2xlLzIwMjMwOTAzMDE4MDHSASpodHRwczovL3d3dy5oYW5reXVuZy5jb20vYW1wLzIwMjMwOTAzMDE4MDE?oc=5" xr:uid="{00000000-0004-0000-0100-000009000000}"/>
    <hyperlink ref="B12" r:id="rId11" display="https://news.google.com/rss/articles/CBMiO2h0dHBzOi8vd3d3Lnllb25nbmFtLmNvbS93ZWIvdmlldy5waHA_a2V5PTIwMjMwOTAzMDEwMDAwMjIz0gEA?oc=5" xr:uid="{00000000-0004-0000-0100-00000A000000}"/>
    <hyperlink ref="B13" r:id="rId12" display="https://news.google.com/rss/articles/CBMiNGh0dHBzOi8vd3d3LmluZXdzMzY1LmNvbS9uZXdzL2FydGljbGUuaHRtbD9ubz03NzgwOTTSAQA?oc=5" xr:uid="{00000000-0004-0000-0100-00000B000000}"/>
    <hyperlink ref="B14" r:id="rId13" display="https://news.google.com/rss/articles/CBMiQGh0dHBzOi8vd3d3LmhhbmkuY28ua3IvYXJ0aS9jdWx0dXJlL2N1bHR1cmVfZ2VuZXJhbC8xMTA1ODY4Lmh0bWzSAQA?oc=5" xr:uid="{00000000-0004-0000-0100-00000C000000}"/>
    <hyperlink ref="B15" r:id="rId14" display="https://news.google.com/rss/articles/CBMiOmh0dHBzOi8vd3d3Lm1hZHRpbWVzLm9yZy9uZXdzL2FydGljbGVWaWV3Lmh0bWw_aWR4bm89MTg2NTHSAQA?oc=5" xr:uid="{00000000-0004-0000-0100-00000D000000}"/>
    <hyperlink ref="B16" r:id="rId15" display="https://news.google.com/rss/articles/CBMiQWh0dHBzOi8vd3d3Lm5ld3NmcmVlem9uZS5jby5rci9uZXdzL2FydGljbGVWaWV3Lmh0bWw_aWR4bm89NTA5NzM50gFEaHR0cHM6Ly93d3cubmV3c2ZyZWV6b25lLmNvLmtyL25ld3MvYXJ0aWNsZVZpZXdBbXAuaHRtbD9pZHhubz01MDk3Mzk?oc=5" xr:uid="{00000000-0004-0000-0100-00000E000000}"/>
    <hyperlink ref="B17" r:id="rId16" display="https://news.google.com/rss/articles/CBMiM2h0dHA6Ly93d3cuc3BvcnRzd29ybGRpLmNvbS9uZXdzVmlldy8yMDIzMDkwMzUwNzg5MtIBAA?oc=5" xr:uid="{00000000-0004-0000-0100-00000F000000}"/>
    <hyperlink ref="B18" r:id="rId17" display="https://news.google.com/rss/articles/CBMiOmh0dHBzOi8vd3d3Lmt1bmV3cy5hYy5rci9uZXdzL2FydGljbGVWaWV3Lmh0bWw_aWR4bm89NDEyODfSATxodHRwOi8vd3d3Lmt1bmV3cy5hYy5rci9uZXdzL2FydGljbGVWaWV3QW1wLmh0bWw_aWR4bm89NDEyODc?oc=5" xr:uid="{00000000-0004-0000-0100-000010000000}"/>
    <hyperlink ref="B19" r:id="rId18" display="https://news.google.com/rss/articles/CBMiOmh0dHA6Ly93d3cuZG9taW4uY28ua3IvbmV3cy9hcnRpY2xlVmlldy5odG1sP2lkeG5vPTE0MzgzMjDSAQA?oc=5" xr:uid="{00000000-0004-0000-0100-000011000000}"/>
    <hyperlink ref="B20" r:id="rId19" display="https://news.google.com/rss/articles/CBMiP2h0dHBzOi8vd3d3Lndpa2lsZWFrcy1rci5vcmcvbmV3cy9hcnRpY2xlVmlldy5odG1sP2lkeG5vPTE0MjgwOdIBAA?oc=5" xr:uid="{00000000-0004-0000-0100-000012000000}"/>
    <hyperlink ref="B21" r:id="rId20" display="https://news.google.com/rss/articles/CBMiQmh0dHBzOi8va3IuaW52ZXN0aW5nLmNvbS9uZXdzL3BlcnNvbmFsLWZpbmFuY2UtbmV3cy9hcnRpY2xlLTk0MzQwMNIBTmh0dHBzOi8vbS5rci5pbnZlc3RpbmcuY29tL25ld3MvcGVyc29uYWwtZmluYW5jZS1uZXdzL2FydGljbGUtOTQzNDAwP2FtcE1vZGU9MQ?oc=5" xr:uid="{00000000-0004-0000-0100-000013000000}"/>
    <hyperlink ref="B22" r:id="rId21" display="https://news.google.com/rss/articles/CBMiQGh0dHBzOi8vd3d3LmtvcmVhaGVhbHRobG9nLmNvbS9uZXdzL2FydGljbGVWaWV3Lmh0bWw_aWR4bm89NDI0ODbSAUNodHRwczovL3d3dy5rb3JlYWhlYWx0aGxvZy5jb20vbmV3cy9hcnRpY2xlVmlld0FtcC5odG1sP2lkeG5vPTQyNDg2?oc=5" xr:uid="{00000000-0004-0000-0100-000014000000}"/>
    <hyperlink ref="B23" r:id="rId22" display="https://news.google.com/rss/articles/CBMiPGh0dHBzOi8vd3d3LmdldG5ld3MuY28ua3IvbmV3cy9hcnRpY2xlVmlldy5odG1sP2lkeG5vPTYwOTg2NtIBP2h0dHBzOi8vd3d3LmdldG5ld3MuY28ua3IvbmV3cy9hcnRpY2xlVmlld0FtcC5odG1sP2lkeG5vPTYwOTg2Ng?oc=5" xr:uid="{00000000-0004-0000-0100-000015000000}"/>
    <hyperlink ref="B24" r:id="rId23" display="https://news.google.com/rss/articles/CBMiLmh0dHBzOi8vd3d3LmZubmV3cy5jb20vbmV3cy8yMDIzMDkwMzE4MDEzNzQxMTHSATFodHRwczovL3d3dy5mbm5ld3MuY29tL2FtcE5ld3MvMjAyMzA5MDMxODAxMzc0MTEx?oc=5" xr:uid="{00000000-0004-0000-0100-000016000000}"/>
    <hyperlink ref="B25" r:id="rId24" display="https://news.google.com/rss/articles/CBMiL2h0dHBzOi8vd3d3LnRlY2hub2xvZ3lyZXZpZXcua3IvY2xpbWF0ZS1jcmlzaXMv0gEA?oc=5" xr:uid="{00000000-0004-0000-0100-000017000000}"/>
    <hyperlink ref="B26" r:id="rId25" display="https://news.google.com/rss/articles/CBMiQWh0dHBzOi8vbW9iaWxlLm5ld3Npcy5jb20vdmlldy5odG1sP2FyX2lkPU5JU1gyMDIzMDkwNF8wMDAyNDM2MTg40gFFaHR0cHM6Ly9tb2JpbGUubmV3c2lzLmNvbS92aWV3X2FtcC5odG1sP2FyX2lkPU5JU1gyMDIzMDkwNF8wMDAyNDM2MTg4?oc=5" xr:uid="{00000000-0004-0000-0100-000018000000}"/>
    <hyperlink ref="B27" r:id="rId26" display="https://news.google.com/rss/articles/CBMiOmh0dHBzOi8vbmV3cy5zYnMuY28ua3IvbmV3cy9lbmRQYWdlLmRvP25ld3NfaWQ9TjEwMDczMzEzMznSATdodHRwczovL25ld3Muc2JzLmNvLmtyL2FtcC9uZXdzLmFtcD9uZXdzX2lkPU4xMDA3MzMxMzM5?oc=5" xr:uid="{00000000-0004-0000-0100-000019000000}"/>
    <hyperlink ref="B28" r:id="rId27" display="https://news.google.com/rss/articles/CBMiNGh0dHBzOi8vbS5kZGFpbHkuY28ua3IvcGFnZS92aWV3LzIwMjMwOTAzMTcxNjIxNDE2NzbSAQA?oc=5" xr:uid="{00000000-0004-0000-0100-00001A000000}"/>
    <hyperlink ref="B29" r:id="rId28" display="https://news.google.com/rss/articles/CBMiPGh0dHBzOi8vd3d3LmVjb25vdmlsbC5jb20vbmV3cy9hcnRpY2xlVmlldy5odG1sP2lkeG5vPTYyMjA3OdIBAA?oc=5" xr:uid="{00000000-0004-0000-0100-00001B000000}"/>
    <hyperlink ref="B30" r:id="rId29" display="https://news.google.com/rss/articles/CBMiPmh0dHBzOi8va3IuaW52ZXN0aW5nLmNvbS9uZXdzL3N0b2NrLW1hcmtldC1uZXdzL2FydGljbGUtOTQzNDE20gEA?oc=5" xr:uid="{00000000-0004-0000-0100-00001C000000}"/>
    <hyperlink ref="B31" r:id="rId30" display="https://news.google.com/rss/articles/CBMiPmh0dHBzOi8vd3d3LnNpc2Fqb3VybmFsLmNvbS9uZXdzL2FydGljbGVWaWV3Lmh0bWw_aWR4bm89MjcxMzQ00gEA?oc=5" xr:uid="{00000000-0004-0000-0100-00001D000000}"/>
    <hyperlink ref="B32" r:id="rId31" display="https://news.google.com/rss/articles/CBMiUWh0dHBzOi8vd3d3LmNob3N1bi5jb20vaW50ZXJuYXRpb25hbC9jaGluYS8yMDIzLzA5LzAzL1haQ1BaVUJJVEpIWUZQRExBQUUyWk5YT1ZRL9IBYGh0dHBzOi8vd3d3LmNob3N1bi5jb20vaW50ZXJuYXRpb25hbC9jaGluYS8yMDIzLzA5LzAzL1haQ1BaVUJJVEpIWUZQRExBQUUyWk5YT1ZRLz9vdXRwdXRUeXBlPWFtcA?oc=5" xr:uid="{00000000-0004-0000-0100-00001E000000}"/>
    <hyperlink ref="B33" r:id="rId32" display="https://news.google.com/rss/articles/CBMiMWh0dHBzOi8vd3d3Lnl0bi5jby5rci9fbG4vMDEwMV8yMDIzMDkwMzEwMzYzNTMyODnSAUNodHRwczovL20ueXRuLmNvLmtyL25ld3Nfdmlldy5hbXAucGhwP3BhcmFtPTAxMDFfMjAyMzA5MDMxMDM2MzUzMjg5?oc=5" xr:uid="{00000000-0004-0000-0100-00001F000000}"/>
    <hyperlink ref="B34" r:id="rId33" display="https://news.google.com/rss/articles/CBMiN2h0dHBzOi8vbmV3cy5tdC5jby5rci9tdHZpZXcucGhwP25vPTIwMjMwODMxMTYxOTE0OTYxMjjSAT1odHRwczovL20ubXQuY28ua3IvcmVuZXcvdmlld19hbXAuaHRtbD9ubz0yMDIzMDgzMTE2MTkxNDk2MTI4?oc=5" xr:uid="{00000000-0004-0000-0100-000020000000}"/>
    <hyperlink ref="B35" r:id="rId34" display="https://news.google.com/rss/articles/CBMiOmh0dHA6Ly93d3cuaGl0bmV3cy5jby5rci9uZXdzL2FydGljbGVWaWV3Lmh0bWw_aWR4bm89NDc5MTTSAQA?oc=5" xr:uid="{00000000-0004-0000-0100-000021000000}"/>
    <hyperlink ref="B36" r:id="rId35" display="https://news.google.com/rss/articles/CBMiTmh0dHBzOi8vd3d3LmNob3N1bi5jb20vbmF0aW9uYWwvd2Vla2VuZC8yMDIzLzA5LzAyL01PNFNYTEpYTEpCS05KUU5TNU9RWjcyUVVFL9IBXWh0dHBzOi8vd3d3LmNob3N1bi5jb20vbmF0aW9uYWwvd2Vla2VuZC8yMDIzLzA5LzAyL01PNFNYTEpYTEpCS05KUU5TNU9RWjcyUVVFLz9vdXRwdXRUeXBlPWFtcA?oc=5" xr:uid="{00000000-0004-0000-0100-000022000000}"/>
    <hyperlink ref="B37" r:id="rId36" display="https://news.google.com/rss/articles/CBMiQmh0dHBzOi8vd3d3LmhhbmkuY28ua3IvYXJ0aS9wb2xpdGljcy9wb2xpdGljc19nZW5lcmFsLzExMDY4MDkuaHRtbNIBAA?oc=5" xr:uid="{00000000-0004-0000-0100-000023000000}"/>
    <hyperlink ref="B38" r:id="rId37" display="https://news.google.com/rss/articles/CBMiLGh0dHBzOi8vbS5raGFuLmNvLmtyL2FydGljbGUvMjAyMzA5MDExNTQyMDAx0gFIaHR0cHM6Ly9tLmtoYW4uY28ua3IvbmF0aW9uYWwvaGVhbHRoLXdlbGZhcmUvYXJ0aWNsZS8yMDIzMDkwMTE1NDIwMDEvYW1w?oc=5" xr:uid="{00000000-0004-0000-0100-000024000000}"/>
    <hyperlink ref="B39" r:id="rId38" display="https://news.google.com/rss/articles/CBMiSWh0dHBzOi8vc3Rhci5vaG15bmV3cy5jb20vTldTX1dlYi9PaG15U3Rhci9hdF9wZy5hc3B4P0NOVE5fQ0Q9QTAwMDI5NTgxMTLSAUJodHRwczovL20ub2hteW5ld3MuY29tL05XU19XZWIvTW9iaWxlL2FtcC5hc3B4P0NOVE5fQ0Q9QTAwMDI5NTgxMTI?oc=5" xr:uid="{00000000-0004-0000-0100-000025000000}"/>
    <hyperlink ref="B40" r:id="rId39" display="https://news.google.com/rss/articles/CBMitgFodHRwczovL2tvcm1lZGkuY29tLzE2MTY2MzUvJUVDJUI5JTk4JUVCJUE3JUE1LSVFQiU5NSU4QyVFQiVBQyVCOC1teiVFQyU4NCVCOCVFQiU4QyU4MCVFQiU4RiU4NC0lRUQlOTQlQkMlRUQlOTUlQTAtJUVDJTg4JTk4LSVFQyU5NyU4NiVFQiU4QSU5NC0lRUQlODYlQjUlRUQlOTIlOEQlRUMlOUQlOTgtJUVCJThBJUFBL9IBAA?oc=5" xr:uid="{00000000-0004-0000-0100-000026000000}"/>
    <hyperlink ref="B41" r:id="rId40" display="https://news.google.com/rss/articles/CBMiM2h0dHBzOi8vd3d3Lmhhbmt5dW5nLmNvbS9saWZlL2FydGljbGUvMjAyMzA3Mjc3NzU5adIBL2h0dHBzOi8vd3d3Lmhhbmt5dW5nLmNvbS9saWZlL2FtcC8yMDIzMDcyNzc3NTlp?oc=5" xr:uid="{00000000-0004-0000-0100-000027000000}"/>
    <hyperlink ref="B42" r:id="rId41" display="https://news.google.com/rss/articles/CBMiN2h0dHBzOi8vbmV3cy5tdC5jby5rci9tdHZpZXcucGhwP25vPTIwMjMwOTAxMTUyNTQwNzg0OTjSAT1odHRwczovL20ubXQuY28ua3IvcmVuZXcvdmlld19hbXAuaHRtbD9ubz0yMDIzMDkwMTE1MjU0MDc4NDk4?oc=5" xr:uid="{00000000-0004-0000-0100-000028000000}"/>
    <hyperlink ref="B43" r:id="rId42" display="https://news.google.com/rss/articles/CBMiNmh0dHA6Ly93d3cuZGFpbHlkZ25ld3MuY29tL25ld3MvYXJ0aWNsZS5odG1sP25vPTE2NDE0MtIBAA?oc=5" xr:uid="{00000000-0004-0000-0100-000029000000}"/>
    <hyperlink ref="B44" r:id="rId43" display="https://news.google.com/rss/articles/CBMiN2h0dHA6Ly93d3cuaWdqLmNvLmtyL25ld3MvYXJ0aWNsZVZpZXcuaHRtbD9pZHhubz0yMDcyMTPSAQA?oc=5" xr:uid="{00000000-0004-0000-0100-00002A000000}"/>
    <hyperlink ref="B45" r:id="rId44" display="https://news.google.com/rss/articles/CBMiLmh0dHBzOi8vd3d3Lmhhbmt5dW5nLmNvbS9hcnRpY2xlLzIwMjMwOTAxODA2NTHSASpodHRwczovL3d3dy5oYW5reXVuZy5jb20vYW1wLzIwMjMwOTAxODA2NTE?oc=5" xr:uid="{00000000-0004-0000-0100-00002B000000}"/>
    <hyperlink ref="B46" r:id="rId45" display="https://news.google.com/rss/articles/CBMiPmh0dHA6Ly93d3cubWVkaWF0b2RheS5jby5rci9uZXdzL2FydGljbGVWaWV3Lmh0bWw_aWR4bm89MzEyMTQ10gFBaHR0cDovL3d3dy5tZWRpYXRvZGF5LmNvLmtyL25ld3MvYXJ0aWNsZVZpZXdBbXAuaHRtbD9pZHhubz0zMTIxNDU?oc=5" xr:uid="{00000000-0004-0000-0100-00002C000000}"/>
    <hyperlink ref="B47" r:id="rId46" display="https://news.google.com/rss/articles/CBMiPmh0dHBzOi8vd3d3LmF1dG90cmlidW5lLmNvLmtyL25ld3MvYXJ0aWNsZVZpZXcuaHRtbD9pZHhubz05NDY50gEA?oc=5" xr:uid="{00000000-0004-0000-0100-00002D000000}"/>
    <hyperlink ref="B48" r:id="rId47" display="https://news.google.com/rss/articles/CBMiRGh0dHBzOi8vd3d3Lm9obXluZXdzLmNvbS9OV1NfV2ViL1ZpZXcvYXRfcGcuYXNweD9DTlROX0NEPUEwMDAyOTU4MTQx0gFCaHR0cHM6Ly9tLm9obXluZXdzLmNvbS9OV1NfV2ViL01vYmlsZS9hbXAuYXNweD9DTlROX0NEPUEwMDAyOTU4MTQx?oc=5" xr:uid="{00000000-0004-0000-0100-00002E000000}"/>
    <hyperlink ref="B49" r:id="rId48" display="https://news.google.com/rss/articles/CBMiOmh0dHA6Ly93d3cuZm9jdXNpLmNvLmtyL25ld3MvYXJ0aWNsZVZpZXcuaHRtbD9pZHhubz0yODYxNDXSAT1odHRwOi8vd3d3LmZvY3VzaS5jby5rci9uZXdzL2FydGljbGVWaWV3QW1wLmh0bWw_aWR4bm89Mjg2MTQ1?oc=5" xr:uid="{00000000-0004-0000-0100-00002F000000}"/>
    <hyperlink ref="B50" r:id="rId49" display="https://news.google.com/rss/articles/CBMiLmh0dHBzOi8vd3d3Lmhhbmt5dW5nLmNvbS9hcnRpY2xlLzIwMjMwOTAxNzQ4OVnSASpodHRwczovL3d3dy5oYW5reXVuZy5jb20vYW1wLzIwMjMwOTAxNzQ4OVk?oc=5" xr:uid="{00000000-0004-0000-0100-000030000000}"/>
    <hyperlink ref="B51" r:id="rId50" display="https://news.google.com/rss/articles/CBMiNWh0dHBzOi8vYml6LmhlcmFsZGNvcnAuY29tL3ZpZXcucGhwP3VkPTIwMjMwOTAyMDAwMDI10gE6aHR0cHM6Ly9tYml6LmhlcmFsZGNvcnAuY29tL2FtcC92aWV3LnBocD91ZD0yMDIzMDkwMjAwMDAyNQ?oc=5" xr:uid="{00000000-0004-0000-0100-000031000000}"/>
    <hyperlink ref="B52" r:id="rId51" display="https://news.google.com/rss/articles/CBMiN2h0dHBzOi8vbmV3cy5tdC5jby5rci9tdHZpZXcucGhwP25vPTIwMjMwOTAxMTgwNzM4MzE4NDXSAT1odHRwczovL20ubXQuY28ua3IvcmVuZXcvdmlld19hbXAuaHRtbD9ubz0yMDIzMDkwMTE4MDczODMxODQ1?oc=5" xr:uid="{00000000-0004-0000-0100-000032000000}"/>
    <hyperlink ref="B53" r:id="rId52" display="https://news.google.com/rss/articles/CBMiN2h0dHBzOi8vbmV3cy5tdC5jby5rci9tdHZpZXcucGhwP25vPTIwMjMwODI4MTEwODMxNzg0MjDSAT1odHRwczovL20ubXQuY28ua3IvcmVuZXcvdmlld19hbXAuaHRtbD9ubz0yMDIzMDgyODExMDgzMTc4NDIw?oc=5" xr:uid="{00000000-0004-0000-0100-000033000000}"/>
    <hyperlink ref="B54" r:id="rId53" display="https://news.google.com/rss/articles/CBMiJ2h0dHBzOi8vbS5zZWd5ZS5jb20vdmlldy8yMDIzMDkwMTUxMTU1NdIBKmh0dHBzOi8vbS5zZWd5ZS5jb20vYW1wVmlldy8yMDIzMDkwMTUxMTU1NQ?oc=5" xr:uid="{00000000-0004-0000-0100-000034000000}"/>
    <hyperlink ref="B55" r:id="rId54" display="https://news.google.com/rss/articles/CBMiNmh0dHA6Ly93d3cuY2FyZ3V5LmtyL25ld3MvYXJ0aWNsZVZpZXcuaHRtbD9pZHhubz00Njc3NdIBAA?oc=5" xr:uid="{00000000-0004-0000-0100-000035000000}"/>
    <hyperlink ref="B56" r:id="rId55" display="https://news.google.com/rss/articles/CBMiJGh0dHBzOi8vbS5tYm4uY28ua3IvbmV3cy1hbXAvNDk1OTQzN9IBAA?oc=5" xr:uid="{00000000-0004-0000-0100-000036000000}"/>
    <hyperlink ref="B57" r:id="rId56" display="https://news.google.com/rss/articles/CBMiK2h0dHBzOi8vd2Vla2x5LmRvbmdhLmNvbS8zL2FsbC8xMS80Mzk2ODQ2LzHSAQA?oc=5" xr:uid="{00000000-0004-0000-0100-000037000000}"/>
    <hyperlink ref="B58" r:id="rId57" display="https://news.google.com/rss/articles/CBMiP2h0dHBzOi8vd3d3Lndpa2lsZWFrcy1rci5vcmcvbmV3cy9hcnRpY2xlVmlldy5odG1sP2lkeG5vPTE0MjcwNNIBAA?oc=5" xr:uid="{00000000-0004-0000-0100-000038000000}"/>
    <hyperlink ref="B59" r:id="rId58" display="https://news.google.com/rss/articles/CBMiOGh0dHBzOi8vd3d3LmtpZG9rLmNvbS9uZXdzL2FydGljbGVWaWV3Lmh0bWw_aWR4bm89MjE5MjQ40gE7aHR0cHM6Ly93d3cua2lkb2suY29tL25ld3MvYXJ0aWNsZVZpZXdBbXAuaHRtbD9pZHhubz0yMTkyNDg?oc=5" xr:uid="{00000000-0004-0000-0100-000039000000}"/>
    <hyperlink ref="B60" r:id="rId59" display="https://news.google.com/rss/articles/CBMiL2h0dHBzOi8vam1hZ2F6aW5lLmpvaW5zLmNvbS9tb250aGx5L3ZpZXcvMzM4Mjcz0gEA?oc=5" xr:uid="{00000000-0004-0000-0100-00003A000000}"/>
    <hyperlink ref="B61" r:id="rId60" display="https://news.google.com/rss/articles/CBMiQGh0dHBzOi8vd3d3LmZvcnR1bmVrb3JlYS5jby5rci9uZXdzL2FydGljbGVWaWV3Lmh0bWw_aWR4bm89Mjg0NzLSAUNodHRwczovL3d3dy5mb3J0dW5la29yZWEuY28ua3IvbmV3cy9hcnRpY2xlVmlld0FtcC5odG1sP2lkeG5vPTI4NDcy?oc=5" xr:uid="{00000000-0004-0000-0100-00003B000000}"/>
    <hyperlink ref="B62" r:id="rId61" display="https://news.google.com/rss/articles/CBMiMGh0dHBzOi8vd3d3Lm5ld3NwaW0uY29tL25ld3Mvdmlldy8yMDIzMDgzMDAwMDkzN9IBMWh0dHBzOi8vbS5uZXdzcGltLmNvbS9uZXdzYW1wL3ZpZXcvMjAyMzA4MzAwMDA5Mzc?oc=5" xr:uid="{00000000-0004-0000-0100-00003C000000}"/>
    <hyperlink ref="B63" r:id="rId62" display="https://news.google.com/rss/articles/CBMiPGh0dHBzOi8vbWFnYXppbmUuaGFua3l1bmcuY29tL2J1c2luZXNzL2FydGljbGUvMjAyMzAzMDg0ODU4YtIBOGh0dHBzOi8vbWFnYXppbmUuaGFua3l1bmcuY29tL2J1c2luZXNzL2FtcC8yMDIzMDMwODQ4NThi?oc=5" xr:uid="{00000000-0004-0000-0100-00003D000000}"/>
    <hyperlink ref="B64" r:id="rId63" display="https://news.google.com/rss/articles/CBMiNmh0dHBzOi8vd3d3Lmhhbmt5dW5nLmNvbS9vcGluaW9uL2FydGljbGUvMjAyMzAzMjkyNzA2MdIBMmh0dHBzOi8vd3d3Lmhhbmt5dW5nLmNvbS9vcGluaW9uL2FtcC8yMDIzMDMyOTI3MDYx?oc=5" xr:uid="{00000000-0004-0000-0100-00003E000000}"/>
    <hyperlink ref="B65" r:id="rId64" display="https://news.google.com/rss/articles/CBMiVmh0dHBzOi8vd3d3LmNob3N1bi5jb20vZW50ZXJ0YWlubWVudHMvYnJvYWRjYXN0LzIwMjMvMDcvMDYvSEdVS1oyNURJTFJFRzVYUlBVTVFUUDNaRkkv0gFlaHR0cHM6Ly93d3cuY2hvc3VuLmNvbS9lbnRlcnRhaW5tZW50cy9icm9hZGNhc3QvMjAyMy8wNy8wNi9IR1VLWjI1RElMUkVHNVhSUFVNUVRQM1pGSS8_b3V0cHV0VHlwZT1hbXA?oc=5" xr:uid="{00000000-0004-0000-0100-00003F000000}"/>
    <hyperlink ref="B66" r:id="rId65" display="https://news.google.com/rss/articles/CBMiOWh0dHA6Ly93d3cud2Vla2x5cG9zdC5rci9uZXdzL2FydGljbGVWaWV3Lmh0bWw_aWR4bm89NTMwMtIBAA?oc=5" xr:uid="{00000000-0004-0000-0100-000040000000}"/>
    <hyperlink ref="B67" r:id="rId66" display="https://news.google.com/rss/articles/CBMiNmh0dHBzOi8vd3d3Lm0taS5rci9uZXdzL2FydGljbGVWaWV3Lmh0bWw_aWR4bm89MTAyNDc5MtIBAA?oc=5" xr:uid="{00000000-0004-0000-0100-000041000000}"/>
    <hyperlink ref="B68" r:id="rId67" display="https://news.google.com/rss/articles/CBMiPWh0dHBzOi8vd3d3LnBvbGluZXdzLmNvLmtyL25ld3MvYXJ0aWNsZVZpZXcuaHRtbD9pZHhubz02MTAzMDHSAUBodHRwczovL3d3dy5wb2xpbmV3cy5jby5rci9uZXdzL2FydGljbGVWaWV3QW1wLmh0bWw_aWR4bm89NjEwMzAx?oc=5" xr:uid="{00000000-0004-0000-0100-000042000000}"/>
    <hyperlink ref="B69" r:id="rId68" display="https://news.google.com/rss/articles/CBMiOWh0dHBzOi8vd3d3LmltcGFjdG9uLm5ldC9uZXdzL2FydGljbGVWaWV3Lmh0bWw_aWR4bm89NzEzM9IBAA?oc=5" xr:uid="{00000000-0004-0000-0100-000043000000}"/>
    <hyperlink ref="B70" r:id="rId69" display="https://news.google.com/rss/articles/CBMizAFodHRwczovL3d3dy52b2d1ZS5jby5rci8yMDIzLzA4LzMxLyVFQyVBMCU4NCVFQiVBQyVCOCVFQSVCMCU4MCVFQSVCMCU4MC0lRUIlQTclOTAlRUQlOTUlOTglRUIlOEElOTQtJUVDJUI2JTlDJUVDJTgzJTlELSVFQyU4OCU5QyVFQyU4NCU5QyVFQyU5NyU5MC0lRUIlOTQlQjAlRUIlQTUlQjgtJUVDJTg0JUIxJUVBJUIyJUE5LSVFQyVCMCVBOCVFQyU5RCVCNC_SAQA?oc=5" xr:uid="{00000000-0004-0000-0100-000044000000}"/>
    <hyperlink ref="B71" r:id="rId70" display="https://news.google.com/rss/articles/CBMiQGh0dHBzOi8vYmFza2V0a29yZWEuY29tL25ld3MvbmV3c3ZpZXcucGhwP25jb2RlPTEwNjU1ODY0NTg5ODk3NTbSAQA?oc=5" xr:uid="{00000000-0004-0000-0100-000045000000}"/>
    <hyperlink ref="B72" r:id="rId71" display="https://news.google.com/rss/articles/CBMiPGh0dHA6Ly93d3cudGhpbmtmb29kLmNvLmtyL25ld3MvYXJ0aWNsZVZpZXcuaHRtbD9pZHhubz05ODYxNtIBAA?oc=5" xr:uid="{00000000-0004-0000-0100-000046000000}"/>
    <hyperlink ref="B73" r:id="rId72" display="https://news.google.com/rss/articles/CBMiOWh0dHBzOi8vd3d3Lm1rLmNvLmtyL3N0YXIvaG90LWlzc3Vlcy92aWV3LzIwMjMvMDgvNjA2MDAwL9IBAA?oc=5" xr:uid="{00000000-0004-0000-0100-000047000000}"/>
    <hyperlink ref="B74" r:id="rId73" display="https://news.google.com/rss/articles/CBMiPWh0dHA6Ly93d3cuZWNvbm9uZXdzLmNvLmtyL25ld3MvYXJ0aWNsZVZpZXcuaHRtbD9pZHhubz0zMDE0MDnSAQA?oc=5" xr:uid="{00000000-0004-0000-0100-000048000000}"/>
    <hyperlink ref="B75" r:id="rId74" display="https://news.google.com/rss/articles/CBMiNWh0dHBzOi8vbmV3cy5pbWFlaWwuY29tL3BhZ2Uvdmlldy8yMDIzMDgzMTE4NTYwNzUzNjk00gEA?oc=5" xr:uid="{00000000-0004-0000-0100-000049000000}"/>
    <hyperlink ref="B76" r:id="rId75" display="https://news.google.com/rss/articles/CBMiNGh0dHBzOi8vd3d3LmtnbmV3cy5jby5rci9uZXdzL2FydGljbGUuaHRtbD9ubz03NjEwMjjSAQA?oc=5" xr:uid="{00000000-0004-0000-0100-00004A000000}"/>
    <hyperlink ref="B77" r:id="rId76" display="https://news.google.com/rss/articles/CBMiN2h0dHBzOi8vd3d3LnRlY2htLmtyL25ld3MvYXJ0aWNsZVZpZXcuaHRtbD9pZHhubz0xMTQwMDTSATpodHRwczovL3d3dy50ZWNobS5rci9uZXdzL2FydGljbGVWaWV3QW1wLmh0bWw_aWR4bm89MTE0MDA0?oc=5" xr:uid="{00000000-0004-0000-0100-00004B000000}"/>
    <hyperlink ref="B78" r:id="rId77" display="https://news.google.com/rss/articles/CBMiOWh0dHBzOi8vbS5uZXdzZW4uY29tL25ld3Nfdmlldy5waHA_dWlkPTIwMjMwODEzMTgwNzU4MTExMNIBAA?oc=5" xr:uid="{00000000-0004-0000-0100-00004C000000}"/>
    <hyperlink ref="B79" r:id="rId78" display="https://news.google.com/rss/articles/CBMiMWh0dHBzOi8vd3d3Lnl0bi5jby5rci9fbG4vMDEwM18yMDIzMDkwMTE1MDE0MDk2MjXSAUNodHRwczovL20ueXRuLmNvLmtyL25ld3Nfdmlldy5hbXAucGhwP3BhcmFtPTAxMDNfMjAyMzA5MDExNTAxNDA5NjI1?oc=5" xr:uid="{00000000-0004-0000-0100-00004D000000}"/>
    <hyperlink ref="B80" r:id="rId79" display="https://news.google.com/rss/articles/CBMiOWh0dHBzOi8vd3d3LnJjYXN0LmNvLmtyL25ld3MvYXJ0aWNsZVZpZXcuaHRtbD9pZHhubz0yMjYxMdIBPGh0dHBzOi8vd3d3LnJjYXN0LmNvLmtyL25ld3MvYXJ0aWNsZVZpZXdBbXAuaHRtbD9pZHhubz0yMjYxMQ?oc=5" xr:uid="{00000000-0004-0000-0100-00004E000000}"/>
    <hyperlink ref="B81" r:id="rId80" display="https://news.google.com/rss/articles/CBMiOmh0dHA6Ly93d3cuc2lzYXdlZWsuY29tL25ld3MvYXJ0aWNsZVZpZXcuaHRtbD9pZHhubz0yMDc0ODnSAQA?oc=5" xr:uid="{00000000-0004-0000-0100-00004F000000}"/>
    <hyperlink ref="B82" r:id="rId81" display="https://news.google.com/rss/articles/CBMiNGh0dHBzOi8vZWNvbm9taXN0LmNvLmtyL2FydGljbGUvdmlldy9lY24yMDIzMDkwMTAwMTDSAQA?oc=5" xr:uid="{00000000-0004-0000-0100-000050000000}"/>
    <hyperlink ref="B83" r:id="rId82" display="https://news.google.com/rss/articles/CBMiQGh0dHBzOi8vd3d3Lmh1ZmZpbmd0b25wb3N0LmtyL25ld3MvYXJ0aWNsZVZpZXcuaHRtbD9pZHhubz0yMTI1ODTSAUNodHRwczovL3d3dy5odWZmaW5ndG9ucG9zdC5rci9uZXdzL2FydGljbGVWaWV3QW1wLmh0bWw_aWR4bm89MjEyNTg0?oc=5" xr:uid="{00000000-0004-0000-0100-000051000000}"/>
    <hyperlink ref="B84" r:id="rId83" display="https://news.google.com/rss/articles/CBMiNGh0dHA6Ly93d3cuZ2d0b3BuZXdzLmNvbS9uZXdzL2FydGljbGUuaHRtbD9ubz0xMjk5NTDSAQA?oc=5" xr:uid="{00000000-0004-0000-0100-000052000000}"/>
    <hyperlink ref="B85" r:id="rId84" display="https://news.google.com/rss/articles/CBMiJ2h0dHBzOi8vbS5zZWd5ZS5jb20vdmlldy8yMDIzMDgzMTUxMjg5M9IBKmh0dHBzOi8vbS5zZWd5ZS5jb20vYW1wVmlldy8yMDIzMDgzMTUxMjg5Mw?oc=5" xr:uid="{00000000-0004-0000-0100-000053000000}"/>
    <hyperlink ref="B86" r:id="rId85" display="https://news.google.com/rss/articles/CBMiOGh0dHBzOi8vd3d3LmtpZG9rLmNvbS9uZXdzL2FydGljbGVWaWV3Lmh0bWw_aWR4bm89MzAxNTU10gE7aHR0cHM6Ly93d3cua2lkb2suY29tL25ld3MvYXJ0aWNsZVZpZXdBbXAuaHRtbD9pZHhubz0zMDE1NTU?oc=5" xr:uid="{00000000-0004-0000-0100-000054000000}"/>
    <hyperlink ref="B87" r:id="rId86" display="https://news.google.com/rss/articles/CBMiJWh0dHBzOi8vd3d3LmV0bmV3cy5jb20vMjAyMzA4MDQwMDAwNjHSAQA?oc=5" xr:uid="{00000000-0004-0000-0100-000055000000}"/>
    <hyperlink ref="B88" r:id="rId87" display="https://news.google.com/rss/articles/CBMiO2h0dHA6Ly93d3cubmV3c2tvcmVhLm5lLmtyL25ld3MvYXJ0aWNsZVZpZXcuaHRtbD9pZHhubz04NDIy0gEA?oc=5" xr:uid="{00000000-0004-0000-0100-000056000000}"/>
    <hyperlink ref="B89" r:id="rId88" display="https://news.google.com/rss/articles/CBMiL2h0dHBzOi8vd3d3LnluYS5jby5rci92aWV3L0FLUjIwMjMwOTAxMDk5OTAwMDU10gExaHR0cHM6Ly9tLnluYS5jby5rci9hbXAvdmlldy9BS1IyMDIzMDkwMTA5OTkwMDA1NQ?oc=5" xr:uid="{00000000-0004-0000-0100-000057000000}"/>
    <hyperlink ref="B90" r:id="rId89" display="https://news.google.com/rss/articles/CBMiWWh0dHBzOi8vYml6LmNob3N1bi5jb20vZW50ZXJ0YWlubWVudC9lbnRlcl9nZW5lcmFsLzIwMjMvMDgvMjgvVkwyVU1CWFAzV0RLRk5KTzROMzc2NklGVTQv0gFoaHR0cHM6Ly9iaXouY2hvc3VuLmNvbS9lbnRlcnRhaW5tZW50L2VudGVyX2dlbmVyYWwvMjAyMy8wOC8yOC9WTDJVTUJYUDNXREtGTkpPNE4zNzY2SUZVNC8_b3V0cHV0VHlwZT1hbXA?oc=5" xr:uid="{00000000-0004-0000-0100-000058000000}"/>
    <hyperlink ref="B91" r:id="rId90" display="https://news.google.com/rss/articles/CBMiQ2h0dHA6Ly93d3cuZHQuY28ua3IvY29udGVudHMuaHRtbD9hcnRpY2xlX25vPTIwMjMwODMwMDIxMDk5NjMwNzYwMDHSAQA?oc=5" xr:uid="{00000000-0004-0000-0100-000059000000}"/>
    <hyperlink ref="B92" r:id="rId91" display="https://news.google.com/rss/articles/CBMiW2h0dHBzOi8vd3d3LmNob3N1bi5jb20vY3VsdHVyZS1saWZlL3BlcmZvcm1hbmNlLWFydHMvMjAyMy8wOC8yOS9FSzczV0lCNTY1R09ET1lWQ1BCMlRSSFVNUS_SAWpodHRwczovL3d3dy5jaG9zdW4uY29tL2N1bHR1cmUtbGlmZS9wZXJmb3JtYW5jZS1hcnRzLzIwMjMvMDgvMjkvRUs3M1dJQjU2NUdPRE9ZVkNQQjJUUkhVTVEvP291dHB1dFR5cGU9YW1w?oc=5" xr:uid="{00000000-0004-0000-0100-00005A000000}"/>
    <hyperlink ref="B93" r:id="rId92" display="https://news.google.com/rss/articles/CBMiPGh0dHA6Ly9tLnRyYXZlbGRhaWx5LmNvLmtyL25ld3MvYXJ0aWNsZVZpZXcuaHRtbD9pZHhubz00NjQ1NtIBAA?oc=5" xr:uid="{00000000-0004-0000-0100-00005B000000}"/>
    <hyperlink ref="B94" r:id="rId93" display="https://news.google.com/rss/articles/CBMiI2h0dHBzOi8vd3d3LmJiYy5jb20va29yZWFuLzY2NDI1Mjc40gEnaHR0cHM6Ly93d3cuYmJjLmNvbS9rb3JlYW4vNjY0MjUyNzguYW1w?oc=5" xr:uid="{00000000-0004-0000-0100-00005C000000}"/>
    <hyperlink ref="B95" r:id="rId94" display="https://news.google.com/rss/articles/CBMiL2h0dHBzOi8vd3d3LnluYS5jby5rci92aWV3L0FLUjIwMjMwOTAxMDU0NTUxNTMw0gEA?oc=5" xr:uid="{00000000-0004-0000-0100-00005D000000}"/>
    <hyperlink ref="B96" r:id="rId95" display="https://news.google.com/rss/articles/CBMiOmh0dHBzOi8vd3d3LmFpdGltZXMuY29tL25ld3MvYXJ0aWNsZVZpZXcuaHRtbD9pZHhubz0xNTMxMzHSAQA?oc=5" xr:uid="{00000000-0004-0000-0100-00005E000000}"/>
    <hyperlink ref="B97" r:id="rId96" display="https://news.google.com/rss/articles/CBMiL2h0dHBzOi8vbS5la24ua3Ivdmlldy5waHA_a2V5PTIwMjMwODMwMDEwMDA3OTk10gEA?oc=5" xr:uid="{00000000-0004-0000-0100-00005F000000}"/>
    <hyperlink ref="B98" r:id="rId97" display="https://news.google.com/rss/articles/CBMiL2h0dHA6Ly93d3cueWJzdHYubmV0L25ld3MvYXJ0aWNsZS5odG1sP25vPTU0OTU10gEA?oc=5" xr:uid="{00000000-0004-0000-0100-000060000000}"/>
    <hyperlink ref="B99" r:id="rId98" display="https://news.google.com/rss/articles/CBMiQ2h0dHBzOi8vd3d3LmRvbmdhLmNvbS9uZXdzL1NvY2lldHkvYXJ0aWNsZS9hbGwvMjAyMzA4MzAvMTIwOTM3ODM1LzHSATdodHRwczovL3d3dy5kb25nYS5jb20vbmV3cy9hbXAvYWxsLzIwMjMwODMwLzEyMDkzNzgzNS8x?oc=5" xr:uid="{00000000-0004-0000-0100-000061000000}"/>
    <hyperlink ref="B100" r:id="rId99" display="https://news.google.com/rss/articles/CBMiVWh0dHBzOi8vd3d3LmNob3N1bi5jb20vc3BlY2lhbC9zcGVjaWFsX3NlY3Rpb24vMjAyMy8wOC8zMS9TSFdWV1JJQllSSFFaTjRIVzU1M0kzTUE1TS_SAWRodHRwczovL3d3dy5jaG9zdW4uY29tL3NwZWNpYWwvc3BlY2lhbF9zZWN0aW9uLzIwMjMvMDgvMzEvU0hXVldSSUJZUkhRWk40SFc1NTNJM01BNU0vP291dHB1dFR5cGU9YW1w?oc=5" xr:uid="{00000000-0004-0000-0100-000062000000}"/>
    <hyperlink ref="B101" r:id="rId100" display="https://news.google.com/rss/articles/CBMiOGh0dHA6Ly93d3cuYXB0bi5jby5rci9uZXdzL2FydGljbGVWaWV3Lmh0bWw_aWR4bm89MTA0MTU50gE7aHR0cDovL3d3dy5hcHRuLmNvLmtyL25ld3MvYXJ0aWNsZVZpZXdBbXAuaHRtbD9pZHhubz0xMDQxNTk?oc=5" xr:uid="{00000000-0004-0000-0100-000063000000}"/>
    <hyperlink ref="B102" r:id="rId101" display="https://news.google.com/rss/articles/CBMiOWh0dHA6Ly93d3cuaGlkb21pbi5jb20vbmV3cy9hcnRpY2xlVmlldy5odG1sP2lkeG5vPTUyNTE1OdIBAA?oc=5" xr:uid="{00000000-0004-0000-0100-000064000000}"/>
    <hyperlink ref="B103" r:id="rId102" display="https://news.google.com/rss/articles/CBMiP2h0dHA6Ly93d3cuZm9vdGJhbGxpc3QuY28ua3IvbmV3cy9hcnRpY2xlVmlldy5odG1sP2lkeG5vPTE3MjM5MtIBAA?oc=5" xr:uid="{00000000-0004-0000-0100-000065000000}"/>
    <hyperlink ref="B104" r:id="rId103" display="https://news.google.com/rss/articles/CBMiOGh0dHBzOi8vbS5oYW5rb29raWxiby5jb20vTmV3cy9SZWFkL0EyMDIzMDQyNTAxMzQwMDAwMTk30gEA?oc=5" xr:uid="{00000000-0004-0000-0100-000066000000}"/>
    <hyperlink ref="B105" r:id="rId104" display="https://news.google.com/rss/articles/CBMiNWh0dHA6Ly93d3cuaWtsZC5rci9uZXdzL2FydGljbGVWaWV3Lmh0bWw_aWR4bm89MjgwMjA20gEA?oc=5" xr:uid="{00000000-0004-0000-0100-000067000000}"/>
    <hyperlink ref="B106" r:id="rId105" display="https://news.google.com/rss/articles/CBMiMWh0dHBzOi8vd3d3Lnl0bi5jby5rci9fbG4vMDEwNl8yMDIzMDgxNTAyMDg1ODgzMzbSAUNodHRwczovL20ueXRuLmNvLmtyL25ld3Nfdmlldy5hbXAucGhwP3BhcmFtPTAxMDZfMjAyMzA4MTUwMjA4NTg4MzM2?oc=5" xr:uid="{00000000-0004-0000-0100-000068000000}"/>
    <hyperlink ref="B107" r:id="rId106" display="https://news.google.com/rss/articles/CBMiLGh0dHBzOi8vbS5raGFuLmNvLmtyL2FydGljbGUvMjAyMzA4MTExNjM5MDAx0gE9aHR0cHM6Ly9tLmtoYW4uY28ua3IvY3VsdHVyZS9ib29rL2FydGljbGUvMjAyMzA4MTExNjM5MDAxL2FtcA?oc=5" xr:uid="{00000000-0004-0000-0100-000069000000}"/>
    <hyperlink ref="B108" r:id="rId107" display="https://news.google.com/rss/articles/CBMiJ2h0dHBzOi8vaHJjb3Bpbmlvbi5jby5rci9hcmNoaXZlcy8yNjYxONIBK2h0dHBzOi8vaHJjb3Bpbmlvbi5jby5rci9hcmNoaXZlcy8yNjYxOC9hbXA?oc=5" xr:uid="{00000000-0004-0000-0100-00006A000000}"/>
    <hyperlink ref="B109" r:id="rId108" display="https://news.google.com/rss/articles/CBMiJWh0dHBzOi8vd3d3Lml0d29ybGQuY28ua3IvbmV3cy8zMDU3NDPSAQA?oc=5" xr:uid="{00000000-0004-0000-0100-00006B000000}"/>
    <hyperlink ref="B110" r:id="rId109" display="https://news.google.com/rss/articles/CBMiS2h0dHBzOi8vd3d3LmVkYWlseS5jby5rci9uZXdzL3JlYWQ_bmV3c0lkPTAyMDkyNjQ2NjM1NzM1ODU2Jm1lZGlhQ29kZU5vPTI1N9IBSGh0dHBzOi8vbS5lZGFpbHkuY28ua3IvYW1wL3JlYWQ_bmV3c0lkPTAyMDkyNjQ2NjM1NzM1ODU2Jm1lZGlhQ29kZU5vPTI1Nw?oc=5" xr:uid="{00000000-0004-0000-0100-00006C000000}"/>
    <hyperlink ref="B111" r:id="rId110" display="https://news.google.com/rss/articles/CBMiTWh0dHBzOi8vd2Vla2x5LmtoYW4uY28ua3Iva2hubS5odG1sP21vZGU9dmlldyZkZXB0PTExNSZhcnRfaWQ9MjAyMzA4MjUxMDU1MTcx0gEA?oc=5" xr:uid="{00000000-0004-0000-0100-00006D000000}"/>
    <hyperlink ref="B112" r:id="rId111" display="https://news.google.com/rss/articles/CBMiNWh0dHBzOi8vYmxvZy50b3NzLmltL2FydGljbGUvZ2lybC1ncm91cHMtZWNvbm9taWNzLTAx0gEA?oc=5" xr:uid="{00000000-0004-0000-0100-00006E000000}"/>
    <hyperlink ref="B113" r:id="rId112" display="https://news.google.com/rss/articles/CBMiOGh0dHBzOi8vbS5oYW5rb29raWxiby5jb20vTmV3cy9SZWFkL0EyMDIzMDgyOTA3MjEwMDAxNTMw0gEA?oc=5" xr:uid="{00000000-0004-0000-0100-00006F000000}"/>
    <hyperlink ref="B114" r:id="rId113" display="https://news.google.com/rss/articles/CBMiP2h0dHBzOi8vd3d3Lm1vbmV5cy5jby5rci9uZXdzL213Vmlldy5waHA_bm89MjAyMzA4MzExNzM1MzE1ODExMtIBAA?oc=5" xr:uid="{00000000-0004-0000-0100-000070000000}"/>
    <hyperlink ref="B115" r:id="rId114" display="https://news.google.com/rss/articles/CBMiPmh0dHA6Ly93d3cuZG9jZG9jZG9jLmNvLmtyL25ld3MvYXJ0aWNsZVZpZXcuaHRtbD9pZHhubz0zMDA4NDQz0gFBaHR0cDovL3d3dy5kb2Nkb2Nkb2MuY28ua3IvbmV3cy9hcnRpY2xlVmlld0FtcC5odG1sP2lkeG5vPTMwMDg0NDM?oc=5" xr:uid="{00000000-0004-0000-0100-000071000000}"/>
    <hyperlink ref="B116" r:id="rId115" display="https://news.google.com/rss/articles/CBMiOGh0dHBzOi8vd3d3LmthZG8ubmV0L25ld3MvYXJ0aWNsZVZpZXcuaHRtbD9pZHhubz0xMTczNTgy0gEA?oc=5" xr:uid="{00000000-0004-0000-0100-000072000000}"/>
    <hyperlink ref="B117" r:id="rId116" display="https://news.google.com/rss/articles/CBMiN2h0dHBzOi8vbmV3cy5tdC5jby5rci9tdHZpZXcucGhwP25vPTIwMjMwODMxMDk0NzE2NDE0MTHSAT1odHRwczovL20ubXQuY28ua3IvcmVuZXcvdmlld19hbXAuaHRtbD9ubz0yMDIzMDgzMTA5NDcxNjQxNDEx?oc=5" xr:uid="{00000000-0004-0000-0100-000073000000}"/>
    <hyperlink ref="B118" r:id="rId117" display="https://news.google.com/rss/articles/CBMiO2h0dHBzOi8vd3d3LnRvcC1yaWRlci5jb20vbmV3cy9hcnRpY2xlVmlldy5odG1sP2lkeG5vPTYzNzU10gEA?oc=5" xr:uid="{00000000-0004-0000-0100-000074000000}"/>
    <hyperlink ref="B119" r:id="rId118" display="https://news.google.com/rss/articles/CBMiOmh0dHA6Ly93d3cuaGl0bmV3cy5jby5rci9uZXdzL2FydGljbGVWaWV3Lmh0bWw_aWR4bm89NDc4NDLSAQA?oc=5" xr:uid="{00000000-0004-0000-0100-000075000000}"/>
    <hyperlink ref="B120" r:id="rId119" display="https://news.google.com/rss/articles/CBMiOGh0dHA6Ly93d3cuaGFwdC5jby5rci9uZXdzL2FydGljbGVWaWV3Lmh0bWw_aWR4bm89MTU5ODQx0gEA?oc=5" xr:uid="{00000000-0004-0000-0100-000076000000}"/>
    <hyperlink ref="B121" r:id="rId120" display="https://news.google.com/rss/articles/CBMiTWh0dHBzOi8vbmV3cy5rb3JlYWRhaWx5LmNvbS8yMDIzLzA4LzEwL3NvY2lldHkvb3Bpbmlvbi8yMDIzMDgxMDE5MjYzMjczOC5odG1s0gEA?oc=5" xr:uid="{00000000-0004-0000-0100-000077000000}"/>
    <hyperlink ref="B122" r:id="rId121" display="https://news.google.com/rss/articles/CBMiTGh0dHBzOi8vd3d3LmFzaWFlLmNvLmtyL3JlYWx0aW1lL3Nva2JvX3ZpZXdOZXcuaHRtP2lkeG5vPTIwMjMwODMwMTE0MTE4NTM4MDHSAQA?oc=5" xr:uid="{00000000-0004-0000-0100-000078000000}"/>
    <hyperlink ref="B123" r:id="rId122" display="https://news.google.com/rss/articles/CBMiMWh0dHBzOi8vd3d3LmludmVuLmNvLmtyL3dlYnppbmUvbmV3cy8_bmV3cz0yODgxOTHSAQA?oc=5" xr:uid="{00000000-0004-0000-0100-000079000000}"/>
    <hyperlink ref="B124" r:id="rId123" display="https://news.google.com/rss/articles/CBMiK2h0dHBzOi8vemRuZXQuY28ua3Ivdmlldy8_bm89MjAyMzA4MjkxNDQ2MDTSAQA?oc=5" xr:uid="{00000000-0004-0000-0100-00007A000000}"/>
    <hyperlink ref="B125" r:id="rId124" display="https://news.google.com/rss/articles/CBMiQWh0dHBzOi8vd3d3LmJ1c2luZXNzcG9zdC5jby5rci9CUD9jb21tYW5kPWFydGljbGVfdmlldyZudW09MzI1NTY10gEA?oc=5" xr:uid="{00000000-0004-0000-0100-00007B000000}"/>
    <hyperlink ref="B126" r:id="rId125" display="https://news.google.com/rss/articles/CBMiNWh0dHBzOi8vd3d3Lm1rLmNvLmtyL3N0YXIvbW92aWVzL3ZpZXcvMjAyMy8wOC81OTEzNTcv0gEA?oc=5" xr:uid="{00000000-0004-0000-0100-00007C000000}"/>
    <hyperlink ref="B127" r:id="rId126" display="https://news.google.com/rss/articles/CBMiPWh0dHBzOi8vbS5ib2FubmV3cy5jb20vaHRtbC9kZXRhaWwuaHRtbD90YWJfdHlwZT0xJmlkeD0xMjEzNTLSAQA?oc=5" xr:uid="{00000000-0004-0000-0100-00007D000000}"/>
    <hyperlink ref="B128" r:id="rId127" display="https://news.google.com/rss/articles/CBMiSmh0dHBzOi8vcmVhbHR5LmNob3N1bi5jb20vc2l0ZS9kYXRhL2h0bWxfZGlyLzIwMjMvMDgvMzEvMjAyMzA4MzEwMjMzNy5odG1s0gFBaHR0cHM6Ly9yZWFsdHkuY2hvc3VuLmNvbS9tL2FydGljbGUuYW1wLmh0bWw_Y29udGlkPTIwMjMwODMxMDIzMzc?oc=5" xr:uid="{00000000-0004-0000-0100-00007E000000}"/>
    <hyperlink ref="B129" r:id="rId128" display="https://news.google.com/rss/articles/CBMiN2h0dHBzOi8vbmV3cy5tdC5jby5rci9tdHZpZXcucGhwP25vPTIwMjMwMjA3MTgwMzM4OTk3NDPSAT1odHRwczovL20ubXQuY28ua3IvcmVuZXcvdmlld19hbXAuaHRtbD9ubz0yMDIzMDIwNzE4MDMzODk5NzQz?oc=5" xr:uid="{00000000-0004-0000-0100-00007F000000}"/>
    <hyperlink ref="B130" r:id="rId129" display="https://news.google.com/rss/articles/CBMiOmh0dHBzOi8vd3d3Lm5ld3N3YXkuY28ua3IvbmV3cy92aWV3P3VkPTIwMjMwOTAxMTQxOTIxMjM1NDbSAQA?oc=5" xr:uid="{00000000-0004-0000-0100-000080000000}"/>
    <hyperlink ref="B131" r:id="rId130" display="https://news.google.com/rss/articles/CBMiKWh0dHBzOi8vbmV3cy5uYXRlLmNvbS92aWV3LzIwMjMwODI1bjE3NDEz0gEA?oc=5" xr:uid="{00000000-0004-0000-0100-000081000000}"/>
    <hyperlink ref="B132" r:id="rId131" display="https://news.google.com/rss/articles/CBMiHGh0dHBzOi8vaXQuZG9uZ2EuY29tLzEwNDI0Mi_SAQA?oc=5" xr:uid="{00000000-0004-0000-0100-000082000000}"/>
    <hyperlink ref="B133" r:id="rId132" display="https://news.google.com/rss/articles/CBMiO2h0dHBzOi8vd3d3Lm1pbmRsZW5ld3MuY29tL25ld3MvYXJ0aWNsZVZpZXcuaHRtbD9pZHhubz0zNTE10gEA?oc=5" xr:uid="{00000000-0004-0000-0100-000083000000}"/>
    <hyperlink ref="B134" r:id="rId133" display="https://news.google.com/rss/articles/CBMiLGh0dHBzOi8vbS5raGFuLmNvLmtyL2FydGljbGUvMjAyMzA4MDgyMDI0MDA10gE7aHR0cHM6Ly9tLmtoYW4uY28ua3IvY3VsdHVyZS90di9hcnRpY2xlLzIwMjMwODA4MjAyNDAwNS9hbXA?oc=5" xr:uid="{00000000-0004-0000-0100-000084000000}"/>
    <hyperlink ref="B135" r:id="rId134" display="https://news.google.com/rss/articles/CBMiLmh0dHBzOi8vbS5rbWliLmNvLmtyL3ZpZXcuYXNwP2FyY2lkPTA5MjQyODM3MTLSATJodHRwczovL20ua21pYi5jby5rci92aWV3X2FtcC5hc3A_YXJjaWQ9MDkyNDI4MzcxMg?oc=5" xr:uid="{00000000-0004-0000-0100-000085000000}"/>
    <hyperlink ref="B136" r:id="rId135" display="https://news.google.com/rss/articles/CBMiOWh0dHA6Ly93d3cubmV3c3RudC5jb20vbmV3cy9hcnRpY2xlVmlldy5odG1sP2lkeG5vPTIzMDE3MNIBPGh0dHA6Ly93d3cubmV3c3RudC5jb20vbmV3cy9hcnRpY2xlVmlld0FtcC5odG1sP2lkeG5vPTIzMDE3MA?oc=5" xr:uid="{00000000-0004-0000-0100-000086000000}"/>
    <hyperlink ref="B137" r:id="rId136" display="https://news.google.com/rss/articles/CBMiRWh0dHBzOi8vd3d3LmlseW93ZWVrbHkuY28ua3IvbmV3cy9uZXdzdmlldy5waHA_bmNvZGU9MTA2NTU3MjMxMDMyMzM5MtIBAA?oc=5" xr:uid="{00000000-0004-0000-0100-000087000000}"/>
    <hyperlink ref="B138" r:id="rId137" display="https://news.google.com/rss/articles/CBMiN2h0dHBzOi8vbmV3cy5tdC5jby5rci9tdHZpZXcucGhwP25vPTIwMjMwODI5MTQyNDA2MTM4MDDSAT1odHRwczovL20ubXQuY28ua3IvcmVuZXcvdmlld19hbXAuaHRtbD9ubz0yMDIzMDgyOTE0MjQwNjEzODAw?oc=5" xr:uid="{00000000-0004-0000-0100-000088000000}"/>
    <hyperlink ref="B139" r:id="rId138" display="https://news.google.com/rss/articles/CBMiK2h0dHBzOi8vd3d3Lm1rLmNvLmtyL25ld3MvYnVzaW5lc3MvMTA4MTY3NTbSAR9odHRwczovL20ubWsuY28ua3IvYW1wLzEwODE2NzU2?oc=5" xr:uid="{00000000-0004-0000-0100-000089000000}"/>
    <hyperlink ref="B140" r:id="rId139" display="https://news.google.com/rss/articles/CBMiO2h0dHBzOi8vd3d3LnNlb3VsLmNvLmtyL25ld3MvbmV3c1ZpZXcucGhwP2lkPTIwMjMwODMxMDE2MDAz0gEsaHR0cHM6Ly9hbXAuc2VvdWwuY28ua3Ivc2VvdWwvMjAyMzA4MzEwMTYwMDM?oc=5" xr:uid="{00000000-0004-0000-0100-00008A000000}"/>
    <hyperlink ref="B141" r:id="rId140" display="https://news.google.com/rss/articles/CBMiN2h0dHBzOi8vd3d3LmVkcGwuY28ua3IvbmV3cy9hcnRpY2xlVmlldy5odG1sP2lkeG5vPTg2OTHSAQA?oc=5" xr:uid="{00000000-0004-0000-0100-00008B000000}"/>
    <hyperlink ref="B142" r:id="rId141" display="https://news.google.com/rss/articles/CBMiMWh0dHBzOi8vd3d3LmludmVuLmNvLmtyL3dlYnppbmUvbmV3cy8_bmV3cz0yODgyNjHSAQA?oc=5" xr:uid="{00000000-0004-0000-0100-00008C000000}"/>
    <hyperlink ref="B143" r:id="rId142" display="https://news.google.com/rss/articles/CBMiOmh0dHBzOi8vd3d3LmFpdGltZXMuY29tL25ld3MvYXJ0aWNsZVZpZXcuaHRtbD9pZHhubz0xNTMyMznSAQA?oc=5" xr:uid="{00000000-0004-0000-0100-00008D000000}"/>
    <hyperlink ref="B144" r:id="rId143" display="https://news.google.com/rss/articles/CBMiOWh0dHA6Ly93d3cudGhlYmsuY28ua3IvbmV3cy9hcnRpY2xlVmlldy5odG1sP2lkeG5vPTIwNTEzNNIBAA?oc=5" xr:uid="{00000000-0004-0000-0100-00008E000000}"/>
    <hyperlink ref="B145" r:id="rId144" display="https://news.google.com/rss/articles/CBMiPmh0dHBzOi8vd3d3LmF1dG9kYWlseS5jby5rci9uZXdzL2FydGljbGVWaWV3Lmh0bWw_aWR4bm89NTA5MTA00gFBaHR0cHM6Ly93d3cuYXV0b2RhaWx5LmNvLmtyL25ld3MvYXJ0aWNsZVZpZXdBbXAuaHRtbD9pZHhubz01MDkxMDQ?oc=5" xr:uid="{00000000-0004-0000-0100-00008F000000}"/>
    <hyperlink ref="B146" r:id="rId145" display="https://news.google.com/rss/articles/CBMiOmh0dHA6Ly93d3cuZ25uZXdzLmNvLmtyL25ld3MvYXJ0aWNsZVZpZXcuaHRtbD9pZHhubz01MTQ3MDPSAQA?oc=5" xr:uid="{00000000-0004-0000-0100-000090000000}"/>
    <hyperlink ref="B147" r:id="rId146" display="https://news.google.com/rss/articles/CBMiOWh0dHBzOi8vd3d3LmltcGFjdG9uLm5ldC9uZXdzL2FydGljbGVWaWV3Lmh0bWw_aWR4bm89NzE0MNIBAA?oc=5" xr:uid="{00000000-0004-0000-0100-000091000000}"/>
    <hyperlink ref="B148" r:id="rId147" display="https://news.google.com/rss/articles/CBMiTWh0dHBzOi8vd2Vla2x5LmtoYW4uY28ua3Iva2hubS5odG1sP21vZGU9dmlldyZkZXB0PTExNSZhcnRfaWQ9MjAyMzA4MjUxMDU0NDEx0gEA?oc=5" xr:uid="{00000000-0004-0000-0100-000092000000}"/>
    <hyperlink ref="B149" r:id="rId148" display="https://news.google.com/rss/articles/CBMiKWh0dHBzOi8vbmV3cy5uYXRlLmNvbS92aWV3LzIwMjMwODI1bjA2MDM00gEA?oc=5" xr:uid="{00000000-0004-0000-0100-000093000000}"/>
    <hyperlink ref="B150" r:id="rId149" display="https://news.google.com/rss/articles/CBMiJmh0dHBzOi8vbS5iZXRhbmV3cy5uZXQvYXJ0aWNsZS8xNDM3MTQw0gEA?oc=5" xr:uid="{00000000-0004-0000-0100-000094000000}"/>
    <hyperlink ref="B151" r:id="rId150" display="https://news.google.com/rss/articles/CBMiJ2h0dHBzOi8vaHJjb3Bpbmlvbi5jby5rci9hcmNoaXZlcy8yNTk3OdIBK2h0dHBzOi8vaHJjb3Bpbmlvbi5jby5rci9hcmNoaXZlcy8yNTk3OS9hbXA?oc=5" xr:uid="{00000000-0004-0000-0100-000095000000}"/>
    <hyperlink ref="B152" r:id="rId151" display="https://news.google.com/rss/articles/CBMiRmh0dHBzOi8vaXQuY2hvc3VuLmNvbS9zaXRlL2RhdGEvaHRtbF9kaXIvMjAyMy8wOC8yNS8yMDIzMDgyNTAwMzY3Lmh0bWzSAQA?oc=5" xr:uid="{00000000-0004-0000-0100-000096000000}"/>
    <hyperlink ref="B153" r:id="rId152" display="https://news.google.com/rss/articles/CBMiHmh0dHBzOi8vYnJ1bmNoLmNvLmtyL0BAN3lkLzEzNNIBAA?oc=5" xr:uid="{00000000-0004-0000-0100-000097000000}"/>
    <hyperlink ref="B154" r:id="rId153" display="https://news.google.com/rss/articles/CBMiMWh0dHBzOi8vd3d3Lm5ld3MyZGF5LmNvLmtyL2FydGljbGUvMjAyMzA5MDE1MDAxODXSAQA?oc=5" xr:uid="{00000000-0004-0000-0100-000098000000}"/>
    <hyperlink ref="B155" r:id="rId154" display="https://news.google.com/rss/articles/CBMiS2h0dHA6Ly93ZWVrbHkua2hhbi5jby5rci9raG5tLmh0bWw_bW9kZT12aWV3JmFydGlkPTIwMjMwODI1MTA1NDM5MSZjb2RlPTExNNIBAA?oc=5" xr:uid="{00000000-0004-0000-0100-000099000000}"/>
    <hyperlink ref="B156" r:id="rId155" display="https://news.google.com/rss/articles/CBMiMWh0dHBzOi8vd3d3Lnl0bi5jby5rci9fbG4vMDEwMl8yMDIyMTIxNjEzNDcwOTU4MTLSAUNodHRwczovL20ueXRuLmNvLmtyL25ld3Nfdmlldy5hbXAucGhwP3BhcmFtPTAxMDJfMjAyMjEyMTYxMzQ3MDk1ODEy?oc=5" xr:uid="{00000000-0004-0000-0100-00009A000000}"/>
    <hyperlink ref="B157" r:id="rId156" display="https://news.google.com/rss/articles/CBMioQFodHRwczovL3d3dy5uZXdzcm8ua3IvJUVBJUI5JTgwJUVCJUFGJUJDJUVDJTlEJTk4LSVFQiU5RCVCQyVFQiU5NiVCQyVFQiVCMyU4NCVFQSVCMyVBMS0lRUMlODQlQjglRUIlOEMlODAlRUMlQjAlQTglRUMlOUQlQjQtJUVEJTgzJTg4JUVEJTk0JUJDJUVEJTk1JTk4JUVBJUI4JUIwL9IBAA?oc=5" xr:uid="{00000000-0004-0000-0100-00009B000000}"/>
    <hyperlink ref="B158" r:id="rId157" display="https://news.google.com/rss/articles/CBMiVWh0dHBzOi8vd3d3LmNob3N1bi5jb20vc3BlY2lhbC9zcGVjaWFsX3NlY3Rpb24vMjAyMi8xMi8yMC9VVUNCS1dNVllCR1FQRUdPRDdFWFI2WEhSWS_SAWRodHRwczovL3d3dy5jaG9zdW4uY29tL3NwZWNpYWwvc3BlY2lhbF9zZWN0aW9uLzIwMjIvMTIvMjAvVVVDQktXTVZZQkdRUEVHT0Q3RVhSNlhIUlkvP291dHB1dFR5cGU9YW1w?oc=5" xr:uid="{00000000-0004-0000-0100-00009C000000}"/>
    <hyperlink ref="B159" r:id="rId158" display="https://news.google.com/rss/articles/CBMiLGh0dHBzOi8vbS5raGFuLmNvLmtyL2FydGljbGUvMjAyMzA4MDMxMzUzMDAx0gFCaHR0cHM6Ly9tLmtoYW4uY28ua3IvbGlmZS9saWZlLWdlbmVyYWwvYXJ0aWNsZS8yMDIzMDgwMzEzNTMwMDEvYW1w?oc=5" xr:uid="{00000000-0004-0000-0100-00009D000000}"/>
    <hyperlink ref="B160" r:id="rId159" display="https://news.google.com/rss/articles/CBMiPGh0dHBzOi8vd3d3LmVjb25vdmlsbC5jb20vbmV3cy9hcnRpY2xlVmlldy5odG1sP2lkeG5vPTYyMTc2NNIBAA?oc=5" xr:uid="{00000000-0004-0000-0100-00009E000000}"/>
    <hyperlink ref="B161" r:id="rId160" display="https://news.google.com/rss/articles/CBMiVGh0dHBzOi8vbmV3cy5rb3JlYWRhaWx5LmNvbS8yMDIzLzAzLzE1L2Vjb25vbXkvZWNvbm9teWdlbmVyYWwvMjAyMzAzMTUyMTQxMzAxNTguaHRtbNIBAA?oc=5" xr:uid="{00000000-0004-0000-0100-00009F000000}"/>
    <hyperlink ref="B162" r:id="rId161" display="https://news.google.com/rss/articles/CBMiOmh0dHBzOi8vd3d3Lm50b2RheS5jby5rci9uZXdzL2FydGljbGVWaWV3Lmh0bWw_aWR4bm89OTc1MDHSAT1odHRwczovL3d3dy5udG9kYXkuY28ua3IvbmV3cy9hcnRpY2xlVmlld0FtcC5odG1sP2lkeG5vPTk3NTAx?oc=5" xr:uid="{00000000-0004-0000-0100-0000A0000000}"/>
    <hyperlink ref="B163" r:id="rId162" display="https://news.google.com/rss/articles/CBMiM2h0dHBzOi8vd3d3Lm1ldHJvc2VvdWwuY28ua3IvYXJ0aWNsZS8yMDIzMDkwMTUwMDEzMtIBAA?oc=5" xr:uid="{00000000-0004-0000-0100-0000A1000000}"/>
    <hyperlink ref="B164" r:id="rId163" display="https://news.google.com/rss/articles/CBMiLGh0dHBzOi8vbS5raGFuLmNvLmtyL2FydGljbGUvMjAyMzA4MTkwNjAxMDAx0gFCaHR0cHM6Ly9tLmtoYW4uY28ua3IvbGlmZS9saWZlLWdlbmVyYWwvYXJ0aWNsZS8yMDIzMDgxOTA2MDEwMDEvYW1w?oc=5" xr:uid="{00000000-0004-0000-0100-0000A2000000}"/>
    <hyperlink ref="B165" r:id="rId164" display="https://news.google.com/rss/articles/CBMiPmh0dHBzOi8vd3d3Lmt5b25nYnVrLmNvLmtyL25ld3MvYXJ0aWNsZVZpZXcuaHRtbD9pZHhubz0yMTE2MTAx0gEA?oc=5" xr:uid="{00000000-0004-0000-0100-0000A3000000}"/>
    <hyperlink ref="B166" r:id="rId165" display="https://news.google.com/rss/articles/CBMivQFodHRwczovL3d3dy5hbGx1cmVrb3JlYS5jb20vMjAyMy8wOC8zMS8lRUIlQTclQTQlRUMlOUQlQkMtJUVEJTk1JUE4JUVBJUJCJTk4JUVEJTk1JUEwLSVFRCU4QyU4QyVFQyU5RCVCOC0lRUMlQTMlQkMlRUMlOTYlQkMlRUIlQTYlQUMlRUMlOUQlOTgtJUVCJTg4JTg4JUVCJUI2JTgwJUVDJThCJUEwLSVFQiVBNyVBNCVFQiVBMCVBNS_SAQA?oc=5" xr:uid="{00000000-0004-0000-0100-0000A4000000}"/>
    <hyperlink ref="B167" r:id="rId166" display="https://news.google.com/rss/articles/CBMiM2h0dHBzOi8vd3d3Lmhhbmt5dW5nLmNvbS9saWZlL2FydGljbGUvMjAyMzA2MDI2OTM0MdIBL2h0dHBzOi8vd3d3Lmhhbmt5dW5nLmNvbS9saWZlL2FtcC8yMDIzMDYwMjY5MzQx?oc=5" xr:uid="{00000000-0004-0000-0100-0000A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21"/>
  <sheetViews>
    <sheetView tabSelected="1" workbookViewId="0"/>
  </sheetViews>
  <sheetFormatPr defaultColWidth="12.6328125" defaultRowHeight="15.75" customHeight="1" x14ac:dyDescent="0.25"/>
  <cols>
    <col min="1" max="1" width="87" customWidth="1"/>
    <col min="2" max="2" width="296.453125" customWidth="1"/>
    <col min="3" max="3" width="26.08984375" customWidth="1"/>
    <col min="4" max="4" width="86.453125" customWidth="1"/>
  </cols>
  <sheetData>
    <row r="1" spans="1:4" ht="15.75" customHeight="1" x14ac:dyDescent="0.25">
      <c r="A1" s="1" t="str">
        <f ca="1">IFERROR(__xludf.DUMMYFUNCTION("importfeed(""https://news.google.com/rss/search?hl=ko&amp;gl=KR&amp;ie=UTF-8&amp;output=rss&amp;q=노인혐오"","""",true,250)"),"Title")</f>
        <v>Title</v>
      </c>
      <c r="B1" s="1" t="str">
        <f ca="1">IFERROR(__xludf.DUMMYFUNCTION("""COMPUTED_VALUE"""),"URL")</f>
        <v>URL</v>
      </c>
      <c r="C1" s="1" t="str">
        <f ca="1">IFERROR(__xludf.DUMMYFUNCTION("""COMPUTED_VALUE"""),"Date Created")</f>
        <v>Date Created</v>
      </c>
      <c r="D1" s="1" t="str">
        <f ca="1">IFERROR(__xludf.DUMMYFUNCTION("""COMPUTED_VALUE"""),"Summary")</f>
        <v>Summary</v>
      </c>
    </row>
    <row r="2" spans="1:4" ht="15.75" customHeight="1" x14ac:dyDescent="0.25">
      <c r="A2" s="1" t="str">
        <f ca="1">IFERROR(__xludf.DUMMYFUNCTION("""COMPUTED_VALUE"""),"[기획:초고령사회] '노인생활' 대책은? - 뉴스엔뷰")</f>
        <v>[기획:초고령사회] '노인생활' 대책은? - 뉴스엔뷰</v>
      </c>
      <c r="B2" s="2" t="str">
        <f ca="1">IFERROR(__xludf.DUMMYFUNCTION("""COMPUTED_VALUE"""),"https://news.google.com/rss/articles/CBMiNmh0dHA6Ly93d3cuYWJja3IubmV0L25ld3MvYXJ0aWNsZVZpZXcuaHRtbD9pZHhubz01MDM3N9IBAA?oc=5")</f>
        <v>https://news.google.com/rss/articles/CBMiNmh0dHA6Ly93d3cuYWJja3IubmV0L25ld3MvYXJ0aWNsZVZpZXcuaHRtbD9pZHhubz01MDM3N9IBAA?oc=5</v>
      </c>
      <c r="C2" s="1" t="str">
        <f ca="1">IFERROR(__xludf.DUMMYFUNCTION("""COMPUTED_VALUE"""),"Wed, 30 Aug 2023 06:26:02 GMT")</f>
        <v>Wed, 30 Aug 2023 06:26:02 GMT</v>
      </c>
      <c r="D2" s="1" t="str">
        <f ca="1">IFERROR(__xludf.DUMMYFUNCTION("""COMPUTED_VALUE"""),"[기획:초고령사회] '노인생활' 대책은?  뉴스엔뷰")</f>
        <v>[기획:초고령사회] '노인생활' 대책은?  뉴스엔뷰</v>
      </c>
    </row>
    <row r="3" spans="1:4" ht="15.75" customHeight="1" x14ac:dyDescent="0.25">
      <c r="A3" s="1" t="str">
        <f ca="1">IFERROR(__xludf.DUMMYFUNCTION("""COMPUTED_VALUE"""),"“틀딱? 그런 노인혐오 없어…노인과 청년, 얼마든지 친구” - 이데일리")</f>
        <v>“틀딱? 그런 노인혐오 없어…노인과 청년, 얼마든지 친구” - 이데일리</v>
      </c>
      <c r="B3" s="2" t="str">
        <f ca="1">IFERROR(__xludf.DUMMYFUNCTION("""COMPUTED_VALUE"""),"https://news.google.com/rss/articles/CBMiS2h0dHBzOi8vd3d3LmVkYWlseS5jby5rci9uZXdzL3JlYWQ_bmV3c0lkPTAxMTM0ODg2NjM1NjQ2MzEyJm1lZGlhQ29kZU5vPTI1N9IBSGh0dHBzOi8vbS5lZGFpbHkuY28ua3IvYW1wL3JlYWQ_bmV3c0lkPTAxMTM0ODg2NjM1NjQ2MzEyJm1lZGlhQ29kZU5vPTI1Nw?oc=5")</f>
        <v>https://news.google.com/rss/articles/CBMiS2h0dHBzOi8vd3d3LmVkYWlseS5jby5rci9uZXdzL3JlYWQ_bmV3c0lkPTAxMTM0ODg2NjM1NjQ2MzEyJm1lZGlhQ29kZU5vPTI1N9IBSGh0dHBzOi8vbS5lZGFpbHkuY28ua3IvYW1wL3JlYWQ_bmV3c0lkPTAxMTM0ODg2NjM1NjQ2MzEyJm1lZGlhQ29kZU5vPTI1Nw?oc=5</v>
      </c>
      <c r="C3" s="1" t="str">
        <f ca="1">IFERROR(__xludf.DUMMYFUNCTION("""COMPUTED_VALUE"""),"Wed, 28 Jun 2023 07:00:00 GMT")</f>
        <v>Wed, 28 Jun 2023 07:00:00 GMT</v>
      </c>
      <c r="D3" s="1" t="str">
        <f ca="1">IFERROR(__xludf.DUMMYFUNCTION("""COMPUTED_VALUE"""),"“틀딱? 그런 노인혐오 없어…노인과 청년, 얼마든지 친구”  이데일리")</f>
        <v>“틀딱? 그런 노인혐오 없어…노인과 청년, 얼마든지 친구”  이데일리</v>
      </c>
    </row>
    <row r="4" spans="1:4" ht="15.75" customHeight="1" x14ac:dyDescent="0.25">
      <c r="A4" s="1" t="str">
        <f ca="1">IFERROR(__xludf.DUMMYFUNCTION("""COMPUTED_VALUE"""),"[세컷칼럼] “기업 진출 막고 세금 드는 사업만 하니 발전 없어” - 미주중앙일보")</f>
        <v>[세컷칼럼] “기업 진출 막고 세금 드는 사업만 하니 발전 없어” - 미주중앙일보</v>
      </c>
      <c r="B4" s="2" t="str">
        <f ca="1">IFERROR(__xludf.DUMMYFUNCTION("""COMPUTED_VALUE"""),"https://news.google.com/rss/articles/CBMiTWh0dHBzOi8vbmV3cy5rb3JlYWRhaWx5LmNvbS8yMDIzLzA5LzAzL3NvY2lldHkvb3Bpbmlvbi8yMDIzMDkwMzA3MDA0MDE5Ni5odG1s0gEA?oc=5")</f>
        <v>https://news.google.com/rss/articles/CBMiTWh0dHBzOi8vbmV3cy5rb3JlYWRhaWx5LmNvbS8yMDIzLzA5LzAzL3NvY2lldHkvb3Bpbmlvbi8yMDIzMDkwMzA3MDA0MDE5Ni5odG1s0gEA?oc=5</v>
      </c>
      <c r="C4" s="1" t="str">
        <f ca="1">IFERROR(__xludf.DUMMYFUNCTION("""COMPUTED_VALUE"""),"Sun, 03 Sep 2023 14:00:00 GMT")</f>
        <v>Sun, 03 Sep 2023 14:00:00 GMT</v>
      </c>
      <c r="D4" s="1" t="str">
        <f ca="1">IFERROR(__xludf.DUMMYFUNCTION("""COMPUTED_VALUE"""),"[세컷칼럼] “기업 진출 막고 세금 드는 사업만 하니 발전 없어”  미주중앙일보")</f>
        <v>[세컷칼럼] “기업 진출 막고 세금 드는 사업만 하니 발전 없어”  미주중앙일보</v>
      </c>
    </row>
    <row r="5" spans="1:4" ht="15.75" customHeight="1" x14ac:dyDescent="0.25">
      <c r="A5" s="1" t="str">
        <f ca="1">IFERROR(__xludf.DUMMYFUNCTION("""COMPUTED_VALUE"""),"순해진, 하지만 파격적인…넷플릭스 '마스크걸' - 쿠키뉴스")</f>
        <v>순해진, 하지만 파격적인…넷플릭스 '마스크걸' - 쿠키뉴스</v>
      </c>
      <c r="B5" s="2" t="str">
        <f ca="1">IFERROR(__xludf.DUMMYFUNCTION("""COMPUTED_VALUE"""),"https://news.google.com/rss/articles/CBMiMWh0dHBzOi8vd3d3Lmt1a2luZXdzLmNvbS9uZXdzVmlldy9rdWsyMDIzMDgxODAxNTTSAQA?oc=5")</f>
        <v>https://news.google.com/rss/articles/CBMiMWh0dHBzOi8vd3d3Lmt1a2luZXdzLmNvbS9uZXdzVmlldy9rdWsyMDIzMDgxODAxNTTSAQA?oc=5</v>
      </c>
      <c r="C5" s="1" t="str">
        <f ca="1">IFERROR(__xludf.DUMMYFUNCTION("""COMPUTED_VALUE"""),"Sat, 19 Aug 2023 07:00:00 GMT")</f>
        <v>Sat, 19 Aug 2023 07:00:00 GMT</v>
      </c>
      <c r="D5" s="1" t="str">
        <f ca="1">IFERROR(__xludf.DUMMYFUNCTION("""COMPUTED_VALUE"""),"순해진, 하지만 파격적인…넷플릭스 '마스크걸'  쿠키뉴스")</f>
        <v>순해진, 하지만 파격적인…넷플릭스 '마스크걸'  쿠키뉴스</v>
      </c>
    </row>
    <row r="6" spans="1:4" ht="15.75" customHeight="1" x14ac:dyDescent="0.25">
      <c r="A6" s="1" t="str">
        <f ca="1">IFERROR(__xludf.DUMMYFUNCTION("""COMPUTED_VALUE"""),"“롤모델 유영철” 12가지 행동수칙…묻지마 살인 공익요원[그해 오늘] - 이데일리")</f>
        <v>“롤모델 유영철” 12가지 행동수칙…묻지마 살인 공익요원[그해 오늘] - 이데일리</v>
      </c>
      <c r="B6" s="2" t="str">
        <f ca="1">IFERROR(__xludf.DUMMYFUNCTION("""COMPUTED_VALUE"""),"https://news.google.com/rss/articles/CBMiS2h0dHBzOi8vd3d3LmVkYWlseS5jby5rci9uZXdzL3JlYWQ_bmV3c0lkPTAxMTA1MzY2NjM1NzA5OTQ0Jm1lZGlhQ29kZU5vPTI1N9IBSGh0dHBzOi8vbS5lZGFpbHkuY28ua3IvYW1wL3JlYWQ_bmV3c0lkPTAxMTA1MzY2NjM1NzA5OTQ0Jm1lZGlhQ29kZU5vPTI1Nw?oc=5")</f>
        <v>https://news.google.com/rss/articles/CBMiS2h0dHBzOi8vd3d3LmVkYWlseS5jby5rci9uZXdzL3JlYWQ_bmV3c0lkPTAxMTA1MzY2NjM1NzA5OTQ0Jm1lZGlhQ29kZU5vPTI1N9IBSGh0dHBzOi8vbS5lZGFpbHkuY28ua3IvYW1wL3JlYWQ_bmV3c0lkPTAxMTA1MzY2NjM1NzA5OTQ0Jm1lZGlhQ29kZU5vPTI1Nw?oc=5</v>
      </c>
      <c r="C6" s="1" t="str">
        <f ca="1">IFERROR(__xludf.DUMMYFUNCTION("""COMPUTED_VALUE"""),"Tue, 22 Aug 2023 07:00:00 GMT")</f>
        <v>Tue, 22 Aug 2023 07:00:00 GMT</v>
      </c>
      <c r="D6" s="1" t="str">
        <f ca="1">IFERROR(__xludf.DUMMYFUNCTION("""COMPUTED_VALUE"""),"“롤모델 유영철” 12가지 행동수칙…묻지마 살인 공익요원[그해 오늘]  이데일리")</f>
        <v>“롤모델 유영철” 12가지 행동수칙…묻지마 살인 공익요원[그해 오늘]  이데일리</v>
      </c>
    </row>
    <row r="7" spans="1:4" ht="15.75" customHeight="1" x14ac:dyDescent="0.25">
      <c r="A7" s="1" t="str">
        <f ca="1">IFERROR(__xludf.DUMMYFUNCTION("""COMPUTED_VALUE"""),"도서관서 큰소리로 통화한 노인과 다툼…""노인혐오 확산"" - 아시아경제")</f>
        <v>도서관서 큰소리로 통화한 노인과 다툼…"노인혐오 확산" - 아시아경제</v>
      </c>
      <c r="B7" s="2" t="str">
        <f ca="1">IFERROR(__xludf.DUMMYFUNCTION("""COMPUTED_VALUE"""),"https://news.google.com/rss/articles/CBMiM2h0dHBzOi8vd3d3LmFzaWFlLmNvLmtyL2FydGljbGUvMjAyMDAxMTcxNDM4MzY5ODM2OdIBAA?oc=5")</f>
        <v>https://news.google.com/rss/articles/CBMiM2h0dHBzOi8vd3d3LmFzaWFlLmNvLmtyL2FydGljbGUvMjAyMDAxMTcxNDM4MzY5ODM2OdIBAA?oc=5</v>
      </c>
      <c r="C7" s="1" t="str">
        <f ca="1">IFERROR(__xludf.DUMMYFUNCTION("""COMPUTED_VALUE"""),"Sat, 18 Jan 2020 08:00:00 GMT")</f>
        <v>Sat, 18 Jan 2020 08:00:00 GMT</v>
      </c>
      <c r="D7" s="1" t="str">
        <f ca="1">IFERROR(__xludf.DUMMYFUNCTION("""COMPUTED_VALUE"""),"도서관서 큰소리로 통화한 노인과 다툼…""노인혐오 확산""  아시아경제")</f>
        <v>도서관서 큰소리로 통화한 노인과 다툼…"노인혐오 확산"  아시아경제</v>
      </c>
    </row>
    <row r="8" spans="1:4" ht="15.75" customHeight="1" x14ac:dyDescent="0.25">
      <c r="A8" s="1" t="str">
        <f ca="1">IFERROR(__xludf.DUMMYFUNCTION("""COMPUTED_VALUE"""),"고흥경찰서장 허양선 총경 취임 - 노컷뉴스")</f>
        <v>고흥경찰서장 허양선 총경 취임 - 노컷뉴스</v>
      </c>
      <c r="B8" s="2" t="str">
        <f ca="1">IFERROR(__xludf.DUMMYFUNCTION("""COMPUTED_VALUE"""),"https://news.google.com/rss/articles/CBMiKGh0dHBzOi8vd3d3Lm5vY3V0bmV3cy5jby5rci9uZXdzLzU5ODcwMTnSASpodHRwczovL20ubm9jdXRuZXdzLmNvLmtyL25ld3MvYW1wLzU5ODcwMTk?oc=5")</f>
        <v>https://news.google.com/rss/articles/CBMiKGh0dHBzOi8vd3d3Lm5vY3V0bmV3cy5jby5rci9uZXdzLzU5ODcwMTnSASpodHRwczovL20ubm9jdXRuZXdzLmNvLmtyL25ld3MvYW1wLzU5ODcwMTk?oc=5</v>
      </c>
      <c r="C8" s="1" t="str">
        <f ca="1">IFERROR(__xludf.DUMMYFUNCTION("""COMPUTED_VALUE"""),"Tue, 01 Aug 2023 01:49:20 GMT")</f>
        <v>Tue, 01 Aug 2023 01:49:20 GMT</v>
      </c>
      <c r="D8" s="1" t="str">
        <f ca="1">IFERROR(__xludf.DUMMYFUNCTION("""COMPUTED_VALUE"""),"고흥경찰서장 허양선 총경 취임  노컷뉴스")</f>
        <v>고흥경찰서장 허양선 총경 취임  노컷뉴스</v>
      </c>
    </row>
    <row r="9" spans="1:4" ht="15.75" customHeight="1" x14ac:dyDescent="0.25">
      <c r="A9" s="1" t="str">
        <f ca="1">IFERROR(__xludf.DUMMYFUNCTION("""COMPUTED_VALUE"""),"""제주 제2공항, 해군기지처럼 폭력적 강행...평화의섬 지킬 것"" - Headline jeju")</f>
        <v>"제주 제2공항, 해군기지처럼 폭력적 강행...평화의섬 지킬 것" - Headline jeju</v>
      </c>
      <c r="B9" s="2" t="str">
        <f ca="1">IFERROR(__xludf.DUMMYFUNCTION("""COMPUTED_VALUE"""),"https://news.google.com/rss/articles/CBMiQWh0dHBzOi8vd3d3LmhlYWRsaW5lamVqdS5jby5rci9uZXdzL2FydGljbGVWaWV3Lmh0bWw_aWR4bm89NTIxMzg30gEA?oc=5")</f>
        <v>https://news.google.com/rss/articles/CBMiQWh0dHBzOi8vd3d3LmhlYWRsaW5lamVqdS5jby5rci9uZXdzL2FydGljbGVWaWV3Lmh0bWw_aWR4bm89NTIxMzg30gEA?oc=5</v>
      </c>
      <c r="C9" s="1" t="str">
        <f ca="1">IFERROR(__xludf.DUMMYFUNCTION("""COMPUTED_VALUE"""),"Thu, 03 Aug 2023 07:00:00 GMT")</f>
        <v>Thu, 03 Aug 2023 07:00:00 GMT</v>
      </c>
      <c r="D9" s="1" t="str">
        <f ca="1">IFERROR(__xludf.DUMMYFUNCTION("""COMPUTED_VALUE"""),"""제주 제2공항, 해군기지처럼 폭력적 강행...평화의섬 지킬 것""  Headline jeju")</f>
        <v>"제주 제2공항, 해군기지처럼 폭력적 강행...평화의섬 지킬 것"  Headline jeju</v>
      </c>
    </row>
    <row r="10" spans="1:4" ht="15.75" customHeight="1" x14ac:dyDescent="0.25">
      <c r="A10" s="1" t="str">
        <f ca="1">IFERROR(__xludf.DUMMYFUNCTION("""COMPUTED_VALUE"""),"폭염'도 못 꺾는 열정…""새만금 잼버리서 많은 친구 사귀고 싶어"" - 노컷뉴스")</f>
        <v>폭염'도 못 꺾는 열정…"새만금 잼버리서 많은 친구 사귀고 싶어" - 노컷뉴스</v>
      </c>
      <c r="B10" s="2" t="str">
        <f ca="1">IFERROR(__xludf.DUMMYFUNCTION("""COMPUTED_VALUE"""),"https://news.google.com/rss/articles/CBMiKGh0dHBzOi8vd3d3Lm5vY3V0bmV3cy5jby5rci9uZXdzLzU5ODcyNDTSASpodHRwczovL20ubm9jdXRuZXdzLmNvLmtyL25ld3MvYW1wLzU5ODcyNDQ?oc=5")</f>
        <v>https://news.google.com/rss/articles/CBMiKGh0dHBzOi8vd3d3Lm5vY3V0bmV3cy5jby5rci9uZXdzLzU5ODcyNDTSASpodHRwczovL20ubm9jdXRuZXdzLmNvLmtyL25ld3MvYW1wLzU5ODcyNDQ?oc=5</v>
      </c>
      <c r="C10" s="1" t="str">
        <f ca="1">IFERROR(__xludf.DUMMYFUNCTION("""COMPUTED_VALUE"""),"Tue, 01 Aug 2023 06:01:15 GMT")</f>
        <v>Tue, 01 Aug 2023 06:01:15 GMT</v>
      </c>
      <c r="D10" s="1" t="str">
        <f ca="1">IFERROR(__xludf.DUMMYFUNCTION("""COMPUTED_VALUE"""),"폭염'도 못 꺾는 열정…""새만금 잼버리서 많은 친구 사귀고 싶어""  노컷뉴스")</f>
        <v>폭염'도 못 꺾는 열정…"새만금 잼버리서 많은 친구 사귀고 싶어"  노컷뉴스</v>
      </c>
    </row>
    <row r="11" spans="1:4" ht="15.75" customHeight="1" x14ac:dyDescent="0.25">
      <c r="A11" s="1" t="str">
        <f ca="1">IFERROR(__xludf.DUMMYFUNCTION("""COMPUTED_VALUE"""),"[책의 향기]나는 그들을 외면한 적 없을까 - 동아일보")</f>
        <v>[책의 향기]나는 그들을 외면한 적 없을까 - 동아일보</v>
      </c>
      <c r="B11" s="2" t="str">
        <f ca="1">IFERROR(__xludf.DUMMYFUNCTION("""COMPUTED_VALUE"""),"https://news.google.com/rss/articles/CBMiQ2h0dHBzOi8vd3d3LmRvbmdhLmNvbS9uZXdzL0N1bHR1cmUvYXJ0aWNsZS9hbGwvMjAyMzA5MDEvMTIwOTc5NDUxLzHSATdodHRwczovL3d3dy5kb25nYS5jb20vbmV3cy9hbXAvYWxsLzIwMjMwOTAxLzEyMDk3OTQ1MS8x?oc=5")</f>
        <v>https://news.google.com/rss/articles/CBMiQ2h0dHBzOi8vd3d3LmRvbmdhLmNvbS9uZXdzL0N1bHR1cmUvYXJ0aWNsZS9hbGwvMjAyMzA5MDEvMTIwOTc5NDUxLzHSATdodHRwczovL3d3dy5kb25nYS5jb20vbmV3cy9hbXAvYWxsLzIwMjMwOTAxLzEyMDk3OTQ1MS8x?oc=5</v>
      </c>
      <c r="C11" s="1" t="str">
        <f ca="1">IFERROR(__xludf.DUMMYFUNCTION("""COMPUTED_VALUE"""),"Fri, 01 Sep 2023 16:40:00 GMT")</f>
        <v>Fri, 01 Sep 2023 16:40:00 GMT</v>
      </c>
      <c r="D11" s="1" t="str">
        <f ca="1">IFERROR(__xludf.DUMMYFUNCTION("""COMPUTED_VALUE"""),"[책의 향기]나는 그들을 외면한 적 없을까  동아일보")</f>
        <v>[책의 향기]나는 그들을 외면한 적 없을까  동아일보</v>
      </c>
    </row>
    <row r="12" spans="1:4" ht="15.75" customHeight="1" x14ac:dyDescent="0.25">
      <c r="A12" s="1" t="str">
        <f ca="1">IFERROR(__xludf.DUMMYFUNCTION("""COMPUTED_VALUE"""),"[책의 향기]나는 그들을 외면한 적 없을까 - 네이트 뉴스")</f>
        <v>[책의 향기]나는 그들을 외면한 적 없을까 - 네이트 뉴스</v>
      </c>
      <c r="B12" s="2" t="str">
        <f ca="1">IFERROR(__xludf.DUMMYFUNCTION("""COMPUTED_VALUE"""),"https://news.google.com/rss/articles/CBMiM2h0dHBzOi8vbmV3cy5uYXRlLmNvbS92aWV3LzIwMjMwOTAybjAwNjI1P21pZD1uMDEwMNIBAA?oc=5")</f>
        <v>https://news.google.com/rss/articles/CBMiM2h0dHBzOi8vbmV3cy5uYXRlLmNvbS92aWV3LzIwMjMwOTAybjAwNjI1P21pZD1uMDEwMNIBAA?oc=5</v>
      </c>
      <c r="C12" s="1" t="str">
        <f ca="1">IFERROR(__xludf.DUMMYFUNCTION("""COMPUTED_VALUE"""),"Fri, 01 Sep 2023 16:42:00 GMT")</f>
        <v>Fri, 01 Sep 2023 16:42:00 GMT</v>
      </c>
      <c r="D12" s="1" t="str">
        <f ca="1">IFERROR(__xludf.DUMMYFUNCTION("""COMPUTED_VALUE"""),"[책의 향기]나는 그들을 외면한 적 없을까  네이트 뉴스")</f>
        <v>[책의 향기]나는 그들을 외면한 적 없을까  네이트 뉴스</v>
      </c>
    </row>
    <row r="13" spans="1:4" ht="15.75" customHeight="1" x14ac:dyDescent="0.25">
      <c r="A13" s="1" t="str">
        <f ca="1">IFERROR(__xludf.DUMMYFUNCTION("""COMPUTED_VALUE"""),"[김규항의 교육·시장·인간](2)반공 노인과 반페미 소년 - 주간경향")</f>
        <v>[김규항의 교육·시장·인간](2)반공 노인과 반페미 소년 - 주간경향</v>
      </c>
      <c r="B13" s="2" t="str">
        <f ca="1">IFERROR(__xludf.DUMMYFUNCTION("""COMPUTED_VALUE"""),"https://news.google.com/rss/articles/CBMiTWh0dHBzOi8vd2Vla2x5LmtoYW4uY28ua3Iva2hubS5odG1sP21vZGU9dmlldyZkZXB0PTExNSZhcnRfaWQ9MjAyMzA4MjUxMDU1MTcx0gEA?oc=5")</f>
        <v>https://news.google.com/rss/articles/CBMiTWh0dHBzOi8vd2Vla2x5LmtoYW4uY28ua3Iva2hubS5odG1sP21vZGU9dmlldyZkZXB0PTExNSZhcnRfaWQ9MjAyMzA4MjUxMDU1MTcx0gEA?oc=5</v>
      </c>
      <c r="C13" s="1" t="str">
        <f ca="1">IFERROR(__xludf.DUMMYFUNCTION("""COMPUTED_VALUE"""),"Fri, 25 Aug 2023 07:00:00 GMT")</f>
        <v>Fri, 25 Aug 2023 07:00:00 GMT</v>
      </c>
      <c r="D13" s="1" t="str">
        <f ca="1">IFERROR(__xludf.DUMMYFUNCTION("""COMPUTED_VALUE"""),"[김규항의 교육·시장·인간](2)반공 노인과 반페미 소년  주간경향")</f>
        <v>[김규항의 교육·시장·인간](2)반공 노인과 반페미 소년  주간경향</v>
      </c>
    </row>
    <row r="14" spans="1:4" ht="15.75" customHeight="1" x14ac:dyDescent="0.25">
      <c r="A14" s="1" t="str">
        <f ca="1">IFERROR(__xludf.DUMMYFUNCTION("""COMPUTED_VALUE"""),"노인인식개선을 위한 세대간 소통 및 교류 프로젝트 실시 - 충청도민일보")</f>
        <v>노인인식개선을 위한 세대간 소통 및 교류 프로젝트 실시 - 충청도민일보</v>
      </c>
      <c r="B14" s="2" t="str">
        <f ca="1">IFERROR(__xludf.DUMMYFUNCTION("""COMPUTED_VALUE"""),"https://news.google.com/rss/articles/CBMiO2h0dHBzOi8vd3d3LmRvbWluaWxiby5jb20vbmV3cy9hcnRpY2xlVmlldy5odG1sP2lkeG5vPTcxNTQw0gEA?oc=5")</f>
        <v>https://news.google.com/rss/articles/CBMiO2h0dHBzOi8vd3d3LmRvbWluaWxiby5jb20vbmV3cy9hcnRpY2xlVmlldy5odG1sP2lkeG5vPTcxNTQw0gEA?oc=5</v>
      </c>
      <c r="C14" s="1" t="str">
        <f ca="1">IFERROR(__xludf.DUMMYFUNCTION("""COMPUTED_VALUE"""),"Fri, 25 Aug 2023 05:09:38 GMT")</f>
        <v>Fri, 25 Aug 2023 05:09:38 GMT</v>
      </c>
      <c r="D14" s="1" t="str">
        <f ca="1">IFERROR(__xludf.DUMMYFUNCTION("""COMPUTED_VALUE"""),"노인인식개선을 위한 세대간 소통 및 교류 프로젝트 실시  충청도민일보")</f>
        <v>노인인식개선을 위한 세대간 소통 및 교류 프로젝트 실시  충청도민일보</v>
      </c>
    </row>
    <row r="15" spans="1:4" ht="15.75" customHeight="1" x14ac:dyDescent="0.25">
      <c r="A15" s="1" t="str">
        <f ca="1">IFERROR(__xludf.DUMMYFUNCTION("""COMPUTED_VALUE"""),"반려동물 놀이터가 혐오시설?' 충주시, 주민 반대에 대체 용지 물색 - 뉴스1 - 뉴스1")</f>
        <v>반려동물 놀이터가 혐오시설?' 충주시, 주민 반대에 대체 용지 물색 - 뉴스1 - 뉴스1</v>
      </c>
      <c r="B15" s="2" t="str">
        <f ca="1">IFERROR(__xludf.DUMMYFUNCTION("""COMPUTED_VALUE"""),"https://news.google.com/rss/articles/CBMiJmh0dHBzOi8vd3d3Lm5ld3MxLmtyL2FydGljbGVzLz81MTU4NTA10gEqaHR0cHM6Ly93d3cubmV3czEua3IvYW1wL2FydGljbGVzLz81MTU4NTA1?oc=5")</f>
        <v>https://news.google.com/rss/articles/CBMiJmh0dHBzOi8vd3d3Lm5ld3MxLmtyL2FydGljbGVzLz81MTU4NTA10gEqaHR0cHM6Ly93d3cubmV3czEua3IvYW1wL2FydGljbGVzLz81MTU4NTA1?oc=5</v>
      </c>
      <c r="C15" s="1" t="str">
        <f ca="1">IFERROR(__xludf.DUMMYFUNCTION("""COMPUTED_VALUE"""),"Fri, 01 Sep 2023 22:01:00 GMT")</f>
        <v>Fri, 01 Sep 2023 22:01:00 GMT</v>
      </c>
      <c r="D15" s="1" t="str">
        <f ca="1">IFERROR(__xludf.DUMMYFUNCTION("""COMPUTED_VALUE"""),"반려동물 놀이터가 혐오시설?' 충주시, 주민 반대에 대체 용지 물색 - 뉴스1  뉴스1")</f>
        <v>반려동물 놀이터가 혐오시설?' 충주시, 주민 반대에 대체 용지 물색 - 뉴스1  뉴스1</v>
      </c>
    </row>
    <row r="16" spans="1:4" ht="15.75" customHeight="1" x14ac:dyDescent="0.25">
      <c r="A16" s="1" t="str">
        <f ca="1">IFERROR(__xludf.DUMMYFUNCTION("""COMPUTED_VALUE"""),"[기고] 국회는 인공지능 법률안 대한 인권위 의견 수용해야 - 메디포뉴스")</f>
        <v>[기고] 국회는 인공지능 법률안 대한 인권위 의견 수용해야 - 메디포뉴스</v>
      </c>
      <c r="B16" s="2" t="str">
        <f ca="1">IFERROR(__xludf.DUMMYFUNCTION("""COMPUTED_VALUE"""),"https://news.google.com/rss/articles/CBMiNmh0dHBzOi8vd3d3Lm1lZGlmb25ld3MuY29tL25ld3MvYXJ0aWNsZS5odG1sP25vPTE4MTkyNdIBAA?oc=5")</f>
        <v>https://news.google.com/rss/articles/CBMiNmh0dHBzOi8vd3d3Lm1lZGlmb25ld3MuY29tL25ld3MvYXJ0aWNsZS5odG1sP25vPTE4MTkyNdIBAA?oc=5</v>
      </c>
      <c r="C16" s="1" t="str">
        <f ca="1">IFERROR(__xludf.DUMMYFUNCTION("""COMPUTED_VALUE"""),"Wed, 30 Aug 2023 05:07:10 GMT")</f>
        <v>Wed, 30 Aug 2023 05:07:10 GMT</v>
      </c>
      <c r="D16" s="1" t="str">
        <f ca="1">IFERROR(__xludf.DUMMYFUNCTION("""COMPUTED_VALUE"""),"[기고] 국회는 인공지능 법률안 대한 인권위 의견 수용해야  메디포뉴스")</f>
        <v>[기고] 국회는 인공지능 법률안 대한 인권위 의견 수용해야  메디포뉴스</v>
      </c>
    </row>
    <row r="17" spans="1:4" ht="15.75" customHeight="1" x14ac:dyDescent="0.25">
      <c r="A17" s="1" t="str">
        <f ca="1">IFERROR(__xludf.DUMMYFUNCTION("""COMPUTED_VALUE"""),"[이지은의 신간] 이 세상에 당연한 차별은 없다 - 더스쿠프")</f>
        <v>[이지은의 신간] 이 세상에 당연한 차별은 없다 - 더스쿠프</v>
      </c>
      <c r="B17" s="2" t="str">
        <f ca="1">IFERROR(__xludf.DUMMYFUNCTION("""COMPUTED_VALUE"""),"https://news.google.com/rss/articles/CBMiPGh0dHBzOi8vd3d3LnRoZXNjb29wLmNvLmtyL25ld3MvYXJ0aWNsZVZpZXcuaHRtbD9pZHhubz01ODQ3NtIBAA?oc=5")</f>
        <v>https://news.google.com/rss/articles/CBMiPGh0dHBzOi8vd3d3LnRoZXNjb29wLmNvLmtyL25ld3MvYXJ0aWNsZVZpZXcuaHRtbD9pZHhubz01ODQ3NtIBAA?oc=5</v>
      </c>
      <c r="C17" s="1" t="str">
        <f ca="1">IFERROR(__xludf.DUMMYFUNCTION("""COMPUTED_VALUE"""),"Tue, 08 Aug 2023 07:00:00 GMT")</f>
        <v>Tue, 08 Aug 2023 07:00:00 GMT</v>
      </c>
      <c r="D17" s="1" t="str">
        <f ca="1">IFERROR(__xludf.DUMMYFUNCTION("""COMPUTED_VALUE"""),"[이지은의 신간] 이 세상에 당연한 차별은 없다  더스쿠프")</f>
        <v>[이지은의 신간] 이 세상에 당연한 차별은 없다  더스쿠프</v>
      </c>
    </row>
    <row r="18" spans="1:4" ht="15.75" customHeight="1" x14ac:dyDescent="0.25">
      <c r="A18" s="1" t="str">
        <f ca="1">IFERROR(__xludf.DUMMYFUNCTION("""COMPUTED_VALUE"""),"제베원 김규빈 '남초' 용어 논란 사과 ""유래 몰랐다"" : 네이트 연예 - 네이트 뉴스")</f>
        <v>제베원 김규빈 '남초' 용어 논란 사과 "유래 몰랐다" : 네이트 연예 - 네이트 뉴스</v>
      </c>
      <c r="B18" s="2" t="str">
        <f ca="1">IFERROR(__xludf.DUMMYFUNCTION("""COMPUTED_VALUE"""),"https://news.google.com/rss/articles/CBMiKWh0dHBzOi8vbmV3cy5uYXRlLmNvbS92aWV3LzIwMjMwODE5bjA2NDY30gEA?oc=5")</f>
        <v>https://news.google.com/rss/articles/CBMiKWh0dHBzOi8vbmV3cy5uYXRlLmNvbS92aWV3LzIwMjMwODE5bjA2NDY30gEA?oc=5</v>
      </c>
      <c r="C18" s="1" t="str">
        <f ca="1">IFERROR(__xludf.DUMMYFUNCTION("""COMPUTED_VALUE"""),"Sat, 19 Aug 2023 07:00:00 GMT")</f>
        <v>Sat, 19 Aug 2023 07:00:00 GMT</v>
      </c>
      <c r="D18" s="1" t="str">
        <f ca="1">IFERROR(__xludf.DUMMYFUNCTION("""COMPUTED_VALUE"""),"제베원 김규빈 '남초' 용어 논란 사과 ""유래 몰랐다"" : 네이트 연예  네이트 뉴스")</f>
        <v>제베원 김규빈 '남초' 용어 논란 사과 "유래 몰랐다" : 네이트 연예  네이트 뉴스</v>
      </c>
    </row>
    <row r="19" spans="1:4" ht="15.75" customHeight="1" x14ac:dyDescent="0.25">
      <c r="A19" s="1" t="str">
        <f ca="1">IFERROR(__xludf.DUMMYFUNCTION("""COMPUTED_VALUE"""),"[주간 책타래] 인생샷 뒤의 여자들 外 - 여성신문")</f>
        <v>[주간 책타래] 인생샷 뒤의 여자들 外 - 여성신문</v>
      </c>
      <c r="B19" s="2" t="str">
        <f ca="1">IFERROR(__xludf.DUMMYFUNCTION("""COMPUTED_VALUE"""),"https://news.google.com/rss/articles/CBMiPmh0dHBzOi8vd3d3LndvbWVubmV3cy5jby5rci9uZXdzL2FydGljbGVWaWV3Lmh0bWw_aWR4bm89MjM5NDEx0gEA?oc=5")</f>
        <v>https://news.google.com/rss/articles/CBMiPmh0dHBzOi8vd3d3LndvbWVubmV3cy5jby5rci9uZXdzL2FydGljbGVWaWV3Lmh0bWw_aWR4bm89MjM5NDEx0gEA?oc=5</v>
      </c>
      <c r="C19" s="1" t="str">
        <f ca="1">IFERROR(__xludf.DUMMYFUNCTION("""COMPUTED_VALUE"""),"Sat, 19 Aug 2023 07:00:00 GMT")</f>
        <v>Sat, 19 Aug 2023 07:00:00 GMT</v>
      </c>
      <c r="D19" s="1" t="str">
        <f ca="1">IFERROR(__xludf.DUMMYFUNCTION("""COMPUTED_VALUE"""),"[주간 책타래] 인생샷 뒤의 여자들 外  여성신문")</f>
        <v>[주간 책타래] 인생샷 뒤의 여자들 外  여성신문</v>
      </c>
    </row>
    <row r="20" spans="1:4" ht="15.75" customHeight="1" x14ac:dyDescent="0.25">
      <c r="A20" s="1" t="str">
        <f ca="1">IFERROR(__xludf.DUMMYFUNCTION("""COMPUTED_VALUE"""),"생계형범죄 늘은 노인들…혐오표현·학대 '폭력'에도 노출 - 이데일리")</f>
        <v>생계형범죄 늘은 노인들…혐오표현·학대 '폭력'에도 노출 - 이데일리</v>
      </c>
      <c r="B20" s="2" t="str">
        <f ca="1">IFERROR(__xludf.DUMMYFUNCTION("""COMPUTED_VALUE"""),"https://news.google.com/rss/articles/CBMiS2h0dHBzOi8vd3d3LmVkYWlseS5jby5rci9uZXdzL3JlYWQ_bmV3c0lkPTAxMTY3Njg2NjMyNDg4OTg0Jm1lZGlhQ29kZU5vPTI1N9IBSGh0dHBzOi8vbS5lZGFpbHkuY28ua3IvYW1wL3JlYWQ_bmV3c0lkPTAxMTY3Njg2NjMyNDg4OTg0Jm1lZGlhQ29kZU5vPTI1Nw?oc=5")</f>
        <v>https://news.google.com/rss/articles/CBMiS2h0dHBzOi8vd3d3LmVkYWlseS5jby5rci9uZXdzL3JlYWQ_bmV3c0lkPTAxMTY3Njg2NjMyNDg4OTg0Jm1lZGlhQ29kZU5vPTI1N9IBSGh0dHBzOi8vbS5lZGFpbHkuY28ua3IvYW1wL3JlYWQ_bmV3c0lkPTAxMTY3Njg2NjMyNDg4OTg0Jm1lZGlhQ29kZU5vPTI1Nw?oc=5</v>
      </c>
      <c r="C20" s="1" t="str">
        <f ca="1">IFERROR(__xludf.DUMMYFUNCTION("""COMPUTED_VALUE"""),"Sun, 02 Oct 2022 07:00:00 GMT")</f>
        <v>Sun, 02 Oct 2022 07:00:00 GMT</v>
      </c>
      <c r="D20" s="1" t="str">
        <f ca="1">IFERROR(__xludf.DUMMYFUNCTION("""COMPUTED_VALUE"""),"생계형범죄 늘은 노인들…혐오표현·학대 '폭력'에도 노출  이데일리")</f>
        <v>생계형범죄 늘은 노인들…혐오표현·학대 '폭력'에도 노출  이데일리</v>
      </c>
    </row>
    <row r="21" spans="1:4" ht="15.75" customHeight="1" x14ac:dyDescent="0.25">
      <c r="A21" s="1" t="str">
        <f ca="1">IFERROR(__xludf.DUMMYFUNCTION("""COMPUTED_VALUE"""),"[칼럼] ""노인 차별 아닐까?"" '노시니어존'에 대한 논란과 분노 - 뉴스코리아")</f>
        <v>[칼럼] "노인 차별 아닐까?" '노시니어존'에 대한 논란과 분노 - 뉴스코리아</v>
      </c>
      <c r="B21" s="2" t="str">
        <f ca="1">IFERROR(__xludf.DUMMYFUNCTION("""COMPUTED_VALUE"""),"https://news.google.com/rss/articles/CBMiPGh0dHBzOi8vd3d3Lm5ld3Nrb3JlYS5uZS5rci9uZXdzL2FydGljbGVWaWV3Lmh0bWw_aWR4bm89NzU4MdIBAA?oc=5")</f>
        <v>https://news.google.com/rss/articles/CBMiPGh0dHBzOi8vd3d3Lm5ld3Nrb3JlYS5uZS5rci9uZXdzL2FydGljbGVWaWV3Lmh0bWw_aWR4bm89NzU4MdIBAA?oc=5</v>
      </c>
      <c r="C21" s="1" t="str">
        <f ca="1">IFERROR(__xludf.DUMMYFUNCTION("""COMPUTED_VALUE"""),"Sat, 20 May 2023 07:00:00 GMT")</f>
        <v>Sat, 20 May 2023 07:00:00 GMT</v>
      </c>
      <c r="D21" s="1" t="str">
        <f ca="1">IFERROR(__xludf.DUMMYFUNCTION("""COMPUTED_VALUE"""),"[칼럼] ""노인 차별 아닐까?"" '노시니어존'에 대한 논란과 분노  뉴스코리아")</f>
        <v>[칼럼] "노인 차별 아닐까?" '노시니어존'에 대한 논란과 분노  뉴스코리아</v>
      </c>
    </row>
    <row r="22" spans="1:4" ht="15.75" customHeight="1" x14ac:dyDescent="0.25">
      <c r="A22" s="1" t="str">
        <f ca="1">IFERROR(__xludf.DUMMYFUNCTION("""COMPUTED_VALUE"""),"김은경 '노인 발언'에 담긴 끔찍한 맥락 - 한국경제")</f>
        <v>김은경 '노인 발언'에 담긴 끔찍한 맥락 - 한국경제</v>
      </c>
      <c r="B22" s="2" t="str">
        <f ca="1">IFERROR(__xludf.DUMMYFUNCTION("""COMPUTED_VALUE"""),"https://news.google.com/rss/articles/CBMiNmh0dHBzOi8vd3d3Lmhhbmt5dW5nLmNvbS9vcGluaW9uL2FydGljbGUvMjAyMzA4MDIwNjc0MdIBMmh0dHBzOi8vd3d3Lmhhbmt5dW5nLmNvbS9vcGluaW9uL2FtcC8yMDIzMDgwMjA2NzQx?oc=5")</f>
        <v>https://news.google.com/rss/articles/CBMiNmh0dHBzOi8vd3d3Lmhhbmt5dW5nLmNvbS9vcGluaW9uL2FydGljbGUvMjAyMzA4MDIwNjc0MdIBMmh0dHBzOi8vd3d3Lmhhbmt5dW5nLmNvbS9vcGluaW9uL2FtcC8yMDIzMDgwMjA2NzQx?oc=5</v>
      </c>
      <c r="C22" s="1" t="str">
        <f ca="1">IFERROR(__xludf.DUMMYFUNCTION("""COMPUTED_VALUE"""),"Wed, 02 Aug 2023 07:00:00 GMT")</f>
        <v>Wed, 02 Aug 2023 07:00:00 GMT</v>
      </c>
      <c r="D22" s="1" t="str">
        <f ca="1">IFERROR(__xludf.DUMMYFUNCTION("""COMPUTED_VALUE"""),"김은경 '노인 발언'에 담긴 끔찍한 맥락  한국경제")</f>
        <v>김은경 '노인 발언'에 담긴 끔찍한 맥락  한국경제</v>
      </c>
    </row>
    <row r="23" spans="1:4" ht="12.5" x14ac:dyDescent="0.25">
      <c r="A23" s="1" t="str">
        <f ca="1">IFERROR(__xludf.DUMMYFUNCTION("""COMPUTED_VALUE"""),"노인회장 ""전국 노인들 화나, 당 망치려는 발언""...양이원영 사과 - 머니투데이")</f>
        <v>노인회장 "전국 노인들 화나, 당 망치려는 발언"...양이원영 사과 - 머니투데이</v>
      </c>
      <c r="B23" s="2" t="str">
        <f ca="1">IFERROR(__xludf.DUMMYFUNCTION("""COMPUTED_VALUE"""),"https://news.google.com/rss/articles/CBMiN2h0dHBzOi8vbmV3cy5tdC5jby5rci9tdHZpZXcucGhwP25vPTIwMjMwODAyMjAzODA2NjUyMTnSAT1odHRwczovL20ubXQuY28ua3IvcmVuZXcvdmlld19hbXAuaHRtbD9ubz0yMDIzMDgwMjIwMzgwNjY1MjE5?oc=5")</f>
        <v>https://news.google.com/rss/articles/CBMiN2h0dHBzOi8vbmV3cy5tdC5jby5rci9tdHZpZXcucGhwP25vPTIwMjMwODAyMjAzODA2NjUyMTnSAT1odHRwczovL20ubXQuY28ua3IvcmVuZXcvdmlld19hbXAuaHRtbD9ubz0yMDIzMDgwMjIwMzgwNjY1MjE5?oc=5</v>
      </c>
      <c r="C23" s="1" t="str">
        <f ca="1">IFERROR(__xludf.DUMMYFUNCTION("""COMPUTED_VALUE"""),"Wed, 02 Aug 2023 07:00:00 GMT")</f>
        <v>Wed, 02 Aug 2023 07:00:00 GMT</v>
      </c>
      <c r="D23" s="1" t="str">
        <f ca="1">IFERROR(__xludf.DUMMYFUNCTION("""COMPUTED_VALUE"""),"노인회장 ""전국 노인들 화나, 당 망치려는 발언""...양이원영 사과  머니투데이")</f>
        <v>노인회장 "전국 노인들 화나, 당 망치려는 발언"...양이원영 사과  머니투데이</v>
      </c>
    </row>
    <row r="24" spans="1:4" ht="12.5" x14ac:dyDescent="0.25">
      <c r="A24" s="1" t="str">
        <f ca="1">IFERROR(__xludf.DUMMYFUNCTION("""COMPUTED_VALUE"""),"여당 청년들 ""청년이 노인혐오 무기냐…年3억 꿀 빤 김은경, 어르신들 ... - 디지털타임스")</f>
        <v>여당 청년들 "청년이 노인혐오 무기냐…年3억 꿀 빤 김은경, 어르신들 ... - 디지털타임스</v>
      </c>
      <c r="B24" s="2" t="str">
        <f ca="1">IFERROR(__xludf.DUMMYFUNCTION("""COMPUTED_VALUE"""),"https://news.google.com/rss/articles/CBMiRGh0dHBzOi8vd3d3LmR0LmNvLmtyL2NvbnRlbnRzLmh0bWw_YXJ0aWNsZV9ubz0yMDIzMDgwMjAyMTA5OTU4MDUxMDA00gEA?oc=5")</f>
        <v>https://news.google.com/rss/articles/CBMiRGh0dHBzOi8vd3d3LmR0LmNvLmtyL2NvbnRlbnRzLmh0bWw_YXJ0aWNsZV9ubz0yMDIzMDgwMjAyMTA5OTU4MDUxMDA00gEA?oc=5</v>
      </c>
      <c r="C24" s="1" t="str">
        <f ca="1">IFERROR(__xludf.DUMMYFUNCTION("""COMPUTED_VALUE"""),"Wed, 02 Aug 2023 07:00:00 GMT")</f>
        <v>Wed, 02 Aug 2023 07:00:00 GMT</v>
      </c>
      <c r="D24" s="1" t="str">
        <f ca="1">IFERROR(__xludf.DUMMYFUNCTION("""COMPUTED_VALUE"""),"여당 청년들 ""청년이 노인혐오 무기냐…年3억 꿀 빤 김은경, 어르신들 ...  디지털타임스")</f>
        <v>여당 청년들 "청년이 노인혐오 무기냐…年3억 꿀 빤 김은경, 어르신들 ...  디지털타임스</v>
      </c>
    </row>
    <row r="25" spans="1:4" ht="12.5" x14ac:dyDescent="0.25">
      <c r="A25" s="1" t="str">
        <f ca="1">IFERROR(__xludf.DUMMYFUNCTION("""COMPUTED_VALUE"""),"아우내은빛복지관, 노인인식개선 위한 세대간 소통 프로젝트 '우·채·통 ... - 디트뉴스24")</f>
        <v>아우내은빛복지관, 노인인식개선 위한 세대간 소통 프로젝트 '우·채·통 ... - 디트뉴스24</v>
      </c>
      <c r="B25" s="2" t="str">
        <f ca="1">IFERROR(__xludf.DUMMYFUNCTION("""COMPUTED_VALUE"""),"https://news.google.com/rss/articles/CBMiO2h0dHBzOi8vd3d3LmR0bmV3czI0LmNvbS9uZXdzL2FydGljbGVWaWV3Lmh0bWw_aWR4bm89NzUyNDg30gEA?oc=5")</f>
        <v>https://news.google.com/rss/articles/CBMiO2h0dHBzOi8vd3d3LmR0bmV3czI0LmNvbS9uZXdzL2FydGljbGVWaWV3Lmh0bWw_aWR4bm89NzUyNDg30gEA?oc=5</v>
      </c>
      <c r="C25" s="1" t="str">
        <f ca="1">IFERROR(__xludf.DUMMYFUNCTION("""COMPUTED_VALUE"""),"Sun, 27 Aug 2023 01:05:02 GMT")</f>
        <v>Sun, 27 Aug 2023 01:05:02 GMT</v>
      </c>
      <c r="D25" s="1" t="str">
        <f ca="1">IFERROR(__xludf.DUMMYFUNCTION("""COMPUTED_VALUE"""),"아우내은빛복지관, 노인인식개선 위한 세대간 소통 프로젝트 '우·채·통 ...  디트뉴스24")</f>
        <v>아우내은빛복지관, 노인인식개선 위한 세대간 소통 프로젝트 '우·채·통 ...  디트뉴스24</v>
      </c>
    </row>
    <row r="26" spans="1:4" ht="12.5" x14ac:dyDescent="0.25">
      <c r="A26" s="1" t="str">
        <f ca="1">IFERROR(__xludf.DUMMYFUNCTION("""COMPUTED_VALUE"""),"[김규항의 교육·시장·인간](2)반공 노인과 반페미 소년 - 주간경향")</f>
        <v>[김규항의 교육·시장·인간](2)반공 노인과 반페미 소년 - 주간경향</v>
      </c>
      <c r="B26" s="2" t="str">
        <f ca="1">IFERROR(__xludf.DUMMYFUNCTION("""COMPUTED_VALUE"""),"https://news.google.com/rss/articles/CBMiS2h0dHA6Ly93ZWVrbHkua2hhbi5jby5rci9raG5tLmh0bWw_bW9kZT12aWV3JmFydGlkPTIwMjMwODI1MTA1NTE3MSZjb2RlPTExNdIBAA?oc=5")</f>
        <v>https://news.google.com/rss/articles/CBMiS2h0dHA6Ly93ZWVrbHkua2hhbi5jby5rci9raG5tLmh0bWw_bW9kZT12aWV3JmFydGlkPTIwMjMwODI1MTA1NTE3MSZjb2RlPTExNdIBAA?oc=5</v>
      </c>
      <c r="C26" s="1" t="str">
        <f ca="1">IFERROR(__xludf.DUMMYFUNCTION("""COMPUTED_VALUE"""),"Fri, 25 Aug 2023 07:00:00 GMT")</f>
        <v>Fri, 25 Aug 2023 07:00:00 GMT</v>
      </c>
      <c r="D26" s="1" t="str">
        <f ca="1">IFERROR(__xludf.DUMMYFUNCTION("""COMPUTED_VALUE"""),"[김규항의 교육·시장·인간](2)반공 노인과 반페미 소년  주간경향")</f>
        <v>[김규항의 교육·시장·인간](2)반공 노인과 반페미 소년  주간경향</v>
      </c>
    </row>
    <row r="27" spans="1:4" ht="12.5" x14ac:dyDescent="0.25">
      <c r="A27" s="1" t="str">
        <f ca="1">IFERROR(__xludf.DUMMYFUNCTION("""COMPUTED_VALUE"""),"어른' 윤여정과 '꼰대' 김호일 - 한국일보")</f>
        <v>어른' 윤여정과 '꼰대' 김호일 - 한국일보</v>
      </c>
      <c r="B27" s="2" t="str">
        <f ca="1">IFERROR(__xludf.DUMMYFUNCTION("""COMPUTED_VALUE"""),"https://news.google.com/rss/articles/CBMiOGh0dHBzOi8vbS5oYW5rb29raWxiby5jb20vTmV3cy9SZWFkL0EyMDIzMDgwNjEyNDgwMDA1OTY50gEA?oc=5")</f>
        <v>https://news.google.com/rss/articles/CBMiOGh0dHBzOi8vbS5oYW5rb29raWxiby5jb20vTmV3cy9SZWFkL0EyMDIzMDgwNjEyNDgwMDA1OTY50gEA?oc=5</v>
      </c>
      <c r="C27" s="1" t="str">
        <f ca="1">IFERROR(__xludf.DUMMYFUNCTION("""COMPUTED_VALUE"""),"Mon, 07 Aug 2023 07:00:00 GMT")</f>
        <v>Mon, 07 Aug 2023 07:00:00 GMT</v>
      </c>
      <c r="D27" s="1" t="str">
        <f ca="1">IFERROR(__xludf.DUMMYFUNCTION("""COMPUTED_VALUE"""),"어른' 윤여정과 '꼰대' 김호일  한국일보")</f>
        <v>어른' 윤여정과 '꼰대' 김호일  한국일보</v>
      </c>
    </row>
    <row r="28" spans="1:4" ht="12.5" x14ac:dyDescent="0.25">
      <c r="A28" s="1" t="str">
        <f ca="1">IFERROR(__xludf.DUMMYFUNCTION("""COMPUTED_VALUE"""),"나이 구분 없는 연령통합사회 만들어야 노인 혐오 사라져' - 서울경제 - 서울경제신문")</f>
        <v>나이 구분 없는 연령통합사회 만들어야 노인 혐오 사라져' - 서울경제 - 서울경제신문</v>
      </c>
      <c r="B28" s="2" t="str">
        <f ca="1">IFERROR(__xludf.DUMMYFUNCTION("""COMPUTED_VALUE"""),"https://news.google.com/rss/articles/CBMiK2h0dHBzOi8vd3d3LnNlZGFpbHkuY29tL05ld3NWaWV3LzI5UzdVM0dXQVbSASxodHRwczovL20uc2VkYWlseS5jb20vTmV3c1ZpZXdBbXAvMjlTN1UzR1dBVg?oc=5")</f>
        <v>https://news.google.com/rss/articles/CBMiK2h0dHBzOi8vd3d3LnNlZGFpbHkuY29tL05ld3NWaWV3LzI5UzdVM0dXQVbSASxodHRwczovL20uc2VkYWlseS5jb20vTmV3c1ZpZXdBbXAvMjlTN1UzR1dBVg?oc=5</v>
      </c>
      <c r="C28" s="1" t="str">
        <f ca="1">IFERROR(__xludf.DUMMYFUNCTION("""COMPUTED_VALUE"""),"Fri, 21 Jul 2023 07:00:00 GMT")</f>
        <v>Fri, 21 Jul 2023 07:00:00 GMT</v>
      </c>
      <c r="D28" s="1" t="str">
        <f ca="1">IFERROR(__xludf.DUMMYFUNCTION("""COMPUTED_VALUE"""),"나이 구분 없는 연령통합사회 만들어야 노인 혐오 사라져' - 서울경제  서울경제신문")</f>
        <v>나이 구분 없는 연령통합사회 만들어야 노인 혐오 사라져' - 서울경제  서울경제신문</v>
      </c>
    </row>
    <row r="29" spans="1:4" ht="12.5" x14ac:dyDescent="0.25">
      <c r="A29" s="1" t="str">
        <f ca="1">IFERROR(__xludf.DUMMYFUNCTION("""COMPUTED_VALUE"""),"[뉴노멀-미래] 노인의 미래 : 칼럼 : 사설.칼럼 : 뉴스 - 한겨레")</f>
        <v>[뉴노멀-미래] 노인의 미래 : 칼럼 : 사설.칼럼 : 뉴스 - 한겨레</v>
      </c>
      <c r="B29" s="2" t="str">
        <f ca="1">IFERROR(__xludf.DUMMYFUNCTION("""COMPUTED_VALUE"""),"https://news.google.com/rss/articles/CBMiN2h0dHBzOi8vd3d3LmhhbmkuY28ua3IvYXJ0aS9vcGluaW9uL2NvbHVtbi8xMTAzMjE2Lmh0bWzSAQA?oc=5")</f>
        <v>https://news.google.com/rss/articles/CBMiN2h0dHBzOi8vd3d3LmhhbmkuY28ua3IvYXJ0aS9vcGluaW9uL2NvbHVtbi8xMTAzMjE2Lmh0bWzSAQA?oc=5</v>
      </c>
      <c r="C29" s="1" t="str">
        <f ca="1">IFERROR(__xludf.DUMMYFUNCTION("""COMPUTED_VALUE"""),"Sun, 06 Aug 2023 07:00:00 GMT")</f>
        <v>Sun, 06 Aug 2023 07:00:00 GMT</v>
      </c>
      <c r="D29" s="1" t="str">
        <f ca="1">IFERROR(__xludf.DUMMYFUNCTION("""COMPUTED_VALUE"""),"[뉴노멀-미래] 노인의 미래 : 칼럼 : 사설.칼럼 : 뉴스  한겨레")</f>
        <v>[뉴노멀-미래] 노인의 미래 : 칼럼 : 사설.칼럼 : 뉴스  한겨레</v>
      </c>
    </row>
    <row r="30" spans="1:4" ht="12.5" x14ac:dyDescent="0.25">
      <c r="A30" s="1" t="str">
        <f ca="1">IFERROR(__xludf.DUMMYFUNCTION("""COMPUTED_VALUE"""),"‘NO 20대존’ 등장… “너희도 당해봐” vs “망하려고 환장했나” - 조선일보")</f>
        <v>‘NO 20대존’ 등장… “너희도 당해봐” vs “망하려고 환장했나” - 조선일보</v>
      </c>
      <c r="B30" s="2" t="str">
        <f ca="1">IFERROR(__xludf.DUMMYFUNCTION("""COMPUTED_VALUE"""),"https://news.google.com/rss/articles/CBMiTmh0dHBzOi8vd3d3LmNob3N1bi5jb20vbmF0aW9uYWwvd2Vla2VuZC8yMDIzLzA4LzI2L0lIRUJDSVdNNU5CWk5HTVU2UFBBWUdZUVlRL9IBXWh0dHBzOi8vd3d3LmNob3N1bi5jb20vbmF0aW9uYWwvd2Vla2VuZC8yMDIzLzA4LzI2L0lIRUJDSVdNNU5CWk5HTVU2UFBBWUdZUVlRLz"&amp;"9vdXRwdXRUeXBlPWFtcA?oc=5")</f>
        <v>https://news.google.com/rss/articles/CBMiTmh0dHBzOi8vd3d3LmNob3N1bi5jb20vbmF0aW9uYWwvd2Vla2VuZC8yMDIzLzA4LzI2L0lIRUJDSVdNNU5CWk5HTVU2UFBBWUdZUVlRL9IBXWh0dHBzOi8vd3d3LmNob3N1bi5jb20vbmF0aW9uYWwvd2Vla2VuZC8yMDIzLzA4LzI2L0lIRUJDSVdNNU5CWk5HTVU2UFBBWUdZUVlRLz9vdXRwdXRUeXBlPWFtcA?oc=5</v>
      </c>
      <c r="C30" s="1" t="str">
        <f ca="1">IFERROR(__xludf.DUMMYFUNCTION("""COMPUTED_VALUE"""),"Sat, 26 Aug 2023 07:00:00 GMT")</f>
        <v>Sat, 26 Aug 2023 07:00:00 GMT</v>
      </c>
      <c r="D30" s="1" t="str">
        <f ca="1">IFERROR(__xludf.DUMMYFUNCTION("""COMPUTED_VALUE"""),"‘NO 20대존’ 등장… “너희도 당해봐” vs “망하려고 환장했나”  조선일보")</f>
        <v>‘NO 20대존’ 등장… “너희도 당해봐” vs “망하려고 환장했나”  조선일보</v>
      </c>
    </row>
    <row r="31" spans="1:4" ht="12.5" x14ac:dyDescent="0.25">
      <c r="A31" s="1" t="str">
        <f ca="1">IFERROR(__xludf.DUMMYFUNCTION("""COMPUTED_VALUE"""),"[백세인생] 노인혐오에 폭행까지…고통받는 노인 - 일코노미뉴스")</f>
        <v>[백세인생] 노인혐오에 폭행까지…고통받는 노인 - 일코노미뉴스</v>
      </c>
      <c r="B31" s="2" t="str">
        <f ca="1">IFERROR(__xludf.DUMMYFUNCTION("""COMPUTED_VALUE"""),"https://news.google.com/rss/articles/CBMiPmh0dHA6Ly93d3cuMWNvbm9teW5ld3MuY28ua3IvbmV3cy9hcnRpY2xlVmlldy5odG1sP2lkeG5vPTI0MzU10gFBaHR0cDovL3d3dy4xY29ub215bmV3cy5jby5rci9uZXdzL2FydGljbGVWaWV3QW1wLmh0bWw_aWR4bm89MjQzNTU?oc=5")</f>
        <v>https://news.google.com/rss/articles/CBMiPmh0dHA6Ly93d3cuMWNvbm9teW5ld3MuY28ua3IvbmV3cy9hcnRpY2xlVmlldy5odG1sP2lkeG5vPTI0MzU10gFBaHR0cDovL3d3dy4xY29ub215bmV3cy5jby5rci9uZXdzL2FydGljbGVWaWV3QW1wLmh0bWw_aWR4bm89MjQzNTU?oc=5</v>
      </c>
      <c r="C31" s="1" t="str">
        <f ca="1">IFERROR(__xludf.DUMMYFUNCTION("""COMPUTED_VALUE"""),"Thu, 27 Jul 2023 08:46:49 GMT")</f>
        <v>Thu, 27 Jul 2023 08:46:49 GMT</v>
      </c>
      <c r="D31" s="1" t="str">
        <f ca="1">IFERROR(__xludf.DUMMYFUNCTION("""COMPUTED_VALUE"""),"[백세인생] 노인혐오에 폭행까지…고통받는 노인  일코노미뉴스")</f>
        <v>[백세인생] 노인혐오에 폭행까지…고통받는 노인  일코노미뉴스</v>
      </c>
    </row>
    <row r="32" spans="1:4" ht="12.5" x14ac:dyDescent="0.25">
      <c r="A32" s="1" t="str">
        <f ca="1">IFERROR(__xludf.DUMMYFUNCTION("""COMPUTED_VALUE"""),"[김길원의 헬스노트] ""진단 어려운 노인 우울증, 표정 변화에 힌트 있다"" - 연합뉴스")</f>
        <v>[김길원의 헬스노트] "진단 어려운 노인 우울증, 표정 변화에 힌트 있다" - 연합뉴스</v>
      </c>
      <c r="B32" s="2" t="str">
        <f ca="1">IFERROR(__xludf.DUMMYFUNCTION("""COMPUTED_VALUE"""),"https://news.google.com/rss/articles/CBMiL2h0dHBzOi8vd3d3LnluYS5jby5rci92aWV3L0FLUjIwMjMwODI5MTQ5MzAwNTE40gExaHR0cHM6Ly9tLnluYS5jby5rci9hbXAvdmlldy9BS1IyMDIzMDgyOTE0OTMwMDUxOA?oc=5")</f>
        <v>https://news.google.com/rss/articles/CBMiL2h0dHBzOi8vd3d3LnluYS5jby5rci92aWV3L0FLUjIwMjMwODI5MTQ5MzAwNTE40gExaHR0cHM6Ly9tLnluYS5jby5rci9hbXAvdmlldy9BS1IyMDIzMDgyOTE0OTMwMDUxOA?oc=5</v>
      </c>
      <c r="C32" s="1" t="str">
        <f ca="1">IFERROR(__xludf.DUMMYFUNCTION("""COMPUTED_VALUE"""),"Tue, 29 Aug 2023 21:13:01 GMT")</f>
        <v>Tue, 29 Aug 2023 21:13:01 GMT</v>
      </c>
      <c r="D32" s="1" t="str">
        <f ca="1">IFERROR(__xludf.DUMMYFUNCTION("""COMPUTED_VALUE"""),"[김길원의 헬스노트] ""진단 어려운 노인 우울증, 표정 변화에 힌트 있다""  연합뉴스")</f>
        <v>[김길원의 헬스노트] "진단 어려운 노인 우울증, 표정 변화에 힌트 있다"  연합뉴스</v>
      </c>
    </row>
    <row r="33" spans="1:4" ht="12.5" x14ac:dyDescent="0.25">
      <c r="A33" s="1" t="str">
        <f ca="1">IFERROR(__xludf.DUMMYFUNCTION("""COMPUTED_VALUE"""),"“어르신 출입제한, 안내견은 환영”… ‘노시니어존’ 카페 등장에 ‘노인혐오’ 논란 [넷만세] - 서울신문")</f>
        <v>“어르신 출입제한, 안내견은 환영”… ‘노시니어존’ 카페 등장에 ‘노인혐오’ 논란 [넷만세] - 서울신문</v>
      </c>
      <c r="B33" s="2" t="str">
        <f ca="1">IFERROR(__xludf.DUMMYFUNCTION("""COMPUTED_VALUE"""),"https://news.google.com/rss/articles/CBMiO2h0dHBzOi8vd3d3LnNlb3VsLmNvLmtyL25ld3MvbmV3c1ZpZXcucGhwP2lkPTIwMjMwNTA5NTAwMTI50gEsaHR0cHM6Ly9hbXAuc2VvdWwuY28ua3Ivc2VvdWwvMjAyMzA1MDk1MDAxMjk?oc=5")</f>
        <v>https://news.google.com/rss/articles/CBMiO2h0dHBzOi8vd3d3LnNlb3VsLmNvLmtyL25ld3MvbmV3c1ZpZXcucGhwP2lkPTIwMjMwNTA5NTAwMTI50gEsaHR0cHM6Ly9hbXAuc2VvdWwuY28ua3Ivc2VvdWwvMjAyMzA1MDk1MDAxMjk?oc=5</v>
      </c>
      <c r="C33" s="1" t="str">
        <f ca="1">IFERROR(__xludf.DUMMYFUNCTION("""COMPUTED_VALUE"""),"Tue, 09 May 2023 07:00:00 GMT")</f>
        <v>Tue, 09 May 2023 07:00:00 GMT</v>
      </c>
      <c r="D33" s="1" t="str">
        <f ca="1">IFERROR(__xludf.DUMMYFUNCTION("""COMPUTED_VALUE"""),"“어르신 출입제한, 안내견은 환영”… ‘노시니어존’ 카페 등장에 ‘노인혐오’ 논란 [넷만세]  서울신문")</f>
        <v>“어르신 출입제한, 안내견은 환영”… ‘노시니어존’ 카페 등장에 ‘노인혐오’ 논란 [넷만세]  서울신문</v>
      </c>
    </row>
    <row r="34" spans="1:4" ht="12.5" x14ac:dyDescent="0.25">
      <c r="A34" s="1" t="str">
        <f ca="1">IFERROR(__xludf.DUMMYFUNCTION("""COMPUTED_VALUE"""),"다채로운 보통 어른들의 이야기가 필요한 이유 - 단비뉴스")</f>
        <v>다채로운 보통 어른들의 이야기가 필요한 이유 - 단비뉴스</v>
      </c>
      <c r="B34" s="2" t="str">
        <f ca="1">IFERROR(__xludf.DUMMYFUNCTION("""COMPUTED_VALUE"""),"https://news.google.com/rss/articles/CBMiOmh0dHA6Ly93d3cuZGFuYmluZXdzLmNvbS9uZXdzL2FydGljbGVWaWV3Lmh0bWw_aWR4bm89MjQxOTfSAT1odHRwOi8vd3d3LmRhbmJpbmV3cy5jb20vbmV3cy9hcnRpY2xlVmlld0FtcC5odG1sP2lkeG5vPTI0MTk3?oc=5")</f>
        <v>https://news.google.com/rss/articles/CBMiOmh0dHA6Ly93d3cuZGFuYmluZXdzLmNvbS9uZXdzL2FydGljbGVWaWV3Lmh0bWw_aWR4bm89MjQxOTfSAT1odHRwOi8vd3d3LmRhbmJpbmV3cy5jb20vbmV3cy9hcnRpY2xlVmlld0FtcC5odG1sP2lkeG5vPTI0MTk3?oc=5</v>
      </c>
      <c r="C34" s="1" t="str">
        <f ca="1">IFERROR(__xludf.DUMMYFUNCTION("""COMPUTED_VALUE"""),"Sun, 20 Aug 2023 13:13:23 GMT")</f>
        <v>Sun, 20 Aug 2023 13:13:23 GMT</v>
      </c>
      <c r="D34" s="1" t="str">
        <f ca="1">IFERROR(__xludf.DUMMYFUNCTION("""COMPUTED_VALUE"""),"다채로운 보통 어른들의 이야기가 필요한 이유  단비뉴스")</f>
        <v>다채로운 보통 어른들의 이야기가 필요한 이유  단비뉴스</v>
      </c>
    </row>
    <row r="35" spans="1:4" ht="12.5" x14ac:dyDescent="0.25">
      <c r="A35" s="1" t="str">
        <f ca="1">IFERROR(__xludf.DUMMYFUNCTION("""COMPUTED_VALUE"""),"노인을 멸시하는 좌파들 - 경북매일 - 경북매일신문")</f>
        <v>노인을 멸시하는 좌파들 - 경북매일 - 경북매일신문</v>
      </c>
      <c r="B35" s="2" t="str">
        <f ca="1">IFERROR(__xludf.DUMMYFUNCTION("""COMPUTED_VALUE"""),"https://news.google.com/rss/articles/CBMiOmh0dHBzOi8vd3d3LmtibWFlaWwuY29tL25ld3MvYXJ0aWNsZVZpZXcuaHRtbD9pZHhubz05NjYyNjLSAQA?oc=5")</f>
        <v>https://news.google.com/rss/articles/CBMiOmh0dHBzOi8vd3d3LmtibWFlaWwuY29tL25ld3MvYXJ0aWNsZVZpZXcuaHRtbD9pZHhubz05NjYyNjLSAQA?oc=5</v>
      </c>
      <c r="C35" s="1" t="str">
        <f ca="1">IFERROR(__xludf.DUMMYFUNCTION("""COMPUTED_VALUE"""),"Thu, 10 Aug 2023 07:00:00 GMT")</f>
        <v>Thu, 10 Aug 2023 07:00:00 GMT</v>
      </c>
      <c r="D35" s="1" t="str">
        <f ca="1">IFERROR(__xludf.DUMMYFUNCTION("""COMPUTED_VALUE"""),"노인을 멸시하는 좌파들 - 경북매일  경북매일신문")</f>
        <v>노인을 멸시하는 좌파들 - 경북매일  경북매일신문</v>
      </c>
    </row>
    <row r="36" spans="1:4" ht="12.5" x14ac:dyDescent="0.25">
      <c r="A36" s="1" t="str">
        <f ca="1">IFERROR(__xludf.DUMMYFUNCTION("""COMPUTED_VALUE"""),"그림에 담긴 인권의 개념과 역사 [책&amp;생각] - 한겨레")</f>
        <v>그림에 담긴 인권의 개념과 역사 [책&amp;생각] - 한겨레</v>
      </c>
      <c r="B36" s="2" t="str">
        <f ca="1">IFERROR(__xludf.DUMMYFUNCTION("""COMPUTED_VALUE"""),"https://news.google.com/rss/articles/CBMiNWh0dHBzOi8vd3d3LmhhbmkuY28ua3IvYXJ0aS9jdWx0dXJlL2Jvb2svMTEwNjY4OC5odG1s0gEA?oc=5")</f>
        <v>https://news.google.com/rss/articles/CBMiNWh0dHBzOi8vd3d3LmhhbmkuY28ua3IvYXJ0aS9jdWx0dXJlL2Jvb2svMTEwNjY4OC5odG1s0gEA?oc=5</v>
      </c>
      <c r="C36" s="1" t="str">
        <f ca="1">IFERROR(__xludf.DUMMYFUNCTION("""COMPUTED_VALUE"""),"Thu, 31 Aug 2023 20:01:29 GMT")</f>
        <v>Thu, 31 Aug 2023 20:01:29 GMT</v>
      </c>
      <c r="D36" s="1" t="str">
        <f ca="1">IFERROR(__xludf.DUMMYFUNCTION("""COMPUTED_VALUE"""),"그림에 담긴 인권의 개념과 역사 [책&amp;생각]  한겨레")</f>
        <v>그림에 담긴 인권의 개념과 역사 [책&amp;생각]  한겨레</v>
      </c>
    </row>
    <row r="37" spans="1:4" ht="12.5" x14ac:dyDescent="0.25">
      <c r="A37" s="1" t="str">
        <f ca="1">IFERROR(__xludf.DUMMYFUNCTION("""COMPUTED_VALUE"""),"[노인혐오 기획] '노중년존'·'틀딱'…노인 혐오 감추지 않는 시대 - 브라보마이라이프")</f>
        <v>[노인혐오 기획] '노중년존'·'틀딱'…노인 혐오 감추지 않는 시대 - 브라보마이라이프</v>
      </c>
      <c r="B37" s="2" t="str">
        <f ca="1">IFERROR(__xludf.DUMMYFUNCTION("""COMPUTED_VALUE"""),"https://news.google.com/rss/articles/CBMiLmh0dHBzOi8vYnJhdm8uZXRvZGF5LmNvLmtyL3ZpZXcvYXRjX3ZpZXcvMTM2ODLSAQA?oc=5")</f>
        <v>https://news.google.com/rss/articles/CBMiLmh0dHBzOi8vYnJhdm8uZXRvZGF5LmNvLmtyL3ZpZXcvYXRjX3ZpZXcvMTM2ODLSAQA?oc=5</v>
      </c>
      <c r="C37" s="1" t="str">
        <f ca="1">IFERROR(__xludf.DUMMYFUNCTION("""COMPUTED_VALUE"""),"Mon, 04 Jul 2022 07:00:00 GMT")</f>
        <v>Mon, 04 Jul 2022 07:00:00 GMT</v>
      </c>
      <c r="D37" s="1" t="str">
        <f ca="1">IFERROR(__xludf.DUMMYFUNCTION("""COMPUTED_VALUE"""),"[노인혐오 기획] '노중년존'·'틀딱'…노인 혐오 감추지 않는 시대  브라보마이라이프")</f>
        <v>[노인혐오 기획] '노중년존'·'틀딱'…노인 혐오 감추지 않는 시대  브라보마이라이프</v>
      </c>
    </row>
    <row r="38" spans="1:4" ht="12.5" x14ac:dyDescent="0.25">
      <c r="A38" s="1" t="str">
        <f ca="1">IFERROR(__xludf.DUMMYFUNCTION("""COMPUTED_VALUE"""),"70세가 노인? 이제 그런 기준 없습니다 - 독서신문")</f>
        <v>70세가 노인? 이제 그런 기준 없습니다 - 독서신문</v>
      </c>
      <c r="B38" s="2" t="str">
        <f ca="1">IFERROR(__xludf.DUMMYFUNCTION("""COMPUTED_VALUE"""),"https://news.google.com/rss/articles/CBMiPmh0dHBzOi8vd3d3LnJlYWRlcnNuZXdzLmNvbS9uZXdzL2FydGljbGVWaWV3Lmh0bWw_aWR4bm89MTA4OTY00gEA?oc=5")</f>
        <v>https://news.google.com/rss/articles/CBMiPmh0dHBzOi8vd3d3LnJlYWRlcnNuZXdzLmNvbS9uZXdzL2FydGljbGVWaWV3Lmh0bWw_aWR4bm89MTA4OTY00gEA?oc=5</v>
      </c>
      <c r="C38" s="1" t="str">
        <f ca="1">IFERROR(__xludf.DUMMYFUNCTION("""COMPUTED_VALUE"""),"Mon, 12 Jun 2023 07:00:00 GMT")</f>
        <v>Mon, 12 Jun 2023 07:00:00 GMT</v>
      </c>
      <c r="D38" s="1" t="str">
        <f ca="1">IFERROR(__xludf.DUMMYFUNCTION("""COMPUTED_VALUE"""),"70세가 노인? 이제 그런 기준 없습니다  독서신문")</f>
        <v>70세가 노인? 이제 그런 기준 없습니다  독서신문</v>
      </c>
    </row>
    <row r="39" spans="1:4" ht="12.5" x14ac:dyDescent="0.25">
      <c r="A39" s="1" t="str">
        <f ca="1">IFERROR(__xludf.DUMMYFUNCTION("""COMPUTED_VALUE"""),"[발행인 칼럼] 위대한 노인들을 왜 폄훼하나 - 김포신문")</f>
        <v>[발행인 칼럼] 위대한 노인들을 왜 폄훼하나 - 김포신문</v>
      </c>
      <c r="B39" s="2" t="str">
        <f ca="1">IFERROR(__xludf.DUMMYFUNCTION("""COMPUTED_VALUE"""),"https://news.google.com/rss/articles/CBMiOGh0dHBzOi8vd3d3LmlnaW1wby5jb20vbmV3cy9hcnRpY2xlVmlldy5odG1sP2lkeG5vPTc4MzUw0gE7aHR0cHM6Ly93d3cuaWdpbXBvLmNvbS9uZXdzL2FydGljbGVWaWV3QW1wLmh0bWw_aWR4bm89NzgzNTA?oc=5")</f>
        <v>https://news.google.com/rss/articles/CBMiOGh0dHBzOi8vd3d3LmlnaW1wby5jb20vbmV3cy9hcnRpY2xlVmlldy5odG1sP2lkeG5vPTc4MzUw0gE7aHR0cHM6Ly93d3cuaWdpbXBvLmNvbS9uZXdzL2FydGljbGVWaWV3QW1wLmh0bWw_aWR4bm89NzgzNTA?oc=5</v>
      </c>
      <c r="C39" s="1" t="str">
        <f ca="1">IFERROR(__xludf.DUMMYFUNCTION("""COMPUTED_VALUE"""),"Wed, 09 Aug 2023 00:55:46 GMT")</f>
        <v>Wed, 09 Aug 2023 00:55:46 GMT</v>
      </c>
      <c r="D39" s="1" t="str">
        <f ca="1">IFERROR(__xludf.DUMMYFUNCTION("""COMPUTED_VALUE"""),"[발행인 칼럼] 위대한 노인들을 왜 폄훼하나  김포신문")</f>
        <v>[발행인 칼럼] 위대한 노인들을 왜 폄훼하나  김포신문</v>
      </c>
    </row>
    <row r="40" spans="1:4" ht="12.5" x14ac:dyDescent="0.25">
      <c r="A40" s="1" t="str">
        <f ca="1">IFERROR(__xludf.DUMMYFUNCTION("""COMPUTED_VALUE"""),"흑인혐오 총격에 3명 숨져…다시 보는 '아이 해브 어 드림' 연설 - 프레시안")</f>
        <v>흑인혐오 총격에 3명 숨져…다시 보는 '아이 해브 어 드림' 연설 - 프레시안</v>
      </c>
      <c r="B40" s="2" t="str">
        <f ca="1">IFERROR(__xludf.DUMMYFUNCTION("""COMPUTED_VALUE"""),"https://news.google.com/rss/articles/CBMiO2h0dHBzOi8vd3d3LnByZXNzaWFuLmNvbS9wYWdlcy9hcnRpY2xlcy8yMDIzMDgyNzE0NDIyOTMwOTMw0gEA?oc=5")</f>
        <v>https://news.google.com/rss/articles/CBMiO2h0dHBzOi8vd3d3LnByZXNzaWFuLmNvbS9wYWdlcy9hcnRpY2xlcy8yMDIzMDgyNzE0NDIyOTMwOTMw0gEA?oc=5</v>
      </c>
      <c r="C40" s="1" t="str">
        <f ca="1">IFERROR(__xludf.DUMMYFUNCTION("""COMPUTED_VALUE"""),"Sun, 27 Aug 2023 05:42:29 GMT")</f>
        <v>Sun, 27 Aug 2023 05:42:29 GMT</v>
      </c>
      <c r="D40" s="1" t="str">
        <f ca="1">IFERROR(__xludf.DUMMYFUNCTION("""COMPUTED_VALUE"""),"흑인혐오 총격에 3명 숨져…다시 보는 '아이 해브 어 드림' 연설  프레시안")</f>
        <v>흑인혐오 총격에 3명 숨져…다시 보는 '아이 해브 어 드림' 연설  프레시안</v>
      </c>
    </row>
    <row r="41" spans="1:4" ht="12.5" x14ac:dyDescent="0.25">
      <c r="A41" s="1" t="str">
        <f ca="1">IFERROR(__xludf.DUMMYFUNCTION("""COMPUTED_VALUE"""),"노시니어존 논란' 마주친 노인이 한 마디 할게요 - 오마이뉴스")</f>
        <v>노시니어존 논란' 마주친 노인이 한 마디 할게요 - 오마이뉴스</v>
      </c>
      <c r="B41" s="2" t="str">
        <f ca="1">IFERROR(__xludf.DUMMYFUNCTION("""COMPUTED_VALUE"""),"https://news.google.com/rss/articles/CBMiRGh0dHBzOi8vd3d3Lm9obXluZXdzLmNvbS9OV1NfV2ViL1ZpZXcvYXRfcGcuYXNweD9DTlROX0NEPUEwMDAyOTMyOTA30gFCaHR0cHM6Ly9tLm9obXluZXdzLmNvbS9OV1NfV2ViL01vYmlsZS9hbXAuYXNweD9DTlROX0NEPUEwMDAyOTMyOTA3?oc=5")</f>
        <v>https://news.google.com/rss/articles/CBMiRGh0dHBzOi8vd3d3Lm9obXluZXdzLmNvbS9OV1NfV2ViL1ZpZXcvYXRfcGcuYXNweD9DTlROX0NEPUEwMDAyOTMyOTA30gFCaHR0cHM6Ly9tLm9obXluZXdzLmNvbS9OV1NfV2ViL01vYmlsZS9hbXAuYXNweD9DTlROX0NEPUEwMDAyOTMyOTA3?oc=5</v>
      </c>
      <c r="C41" s="1" t="str">
        <f ca="1">IFERROR(__xludf.DUMMYFUNCTION("""COMPUTED_VALUE"""),"Tue, 06 Jun 2023 07:00:00 GMT")</f>
        <v>Tue, 06 Jun 2023 07:00:00 GMT</v>
      </c>
      <c r="D41" s="1" t="str">
        <f ca="1">IFERROR(__xludf.DUMMYFUNCTION("""COMPUTED_VALUE"""),"노시니어존 논란' 마주친 노인이 한 마디 할게요  오마이뉴스")</f>
        <v>노시니어존 논란' 마주친 노인이 한 마디 할게요  오마이뉴스</v>
      </c>
    </row>
    <row r="42" spans="1:4" ht="12.5" x14ac:dyDescent="0.25">
      <c r="A42" s="1" t="str">
        <f ca="1">IFERROR(__xludf.DUMMYFUNCTION("""COMPUTED_VALUE"""),"[비판과대안을위한사회복지학회] 차별과 배제의 끝에 선 노인, 진단과 ... - 참여연대")</f>
        <v>[비판과대안을위한사회복지학회] 차별과 배제의 끝에 선 노인, 진단과 ... - 참여연대</v>
      </c>
      <c r="B42" s="2" t="str">
        <f ca="1">IFERROR(__xludf.DUMMYFUNCTION("""COMPUTED_VALUE"""),"https://news.google.com/rss/articles/CBMiLWh0dHBzOi8vd3d3LnBlb3BsZXBvd2VyMjEub3JnL3dlbGZhcmUvMTkzODc4NtIBAA?oc=5")</f>
        <v>https://news.google.com/rss/articles/CBMiLWh0dHBzOi8vd3d3LnBlb3BsZXBvd2VyMjEub3JnL3dlbGZhcmUvMTkzODc4NtIBAA?oc=5</v>
      </c>
      <c r="C42" s="1" t="str">
        <f ca="1">IFERROR(__xludf.DUMMYFUNCTION("""COMPUTED_VALUE"""),"Fri, 09 Jun 2023 07:00:00 GMT")</f>
        <v>Fri, 09 Jun 2023 07:00:00 GMT</v>
      </c>
      <c r="D42" s="1" t="str">
        <f ca="1">IFERROR(__xludf.DUMMYFUNCTION("""COMPUTED_VALUE"""),"[비판과대안을위한사회복지학회] 차별과 배제의 끝에 선 노인, 진단과 ...  참여연대")</f>
        <v>[비판과대안을위한사회복지학회] 차별과 배제의 끝에 선 노인, 진단과 ...  참여연대</v>
      </c>
    </row>
    <row r="43" spans="1:4" ht="12.5" x14ac:dyDescent="0.25">
      <c r="A43" s="1" t="str">
        <f ca="1">IFERROR(__xludf.DUMMYFUNCTION("""COMPUTED_VALUE"""),"마돈나, 외모 논란에 “여성과 노인 혐오…사과할 일 없다” 일침 - 동아일보")</f>
        <v>마돈나, 외모 논란에 “여성과 노인 혐오…사과할 일 없다” 일침 - 동아일보</v>
      </c>
      <c r="B43" s="2" t="str">
        <f ca="1">IFERROR(__xludf.DUMMYFUNCTION("""COMPUTED_VALUE"""),"https://news.google.com/rss/articles/CBMiQWh0dHBzOi8vd3d3LmRvbmdhLmNvbS9uZXdzL0ludGVyL2FydGljbGUvYWxsLzIwMjMwMjA5LzExNzgwMzA3OC8y0gE3aHR0cHM6Ly93d3cuZG9uZ2EuY29tL25ld3MvYW1wL2FsbC8yMDIzMDIwOS8xMTc4MDMwNzgvMg?oc=5")</f>
        <v>https://news.google.com/rss/articles/CBMiQWh0dHBzOi8vd3d3LmRvbmdhLmNvbS9uZXdzL0ludGVyL2FydGljbGUvYWxsLzIwMjMwMjA5LzExNzgwMzA3OC8y0gE3aHR0cHM6Ly93d3cuZG9uZ2EuY29tL25ld3MvYW1wL2FsbC8yMDIzMDIwOS8xMTc4MDMwNzgvMg?oc=5</v>
      </c>
      <c r="C43" s="1" t="str">
        <f ca="1">IFERROR(__xludf.DUMMYFUNCTION("""COMPUTED_VALUE"""),"Thu, 09 Feb 2023 08:00:00 GMT")</f>
        <v>Thu, 09 Feb 2023 08:00:00 GMT</v>
      </c>
      <c r="D43" s="1" t="str">
        <f ca="1">IFERROR(__xludf.DUMMYFUNCTION("""COMPUTED_VALUE"""),"마돈나, 외모 논란에 “여성과 노인 혐오…사과할 일 없다” 일침  동아일보")</f>
        <v>마돈나, 외모 논란에 “여성과 노인 혐오…사과할 일 없다” 일침  동아일보</v>
      </c>
    </row>
    <row r="44" spans="1:4" ht="12.5" x14ac:dyDescent="0.25">
      <c r="A44" s="1" t="str">
        <f ca="1">IFERROR(__xludf.DUMMYFUNCTION("""COMPUTED_VALUE"""),"경찰청의 살인 예고글 '성별 통계' 누락과 여성혐오 범죄 - 미디어스")</f>
        <v>경찰청의 살인 예고글 '성별 통계' 누락과 여성혐오 범죄 - 미디어스</v>
      </c>
      <c r="B44" s="2" t="str">
        <f ca="1">IFERROR(__xludf.DUMMYFUNCTION("""COMPUTED_VALUE"""),"https://news.google.com/rss/articles/CBMiO2h0dHA6Ly93d3cubWVkaWF1cy5jby5rci9uZXdzL2FydGljbGVWaWV3Lmh0bWw_aWR4bm89MzA2MTM00gE-aHR0cDovL3d3dy5tZWRpYXVzLmNvLmtyL25ld3MvYXJ0aWNsZVZpZXdBbXAuaHRtbD9pZHhubz0zMDYxMzQ?oc=5")</f>
        <v>https://news.google.com/rss/articles/CBMiO2h0dHA6Ly93d3cubWVkaWF1cy5jby5rci9uZXdzL2FydGljbGVWaWV3Lmh0bWw_aWR4bm89MzA2MTM00gE-aHR0cDovL3d3dy5tZWRpYXVzLmNvLmtyL25ld3MvYXJ0aWNsZVZpZXdBbXAuaHRtbD9pZHhubz0zMDYxMzQ?oc=5</v>
      </c>
      <c r="C44" s="1" t="str">
        <f ca="1">IFERROR(__xludf.DUMMYFUNCTION("""COMPUTED_VALUE"""),"Fri, 25 Aug 2023 06:41:28 GMT")</f>
        <v>Fri, 25 Aug 2023 06:41:28 GMT</v>
      </c>
      <c r="D44" s="1" t="str">
        <f ca="1">IFERROR(__xludf.DUMMYFUNCTION("""COMPUTED_VALUE"""),"경찰청의 살인 예고글 '성별 통계' 누락과 여성혐오 범죄  미디어스")</f>
        <v>경찰청의 살인 예고글 '성별 통계' 누락과 여성혐오 범죄  미디어스</v>
      </c>
    </row>
    <row r="45" spans="1:4" ht="12.5" x14ac:dyDescent="0.25">
      <c r="A45" s="1" t="str">
        <f ca="1">IFERROR(__xludf.DUMMYFUNCTION("""COMPUTED_VALUE"""),"꼰대' '틀딱' '연금충'… 부정적 존재로 낙인찍고, 조롱하고 - 신동아")</f>
        <v>꼰대' '틀딱' '연금충'… 부정적 존재로 낙인찍고, 조롱하고 - 신동아</v>
      </c>
      <c r="B45" s="2" t="str">
        <f ca="1">IFERROR(__xludf.DUMMYFUNCTION("""COMPUTED_VALUE"""),"https://news.google.com/rss/articles/CBMiLmh0dHBzOi8vc2hpbmRvbmdhLmRvbmdhLmNvbS8zL2FsbC8xMy8zMTE0NTg2LzHSAQA?oc=5")</f>
        <v>https://news.google.com/rss/articles/CBMiLmh0dHBzOi8vc2hpbmRvbmdhLmRvbmdhLmNvbS8zL2FsbC8xMy8zMTE0NTg2LzHSAQA?oc=5</v>
      </c>
      <c r="C45" s="1" t="str">
        <f ca="1">IFERROR(__xludf.DUMMYFUNCTION("""COMPUTED_VALUE"""),"Tue, 04 Jan 2022 08:00:00 GMT")</f>
        <v>Tue, 04 Jan 2022 08:00:00 GMT</v>
      </c>
      <c r="D45" s="1" t="str">
        <f ca="1">IFERROR(__xludf.DUMMYFUNCTION("""COMPUTED_VALUE"""),"꼰대' '틀딱' '연금충'… 부정적 존재로 낙인찍고, 조롱하고  신동아")</f>
        <v>꼰대' '틀딱' '연금충'… 부정적 존재로 낙인찍고, 조롱하고  신동아</v>
      </c>
    </row>
    <row r="46" spans="1:4" ht="12.5" x14ac:dyDescent="0.25">
      <c r="A46" s="1" t="str">
        <f ca="1">IFERROR(__xludf.DUMMYFUNCTION("""COMPUTED_VALUE"""),"“독서는 불법, 모든 책을 불태우겠다”…마약보다 종이책을 더 혐오하는 세상 [나쁜 책] - 매일경제")</f>
        <v>“독서는 불법, 모든 책을 불태우겠다”…마약보다 종이책을 더 혐오하는 세상 [나쁜 책] - 매일경제</v>
      </c>
      <c r="B46" s="2" t="str">
        <f ca="1">IFERROR(__xludf.DUMMYFUNCTION("""COMPUTED_VALUE"""),"https://news.google.com/rss/articles/CBMiKmh0dHBzOi8vd3d3Lm1rLmNvLmtyL25ld3MvY3VsdHVyZS8xMDgxMTYzNtIBH2h0dHBzOi8vbS5tay5jby5rci9hbXAvMTA4MTE2MzY?oc=5")</f>
        <v>https://news.google.com/rss/articles/CBMiKmh0dHBzOi8vd3d3Lm1rLmNvLmtyL25ld3MvY3VsdHVyZS8xMDgxMTYzNtIBH2h0dHBzOi8vbS5tay5jby5rci9hbXAvMTA4MTE2MzY?oc=5</v>
      </c>
      <c r="C46" s="1" t="str">
        <f ca="1">IFERROR(__xludf.DUMMYFUNCTION("""COMPUTED_VALUE"""),"Mon, 21 Aug 2023 07:00:00 GMT")</f>
        <v>Mon, 21 Aug 2023 07:00:00 GMT</v>
      </c>
      <c r="D46" s="1" t="str">
        <f ca="1">IFERROR(__xludf.DUMMYFUNCTION("""COMPUTED_VALUE"""),"“독서는 불법, 모든 책을 불태우겠다”…마약보다 종이책을 더 혐오하는 세상 [나쁜 책]  매일경제")</f>
        <v>“독서는 불법, 모든 책을 불태우겠다”…마약보다 종이책을 더 혐오하는 세상 [나쁜 책]  매일경제</v>
      </c>
    </row>
    <row r="47" spans="1:4" ht="12.5" x14ac:dyDescent="0.25">
      <c r="A47" s="1" t="str">
        <f ca="1">IFERROR(__xludf.DUMMYFUNCTION("""COMPUTED_VALUE"""),"TV속 금쪽이를 보고 육아를 배운다고?…‘맘충 혐오’ 배울까 걱정이에요 [워킹맘의 생존육아] - 매일경제")</f>
        <v>TV속 금쪽이를 보고 육아를 배운다고?…‘맘충 혐오’ 배울까 걱정이에요 [워킹맘의 생존육아] - 매일경제</v>
      </c>
      <c r="B47" s="2" t="str">
        <f ca="1">IFERROR(__xludf.DUMMYFUNCTION("""COMPUTED_VALUE"""),"https://news.google.com/rss/articles/CBMiK2h0dHBzOi8vd3d3Lm1rLmNvLmtyL25ld3MvYnVzaW5lc3MvMTA4MTMzNjbSAR9odHRwczovL20ubWsuY28ua3IvYW1wLzEwODEzMzY2?oc=5")</f>
        <v>https://news.google.com/rss/articles/CBMiK2h0dHBzOi8vd3d3Lm1rLmNvLmtyL25ld3MvYnVzaW5lc3MvMTA4MTMzNjbSAR9odHRwczovL20ubWsuY28ua3IvYW1wLzEwODEzMzY2?oc=5</v>
      </c>
      <c r="C47" s="1" t="str">
        <f ca="1">IFERROR(__xludf.DUMMYFUNCTION("""COMPUTED_VALUE"""),"Wed, 23 Aug 2023 07:00:00 GMT")</f>
        <v>Wed, 23 Aug 2023 07:00:00 GMT</v>
      </c>
      <c r="D47" s="1" t="str">
        <f ca="1">IFERROR(__xludf.DUMMYFUNCTION("""COMPUTED_VALUE"""),"TV속 금쪽이를 보고 육아를 배운다고?…‘맘충 혐오’ 배울까 걱정이에요 [워킹맘의 생존육아]  매일경제")</f>
        <v>TV속 금쪽이를 보고 육아를 배운다고?…‘맘충 혐오’ 배울까 걱정이에요 [워킹맘의 생존육아]  매일경제</v>
      </c>
    </row>
    <row r="48" spans="1:4" ht="12.5" x14ac:dyDescent="0.25">
      <c r="A48" s="1" t="str">
        <f ca="1">IFERROR(__xludf.DUMMYFUNCTION("""COMPUTED_VALUE"""),"[노인혐오 기획] 혐오에 떠밀린 노인들의 퇴적 공간 '탑골공원' - 브라보마이라이프")</f>
        <v>[노인혐오 기획] 혐오에 떠밀린 노인들의 퇴적 공간 '탑골공원' - 브라보마이라이프</v>
      </c>
      <c r="B48" s="2" t="str">
        <f ca="1">IFERROR(__xludf.DUMMYFUNCTION("""COMPUTED_VALUE"""),"https://news.google.com/rss/articles/CBMiLmh0dHBzOi8vYnJhdm8uZXRvZGF5LmNvLmtyL3ZpZXcvYXRjX3ZpZXcvMTM2NzbSAQA?oc=5")</f>
        <v>https://news.google.com/rss/articles/CBMiLmh0dHBzOi8vYnJhdm8uZXRvZGF5LmNvLmtyL3ZpZXcvYXRjX3ZpZXcvMTM2NzbSAQA?oc=5</v>
      </c>
      <c r="C48" s="1" t="str">
        <f ca="1">IFERROR(__xludf.DUMMYFUNCTION("""COMPUTED_VALUE"""),"Fri, 01 Jul 2022 07:00:00 GMT")</f>
        <v>Fri, 01 Jul 2022 07:00:00 GMT</v>
      </c>
      <c r="D48" s="1" t="str">
        <f ca="1">IFERROR(__xludf.DUMMYFUNCTION("""COMPUTED_VALUE"""),"[노인혐오 기획] 혐오에 떠밀린 노인들의 퇴적 공간 '탑골공원'  브라보마이라이프")</f>
        <v>[노인혐오 기획] 혐오에 떠밀린 노인들의 퇴적 공간 '탑골공원'  브라보마이라이프</v>
      </c>
    </row>
    <row r="49" spans="1:4" ht="12.5" x14ac:dyDescent="0.25">
      <c r="A49" s="1" t="str">
        <f ca="1">IFERROR(__xludf.DUMMYFUNCTION("""COMPUTED_VALUE"""),"할머니라고????' 곽정은이 악플러의 수준 낮은 조롱에 보인 반응은 ... - 허프포스트코리아")</f>
        <v>할머니라고????' 곽정은이 악플러의 수준 낮은 조롱에 보인 반응은 ... - 허프포스트코리아</v>
      </c>
      <c r="B49" s="2" t="str">
        <f ca="1">IFERROR(__xludf.DUMMYFUNCTION("""COMPUTED_VALUE"""),"https://news.google.com/rss/articles/CBMiQGh0dHBzOi8vd3d3Lmh1ZmZpbmd0b25wb3N0LmtyL25ld3MvYXJ0aWNsZVZpZXcuaHRtbD9pZHhubz0yMDc2MDHSAUNodHRwczovL3d3dy5odWZmaW5ndG9ucG9zdC5rci9uZXdzL2FydGljbGVWaWV3QW1wLmh0bWw_aWR4bm89MjA3NjAx?oc=5")</f>
        <v>https://news.google.com/rss/articles/CBMiQGh0dHBzOi8vd3d3Lmh1ZmZpbmd0b25wb3N0LmtyL25ld3MvYXJ0aWNsZVZpZXcuaHRtbD9pZHhubz0yMDc2MDHSAUNodHRwczovL3d3dy5odWZmaW5ndG9ucG9zdC5rci9uZXdzL2FydGljbGVWaWV3QW1wLmh0bWw_aWR4bm89MjA3NjAx?oc=5</v>
      </c>
      <c r="C49" s="1" t="str">
        <f ca="1">IFERROR(__xludf.DUMMYFUNCTION("""COMPUTED_VALUE"""),"Mon, 13 Mar 2023 07:00:00 GMT")</f>
        <v>Mon, 13 Mar 2023 07:00:00 GMT</v>
      </c>
      <c r="D49" s="1" t="str">
        <f ca="1">IFERROR(__xludf.DUMMYFUNCTION("""COMPUTED_VALUE"""),"할머니라고????' 곽정은이 악플러의 수준 낮은 조롱에 보인 반응은 ...  허프포스트코리아")</f>
        <v>할머니라고????' 곽정은이 악플러의 수준 낮은 조롱에 보인 반응은 ...  허프포스트코리아</v>
      </c>
    </row>
    <row r="50" spans="1:4" ht="12.5" x14ac:dyDescent="0.25">
      <c r="A50" s="1" t="str">
        <f ca="1">IFERROR(__xludf.DUMMYFUNCTION("""COMPUTED_VALUE"""),"[노인혐오 기획] 온ㆍ오프라인 공간 속 노인을 향한 혐오의 시선들 - 브라보마이라이프")</f>
        <v>[노인혐오 기획] 온ㆍ오프라인 공간 속 노인을 향한 혐오의 시선들 - 브라보마이라이프</v>
      </c>
      <c r="B50" s="2" t="str">
        <f ca="1">IFERROR(__xludf.DUMMYFUNCTION("""COMPUTED_VALUE"""),"https://news.google.com/rss/articles/CBMiLmh0dHBzOi8vYnJhdm8uZXRvZGF5LmNvLmtyL3ZpZXcvYXRjX3ZpZXcvMTM2NzfSAQA?oc=5")</f>
        <v>https://news.google.com/rss/articles/CBMiLmh0dHBzOi8vYnJhdm8uZXRvZGF5LmNvLmtyL3ZpZXcvYXRjX3ZpZXcvMTM2NzfSAQA?oc=5</v>
      </c>
      <c r="C50" s="1" t="str">
        <f ca="1">IFERROR(__xludf.DUMMYFUNCTION("""COMPUTED_VALUE"""),"Fri, 01 Jul 2022 07:00:00 GMT")</f>
        <v>Fri, 01 Jul 2022 07:00:00 GMT</v>
      </c>
      <c r="D50" s="1" t="str">
        <f ca="1">IFERROR(__xludf.DUMMYFUNCTION("""COMPUTED_VALUE"""),"[노인혐오 기획] 온ㆍ오프라인 공간 속 노인을 향한 혐오의 시선들  브라보마이라이프")</f>
        <v>[노인혐오 기획] 온ㆍ오프라인 공간 속 노인을 향한 혐오의 시선들  브라보마이라이프</v>
      </c>
    </row>
    <row r="51" spans="1:4" ht="12.5" x14ac:dyDescent="0.25">
      <c r="A51" s="1" t="str">
        <f ca="1">IFERROR(__xludf.DUMMYFUNCTION("""COMPUTED_VALUE"""),"[칼럼] 노인에 대한 배려는 미래의 나에 대한 배려.. '초고령화 사회 ... - 컨슈머와이드")</f>
        <v>[칼럼] 노인에 대한 배려는 미래의 나에 대한 배려.. '초고령화 사회 ... - 컨슈머와이드</v>
      </c>
      <c r="B51" s="2" t="str">
        <f ca="1">IFERROR(__xludf.DUMMYFUNCTION("""COMPUTED_VALUE"""),"https://news.google.com/rss/articles/CBMiPWh0dHA6Ly93d3cuY29uc3VtZXJ3aWRlLmNvbS9uZXdzL2FydGljbGVWaWV3Lmh0bWw_aWR4bm89NTA0MzTSAQA?oc=5")</f>
        <v>https://news.google.com/rss/articles/CBMiPWh0dHA6Ly93d3cuY29uc3VtZXJ3aWRlLmNvbS9uZXdzL2FydGljbGVWaWV3Lmh0bWw_aWR4bm89NTA0MzTSAQA?oc=5</v>
      </c>
      <c r="C51" s="1" t="str">
        <f ca="1">IFERROR(__xludf.DUMMYFUNCTION("""COMPUTED_VALUE"""),"Fri, 14 Apr 2023 07:00:00 GMT")</f>
        <v>Fri, 14 Apr 2023 07:00:00 GMT</v>
      </c>
      <c r="D51" s="1" t="str">
        <f ca="1">IFERROR(__xludf.DUMMYFUNCTION("""COMPUTED_VALUE"""),"[칼럼] 노인에 대한 배려는 미래의 나에 대한 배려.. '초고령화 사회 ...  컨슈머와이드")</f>
        <v>[칼럼] 노인에 대한 배려는 미래의 나에 대한 배려.. '초고령화 사회 ...  컨슈머와이드</v>
      </c>
    </row>
    <row r="52" spans="1:4" ht="12.5" x14ac:dyDescent="0.25">
      <c r="A52" s="1" t="str">
        <f ca="1">IFERROR(__xludf.DUMMYFUNCTION("""COMPUTED_VALUE"""),"美 노인 10명 중 9명 연령차별 경험, 韓 노인은? - 브라보마이라이프")</f>
        <v>美 노인 10명 중 9명 연령차별 경험, 韓 노인은? - 브라보마이라이프</v>
      </c>
      <c r="B52" s="2" t="str">
        <f ca="1">IFERROR(__xludf.DUMMYFUNCTION("""COMPUTED_VALUE"""),"https://news.google.com/rss/articles/CBMiLmh0dHBzOi8vYnJhdm8uZXRvZGF5LmNvLmtyL3ZpZXcvYXRjX3ZpZXcvMTM2NTHSAQA?oc=5")</f>
        <v>https://news.google.com/rss/articles/CBMiLmh0dHBzOi8vYnJhdm8uZXRvZGF5LmNvLmtyL3ZpZXcvYXRjX3ZpZXcvMTM2NTHSAQA?oc=5</v>
      </c>
      <c r="C52" s="1" t="str">
        <f ca="1">IFERROR(__xludf.DUMMYFUNCTION("""COMPUTED_VALUE"""),"Mon, 20 Jun 2022 07:00:00 GMT")</f>
        <v>Mon, 20 Jun 2022 07:00:00 GMT</v>
      </c>
      <c r="D52" s="1" t="str">
        <f ca="1">IFERROR(__xludf.DUMMYFUNCTION("""COMPUTED_VALUE"""),"美 노인 10명 중 9명 연령차별 경험, 韓 노인은?  브라보마이라이프")</f>
        <v>美 노인 10명 중 9명 연령차별 경험, 韓 노인은?  브라보마이라이프</v>
      </c>
    </row>
    <row r="53" spans="1:4" ht="12.5" x14ac:dyDescent="0.25">
      <c r="A53" s="1" t="str">
        <f ca="1">IFERROR(__xludf.DUMMYFUNCTION("""COMPUTED_VALUE"""),"[노인혐오 기획] 어른다운 행동, 솔선수범이 답이다 - 브라보마이라이프")</f>
        <v>[노인혐오 기획] 어른다운 행동, 솔선수범이 답이다 - 브라보마이라이프</v>
      </c>
      <c r="B53" s="2" t="str">
        <f ca="1">IFERROR(__xludf.DUMMYFUNCTION("""COMPUTED_VALUE"""),"https://news.google.com/rss/articles/CBMiLmh0dHBzOi8vYnJhdm8uZXRvZGF5LmNvLmtyL3ZpZXcvYXRjX3ZpZXcvMTM3MDHSAQA?oc=5")</f>
        <v>https://news.google.com/rss/articles/CBMiLmh0dHBzOi8vYnJhdm8uZXRvZGF5LmNvLmtyL3ZpZXcvYXRjX3ZpZXcvMTM3MDHSAQA?oc=5</v>
      </c>
      <c r="C53" s="1" t="str">
        <f ca="1">IFERROR(__xludf.DUMMYFUNCTION("""COMPUTED_VALUE"""),"Thu, 07 Jul 2022 07:00:00 GMT")</f>
        <v>Thu, 07 Jul 2022 07:00:00 GMT</v>
      </c>
      <c r="D53" s="1" t="str">
        <f ca="1">IFERROR(__xludf.DUMMYFUNCTION("""COMPUTED_VALUE"""),"[노인혐오 기획] 어른다운 행동, 솔선수범이 답이다  브라보마이라이프")</f>
        <v>[노인혐오 기획] 어른다운 행동, 솔선수범이 답이다  브라보마이라이프</v>
      </c>
    </row>
    <row r="54" spans="1:4" ht="12.5" x14ac:dyDescent="0.25">
      <c r="A54" s="1" t="str">
        <f ca="1">IFERROR(__xludf.DUMMYFUNCTION("""COMPUTED_VALUE"""),"만병통치약' 아스피린, 이젠 당뇨도 막는다 [사이언스 브런치] - 네이트 뉴스")</f>
        <v>만병통치약' 아스피린, 이젠 당뇨도 막는다 [사이언스 브런치] - 네이트 뉴스</v>
      </c>
      <c r="B54" s="2" t="str">
        <f ca="1">IFERROR(__xludf.DUMMYFUNCTION("""COMPUTED_VALUE"""),"https://news.google.com/rss/articles/CBMiM2h0dHBzOi8vbmV3cy5uYXRlLmNvbS92aWV3LzIwMjMwOTAxbjE5MzEyP21pZD1uMTEwMdIBAA?oc=5")</f>
        <v>https://news.google.com/rss/articles/CBMiM2h0dHBzOi8vbmV3cy5uYXRlLmNvbS92aWV3LzIwMjMwOTAxbjE5MzEyP21pZD1uMTEwMdIBAA?oc=5</v>
      </c>
      <c r="C54" s="1" t="str">
        <f ca="1">IFERROR(__xludf.DUMMYFUNCTION("""COMPUTED_VALUE"""),"Fri, 01 Sep 2023 05:01:00 GMT")</f>
        <v>Fri, 01 Sep 2023 05:01:00 GMT</v>
      </c>
      <c r="D54" s="1" t="str">
        <f ca="1">IFERROR(__xludf.DUMMYFUNCTION("""COMPUTED_VALUE"""),"만병통치약' 아스피린, 이젠 당뇨도 막는다 [사이언스 브런치]  네이트 뉴스")</f>
        <v>만병통치약' 아스피린, 이젠 당뇨도 막는다 [사이언스 브런치]  네이트 뉴스</v>
      </c>
    </row>
    <row r="55" spans="1:4" ht="12.5" x14ac:dyDescent="0.25">
      <c r="A55" s="1" t="str">
        <f ca="1">IFERROR(__xludf.DUMMYFUNCTION("""COMPUTED_VALUE"""),"장애인 비하·노인 폄하…정치권 차별어 그만[반갑다 우리말] - 네이트 뉴스")</f>
        <v>장애인 비하·노인 폄하…정치권 차별어 그만[반갑다 우리말] - 네이트 뉴스</v>
      </c>
      <c r="B55" s="2" t="str">
        <f ca="1">IFERROR(__xludf.DUMMYFUNCTION("""COMPUTED_VALUE"""),"https://news.google.com/rss/articles/CBMiKWh0dHBzOi8vbmV3cy5uYXRlLmNvbS92aWV3LzIwMjMwODI0bjAyNTg00gEA?oc=5")</f>
        <v>https://news.google.com/rss/articles/CBMiKWh0dHBzOi8vbmV3cy5uYXRlLmNvbS92aWV3LzIwMjMwODI0bjAyNTg00gEA?oc=5</v>
      </c>
      <c r="C55" s="1" t="str">
        <f ca="1">IFERROR(__xludf.DUMMYFUNCTION("""COMPUTED_VALUE"""),"Wed, 23 Aug 2023 21:31:00 GMT")</f>
        <v>Wed, 23 Aug 2023 21:31:00 GMT</v>
      </c>
      <c r="D55" s="1" t="str">
        <f ca="1">IFERROR(__xludf.DUMMYFUNCTION("""COMPUTED_VALUE"""),"장애인 비하·노인 폄하…정치권 차별어 그만[반갑다 우리말]  네이트 뉴스")</f>
        <v>장애인 비하·노인 폄하…정치권 차별어 그만[반갑다 우리말]  네이트 뉴스</v>
      </c>
    </row>
    <row r="56" spans="1:4" ht="12.5" x14ac:dyDescent="0.25">
      <c r="A56" s="1" t="str">
        <f ca="1">IFERROR(__xludf.DUMMYFUNCTION("""COMPUTED_VALUE"""),"[공동논평] “국회는 인공지능 법률안에 대한 국가인권위원회 의견을 ... - 참여연대")</f>
        <v>[공동논평] “국회는 인공지능 법률안에 대한 국가인권위원회 의견을 ... - 참여연대</v>
      </c>
      <c r="B56" s="2" t="str">
        <f ca="1">IFERROR(__xludf.DUMMYFUNCTION("""COMPUTED_VALUE"""),"https://news.google.com/rss/articles/CBMiL2h0dHBzOi8vd3d3LnBlb3BsZXBvd2VyMjEub3JnL3B1YmxpY2xhdy8xOTQ2NDEz0gEA?oc=5")</f>
        <v>https://news.google.com/rss/articles/CBMiL2h0dHBzOi8vd3d3LnBlb3BsZXBvd2VyMjEub3JnL3B1YmxpY2xhdy8xOTQ2NDEz0gEA?oc=5</v>
      </c>
      <c r="C56" s="1" t="str">
        <f ca="1">IFERROR(__xludf.DUMMYFUNCTION("""COMPUTED_VALUE"""),"Wed, 30 Aug 2023 04:20:29 GMT")</f>
        <v>Wed, 30 Aug 2023 04:20:29 GMT</v>
      </c>
      <c r="D56" s="1" t="str">
        <f ca="1">IFERROR(__xludf.DUMMYFUNCTION("""COMPUTED_VALUE"""),"[공동논평] “국회는 인공지능 법률안에 대한 국가인권위원회 의견을 ...  참여연대")</f>
        <v>[공동논평] “국회는 인공지능 법률안에 대한 국가인권위원회 의견을 ...  참여연대</v>
      </c>
    </row>
    <row r="57" spans="1:4" ht="12.5" x14ac:dyDescent="0.25">
      <c r="A57" s="1" t="str">
        <f ca="1">IFERROR(__xludf.DUMMYFUNCTION("""COMPUTED_VALUE"""),"한국, 노인차별 OECD 15개국 중 두 번째…온라인 노인혐오표현 심각 - 투데이신문")</f>
        <v>한국, 노인차별 OECD 15개국 중 두 번째…온라인 노인혐오표현 심각 - 투데이신문</v>
      </c>
      <c r="B57" s="2" t="str">
        <f ca="1">IFERROR(__xludf.DUMMYFUNCTION("""COMPUTED_VALUE"""),"https://news.google.com/rss/articles/CBMiOmh0dHBzOi8vd3d3Lm50b2RheS5jby5rci9uZXdzL2FydGljbGVWaWV3Lmh0bWw_aWR4bm89NzgwNjjSAT1odHRwczovL3d3dy5udG9kYXkuY28ua3IvbmV3cy9hcnRpY2xlVmlld0FtcC5odG1sP2lkeG5vPTc4MDY4?oc=5")</f>
        <v>https://news.google.com/rss/articles/CBMiOmh0dHBzOi8vd3d3Lm50b2RheS5jby5rci9uZXdzL2FydGljbGVWaWV3Lmh0bWw_aWR4bm89NzgwNjjSAT1odHRwczovL3d3dy5udG9kYXkuY28ua3IvbmV3cy9hcnRpY2xlVmlld0FtcC5odG1sP2lkeG5vPTc4MDY4?oc=5</v>
      </c>
      <c r="C57" s="1" t="str">
        <f ca="1">IFERROR(__xludf.DUMMYFUNCTION("""COMPUTED_VALUE"""),"Wed, 07 Apr 2021 07:00:00 GMT")</f>
        <v>Wed, 07 Apr 2021 07:00:00 GMT</v>
      </c>
      <c r="D57" s="1" t="str">
        <f ca="1">IFERROR(__xludf.DUMMYFUNCTION("""COMPUTED_VALUE"""),"한국, 노인차별 OECD 15개국 중 두 번째…온라인 노인혐오표현 심각  투데이신문")</f>
        <v>한국, 노인차별 OECD 15개국 중 두 번째…온라인 노인혐오표현 심각  투데이신문</v>
      </c>
    </row>
    <row r="58" spans="1:4" ht="12.5" x14ac:dyDescent="0.25">
      <c r="A58" s="1" t="str">
        <f ca="1">IFERROR(__xludf.DUMMYFUNCTION("""COMPUTED_VALUE"""),"기후재난, '우리 모두 피해자이자 가해자'라는 집단착각 - 프레시안")</f>
        <v>기후재난, '우리 모두 피해자이자 가해자'라는 집단착각 - 프레시안</v>
      </c>
      <c r="B58" s="2" t="str">
        <f ca="1">IFERROR(__xludf.DUMMYFUNCTION("""COMPUTED_VALUE"""),"https://news.google.com/rss/articles/CBMiO2h0dHBzOi8vd3d3LnByZXNzaWFuLmNvbS9wYWdlcy9hcnRpY2xlcy8yMDIzMDkwMTA5NTUxODE3ODk40gEA?oc=5")</f>
        <v>https://news.google.com/rss/articles/CBMiO2h0dHBzOi8vd3d3LnByZXNzaWFuLmNvbS9wYWdlcy9hcnRpY2xlcy8yMDIzMDkwMTA5NTUxODE3ODk40gEA?oc=5</v>
      </c>
      <c r="C58" s="1" t="str">
        <f ca="1">IFERROR(__xludf.DUMMYFUNCTION("""COMPUTED_VALUE"""),"Fri, 01 Sep 2023 00:55:18 GMT")</f>
        <v>Fri, 01 Sep 2023 00:55:18 GMT</v>
      </c>
      <c r="D58" s="1" t="str">
        <f ca="1">IFERROR(__xludf.DUMMYFUNCTION("""COMPUTED_VALUE"""),"기후재난, '우리 모두 피해자이자 가해자'라는 집단착각  프레시안")</f>
        <v>기후재난, '우리 모두 피해자이자 가해자'라는 집단착각  프레시안</v>
      </c>
    </row>
    <row r="59" spans="1:4" ht="12.5" x14ac:dyDescent="0.25">
      <c r="A59" s="1" t="str">
        <f ca="1">IFERROR(__xludf.DUMMYFUNCTION("""COMPUTED_VALUE"""),"끝이 안 보이는 정치적 시니어 비하 - 경북매일신문")</f>
        <v>끝이 안 보이는 정치적 시니어 비하 - 경북매일신문</v>
      </c>
      <c r="B59" s="2" t="str">
        <f ca="1">IFERROR(__xludf.DUMMYFUNCTION("""COMPUTED_VALUE"""),"https://news.google.com/rss/articles/CBMiOmh0dHBzOi8vd3d3LmtibWFlaWwuY29tL25ld3MvYXJ0aWNsZVZpZXcuaHRtbD9pZHhubz05NjY0MznSAQA?oc=5")</f>
        <v>https://news.google.com/rss/articles/CBMiOmh0dHBzOi8vd3d3LmtibWFlaWwuY29tL25ld3MvYXJ0aWNsZVZpZXcuaHRtbD9pZHhubz05NjY0MznSAQA?oc=5</v>
      </c>
      <c r="C59" s="1" t="str">
        <f ca="1">IFERROR(__xludf.DUMMYFUNCTION("""COMPUTED_VALUE"""),"Sun, 13 Aug 2023 07:00:00 GMT")</f>
        <v>Sun, 13 Aug 2023 07:00:00 GMT</v>
      </c>
      <c r="D59" s="1" t="str">
        <f ca="1">IFERROR(__xludf.DUMMYFUNCTION("""COMPUTED_VALUE"""),"끝이 안 보이는 정치적 시니어 비하  경북매일신문")</f>
        <v>끝이 안 보이는 정치적 시니어 비하  경북매일신문</v>
      </c>
    </row>
    <row r="60" spans="1:4" ht="12.5" x14ac:dyDescent="0.25">
      <c r="A60" s="1" t="str">
        <f ca="1">IFERROR(__xludf.DUMMYFUNCTION("""COMPUTED_VALUE"""),"‘연금충’ ‘할매미’…노인혐오 바이러스 확산 - 데일리굿뉴스")</f>
        <v>‘연금충’ ‘할매미’…노인혐오 바이러스 확산 - 데일리굿뉴스</v>
      </c>
      <c r="B60" s="2" t="str">
        <f ca="1">IFERROR(__xludf.DUMMYFUNCTION("""COMPUTED_VALUE"""),"https://news.google.com/rss/articles/CBMiO2h0dHBzOi8vd3d3Lmdvb2RuZXdzMS5jb20vbmV3cy9hcnRpY2xlVmlldy5odG1sP2lkeG5vPTk5NzI50gE-aHR0cHM6Ly93d3cuZ29vZG5ld3MxLmNvbS9uZXdzL2FydGljbGVWaWV3QW1wLmh0bWw_aWR4bm89OTk3Mjk?oc=5")</f>
        <v>https://news.google.com/rss/articles/CBMiO2h0dHBzOi8vd3d3Lmdvb2RuZXdzMS5jb20vbmV3cy9hcnRpY2xlVmlldy5odG1sP2lkeG5vPTk5NzI50gE-aHR0cHM6Ly93d3cuZ29vZG5ld3MxLmNvbS9uZXdzL2FydGljbGVWaWV3QW1wLmh0bWw_aWR4bm89OTk3Mjk?oc=5</v>
      </c>
      <c r="C60" s="1" t="str">
        <f ca="1">IFERROR(__xludf.DUMMYFUNCTION("""COMPUTED_VALUE"""),"Thu, 18 Jun 2020 07:00:00 GMT")</f>
        <v>Thu, 18 Jun 2020 07:00:00 GMT</v>
      </c>
      <c r="D60" s="1" t="str">
        <f ca="1">IFERROR(__xludf.DUMMYFUNCTION("""COMPUTED_VALUE"""),"‘연금충’ ‘할매미’…노인혐오 바이러스 확산  데일리굿뉴스")</f>
        <v>‘연금충’ ‘할매미’…노인혐오 바이러스 확산  데일리굿뉴스</v>
      </c>
    </row>
    <row r="61" spans="1:4" ht="12.5" x14ac:dyDescent="0.25">
      <c r="A61" s="1" t="str">
        <f ca="1">IFERROR(__xludf.DUMMYFUNCTION("""COMPUTED_VALUE"""),"[노인돌봄, 지역사회가 열쇠다⑥] 지역 특성 이용 고령친화 실천하는 칠레 - 브라보마이라이프")</f>
        <v>[노인돌봄, 지역사회가 열쇠다⑥] 지역 특성 이용 고령친화 실천하는 칠레 - 브라보마이라이프</v>
      </c>
      <c r="B61" s="2" t="str">
        <f ca="1">IFERROR(__xludf.DUMMYFUNCTION("""COMPUTED_VALUE"""),"https://news.google.com/rss/articles/CBMiLmh0dHBzOi8vYnJhdm8uZXRvZGF5LmNvLmtyL3ZpZXcvYXRjX3ZpZXcvMTQ0MDjSAQA?oc=5")</f>
        <v>https://news.google.com/rss/articles/CBMiLmh0dHBzOi8vYnJhdm8uZXRvZGF5LmNvLmtyL3ZpZXcvYXRjX3ZpZXcvMTQ0MDjSAQA?oc=5</v>
      </c>
      <c r="C61" s="1" t="str">
        <f ca="1">IFERROR(__xludf.DUMMYFUNCTION("""COMPUTED_VALUE"""),"Fri, 10 Mar 2023 08:00:00 GMT")</f>
        <v>Fri, 10 Mar 2023 08:00:00 GMT</v>
      </c>
      <c r="D61" s="1" t="str">
        <f ca="1">IFERROR(__xludf.DUMMYFUNCTION("""COMPUTED_VALUE"""),"[노인돌봄, 지역사회가 열쇠다⑥] 지역 특성 이용 고령친화 실천하는 칠레  브라보마이라이프")</f>
        <v>[노인돌봄, 지역사회가 열쇠다⑥] 지역 특성 이용 고령친화 실천하는 칠레  브라보마이라이프</v>
      </c>
    </row>
    <row r="62" spans="1:4" ht="12.5" x14ac:dyDescent="0.25">
      <c r="A62" s="1" t="str">
        <f ca="1">IFERROR(__xludf.DUMMYFUNCTION("""COMPUTED_VALUE"""),"“노인, 집단자살해라” 발언하고 예능 출연? 예일대 日교수의 해명 [여기는 일본] - 나우뉴스")</f>
        <v>“노인, 집단자살해라” 발언하고 예능 출연? 예일대 日교수의 해명 [여기는 일본] - 나우뉴스</v>
      </c>
      <c r="B62" s="2" t="str">
        <f ca="1">IFERROR(__xludf.DUMMYFUNCTION("""COMPUTED_VALUE"""),"https://news.google.com/rss/articles/CBMiP2h0dHBzOi8vbm93bmV3cy5zZW91bC5jby5rci9uZXdzL25ld3NWaWV3LnBocD9pZD0yMDIzMDIxNDYwMTAxNtIBLmh0dHBzOi8vYW1wLnNlb3VsLmNvLmtyL25vd25ld3MvMjAyMzAyMTQ2MDEwMTY?oc=5")</f>
        <v>https://news.google.com/rss/articles/CBMiP2h0dHBzOi8vbm93bmV3cy5zZW91bC5jby5rci9uZXdzL25ld3NWaWV3LnBocD9pZD0yMDIzMDIxNDYwMTAxNtIBLmh0dHBzOi8vYW1wLnNlb3VsLmNvLmtyL25vd25ld3MvMjAyMzAyMTQ2MDEwMTY?oc=5</v>
      </c>
      <c r="C62" s="1" t="str">
        <f ca="1">IFERROR(__xludf.DUMMYFUNCTION("""COMPUTED_VALUE"""),"Tue, 14 Feb 2023 08:00:00 GMT")</f>
        <v>Tue, 14 Feb 2023 08:00:00 GMT</v>
      </c>
      <c r="D62" s="1" t="str">
        <f ca="1">IFERROR(__xludf.DUMMYFUNCTION("""COMPUTED_VALUE"""),"“노인, 집단자살해라” 발언하고 예능 출연? 예일대 日교수의 해명 [여기는 일본]  나우뉴스")</f>
        <v>“노인, 집단자살해라” 발언하고 예능 출연? 예일대 日교수의 해명 [여기는 일본]  나우뉴스</v>
      </c>
    </row>
    <row r="63" spans="1:4" ht="12.5" x14ac:dyDescent="0.25">
      <c r="A63" s="1" t="str">
        <f ca="1">IFERROR(__xludf.DUMMYFUNCTION("""COMPUTED_VALUE"""),"[백세인생] 노인대상 범죄 심각…10대도 혐오표현 경험 - 일코노미뉴스")</f>
        <v>[백세인생] 노인대상 범죄 심각…10대도 혐오표현 경험 - 일코노미뉴스</v>
      </c>
      <c r="B63" s="2" t="str">
        <f ca="1">IFERROR(__xludf.DUMMYFUNCTION("""COMPUTED_VALUE"""),"https://news.google.com/rss/articles/CBMiPmh0dHA6Ly93d3cuMWNvbm9teW5ld3MuY28ua3IvbmV3cy9hcnRpY2xlVmlldy5odG1sP2lkeG5vPTE0MDk10gFBaHR0cDovL3d3dy4xY29ub215bmV3cy5jby5rci9uZXdzL2FydGljbGVWaWV3QW1wLmh0bWw_aWR4bm89MTQwOTU?oc=5")</f>
        <v>https://news.google.com/rss/articles/CBMiPmh0dHA6Ly93d3cuMWNvbm9teW5ld3MuY28ua3IvbmV3cy9hcnRpY2xlVmlldy5odG1sP2lkeG5vPTE0MDk10gFBaHR0cDovL3d3dy4xY29ub215bmV3cy5jby5rci9uZXdzL2FydGljbGVWaWV3QW1wLmh0bWw_aWR4bm89MTQwOTU?oc=5</v>
      </c>
      <c r="C63" s="1" t="str">
        <f ca="1">IFERROR(__xludf.DUMMYFUNCTION("""COMPUTED_VALUE"""),"Fri, 14 May 2021 07:00:00 GMT")</f>
        <v>Fri, 14 May 2021 07:00:00 GMT</v>
      </c>
      <c r="D63" s="1" t="str">
        <f ca="1">IFERROR(__xludf.DUMMYFUNCTION("""COMPUTED_VALUE"""),"[백세인생] 노인대상 범죄 심각…10대도 혐오표현 경험  일코노미뉴스")</f>
        <v>[백세인생] 노인대상 범죄 심각…10대도 혐오표현 경험  일코노미뉴스</v>
      </c>
    </row>
    <row r="64" spans="1:4" ht="12.5" x14ac:dyDescent="0.25">
      <c r="A64" s="1" t="str">
        <f ca="1">IFERROR(__xludf.DUMMYFUNCTION("""COMPUTED_VALUE"""),"플랜75 - 제주新보")</f>
        <v>플랜75 - 제주新보</v>
      </c>
      <c r="B64" s="2" t="str">
        <f ca="1">IFERROR(__xludf.DUMMYFUNCTION("""COMPUTED_VALUE"""),"https://news.google.com/rss/articles/CBMiPGh0dHBzOi8vd3d3LmplanVuZXdzLmNvbS9uZXdzL2FydGljbGVWaWV3Lmh0bWw_aWR4bm89MjIwMjAyMNIBAA?oc=5")</f>
        <v>https://news.google.com/rss/articles/CBMiPGh0dHBzOi8vd3d3LmplanVuZXdzLmNvbS9uZXdzL2FydGljbGVWaWV3Lmh0bWw_aWR4bm89MjIwMjAyMNIBAA?oc=5</v>
      </c>
      <c r="C64" s="1" t="str">
        <f ca="1">IFERROR(__xludf.DUMMYFUNCTION("""COMPUTED_VALUE"""),"Tue, 11 Apr 2023 07:00:00 GMT")</f>
        <v>Tue, 11 Apr 2023 07:00:00 GMT</v>
      </c>
      <c r="D64" s="1" t="str">
        <f ca="1">IFERROR(__xludf.DUMMYFUNCTION("""COMPUTED_VALUE"""),"플랜75  제주新보")</f>
        <v>플랜75  제주新보</v>
      </c>
    </row>
    <row r="65" spans="1:4" ht="12.5" x14ac:dyDescent="0.25">
      <c r="A65" s="1" t="str">
        <f ca="1">IFERROR(__xludf.DUMMYFUNCTION("""COMPUTED_VALUE"""),"[노인돌봄, 지역사회가 열쇠다⑦] 활동적 노후 위해 온‧오프라인 생활 ... - 브라보마이라이프")</f>
        <v>[노인돌봄, 지역사회가 열쇠다⑦] 활동적 노후 위해 온‧오프라인 생활 ... - 브라보마이라이프</v>
      </c>
      <c r="B65" s="2" t="str">
        <f ca="1">IFERROR(__xludf.DUMMYFUNCTION("""COMPUTED_VALUE"""),"https://news.google.com/rss/articles/CBMiLmh0dHBzOi8vYnJhdm8uZXRvZGF5LmNvLmtyL3ZpZXcvYXRjX3ZpZXcvMTQ1MDTSAQA?oc=5")</f>
        <v>https://news.google.com/rss/articles/CBMiLmh0dHBzOi8vYnJhdm8uZXRvZGF5LmNvLmtyL3ZpZXcvYXRjX3ZpZXcvMTQ1MDTSAQA?oc=5</v>
      </c>
      <c r="C65" s="1" t="str">
        <f ca="1">IFERROR(__xludf.DUMMYFUNCTION("""COMPUTED_VALUE"""),"Tue, 02 May 2023 07:00:00 GMT")</f>
        <v>Tue, 02 May 2023 07:00:00 GMT</v>
      </c>
      <c r="D65" s="1" t="str">
        <f ca="1">IFERROR(__xludf.DUMMYFUNCTION("""COMPUTED_VALUE"""),"[노인돌봄, 지역사회가 열쇠다⑦] 활동적 노후 위해 온‧오프라인 생활 ...  브라보마이라이프")</f>
        <v>[노인돌봄, 지역사회가 열쇠다⑦] 활동적 노후 위해 온‧오프라인 생활 ...  브라보마이라이프</v>
      </c>
    </row>
    <row r="66" spans="1:4" ht="12.5" x14ac:dyDescent="0.25">
      <c r="A66" s="1" t="str">
        <f ca="1">IFERROR(__xludf.DUMMYFUNCTION("""COMPUTED_VALUE"""),"86세 노인에 쏟아진 끔찍한 댓글... 그 결말이 두렵다 - 오마이뉴스")</f>
        <v>86세 노인에 쏟아진 끔찍한 댓글... 그 결말이 두렵다 - 오마이뉴스</v>
      </c>
      <c r="B66" s="2" t="str">
        <f ca="1">IFERROR(__xludf.DUMMYFUNCTION("""COMPUTED_VALUE"""),"https://news.google.com/rss/articles/CBMiRGh0dHBzOi8vd3d3Lm9obXluZXdzLmNvbS9OV1NfV2ViL1ZpZXcvYXRfcGcuYXNweD9DTlROX0NEPUEwMDAyNzc0NDQ40gFCaHR0cHM6Ly9tLm9obXluZXdzLmNvbS9OV1NfV2ViL01vYmlsZS9hbXAuYXNweD9DTlROX0NEPUEwMDAyNzc0NDQ4?oc=5")</f>
        <v>https://news.google.com/rss/articles/CBMiRGh0dHBzOi8vd3d3Lm9obXluZXdzLmNvbS9OV1NfV2ViL1ZpZXcvYXRfcGcuYXNweD9DTlROX0NEPUEwMDAyNzc0NDQ40gFCaHR0cHM6Ly9tLm9obXluZXdzLmNvbS9OV1NfV2ViL01vYmlsZS9hbXAuYXNweD9DTlROX0NEPUEwMDAyNzc0NDQ4?oc=5</v>
      </c>
      <c r="C66" s="1" t="str">
        <f ca="1">IFERROR(__xludf.DUMMYFUNCTION("""COMPUTED_VALUE"""),"Thu, 23 Sep 2021 07:00:00 GMT")</f>
        <v>Thu, 23 Sep 2021 07:00:00 GMT</v>
      </c>
      <c r="D66" s="1" t="str">
        <f ca="1">IFERROR(__xludf.DUMMYFUNCTION("""COMPUTED_VALUE"""),"86세 노인에 쏟아진 끔찍한 댓글... 그 결말이 두렵다  오마이뉴스")</f>
        <v>86세 노인에 쏟아진 끔찍한 댓글... 그 결말이 두렵다  오마이뉴스</v>
      </c>
    </row>
    <row r="67" spans="1:4" ht="12.5" x14ac:dyDescent="0.25">
      <c r="A67" s="1" t="str">
        <f ca="1">IFERROR(__xludf.DUMMYFUNCTION("""COMPUTED_VALUE"""),"답답하고 무례한 실버세대? 편견 깨는 사랑스러운 주인공들 - 한국일보")</f>
        <v>답답하고 무례한 실버세대? 편견 깨는 사랑스러운 주인공들 - 한국일보</v>
      </c>
      <c r="B67" s="2" t="str">
        <f ca="1">IFERROR(__xludf.DUMMYFUNCTION("""COMPUTED_VALUE"""),"https://news.google.com/rss/articles/CBMiOGh0dHBzOi8vbS5oYW5rb29raWxiby5jb20vTmV3cy9SZWFkL0EyMDIzMDEwMzA5NTIwMDAyMTQy0gEA?oc=5")</f>
        <v>https://news.google.com/rss/articles/CBMiOGh0dHBzOi8vbS5oYW5rb29raWxiby5jb20vTmV3cy9SZWFkL0EyMDIzMDEwMzA5NTIwMDAyMTQy0gEA?oc=5</v>
      </c>
      <c r="C67" s="1" t="str">
        <f ca="1">IFERROR(__xludf.DUMMYFUNCTION("""COMPUTED_VALUE"""),"Fri, 06 Jan 2023 08:00:00 GMT")</f>
        <v>Fri, 06 Jan 2023 08:00:00 GMT</v>
      </c>
      <c r="D67" s="1" t="str">
        <f ca="1">IFERROR(__xludf.DUMMYFUNCTION("""COMPUTED_VALUE"""),"답답하고 무례한 실버세대? 편견 깨는 사랑스러운 주인공들  한국일보")</f>
        <v>답답하고 무례한 실버세대? 편견 깨는 사랑스러운 주인공들  한국일보</v>
      </c>
    </row>
    <row r="68" spans="1:4" ht="12.5" x14ac:dyDescent="0.25">
      <c r="A68" s="1" t="str">
        <f ca="1">IFERROR(__xludf.DUMMYFUNCTION("""COMPUTED_VALUE"""),"한국, 노인차별 OECD 15개국 중 2위…혐오에 멍드는 황혼 - 동아일보")</f>
        <v>한국, 노인차별 OECD 15개국 중 2위…혐오에 멍드는 황혼 - 동아일보</v>
      </c>
      <c r="B68" s="2" t="str">
        <f ca="1">IFERROR(__xludf.DUMMYFUNCTION("""COMPUTED_VALUE"""),"https://news.google.com/rss/articles/CBMiQ2h0dHBzOi8vd3d3LmRvbmdhLmNvbS9uZXdzL1NvY2lldHkvYXJ0aWNsZS9hbGwvMjAyMTA0MDcvMTA2Mjg3NDkwLzHSATdodHRwczovL3d3dy5kb25nYS5jb20vbmV3cy9hbXAvYWxsLzIwMjEwNDA3LzEwNjI4NzQ5MC8x?oc=5")</f>
        <v>https://news.google.com/rss/articles/CBMiQ2h0dHBzOi8vd3d3LmRvbmdhLmNvbS9uZXdzL1NvY2lldHkvYXJ0aWNsZS9hbGwvMjAyMTA0MDcvMTA2Mjg3NDkwLzHSATdodHRwczovL3d3dy5kb25nYS5jb20vbmV3cy9hbXAvYWxsLzIwMjEwNDA3LzEwNjI4NzQ5MC8x?oc=5</v>
      </c>
      <c r="C68" s="1" t="str">
        <f ca="1">IFERROR(__xludf.DUMMYFUNCTION("""COMPUTED_VALUE"""),"Wed, 07 Apr 2021 07:00:00 GMT")</f>
        <v>Wed, 07 Apr 2021 07:00:00 GMT</v>
      </c>
      <c r="D68" s="1" t="str">
        <f ca="1">IFERROR(__xludf.DUMMYFUNCTION("""COMPUTED_VALUE"""),"한국, 노인차별 OECD 15개국 중 2위…혐오에 멍드는 황혼  동아일보")</f>
        <v>한국, 노인차별 OECD 15개국 중 2위…혐오에 멍드는 황혼  동아일보</v>
      </c>
    </row>
    <row r="69" spans="1:4" ht="12.5" x14ac:dyDescent="0.25">
      <c r="A69" s="1" t="str">
        <f ca="1">IFERROR(__xludf.DUMMYFUNCTION("""COMPUTED_VALUE"""),"[노인돌봄, 지역사회가 열쇠다③] “치매 노인과 공생” 고령친화사회 ... - 브라보마이라이프")</f>
        <v>[노인돌봄, 지역사회가 열쇠다③] “치매 노인과 공생” 고령친화사회 ... - 브라보마이라이프</v>
      </c>
      <c r="B69" s="2" t="str">
        <f ca="1">IFERROR(__xludf.DUMMYFUNCTION("""COMPUTED_VALUE"""),"https://news.google.com/rss/articles/CBMiLmh0dHBzOi8vYnJhdm8uZXRvZGF5LmNvLmtyL3ZpZXcvYXRjX3ZpZXcvMTQzMzPSAQA?oc=5")</f>
        <v>https://news.google.com/rss/articles/CBMiLmh0dHBzOi8vYnJhdm8uZXRvZGF5LmNvLmtyL3ZpZXcvYXRjX3ZpZXcvMTQzMzPSAQA?oc=5</v>
      </c>
      <c r="C69" s="1" t="str">
        <f ca="1">IFERROR(__xludf.DUMMYFUNCTION("""COMPUTED_VALUE"""),"Fri, 03 Feb 2023 08:00:00 GMT")</f>
        <v>Fri, 03 Feb 2023 08:00:00 GMT</v>
      </c>
      <c r="D69" s="1" t="str">
        <f ca="1">IFERROR(__xludf.DUMMYFUNCTION("""COMPUTED_VALUE"""),"[노인돌봄, 지역사회가 열쇠다③] “치매 노인과 공생” 고령친화사회 ...  브라보마이라이프")</f>
        <v>[노인돌봄, 지역사회가 열쇠다③] “치매 노인과 공생” 고령친화사회 ...  브라보마이라이프</v>
      </c>
    </row>
    <row r="70" spans="1:4" ht="12.5" x14ac:dyDescent="0.25">
      <c r="A70" s="1" t="str">
        <f ca="1">IFERROR(__xludf.DUMMYFUNCTION("""COMPUTED_VALUE"""),"노인 혐오 사회 위태로운 황혼… 윤여정에게 꼭 배워야할 것 - 조선일보")</f>
        <v>노인 혐오 사회 위태로운 황혼… 윤여정에게 꼭 배워야할 것 - 조선일보</v>
      </c>
      <c r="B70" s="2" t="str">
        <f ca="1">IFERROR(__xludf.DUMMYFUNCTION("""COMPUTED_VALUE"""),"https://news.google.com/rss/articles/CBMiV2h0dHBzOi8vd3d3LmNob3N1bi5jb20vbmF0aW9uYWwvbmF0aW9uYWxfZ2VuZXJhbC8yMDIxLzA1LzA5L0tHUEFIWVFQS0JBWDNNQ1FZTTQyVE5UVEpJL9IBZmh0dHBzOi8vd3d3LmNob3N1bi5jb20vbmF0aW9uYWwvbmF0aW9uYWxfZ2VuZXJhbC8yMDIxLzA1LzA5L0tHUEFIWVFQS0"&amp;"JBWDNNQ1FZTTQyVE5UVEpJLz9vdXRwdXRUeXBlPWFtcA?oc=5")</f>
        <v>https://news.google.com/rss/articles/CBMiV2h0dHBzOi8vd3d3LmNob3N1bi5jb20vbmF0aW9uYWwvbmF0aW9uYWxfZ2VuZXJhbC8yMDIxLzA1LzA5L0tHUEFIWVFQS0JBWDNNQ1FZTTQyVE5UVEpJL9IBZmh0dHBzOi8vd3d3LmNob3N1bi5jb20vbmF0aW9uYWwvbmF0aW9uYWxfZ2VuZXJhbC8yMDIxLzA1LzA5L0tHUEFIWVFQS0JBWDNNQ1FZTTQyVE5UVEpJLz9vdXRwdXRUeXBlPWFtcA?oc=5</v>
      </c>
      <c r="C70" s="1" t="str">
        <f ca="1">IFERROR(__xludf.DUMMYFUNCTION("""COMPUTED_VALUE"""),"Sun, 09 May 2021 07:00:00 GMT")</f>
        <v>Sun, 09 May 2021 07:00:00 GMT</v>
      </c>
      <c r="D70" s="1" t="str">
        <f ca="1">IFERROR(__xludf.DUMMYFUNCTION("""COMPUTED_VALUE"""),"노인 혐오 사회 위태로운 황혼… 윤여정에게 꼭 배워야할 것  조선일보")</f>
        <v>노인 혐오 사회 위태로운 황혼… 윤여정에게 꼭 배워야할 것  조선일보</v>
      </c>
    </row>
    <row r="71" spans="1:4" ht="12.5" x14ac:dyDescent="0.25">
      <c r="A71" s="1" t="str">
        <f ca="1">IFERROR(__xludf.DUMMYFUNCTION("""COMPUTED_VALUE"""),"인권위 조사, 디지털혐오 1위 노인…치매인식개선 장벽? - 디멘시아뉴스")</f>
        <v>인권위 조사, 디지털혐오 1위 노인…치매인식개선 장벽? - 디멘시아뉴스</v>
      </c>
      <c r="B71" s="2" t="str">
        <f ca="1">IFERROR(__xludf.DUMMYFUNCTION("""COMPUTED_VALUE"""),"https://news.google.com/rss/articles/CBMiP2h0dHBzOi8vd3d3LmRlbWVudGlhbmV3cy5jby5rci9uZXdzL2FydGljbGVWaWV3Lmh0bWw_aWR4bm89NDI4NdIBAA?oc=5")</f>
        <v>https://news.google.com/rss/articles/CBMiP2h0dHBzOi8vd3d3LmRlbWVudGlhbmV3cy5jby5rci9uZXdzL2FydGljbGVWaWV3Lmh0bWw_aWR4bm89NDI4NdIBAA?oc=5</v>
      </c>
      <c r="C71" s="1" t="str">
        <f ca="1">IFERROR(__xludf.DUMMYFUNCTION("""COMPUTED_VALUE"""),"Fri, 24 Sep 2021 07:00:00 GMT")</f>
        <v>Fri, 24 Sep 2021 07:00:00 GMT</v>
      </c>
      <c r="D71" s="1" t="str">
        <f ca="1">IFERROR(__xludf.DUMMYFUNCTION("""COMPUTED_VALUE"""),"인권위 조사, 디지털혐오 1위 노인…치매인식개선 장벽?  디멘시아뉴스")</f>
        <v>인권위 조사, 디지털혐오 1위 노인…치매인식개선 장벽?  디멘시아뉴스</v>
      </c>
    </row>
    <row r="72" spans="1:4" ht="12.5" x14ac:dyDescent="0.25">
      <c r="A72" s="1" t="str">
        <f ca="1">IFERROR(__xludf.DUMMYFUNCTION("""COMPUTED_VALUE"""),"치매 극복 위한 치매인식 개선…노인 혐오 해소부터 - 디멘시아뉴스")</f>
        <v>치매 극복 위한 치매인식 개선…노인 혐오 해소부터 - 디멘시아뉴스</v>
      </c>
      <c r="B72" s="2" t="str">
        <f ca="1">IFERROR(__xludf.DUMMYFUNCTION("""COMPUTED_VALUE"""),"https://news.google.com/rss/articles/CBMiP2h0dHBzOi8vd3d3LmRlbWVudGlhbmV3cy5jby5rci9uZXdzL2FydGljbGVWaWV3Lmh0bWw_aWR4bm89MjQ0MtIBAA?oc=5")</f>
        <v>https://news.google.com/rss/articles/CBMiP2h0dHBzOi8vd3d3LmRlbWVudGlhbmV3cy5jby5rci9uZXdzL2FydGljbGVWaWV3Lmh0bWw_aWR4bm89MjQ0MtIBAA?oc=5</v>
      </c>
      <c r="C72" s="1" t="str">
        <f ca="1">IFERROR(__xludf.DUMMYFUNCTION("""COMPUTED_VALUE"""),"Tue, 28 Jan 2020 08:00:00 GMT")</f>
        <v>Tue, 28 Jan 2020 08:00:00 GMT</v>
      </c>
      <c r="D72" s="1" t="str">
        <f ca="1">IFERROR(__xludf.DUMMYFUNCTION("""COMPUTED_VALUE"""),"치매 극복 위한 치매인식 개선…노인 혐오 해소부터  디멘시아뉴스")</f>
        <v>치매 극복 위한 치매인식 개선…노인 혐오 해소부터  디멘시아뉴스</v>
      </c>
    </row>
    <row r="73" spans="1:4" ht="12.5" x14ac:dyDescent="0.25">
      <c r="A73" s="1" t="str">
        <f ca="1">IFERROR(__xludf.DUMMYFUNCTION("""COMPUTED_VALUE"""),"[인터뷰] 자꾸 만나다보면 사랑하게 된다, 노년들을 - 여성신문")</f>
        <v>[인터뷰] 자꾸 만나다보면 사랑하게 된다, 노년들을 - 여성신문</v>
      </c>
      <c r="B73" s="2" t="str">
        <f ca="1">IFERROR(__xludf.DUMMYFUNCTION("""COMPUTED_VALUE"""),"https://news.google.com/rss/articles/CBMiPmh0dHBzOi8vd3d3LndvbWVubmV3cy5jby5rci9uZXdzL2FydGljbGVWaWV3Lmh0bWw_aWR4bm89MjM2NTAw0gEA?oc=5")</f>
        <v>https://news.google.com/rss/articles/CBMiPmh0dHBzOi8vd3d3LndvbWVubmV3cy5jby5rci9uZXdzL2FydGljbGVWaWV3Lmh0bWw_aWR4bm89MjM2NTAw0gEA?oc=5</v>
      </c>
      <c r="C73" s="1" t="str">
        <f ca="1">IFERROR(__xludf.DUMMYFUNCTION("""COMPUTED_VALUE"""),"Wed, 24 May 2023 07:00:00 GMT")</f>
        <v>Wed, 24 May 2023 07:00:00 GMT</v>
      </c>
      <c r="D73" s="1" t="str">
        <f ca="1">IFERROR(__xludf.DUMMYFUNCTION("""COMPUTED_VALUE"""),"[인터뷰] 자꾸 만나다보면 사랑하게 된다, 노년들을  여성신문")</f>
        <v>[인터뷰] 자꾸 만나다보면 사랑하게 된다, 노년들을  여성신문</v>
      </c>
    </row>
    <row r="74" spans="1:4" ht="12.5" x14ac:dyDescent="0.25">
      <c r="A74" s="1" t="str">
        <f ca="1">IFERROR(__xludf.DUMMYFUNCTION("""COMPUTED_VALUE"""),"노인탓·젊은이탓 혐오만, 대중교통 요금 해법은 어디에? [탐사보도 ... - 연합뉴스TV")</f>
        <v>노인탓·젊은이탓 혐오만, 대중교통 요금 해법은 어디에? [탐사보도 ... - 연합뉴스TV</v>
      </c>
      <c r="B74" s="2" t="str">
        <f ca="1">IFERROR(__xludf.DUMMYFUNCTION("""COMPUTED_VALUE"""),"https://news.google.com/rss/articles/CBMiNmh0dHBzOi8vbS55b25oYXBuZXdzdHYuY28ua3IvbmV3cy9NWUgyMDIzMDIyNDAxNDAwMDY0MdIBAA?oc=5")</f>
        <v>https://news.google.com/rss/articles/CBMiNmh0dHBzOi8vbS55b25oYXBuZXdzdHYuY28ua3IvbmV3cy9NWUgyMDIzMDIyNDAxNDAwMDY0MdIBAA?oc=5</v>
      </c>
      <c r="C74" s="1" t="str">
        <f ca="1">IFERROR(__xludf.DUMMYFUNCTION("""COMPUTED_VALUE"""),"Sat, 25 Feb 2023 08:00:00 GMT")</f>
        <v>Sat, 25 Feb 2023 08:00:00 GMT</v>
      </c>
      <c r="D74" s="1" t="str">
        <f ca="1">IFERROR(__xludf.DUMMYFUNCTION("""COMPUTED_VALUE"""),"노인탓·젊은이탓 혐오만, 대중교통 요금 해법은 어디에? [탐사보도 ...  연합뉴스TV")</f>
        <v>노인탓·젊은이탓 혐오만, 대중교통 요금 해법은 어디에? [탐사보도 ...  연합뉴스TV</v>
      </c>
    </row>
    <row r="75" spans="1:4" ht="12.5" x14ac:dyDescent="0.25">
      <c r="A75" s="1" t="str">
        <f ca="1">IFERROR(__xludf.DUMMYFUNCTION("""COMPUTED_VALUE"""),"“고령화 사회, 부양 의무 부담으로 노인혐오 심화” - 대한데일리")</f>
        <v>“고령화 사회, 부양 의무 부담으로 노인혐오 심화” - 대한데일리</v>
      </c>
      <c r="B75" s="2" t="str">
        <f ca="1">IFERROR(__xludf.DUMMYFUNCTION("""COMPUTED_VALUE"""),"https://news.google.com/rss/articles/CBMiOmh0dHBzOi8vd3d3LmRoZGFpbHkuY28ua3IvbmV3cy9hcnRpY2xlVmlldy5odG1sP2lkeG5vPTI4ODHSAQA?oc=5")</f>
        <v>https://news.google.com/rss/articles/CBMiOmh0dHBzOi8vd3d3LmRoZGFpbHkuY28ua3IvbmV3cy9hcnRpY2xlVmlldy5odG1sP2lkeG5vPTI4ODHSAQA?oc=5</v>
      </c>
      <c r="C75" s="1" t="str">
        <f ca="1">IFERROR(__xludf.DUMMYFUNCTION("""COMPUTED_VALUE"""),"Wed, 15 Jan 2020 08:00:00 GMT")</f>
        <v>Wed, 15 Jan 2020 08:00:00 GMT</v>
      </c>
      <c r="D75" s="1" t="str">
        <f ca="1">IFERROR(__xludf.DUMMYFUNCTION("""COMPUTED_VALUE"""),"“고령화 사회, 부양 의무 부담으로 노인혐오 심화”  대한데일리")</f>
        <v>“고령화 사회, 부양 의무 부담으로 노인혐오 심화”  대한데일리</v>
      </c>
    </row>
    <row r="76" spans="1:4" ht="12.5" x14ac:dyDescent="0.25">
      <c r="A76" s="1" t="str">
        <f ca="1">IFERROR(__xludf.DUMMYFUNCTION("""COMPUTED_VALUE"""),"서울시, 대중교통 요금 인상되나?… 노인 무임승차 속사정 - 브라보마이라이프")</f>
        <v>서울시, 대중교통 요금 인상되나?… 노인 무임승차 속사정 - 브라보마이라이프</v>
      </c>
      <c r="B76" s="2" t="str">
        <f ca="1">IFERROR(__xludf.DUMMYFUNCTION("""COMPUTED_VALUE"""),"https://news.google.com/rss/articles/CBMiLmh0dHBzOi8vYnJhdm8uZXRvZGF5LmNvLmtyL3ZpZXcvYXRjX3ZpZXcvMTQzMTjSAQA?oc=5")</f>
        <v>https://news.google.com/rss/articles/CBMiLmh0dHBzOi8vYnJhdm8uZXRvZGF5LmNvLmtyL3ZpZXcvYXRjX3ZpZXcvMTQzMTjSAQA?oc=5</v>
      </c>
      <c r="C76" s="1" t="str">
        <f ca="1">IFERROR(__xludf.DUMMYFUNCTION("""COMPUTED_VALUE"""),"Thu, 02 Feb 2023 08:00:00 GMT")</f>
        <v>Thu, 02 Feb 2023 08:00:00 GMT</v>
      </c>
      <c r="D76" s="1" t="str">
        <f ca="1">IFERROR(__xludf.DUMMYFUNCTION("""COMPUTED_VALUE"""),"서울시, 대중교통 요금 인상되나?… 노인 무임승차 속사정  브라보마이라이프")</f>
        <v>서울시, 대중교통 요금 인상되나?… 노인 무임승차 속사정  브라보마이라이프</v>
      </c>
    </row>
    <row r="77" spans="1:4" ht="12.5" x14ac:dyDescent="0.25">
      <c r="A77" s="1" t="str">
        <f ca="1">IFERROR(__xludf.DUMMYFUNCTION("""COMPUTED_VALUE"""),"[집중취재-노인 인권 현주소 ②] '노인 포비아' 확산 중 - 일요서울")</f>
        <v>[집중취재-노인 인권 현주소 ②] '노인 포비아' 확산 중 - 일요서울</v>
      </c>
      <c r="B77" s="2" t="str">
        <f ca="1">IFERROR(__xludf.DUMMYFUNCTION("""COMPUTED_VALUE"""),"https://news.google.com/rss/articles/CBMiPmh0dHBzOi8vd3d3LmlseW9zZW91bC5jby5rci9uZXdzL2FydGljbGVWaWV3Lmh0bWw_aWR4bm89NDI2OTEy0gEA?oc=5")</f>
        <v>https://news.google.com/rss/articles/CBMiPmh0dHBzOi8vd3d3LmlseW9zZW91bC5jby5rci9uZXdzL2FydGljbGVWaWV3Lmh0bWw_aWR4bm89NDI2OTEy0gEA?oc=5</v>
      </c>
      <c r="C77" s="1" t="str">
        <f ca="1">IFERROR(__xludf.DUMMYFUNCTION("""COMPUTED_VALUE"""),"Fri, 16 Oct 2020 07:00:00 GMT")</f>
        <v>Fri, 16 Oct 2020 07:00:00 GMT</v>
      </c>
      <c r="D77" s="1" t="str">
        <f ca="1">IFERROR(__xludf.DUMMYFUNCTION("""COMPUTED_VALUE"""),"[집중취재-노인 인권 현주소 ②] '노인 포비아' 확산 중  일요서울")</f>
        <v>[집중취재-노인 인권 현주소 ②] '노인 포비아' 확산 중  일요서울</v>
      </c>
    </row>
    <row r="78" spans="1:4" ht="12.5" x14ac:dyDescent="0.25">
      <c r="A78" s="1" t="str">
        <f ca="1">IFERROR(__xludf.DUMMYFUNCTION("""COMPUTED_VALUE"""),"노키즈존, 권리인가? 차별인가? '100분 토론' 천하람·용혜인·안톤 숄츠 ... - 미디어펜")</f>
        <v>노키즈존, 권리인가? 차별인가? '100분 토론' 천하람·용혜인·안톤 숄츠 ... - 미디어펜</v>
      </c>
      <c r="B78" s="2" t="str">
        <f ca="1">IFERROR(__xludf.DUMMYFUNCTION("""COMPUTED_VALUE"""),"https://news.google.com/rss/articles/CBMiKWh0dHBzOi8vd3d3Lm1lZGlhcGVuLmNvbS9uZXdzL3ZpZXcvODUwMDUy0gEA?oc=5")</f>
        <v>https://news.google.com/rss/articles/CBMiKWh0dHBzOi8vd3d3Lm1lZGlhcGVuLmNvbS9uZXdzL3ZpZXcvODUwMDUy0gEA?oc=5</v>
      </c>
      <c r="C78" s="1" t="str">
        <f ca="1">IFERROR(__xludf.DUMMYFUNCTION("""COMPUTED_VALUE"""),"Tue, 29 Aug 2023 08:25:00 GMT")</f>
        <v>Tue, 29 Aug 2023 08:25:00 GMT</v>
      </c>
      <c r="D78" s="1" t="str">
        <f ca="1">IFERROR(__xludf.DUMMYFUNCTION("""COMPUTED_VALUE"""),"노키즈존, 권리인가? 차별인가? '100분 토론' 천하람·용혜인·안톤 숄츠 ...  미디어펜")</f>
        <v>노키즈존, 권리인가? 차별인가? '100분 토론' 천하람·용혜인·안톤 숄츠 ...  미디어펜</v>
      </c>
    </row>
    <row r="79" spans="1:4" ht="12.5" x14ac:dyDescent="0.25">
      <c r="A79" s="1" t="str">
        <f ca="1">IFERROR(__xludf.DUMMYFUNCTION("""COMPUTED_VALUE"""),"[이문원의 대중문화 속으로] 대중문화 속 저출산·고령화 - 월간조선")</f>
        <v>[이문원의 대중문화 속으로] 대중문화 속 저출산·고령화 - 월간조선</v>
      </c>
      <c r="B79" s="2" t="str">
        <f ca="1">IFERROR(__xludf.DUMMYFUNCTION("""COMPUTED_VALUE"""),"https://news.google.com/rss/articles/CBMiSmh0dHA6Ly9tb250aGx5LmNob3N1bi5jb20vY2xpZW50L25ld3Mvdml3LmFzcD9jdGNkPSZuTmV3c051bWI9MjAyMzAxMTAwMDM40gEA?oc=5")</f>
        <v>https://news.google.com/rss/articles/CBMiSmh0dHA6Ly9tb250aGx5LmNob3N1bi5jb20vY2xpZW50L25ld3Mvdml3LmFzcD9jdGNkPSZuTmV3c051bWI9MjAyMzAxMTAwMDM40gEA?oc=5</v>
      </c>
      <c r="C79" s="1" t="str">
        <f ca="1">IFERROR(__xludf.DUMMYFUNCTION("""COMPUTED_VALUE"""),"Sun, 15 Jan 2023 08:00:00 GMT")</f>
        <v>Sun, 15 Jan 2023 08:00:00 GMT</v>
      </c>
      <c r="D79" s="1" t="str">
        <f ca="1">IFERROR(__xludf.DUMMYFUNCTION("""COMPUTED_VALUE"""),"[이문원의 대중문화 속으로] 대중문화 속 저출산·고령화  월간조선")</f>
        <v>[이문원의 대중문화 속으로] 대중문화 속 저출산·고령화  월간조선</v>
      </c>
    </row>
    <row r="80" spans="1:4" ht="12.5" x14ac:dyDescent="0.25">
      <c r="A80" s="1" t="str">
        <f ca="1">IFERROR(__xludf.DUMMYFUNCTION("""COMPUTED_VALUE"""),"[차갑부 칼럼] 노인은 사회의 스승이다 - 교육플러스")</f>
        <v>[차갑부 칼럼] 노인은 사회의 스승이다 - 교육플러스</v>
      </c>
      <c r="B80" s="2" t="str">
        <f ca="1">IFERROR(__xludf.DUMMYFUNCTION("""COMPUTED_VALUE"""),"https://news.google.com/rss/articles/CBMiN2h0dHBzOi8vd3d3LmVkcGwuY28ua3IvbmV3cy9hcnRpY2xlVmlldy5odG1sP2lkeG5vPTgxOTPSAQA?oc=5")</f>
        <v>https://news.google.com/rss/articles/CBMiN2h0dHBzOi8vd3d3LmVkcGwuY28ua3IvbmV3cy9hcnRpY2xlVmlldy5odG1sP2lkeG5vPTgxOTPSAQA?oc=5</v>
      </c>
      <c r="C80" s="1" t="str">
        <f ca="1">IFERROR(__xludf.DUMMYFUNCTION("""COMPUTED_VALUE"""),"Thu, 26 Jan 2023 08:00:00 GMT")</f>
        <v>Thu, 26 Jan 2023 08:00:00 GMT</v>
      </c>
      <c r="D80" s="1" t="str">
        <f ca="1">IFERROR(__xludf.DUMMYFUNCTION("""COMPUTED_VALUE"""),"[차갑부 칼럼] 노인은 사회의 스승이다  교육플러스")</f>
        <v>[차갑부 칼럼] 노인은 사회의 스승이다  교육플러스</v>
      </c>
    </row>
    <row r="81" spans="1:4" ht="12.5" x14ac:dyDescent="0.25">
      <c r="A81" s="1" t="str">
        <f ca="1">IFERROR(__xludf.DUMMYFUNCTION("""COMPUTED_VALUE"""),"노인문화의 명과 암, 탑골공원 기리는 전시회 열려 - 브라보마이라이프")</f>
        <v>노인문화의 명과 암, 탑골공원 기리는 전시회 열려 - 브라보마이라이프</v>
      </c>
      <c r="B81" s="2" t="str">
        <f ca="1">IFERROR(__xludf.DUMMYFUNCTION("""COMPUTED_VALUE"""),"https://news.google.com/rss/articles/CBMiLmh0dHBzOi8vYnJhdm8uZXRvZGF5LmNvLmtyL3ZpZXcvYXRjX3ZpZXcvMTM3NjfSAQA?oc=5")</f>
        <v>https://news.google.com/rss/articles/CBMiLmh0dHBzOi8vYnJhdm8uZXRvZGF5LmNvLmtyL3ZpZXcvYXRjX3ZpZXcvMTM3NjfSAQA?oc=5</v>
      </c>
      <c r="C81" s="1" t="str">
        <f ca="1">IFERROR(__xludf.DUMMYFUNCTION("""COMPUTED_VALUE"""),"Fri, 22 Jul 2022 07:00:00 GMT")</f>
        <v>Fri, 22 Jul 2022 07:00:00 GMT</v>
      </c>
      <c r="D81" s="1" t="str">
        <f ca="1">IFERROR(__xludf.DUMMYFUNCTION("""COMPUTED_VALUE"""),"노인문화의 명과 암, 탑골공원 기리는 전시회 열려  브라보마이라이프")</f>
        <v>노인문화의 명과 암, 탑골공원 기리는 전시회 열려  브라보마이라이프</v>
      </c>
    </row>
    <row r="82" spans="1:4" ht="12.5" x14ac:dyDescent="0.25">
      <c r="A82" s="1" t="str">
        <f ca="1">IFERROR(__xludf.DUMMYFUNCTION("""COMPUTED_VALUE"""),"가려진 화살…온라인이라는 장막 속의 ‘노인혐오’ - 세계일보")</f>
        <v>가려진 화살…온라인이라는 장막 속의 ‘노인혐오’ - 세계일보</v>
      </c>
      <c r="B82" s="2" t="str">
        <f ca="1">IFERROR(__xludf.DUMMYFUNCTION("""COMPUTED_VALUE"""),"https://news.google.com/rss/articles/CBMiJ2h0dHBzOi8vbS5zZWd5ZS5jb20vdmlldy8yMDE5MDMzMTUwODIzNNIBKmh0dHBzOi8vbS5zZWd5ZS5jb20vYW1wVmlldy8yMDE5MDMzMTUwODIzNA?oc=5")</f>
        <v>https://news.google.com/rss/articles/CBMiJ2h0dHBzOi8vbS5zZWd5ZS5jb20vdmlldy8yMDE5MDMzMTUwODIzNNIBKmh0dHBzOi8vbS5zZWd5ZS5jb20vYW1wVmlldy8yMDE5MDMzMTUwODIzNA?oc=5</v>
      </c>
      <c r="C82" s="1" t="str">
        <f ca="1">IFERROR(__xludf.DUMMYFUNCTION("""COMPUTED_VALUE"""),"Mon, 01 Apr 2019 07:00:00 GMT")</f>
        <v>Mon, 01 Apr 2019 07:00:00 GMT</v>
      </c>
      <c r="D82" s="1" t="str">
        <f ca="1">IFERROR(__xludf.DUMMYFUNCTION("""COMPUTED_VALUE"""),"가려진 화살…온라인이라는 장막 속의 ‘노인혐오’  세계일보")</f>
        <v>가려진 화살…온라인이라는 장막 속의 ‘노인혐오’  세계일보</v>
      </c>
    </row>
    <row r="83" spans="1:4" ht="12.5" x14ac:dyDescent="0.25">
      <c r="A83" s="1" t="str">
        <f ca="1">IFERROR(__xludf.DUMMYFUNCTION("""COMPUTED_VALUE"""),"""할아버지들이 무서워""... 코로나 확산, 노인혐오가 걱정된다 - 오마이뉴스")</f>
        <v>"할아버지들이 무서워"... 코로나 확산, 노인혐오가 걱정된다 - 오마이뉴스</v>
      </c>
      <c r="B83" s="2" t="str">
        <f ca="1">IFERROR(__xludf.DUMMYFUNCTION("""COMPUTED_VALUE"""),"https://news.google.com/rss/articles/CBMiRGh0dHBzOi8vd3d3Lm9obXluZXdzLmNvbS9OV1NfV2ViL1ZpZXcvYXRfcGcuYXNweD9DTlROX0NEPUEwMDAyNjcyNTQ30gFCaHR0cHM6Ly9tLm9obXluZXdzLmNvbS9OV1NfV2ViL01vYmlsZS9hbXAuYXNweD9DTlROX0NEPUEwMDAyNjcyNTQ3?oc=5")</f>
        <v>https://news.google.com/rss/articles/CBMiRGh0dHBzOi8vd3d3Lm9obXluZXdzLmNvbS9OV1NfV2ViL1ZpZXcvYXRfcGcuYXNweD9DTlROX0NEPUEwMDAyNjcyNTQ30gFCaHR0cHM6Ly9tLm9obXluZXdzLmNvbS9OV1NfV2ViL01vYmlsZS9hbXAuYXNweD9DTlROX0NEPUEwMDAyNjcyNTQ3?oc=5</v>
      </c>
      <c r="C83" s="1" t="str">
        <f ca="1">IFERROR(__xludf.DUMMYFUNCTION("""COMPUTED_VALUE"""),"Thu, 03 Sep 2020 07:00:00 GMT")</f>
        <v>Thu, 03 Sep 2020 07:00:00 GMT</v>
      </c>
      <c r="D83" s="1" t="str">
        <f ca="1">IFERROR(__xludf.DUMMYFUNCTION("""COMPUTED_VALUE"""),"""할아버지들이 무서워""... 코로나 확산, 노인혐오가 걱정된다  오마이뉴스")</f>
        <v>"할아버지들이 무서워"... 코로나 확산, 노인혐오가 걱정된다  오마이뉴스</v>
      </c>
    </row>
    <row r="84" spans="1:4" ht="12.5" x14ac:dyDescent="0.25">
      <c r="A84" s="1" t="str">
        <f ca="1">IFERROR(__xludf.DUMMYFUNCTION("""COMPUTED_VALUE"""),"""노인 무임승차? 반값이라도 내세요""…청년들도 입 열었다 - 머니투데이")</f>
        <v>"노인 무임승차? 반값이라도 내세요"…청년들도 입 열었다 - 머니투데이</v>
      </c>
      <c r="B84" s="2" t="str">
        <f ca="1">IFERROR(__xludf.DUMMYFUNCTION("""COMPUTED_VALUE"""),"https://news.google.com/rss/articles/CBMiN2h0dHBzOi8vbmV3cy5tdC5jby5rci9tdHZpZXcucGhwP25vPTIwMjMwMjA3MTMyNzQ3NjgxMjbSAT1odHRwczovL20ubXQuY28ua3IvcmVuZXcvdmlld19hbXAuaHRtbD9ubz0yMDIzMDIwNzEzMjc0NzY4MTI2?oc=5")</f>
        <v>https://news.google.com/rss/articles/CBMiN2h0dHBzOi8vbmV3cy5tdC5jby5rci9tdHZpZXcucGhwP25vPTIwMjMwMjA3MTMyNzQ3NjgxMjbSAT1odHRwczovL20ubXQuY28ua3IvcmVuZXcvdmlld19hbXAuaHRtbD9ubz0yMDIzMDIwNzEzMjc0NzY4MTI2?oc=5</v>
      </c>
      <c r="C84" s="1" t="str">
        <f ca="1">IFERROR(__xludf.DUMMYFUNCTION("""COMPUTED_VALUE"""),"Tue, 07 Feb 2023 08:00:00 GMT")</f>
        <v>Tue, 07 Feb 2023 08:00:00 GMT</v>
      </c>
      <c r="D84" s="1" t="str">
        <f ca="1">IFERROR(__xludf.DUMMYFUNCTION("""COMPUTED_VALUE"""),"""노인 무임승차? 반값이라도 내세요""…청년들도 입 열었다  머니투데이")</f>
        <v>"노인 무임승차? 반값이라도 내세요"…청년들도 입 열었다  머니투데이</v>
      </c>
    </row>
    <row r="85" spans="1:4" ht="12.5" x14ac:dyDescent="0.25">
      <c r="A85" s="1" t="str">
        <f ca="1">IFERROR(__xludf.DUMMYFUNCTION("""COMPUTED_VALUE"""),"[MT리포트] '앵그리 올드' 노인 범죄 vs ""저 틀딱들"" 노인 혐오 - 머니투데이")</f>
        <v>[MT리포트] '앵그리 올드' 노인 범죄 vs "저 틀딱들" 노인 혐오 - 머니투데이</v>
      </c>
      <c r="B85" s="2" t="str">
        <f ca="1">IFERROR(__xludf.DUMMYFUNCTION("""COMPUTED_VALUE"""),"https://news.google.com/rss/articles/CBMiN2h0dHBzOi8vbmV3cy5tdC5jby5rci9tdHZpZXcucGhwP25vPTIwMTgwODIzMTgzODUyNDAxMzHSAT1odHRwczovL20ubXQuY28ua3IvcmVuZXcvdmlld19hbXAuaHRtbD9ubz0yMDE4MDgyMzE4Mzg1MjQwMTMx?oc=5")</f>
        <v>https://news.google.com/rss/articles/CBMiN2h0dHBzOi8vbmV3cy5tdC5jby5rci9tdHZpZXcucGhwP25vPTIwMTgwODIzMTgzODUyNDAxMzHSAT1odHRwczovL20ubXQuY28ua3IvcmVuZXcvdmlld19hbXAuaHRtbD9ubz0yMDE4MDgyMzE4Mzg1MjQwMTMx?oc=5</v>
      </c>
      <c r="C85" s="1" t="str">
        <f ca="1">IFERROR(__xludf.DUMMYFUNCTION("""COMPUTED_VALUE"""),"Fri, 24 Aug 2018 07:00:00 GMT")</f>
        <v>Fri, 24 Aug 2018 07:00:00 GMT</v>
      </c>
      <c r="D85" s="1" t="str">
        <f ca="1">IFERROR(__xludf.DUMMYFUNCTION("""COMPUTED_VALUE"""),"[MT리포트] '앵그리 올드' 노인 범죄 vs ""저 틀딱들"" 노인 혐오  머니투데이")</f>
        <v>[MT리포트] '앵그리 올드' 노인 범죄 vs "저 틀딱들" 노인 혐오  머니투데이</v>
      </c>
    </row>
    <row r="86" spans="1:4" ht="12.5" x14ac:dyDescent="0.25">
      <c r="A86" s="1" t="str">
        <f ca="1">IFERROR(__xludf.DUMMYFUNCTION("""COMPUTED_VALUE"""),"노인대상 범죄에 혐오까지…고통받는 어르신 - 매일경제")</f>
        <v>노인대상 범죄에 혐오까지…고통받는 어르신 - 매일경제</v>
      </c>
      <c r="B86" s="2" t="str">
        <f ca="1">IFERROR(__xludf.DUMMYFUNCTION("""COMPUTED_VALUE"""),"https://news.google.com/rss/articles/CBMiKmh0dHBzOi8vd3d3Lm1rLmNvLmtyL25ld3Mvc29jaWV0eS8xMDM0OTU1OdIBH2h0dHBzOi8vbS5tay5jby5rci9hbXAvMTAzNDk1NTk?oc=5")</f>
        <v>https://news.google.com/rss/articles/CBMiKmh0dHBzOi8vd3d3Lm1rLmNvLmtyL25ld3Mvc29jaWV0eS8xMDM0OTU1OdIBH2h0dHBzOi8vbS5tay5jby5rci9hbXAvMTAzNDk1NTk?oc=5</v>
      </c>
      <c r="C86" s="1" t="str">
        <f ca="1">IFERROR(__xludf.DUMMYFUNCTION("""COMPUTED_VALUE"""),"Tue, 14 Jun 2022 07:00:00 GMT")</f>
        <v>Tue, 14 Jun 2022 07:00:00 GMT</v>
      </c>
      <c r="D86" s="1" t="str">
        <f ca="1">IFERROR(__xludf.DUMMYFUNCTION("""COMPUTED_VALUE"""),"노인대상 범죄에 혐오까지…고통받는 어르신  매일경제")</f>
        <v>노인대상 범죄에 혐오까지…고통받는 어르신  매일경제</v>
      </c>
    </row>
    <row r="87" spans="1:4" ht="12.5" x14ac:dyDescent="0.25">
      <c r="A87" s="1" t="str">
        <f ca="1">IFERROR(__xludf.DUMMYFUNCTION("""COMPUTED_VALUE"""),"[한컷뉴스] 예의지국의 씁슬한 현실 '지금은 노인혐오 시대?' - YTN")</f>
        <v>[한컷뉴스] 예의지국의 씁슬한 현실 '지금은 노인혐오 시대?' - YTN</v>
      </c>
      <c r="B87" s="2" t="str">
        <f ca="1">IFERROR(__xludf.DUMMYFUNCTION("""COMPUTED_VALUE"""),"https://news.google.com/rss/articles/CBMiMWh0dHBzOi8vd3d3Lnl0bi5jby5rci9fbG4vMDEwM18yMDE1MTAwMjE1MDAwODMyNzDSAUNodHRwczovL20ueXRuLmNvLmtyL25ld3Nfdmlldy5hbXAucGhwP3BhcmFtPTAxMDNfMjAxNTEwMDIxNTAwMDgzMjcw?oc=5")</f>
        <v>https://news.google.com/rss/articles/CBMiMWh0dHBzOi8vd3d3Lnl0bi5jby5rci9fbG4vMDEwM18yMDE1MTAwMjE1MDAwODMyNzDSAUNodHRwczovL20ueXRuLmNvLmtyL25ld3Nfdmlldy5hbXAucGhwP3BhcmFtPTAxMDNfMjAxNTEwMDIxNTAwMDgzMjcw?oc=5</v>
      </c>
      <c r="C87" s="1" t="str">
        <f ca="1">IFERROR(__xludf.DUMMYFUNCTION("""COMPUTED_VALUE"""),"Fri, 02 Oct 2015 07:00:00 GMT")</f>
        <v>Fri, 02 Oct 2015 07:00:00 GMT</v>
      </c>
      <c r="D87" s="1" t="str">
        <f ca="1">IFERROR(__xludf.DUMMYFUNCTION("""COMPUTED_VALUE"""),"[한컷뉴스] 예의지국의 씁슬한 현실 '지금은 노인혐오 시대?'  YTN")</f>
        <v>[한컷뉴스] 예의지국의 씁슬한 현실 '지금은 노인혐오 시대?'  YTN</v>
      </c>
    </row>
    <row r="88" spans="1:4" ht="12.5" x14ac:dyDescent="0.25">
      <c r="A88" s="1" t="str">
        <f ca="1">IFERROR(__xludf.DUMMYFUNCTION("""COMPUTED_VALUE"""),"틀딱충' '연금충' 노인 혐오에 가부장제가 있다 - 노컷뉴스")</f>
        <v>틀딱충' '연금충' 노인 혐오에 가부장제가 있다 - 노컷뉴스</v>
      </c>
      <c r="B88" s="2" t="str">
        <f ca="1">IFERROR(__xludf.DUMMYFUNCTION("""COMPUTED_VALUE"""),"https://news.google.com/rss/articles/CBMiKGh0dHBzOi8vd3d3Lm5vY3V0bmV3cy5jby5rci9uZXdzLzUwNjUzMDfSASpodHRwczovL20ubm9jdXRuZXdzLmNvLmtyL25ld3MvYW1wLzUwNjUzMDc?oc=5")</f>
        <v>https://news.google.com/rss/articles/CBMiKGh0dHBzOi8vd3d3Lm5vY3V0bmV3cy5jby5rci9uZXdzLzUwNjUzMDfSASpodHRwczovL20ubm9jdXRuZXdzLmNvLmtyL25ld3MvYW1wLzUwNjUzMDc?oc=5</v>
      </c>
      <c r="C88" s="1" t="str">
        <f ca="1">IFERROR(__xludf.DUMMYFUNCTION("""COMPUTED_VALUE"""),"Thu, 22 Nov 2018 08:00:00 GMT")</f>
        <v>Thu, 22 Nov 2018 08:00:00 GMT</v>
      </c>
      <c r="D88" s="1" t="str">
        <f ca="1">IFERROR(__xludf.DUMMYFUNCTION("""COMPUTED_VALUE"""),"틀딱충' '연금충' 노인 혐오에 가부장제가 있다  노컷뉴스")</f>
        <v>틀딱충' '연금충' 노인 혐오에 가부장제가 있다  노컷뉴스</v>
      </c>
    </row>
    <row r="89" spans="1:4" ht="12.5" x14ac:dyDescent="0.25">
      <c r="A89" s="1" t="str">
        <f ca="1">IFERROR(__xludf.DUMMYFUNCTION("""COMPUTED_VALUE"""),"[대구복지논단] 노인을 위한 나라는 없다 - 대구신문")</f>
        <v>[대구복지논단] 노인을 위한 나라는 없다 - 대구신문</v>
      </c>
      <c r="B89" s="2" t="str">
        <f ca="1">IFERROR(__xludf.DUMMYFUNCTION("""COMPUTED_VALUE"""),"https://news.google.com/rss/articles/CBMiO2h0dHBzOi8vd3d3LmlkYWVndS5jby5rci9uZXdzL2FydGljbGVWaWV3Lmh0bWw_aWR4bm89NDE1OTk20gEA?oc=5")</f>
        <v>https://news.google.com/rss/articles/CBMiO2h0dHBzOi8vd3d3LmlkYWVndS5jby5rci9uZXdzL2FydGljbGVWaWV3Lmh0bWw_aWR4bm89NDE1OTk20gEA?oc=5</v>
      </c>
      <c r="C89" s="1" t="str">
        <f ca="1">IFERROR(__xludf.DUMMYFUNCTION("""COMPUTED_VALUE"""),"Tue, 04 Apr 2023 07:00:00 GMT")</f>
        <v>Tue, 04 Apr 2023 07:00:00 GMT</v>
      </c>
      <c r="D89" s="1" t="str">
        <f ca="1">IFERROR(__xludf.DUMMYFUNCTION("""COMPUTED_VALUE"""),"[대구복지논단] 노인을 위한 나라는 없다  대구신문")</f>
        <v>[대구복지논단] 노인을 위한 나라는 없다  대구신문</v>
      </c>
    </row>
    <row r="90" spans="1:4" ht="12.5" x14ac:dyDescent="0.25">
      <c r="A90" s="1" t="str">
        <f ca="1">IFERROR(__xludf.DUMMYFUNCTION("""COMPUTED_VALUE"""),"[생활에세이] 두만강 푸른 물에 - 경기신문")</f>
        <v>[생활에세이] 두만강 푸른 물에 - 경기신문</v>
      </c>
      <c r="B90" s="2" t="str">
        <f ca="1">IFERROR(__xludf.DUMMYFUNCTION("""COMPUTED_VALUE"""),"https://news.google.com/rss/articles/CBMiMmh0dHBzOi8va2duZXdzLmNvLmtyL21vYmlsZS9hcnRpY2xlLmh0bWw_bm89NzU3ODU00gEA?oc=5")</f>
        <v>https://news.google.com/rss/articles/CBMiMmh0dHBzOi8va2duZXdzLmNvLmtyL21vYmlsZS9hcnRpY2xlLmh0bWw_bm89NzU3ODU00gEA?oc=5</v>
      </c>
      <c r="C90" s="1" t="str">
        <f ca="1">IFERROR(__xludf.DUMMYFUNCTION("""COMPUTED_VALUE"""),"Wed, 02 Aug 2023 07:00:00 GMT")</f>
        <v>Wed, 02 Aug 2023 07:00:00 GMT</v>
      </c>
      <c r="D90" s="1" t="str">
        <f ca="1">IFERROR(__xludf.DUMMYFUNCTION("""COMPUTED_VALUE"""),"[생활에세이] 두만강 푸른 물에  경기신문")</f>
        <v>[생활에세이] 두만강 푸른 물에  경기신문</v>
      </c>
    </row>
    <row r="91" spans="1:4" ht="12.5" x14ac:dyDescent="0.25">
      <c r="A91" s="1" t="str">
        <f ca="1">IFERROR(__xludf.DUMMYFUNCTION("""COMPUTED_VALUE"""),"“출산 비용 줄게요, 노인 돈 걷어서” [왕개미연구소] - 조선일보")</f>
        <v>“출산 비용 줄게요, 노인 돈 걷어서” [왕개미연구소] - 조선일보</v>
      </c>
      <c r="B91" s="2" t="str">
        <f ca="1">IFERROR(__xludf.DUMMYFUNCTION("""COMPUTED_VALUE"""),"https://news.google.com/rss/articles/CBMiS2h0dHBzOi8vd3d3LmNob3N1bi5jb20vZWNvbm9teS9tb25leS8yMDIyLzEyLzAxL1pPTzJMNlpTQlZIN0RNRkUzVkVMRUtHVVM0L9IBWmh0dHBzOi8vd3d3LmNob3N1bi5jb20vZWNvbm9teS9tb25leS8yMDIyLzEyLzAxL1pPTzJMNlpTQlZIN0RNRkUzVkVMRUtHVVM0Lz9vdXRwdX"&amp;"RUeXBlPWFtcA?oc=5")</f>
        <v>https://news.google.com/rss/articles/CBMiS2h0dHBzOi8vd3d3LmNob3N1bi5jb20vZWNvbm9teS9tb25leS8yMDIyLzEyLzAxL1pPTzJMNlpTQlZIN0RNRkUzVkVMRUtHVVM0L9IBWmh0dHBzOi8vd3d3LmNob3N1bi5jb20vZWNvbm9teS9tb25leS8yMDIyLzEyLzAxL1pPTzJMNlpTQlZIN0RNRkUzVkVMRUtHVVM0Lz9vdXRwdXRUeXBlPWFtcA?oc=5</v>
      </c>
      <c r="C91" s="1" t="str">
        <f ca="1">IFERROR(__xludf.DUMMYFUNCTION("""COMPUTED_VALUE"""),"Thu, 01 Dec 2022 08:00:00 GMT")</f>
        <v>Thu, 01 Dec 2022 08:00:00 GMT</v>
      </c>
      <c r="D91" s="1" t="str">
        <f ca="1">IFERROR(__xludf.DUMMYFUNCTION("""COMPUTED_VALUE"""),"“출산 비용 줄게요, 노인 돈 걷어서” [왕개미연구소]  조선일보")</f>
        <v>“출산 비용 줄게요, 노인 돈 걷어서” [왕개미연구소]  조선일보</v>
      </c>
    </row>
    <row r="92" spans="1:4" ht="12.5" x14ac:dyDescent="0.25">
      <c r="A92" s="1" t="str">
        <f ca="1">IFERROR(__xludf.DUMMYFUNCTION("""COMPUTED_VALUE"""),"노인을 위한 공원' 증가, 논란이 되는 이유 - 브라보마이라이프")</f>
        <v>노인을 위한 공원' 증가, 논란이 되는 이유 - 브라보마이라이프</v>
      </c>
      <c r="B92" s="2" t="str">
        <f ca="1">IFERROR(__xludf.DUMMYFUNCTION("""COMPUTED_VALUE"""),"https://news.google.com/rss/articles/CBMiLmh0dHBzOi8vYnJhdm8uZXRvZGF5LmNvLmtyL3ZpZXcvYXRjX3ZpZXcvMTQ1NTHSAQA?oc=5")</f>
        <v>https://news.google.com/rss/articles/CBMiLmh0dHBzOi8vYnJhdm8uZXRvZGF5LmNvLmtyL3ZpZXcvYXRjX3ZpZXcvMTQ1NTHSAQA?oc=5</v>
      </c>
      <c r="C92" s="1" t="str">
        <f ca="1">IFERROR(__xludf.DUMMYFUNCTION("""COMPUTED_VALUE"""),"Fri, 12 May 2023 07:00:00 GMT")</f>
        <v>Fri, 12 May 2023 07:00:00 GMT</v>
      </c>
      <c r="D92" s="1" t="str">
        <f ca="1">IFERROR(__xludf.DUMMYFUNCTION("""COMPUTED_VALUE"""),"노인을 위한 공원' 증가, 논란이 되는 이유  브라보마이라이프")</f>
        <v>노인을 위한 공원' 증가, 논란이 되는 이유  브라보마이라이프</v>
      </c>
    </row>
    <row r="93" spans="1:4" ht="12.5" x14ac:dyDescent="0.25">
      <c r="A93" s="1" t="str">
        <f ca="1">IFERROR(__xludf.DUMMYFUNCTION("""COMPUTED_VALUE"""),"틀딱' '꼰대'…깊어가는 노인혐오, 세대간 벽 생길라 - 뉴스핌")</f>
        <v>틀딱' '꼰대'…깊어가는 노인혐오, 세대간 벽 생길라 - 뉴스핌</v>
      </c>
      <c r="B93" s="2" t="str">
        <f ca="1">IFERROR(__xludf.DUMMYFUNCTION("""COMPUTED_VALUE"""),"https://news.google.com/rss/articles/CBMiMGh0dHBzOi8vd3d3Lm5ld3NwaW0uY29tL25ld3Mvdmlldy8yMDE4MDcyNTAwMDI1NdIBMWh0dHBzOi8vbS5uZXdzcGltLmNvbS9uZXdzYW1wL3ZpZXcvMjAxODA3MjUwMDAyNTU?oc=5")</f>
        <v>https://news.google.com/rss/articles/CBMiMGh0dHBzOi8vd3d3Lm5ld3NwaW0uY29tL25ld3Mvdmlldy8yMDE4MDcyNTAwMDI1NdIBMWh0dHBzOi8vbS5uZXdzcGltLmNvbS9uZXdzYW1wL3ZpZXcvMjAxODA3MjUwMDAyNTU?oc=5</v>
      </c>
      <c r="C93" s="1" t="str">
        <f ca="1">IFERROR(__xludf.DUMMYFUNCTION("""COMPUTED_VALUE"""),"Thu, 26 Jul 2018 07:00:00 GMT")</f>
        <v>Thu, 26 Jul 2018 07:00:00 GMT</v>
      </c>
      <c r="D93" s="1" t="str">
        <f ca="1">IFERROR(__xludf.DUMMYFUNCTION("""COMPUTED_VALUE"""),"틀딱' '꼰대'…깊어가는 노인혐오, 세대간 벽 생길라  뉴스핌")</f>
        <v>틀딱' '꼰대'…깊어가는 노인혐오, 세대간 벽 생길라  뉴스핌</v>
      </c>
    </row>
    <row r="94" spans="1:4" ht="12.5" x14ac:dyDescent="0.25">
      <c r="A94" s="1" t="str">
        <f ca="1">IFERROR(__xludf.DUMMYFUNCTION("""COMPUTED_VALUE"""),"더보이즈 주연 '훈훈함 가득' - 노컷뉴스")</f>
        <v>더보이즈 주연 '훈훈함 가득' - 노컷뉴스</v>
      </c>
      <c r="B94" s="2" t="str">
        <f ca="1">IFERROR(__xludf.DUMMYFUNCTION("""COMPUTED_VALUE"""),"https://news.google.com/rss/articles/CBMiKGh0dHBzOi8vd3d3Lm5vY3V0bmV3cy5jby5rci9uZXdzLzU5ODcyMjXSASpodHRwczovL20ubm9jdXRuZXdzLmNvLmtyL25ld3MvYW1wLzU5ODcyMjU?oc=5")</f>
        <v>https://news.google.com/rss/articles/CBMiKGh0dHBzOi8vd3d3Lm5vY3V0bmV3cy5jby5rci9uZXdzLzU5ODcyMjXSASpodHRwczovL20ubm9jdXRuZXdzLmNvLmtyL25ld3MvYW1wLzU5ODcyMjU?oc=5</v>
      </c>
      <c r="C94" s="1" t="str">
        <f ca="1">IFERROR(__xludf.DUMMYFUNCTION("""COMPUTED_VALUE"""),"Tue, 01 Aug 2023 05:47:47 GMT")</f>
        <v>Tue, 01 Aug 2023 05:47:47 GMT</v>
      </c>
      <c r="D94" s="1" t="str">
        <f ca="1">IFERROR(__xludf.DUMMYFUNCTION("""COMPUTED_VALUE"""),"더보이즈 주연 '훈훈함 가득'  노컷뉴스")</f>
        <v>더보이즈 주연 '훈훈함 가득'  노컷뉴스</v>
      </c>
    </row>
    <row r="95" spans="1:4" ht="12.5" x14ac:dyDescent="0.25">
      <c r="A95" s="1" t="str">
        <f ca="1">IFERROR(__xludf.DUMMYFUNCTION("""COMPUTED_VALUE"""),"배현진, 요양시설 건립 백지화 논란에 ""노인혐오? 박원순 행정이 한심했던 것"" - MBN")</f>
        <v>배현진, 요양시설 건립 백지화 논란에 "노인혐오? 박원순 행정이 한심했던 것" - MBN</v>
      </c>
      <c r="B95" s="2" t="str">
        <f ca="1">IFERROR(__xludf.DUMMYFUNCTION("""COMPUTED_VALUE"""),"https://news.google.com/rss/articles/CBMiPWh0dHBzOi8vbWJuLmNvLmtyL3BhZ2VzL25ld3MvbmV3c1ZpZXcucGhwP25ld3Nfc2VxX25vPTQ1OTk3MTPSASRodHRwczovL20ubWJuLmNvLmtyL25ld3MtYW1wLzQ1OTk3MTM?oc=5")</f>
        <v>https://news.google.com/rss/articles/CBMiPWh0dHBzOi8vbWJuLmNvLmtyL3BhZ2VzL25ld3MvbmV3c1ZpZXcucGhwP25ld3Nfc2VxX25vPTQ1OTk3MTPSASRodHRwczovL20ubWJuLmNvLmtyL25ld3MtYW1wLzQ1OTk3MTM?oc=5</v>
      </c>
      <c r="C95" s="1" t="str">
        <f ca="1">IFERROR(__xludf.DUMMYFUNCTION("""COMPUTED_VALUE"""),"Sat, 18 Sep 2021 07:00:00 GMT")</f>
        <v>Sat, 18 Sep 2021 07:00:00 GMT</v>
      </c>
      <c r="D95" s="1" t="str">
        <f ca="1">IFERROR(__xludf.DUMMYFUNCTION("""COMPUTED_VALUE"""),"배현진, 요양시설 건립 백지화 논란에 ""노인혐오? 박원순 행정이 한심했던 것""  MBN")</f>
        <v>배현진, 요양시설 건립 백지화 논란에 "노인혐오? 박원순 행정이 한심했던 것"  MBN</v>
      </c>
    </row>
    <row r="96" spans="1:4" ht="12.5" x14ac:dyDescent="0.25">
      <c r="A96" s="1" t="str">
        <f ca="1">IFERROR(__xludf.DUMMYFUNCTION("""COMPUTED_VALUE"""),"“코로나19로 부양부담 준다?” 日 노인혐오 일러스트 논란 - 한국일보")</f>
        <v>“코로나19로 부양부담 준다?” 日 노인혐오 일러스트 논란 - 한국일보</v>
      </c>
      <c r="B96" s="2" t="str">
        <f ca="1">IFERROR(__xludf.DUMMYFUNCTION("""COMPUTED_VALUE"""),"https://news.google.com/rss/articles/CBMiOGh0dHBzOi8vd3d3Lmhhbmtvb2tpbGJvLmNvbS9OZXdzL1JlYWQvMjAyMDAzMjMxMDUwMDczMzgw0gEA?oc=5")</f>
        <v>https://news.google.com/rss/articles/CBMiOGh0dHBzOi8vd3d3Lmhhbmtvb2tpbGJvLmNvbS9OZXdzL1JlYWQvMjAyMDAzMjMxMDUwMDczMzgw0gEA?oc=5</v>
      </c>
      <c r="C96" s="1" t="str">
        <f ca="1">IFERROR(__xludf.DUMMYFUNCTION("""COMPUTED_VALUE"""),"Mon, 23 Mar 2020 07:00:00 GMT")</f>
        <v>Mon, 23 Mar 2020 07:00:00 GMT</v>
      </c>
      <c r="D96" s="1" t="str">
        <f ca="1">IFERROR(__xludf.DUMMYFUNCTION("""COMPUTED_VALUE"""),"“코로나19로 부양부담 준다?” 日 노인혐오 일러스트 논란  한국일보")</f>
        <v>“코로나19로 부양부담 준다?” 日 노인혐오 일러스트 논란  한국일보</v>
      </c>
    </row>
    <row r="97" spans="1:4" ht="12.5" x14ac:dyDescent="0.25">
      <c r="A97" s="1" t="str">
        <f ca="1">IFERROR(__xludf.DUMMYFUNCTION("""COMPUTED_VALUE"""),"노인 그룹 한인 “동양인이 욕 먹을 만하죠” - 한겨레21")</f>
        <v>노인 그룹 한인 “동양인이 욕 먹을 만하죠” - 한겨레21</v>
      </c>
      <c r="B97" s="2" t="str">
        <f ca="1">IFERROR(__xludf.DUMMYFUNCTION("""COMPUTED_VALUE"""),"https://news.google.com/rss/articles/CBMiPmh0dHBzOi8vaDIxLmhhbmkuY28ua3IvYXJ0aS9zb2NpZXR5L3NvY2lldHlfZ2VuZXJhbC81MjcyMS5odG1s0gEA?oc=5")</f>
        <v>https://news.google.com/rss/articles/CBMiPmh0dHBzOi8vaDIxLmhhbmkuY28ua3IvYXJ0aS9zb2NpZXR5L3NvY2lldHlfZ2VuZXJhbC81MjcyMS5odG1s0gEA?oc=5</v>
      </c>
      <c r="C97" s="1" t="str">
        <f ca="1">IFERROR(__xludf.DUMMYFUNCTION("""COMPUTED_VALUE"""),"Tue, 18 Oct 2022 07:00:00 GMT")</f>
        <v>Tue, 18 Oct 2022 07:00:00 GMT</v>
      </c>
      <c r="D97" s="1" t="str">
        <f ca="1">IFERROR(__xludf.DUMMYFUNCTION("""COMPUTED_VALUE"""),"노인 그룹 한인 “동양인이 욕 먹을 만하죠”  한겨레21")</f>
        <v>노인 그룹 한인 “동양인이 욕 먹을 만하죠”  한겨레21</v>
      </c>
    </row>
    <row r="98" spans="1:4" ht="12.5" x14ac:dyDescent="0.25">
      <c r="A98" s="1" t="str">
        <f ca="1">IFERROR(__xludf.DUMMYFUNCTION("""COMPUTED_VALUE"""),"서울대가 마지막으로 공개하는 합격 자소서 해답은 “깊고 넓게” - 괜찮은 뉴스")</f>
        <v>서울대가 마지막으로 공개하는 합격 자소서 해답은 “깊고 넓게” - 괜찮은 뉴스</v>
      </c>
      <c r="B98" s="2" t="str">
        <f ca="1">IFERROR(__xludf.DUMMYFUNCTION("""COMPUTED_VALUE"""),"https://news.google.com/rss/articles/CBMiOGh0dHBzOi8vd3d3Lm5leHRwbGF5LmtyL25ld3MvYXJ0aWNsZVZpZXcuaHRtbD9pZHhubz01ODM30gEA?oc=5")</f>
        <v>https://news.google.com/rss/articles/CBMiOGh0dHBzOi8vd3d3Lm5leHRwbGF5LmtyL25ld3MvYXJ0aWNsZVZpZXcuaHRtbD9pZHhubz01ODM30gEA?oc=5</v>
      </c>
      <c r="C98" s="1" t="str">
        <f ca="1">IFERROR(__xludf.DUMMYFUNCTION("""COMPUTED_VALUE"""),"Sun, 16 Jul 2023 07:00:00 GMT")</f>
        <v>Sun, 16 Jul 2023 07:00:00 GMT</v>
      </c>
      <c r="D98" s="1" t="str">
        <f ca="1">IFERROR(__xludf.DUMMYFUNCTION("""COMPUTED_VALUE"""),"서울대가 마지막으로 공개하는 합격 자소서 해답은 “깊고 넓게”  괜찮은 뉴스")</f>
        <v>서울대가 마지막으로 공개하는 합격 자소서 해답은 “깊고 넓게”  괜찮은 뉴스</v>
      </c>
    </row>
    <row r="99" spans="1:4" ht="12.5" x14ac:dyDescent="0.25">
      <c r="A99" s="1" t="str">
        <f ca="1">IFERROR(__xludf.DUMMYFUNCTION("""COMPUTED_VALUE"""),"“60세 이상 어르신 사절”.. 논란 속 노시니어존, 점점 더 확대되는 이유는? - 오토트리뷴")</f>
        <v>“60세 이상 어르신 사절”.. 논란 속 노시니어존, 점점 더 확대되는 이유는? - 오토트리뷴</v>
      </c>
      <c r="B99" s="2" t="str">
        <f ca="1">IFERROR(__xludf.DUMMYFUNCTION("""COMPUTED_VALUE"""),"https://news.google.com/rss/articles/CBMiPmh0dHBzOi8vd3d3LmF1dG90cmlidW5lLmNvLmtyL25ld3MvYXJ0aWNsZVZpZXcuaHRtbD9pZHhubz04MzMy0gEA?oc=5")</f>
        <v>https://news.google.com/rss/articles/CBMiPmh0dHBzOi8vd3d3LmF1dG90cmlidW5lLmNvLmtyL25ld3MvYXJ0aWNsZVZpZXcuaHRtbD9pZHhubz04MzMy0gEA?oc=5</v>
      </c>
      <c r="C99" s="1" t="str">
        <f ca="1">IFERROR(__xludf.DUMMYFUNCTION("""COMPUTED_VALUE"""),"Mon, 22 May 2023 07:00:00 GMT")</f>
        <v>Mon, 22 May 2023 07:00:00 GMT</v>
      </c>
      <c r="D99" s="1" t="str">
        <f ca="1">IFERROR(__xludf.DUMMYFUNCTION("""COMPUTED_VALUE"""),"“60세 이상 어르신 사절”.. 논란 속 노시니어존, 점점 더 확대되는 이유는?  오토트리뷴")</f>
        <v>“60세 이상 어르신 사절”.. 논란 속 노시니어존, 점점 더 확대되는 이유는?  오토트리뷴</v>
      </c>
    </row>
    <row r="100" spans="1:4" ht="12.5" x14ac:dyDescent="0.25">
      <c r="A100" s="1" t="str">
        <f ca="1">IFERROR(__xludf.DUMMYFUNCTION("""COMPUTED_VALUE"""),"[전문가의 세계 - 박승일 영화X기술] 인간이 만드는 AI·로봇, 인간을 닮아가는 걸 두려워해야 하는 아이러니 - 경향신문")</f>
        <v>[전문가의 세계 - 박승일 영화X기술] 인간이 만드는 AI·로봇, 인간을 닮아가는 걸 두려워해야 하는 아이러니 - 경향신문</v>
      </c>
      <c r="B100" s="2" t="str">
        <f ca="1">IFERROR(__xludf.DUMMYFUNCTION("""COMPUTED_VALUE"""),"https://news.google.com/rss/articles/CBMiLGh0dHBzOi8vbS5raGFuLmNvLmtyL2FydGljbGUvMjAyMzA4MTcyMDMxMDA10gFIaHR0cHM6Ly9tLmtoYW4uY28ua3IvY3VsdHVyZS9jdWx0dXJlLWdlbmVyYWwvYXJ0aWNsZS8yMDIzMDgxNzIwMzEwMDUvYW1w?oc=5")</f>
        <v>https://news.google.com/rss/articles/CBMiLGh0dHBzOi8vbS5raGFuLmNvLmtyL2FydGljbGUvMjAyMzA4MTcyMDMxMDA10gFIaHR0cHM6Ly9tLmtoYW4uY28ua3IvY3VsdHVyZS9jdWx0dXJlLWdlbmVyYWwvYXJ0aWNsZS8yMDIzMDgxNzIwMzEwMDUvYW1w?oc=5</v>
      </c>
      <c r="C100" s="1" t="str">
        <f ca="1">IFERROR(__xludf.DUMMYFUNCTION("""COMPUTED_VALUE"""),"Thu, 17 Aug 2023 07:00:00 GMT")</f>
        <v>Thu, 17 Aug 2023 07:00:00 GMT</v>
      </c>
      <c r="D100" s="1" t="str">
        <f ca="1">IFERROR(__xludf.DUMMYFUNCTION("""COMPUTED_VALUE"""),"[전문가의 세계 - 박승일 영화X기술] 인간이 만드는 AI·로봇, 인간을 닮아가는 걸 두려워해야 하는 아이러니  경향신문")</f>
        <v>[전문가의 세계 - 박승일 영화X기술] 인간이 만드는 AI·로봇, 인간을 닮아가는 걸 두려워해야 하는 아이러니  경향신문</v>
      </c>
    </row>
    <row r="101" spans="1:4" ht="12.5" x14ac:dyDescent="0.25">
      <c r="A101" s="1" t="str">
        <f ca="1">IFERROR(__xludf.DUMMYFUNCTION("""COMPUTED_VALUE"""),"신림역 흉기난동' 피의자 구속 갈림길 - 노컷뉴스")</f>
        <v>신림역 흉기난동' 피의자 구속 갈림길 - 노컷뉴스</v>
      </c>
      <c r="B101" s="2" t="str">
        <f ca="1">IFERROR(__xludf.DUMMYFUNCTION("""COMPUTED_VALUE"""),"https://news.google.com/rss/articles/CBMiKGh0dHBzOi8vd3d3Lm5vY3V0bmV3cy5jby5rci9uZXdzLzU5ODIwMTjSASpodHRwczovL20ubm9jdXRuZXdzLmNvLmtyL25ld3MvYW1wLzU5ODIwMTg?oc=5")</f>
        <v>https://news.google.com/rss/articles/CBMiKGh0dHBzOi8vd3d3Lm5vY3V0bmV3cy5jby5rci9uZXdzLzU5ODIwMTjSASpodHRwczovL20ubm9jdXRuZXdzLmNvLmtyL25ld3MvYW1wLzU5ODIwMTg?oc=5</v>
      </c>
      <c r="C101" s="1" t="str">
        <f ca="1">IFERROR(__xludf.DUMMYFUNCTION("""COMPUTED_VALUE"""),"Sun, 23 Jul 2023 07:00:00 GMT")</f>
        <v>Sun, 23 Jul 2023 07:00:00 GMT</v>
      </c>
      <c r="D101" s="1" t="str">
        <f ca="1">IFERROR(__xludf.DUMMYFUNCTION("""COMPUTED_VALUE"""),"신림역 흉기난동' 피의자 구속 갈림길  노컷뉴스")</f>
        <v>신림역 흉기난동' 피의자 구속 갈림길  노컷뉴스</v>
      </c>
    </row>
    <row r="102" spans="1:4" ht="12.5" x14ac:dyDescent="0.25">
      <c r="A102" s="1" t="str">
        <f ca="1">IFERROR(__xludf.DUMMYFUNCTION("""COMPUTED_VALUE"""),"75세면 국가에 안락사 신청? “목숨까지 경제 척도로 재서야” - 한국일보")</f>
        <v>75세면 국가에 안락사 신청? “목숨까지 경제 척도로 재서야” - 한국일보</v>
      </c>
      <c r="B102" s="2" t="str">
        <f ca="1">IFERROR(__xludf.DUMMYFUNCTION("""COMPUTED_VALUE"""),"https://news.google.com/rss/articles/CBMiOGh0dHBzOi8vbS5oYW5rb29raWxiby5jb20vTmV3cy9SZWFkL0EyMDIyMTAwOTE2MzYwMDAwODUx0gEA?oc=5")</f>
        <v>https://news.google.com/rss/articles/CBMiOGh0dHBzOi8vbS5oYW5rb29raWxiby5jb20vTmV3cy9SZWFkL0EyMDIyMTAwOTE2MzYwMDAwODUx0gEA?oc=5</v>
      </c>
      <c r="C102" s="1" t="str">
        <f ca="1">IFERROR(__xludf.DUMMYFUNCTION("""COMPUTED_VALUE"""),"Mon, 10 Oct 2022 07:00:00 GMT")</f>
        <v>Mon, 10 Oct 2022 07:00:00 GMT</v>
      </c>
      <c r="D102" s="1" t="str">
        <f ca="1">IFERROR(__xludf.DUMMYFUNCTION("""COMPUTED_VALUE"""),"75세면 국가에 안락사 신청? “목숨까지 경제 척도로 재서야”  한국일보")</f>
        <v>75세면 국가에 안락사 신청? “목숨까지 경제 척도로 재서야”  한국일보</v>
      </c>
    </row>
    <row r="103" spans="1:4" ht="12.5" x14ac:dyDescent="0.25">
      <c r="A103" s="1" t="str">
        <f ca="1">IFERROR(__xludf.DUMMYFUNCTION("""COMPUTED_VALUE"""),"국민 과반수 ""한국사회, 이주민 혐오·차별하고 있어"" - 프레시안")</f>
        <v>국민 과반수 "한국사회, 이주민 혐오·차별하고 있어" - 프레시안</v>
      </c>
      <c r="B103" s="2" t="str">
        <f ca="1">IFERROR(__xludf.DUMMYFUNCTION("""COMPUTED_VALUE"""),"https://news.google.com/rss/articles/CBMiO2h0dHBzOi8vd3d3LnByZXNzaWFuLmNvbS9wYWdlcy9hcnRpY2xlcy8yMDIzMDMyMTE3MjcxNjA3OTA40gEA?oc=5")</f>
        <v>https://news.google.com/rss/articles/CBMiO2h0dHBzOi8vd3d3LnByZXNzaWFuLmNvbS9wYWdlcy9hcnRpY2xlcy8yMDIzMDMyMTE3MjcxNjA3OTA40gEA?oc=5</v>
      </c>
      <c r="C103" s="1" t="str">
        <f ca="1">IFERROR(__xludf.DUMMYFUNCTION("""COMPUTED_VALUE"""),"Tue, 21 Mar 2023 07:00:00 GMT")</f>
        <v>Tue, 21 Mar 2023 07:00:00 GMT</v>
      </c>
      <c r="D103" s="1" t="str">
        <f ca="1">IFERROR(__xludf.DUMMYFUNCTION("""COMPUTED_VALUE"""),"국민 과반수 ""한국사회, 이주민 혐오·차별하고 있어""  프레시안")</f>
        <v>국민 과반수 "한국사회, 이주민 혐오·차별하고 있어"  프레시안</v>
      </c>
    </row>
    <row r="104" spans="1:4" ht="12.5" x14ac:dyDescent="0.25">
      <c r="A104" s="1" t="str">
        <f ca="1">IFERROR(__xludf.DUMMYFUNCTION("""COMPUTED_VALUE"""),"[지지대] 노시니어존 - 경기일보")</f>
        <v>[지지대] 노시니어존 - 경기일보</v>
      </c>
      <c r="B104" s="2" t="str">
        <f ca="1">IFERROR(__xludf.DUMMYFUNCTION("""COMPUTED_VALUE"""),"https://news.google.com/rss/articles/CBMiL2h0dHBzOi8vd3d3Lmt5ZW9uZ2dpLmNvbS9hcnRpY2xlLzIwMjMwNTE1NTgwMzAw0gEyaHR0cHM6Ly93d3cua3llb25nZ2kuY29tL2FydGljbGVBbXAvMjAyMzA1MTU1ODAzMDA?oc=5")</f>
        <v>https://news.google.com/rss/articles/CBMiL2h0dHBzOi8vd3d3Lmt5ZW9uZ2dpLmNvbS9hcnRpY2xlLzIwMjMwNTE1NTgwMzAw0gEyaHR0cHM6Ly93d3cua3llb25nZ2kuY29tL2FydGljbGVBbXAvMjAyMzA1MTU1ODAzMDA?oc=5</v>
      </c>
      <c r="C104" s="1" t="str">
        <f ca="1">IFERROR(__xludf.DUMMYFUNCTION("""COMPUTED_VALUE"""),"Tue, 16 May 2023 07:00:00 GMT")</f>
        <v>Tue, 16 May 2023 07:00:00 GMT</v>
      </c>
      <c r="D104" s="1" t="str">
        <f ca="1">IFERROR(__xludf.DUMMYFUNCTION("""COMPUTED_VALUE"""),"[지지대] 노시니어존  경기일보")</f>
        <v>[지지대] 노시니어존  경기일보</v>
      </c>
    </row>
    <row r="105" spans="1:4" ht="12.5" x14ac:dyDescent="0.25">
      <c r="A105" s="1" t="str">
        <f ca="1">IFERROR(__xludf.DUMMYFUNCTION("""COMPUTED_VALUE"""),"정청래 ""이동관은 방송 미꾸라지, 방꾸라지 같다"" - 노컷뉴스")</f>
        <v>정청래 "이동관은 방송 미꾸라지, 방꾸라지 같다" - 노컷뉴스</v>
      </c>
      <c r="B105" s="2" t="str">
        <f ca="1">IFERROR(__xludf.DUMMYFUNCTION("""COMPUTED_VALUE"""),"https://news.google.com/rss/articles/CBMiKGh0dHBzOi8vd3d3Lm5vY3V0bmV3cy5jby5rci9uZXdzLzU5ODY5MjXSASpodHRwczovL20ubm9jdXRuZXdzLmNvLmtyL25ld3MvYW1wLzU5ODY5MjU?oc=5")</f>
        <v>https://news.google.com/rss/articles/CBMiKGh0dHBzOi8vd3d3Lm5vY3V0bmV3cy5jby5rci9uZXdzLzU5ODY5MjXSASpodHRwczovL20ubm9jdXRuZXdzLmNvLmtyL25ld3MvYW1wLzU5ODY5MjU?oc=5</v>
      </c>
      <c r="C105" s="1" t="str">
        <f ca="1">IFERROR(__xludf.DUMMYFUNCTION("""COMPUTED_VALUE"""),"Tue, 01 Aug 2023 00:58:20 GMT")</f>
        <v>Tue, 01 Aug 2023 00:58:20 GMT</v>
      </c>
      <c r="D105" s="1" t="str">
        <f ca="1">IFERROR(__xludf.DUMMYFUNCTION("""COMPUTED_VALUE"""),"정청래 ""이동관은 방송 미꾸라지, 방꾸라지 같다""  노컷뉴스")</f>
        <v>정청래 "이동관은 방송 미꾸라지, 방꾸라지 같다"  노컷뉴스</v>
      </c>
    </row>
    <row r="106" spans="1:4" ht="12.5" x14ac:dyDescent="0.25">
      <c r="A106" s="1" t="str">
        <f ca="1">IFERROR(__xludf.DUMMYFUNCTION("""COMPUTED_VALUE"""),"2분기 온라인 무역 적자 1.2조…8분기 연속 적자 - 노컷뉴스")</f>
        <v>2분기 온라인 무역 적자 1.2조…8분기 연속 적자 - 노컷뉴스</v>
      </c>
      <c r="B106" s="2" t="str">
        <f ca="1">IFERROR(__xludf.DUMMYFUNCTION("""COMPUTED_VALUE"""),"https://news.google.com/rss/articles/CBMiKGh0dHBzOi8vd3d3Lm5vY3V0bmV3cy5jby5rci9uZXdzLzU5ODY5NjbSASpodHRwczovL20ubm9jdXRuZXdzLmNvLmtyL25ld3MvYW1wLzU5ODY5NjY?oc=5")</f>
        <v>https://news.google.com/rss/articles/CBMiKGh0dHBzOi8vd3d3Lm5vY3V0bmV3cy5jby5rci9uZXdzLzU5ODY5NjbSASpodHRwczovL20ubm9jdXRuZXdzLmNvLmtyL25ld3MvYW1wLzU5ODY5NjY?oc=5</v>
      </c>
      <c r="C106" s="1" t="str">
        <f ca="1">IFERROR(__xludf.DUMMYFUNCTION("""COMPUTED_VALUE"""),"Tue, 01 Aug 2023 03:03:49 GMT")</f>
        <v>Tue, 01 Aug 2023 03:03:49 GMT</v>
      </c>
      <c r="D106" s="1" t="str">
        <f ca="1">IFERROR(__xludf.DUMMYFUNCTION("""COMPUTED_VALUE"""),"2분기 온라인 무역 적자 1.2조…8분기 연속 적자  노컷뉴스")</f>
        <v>2분기 온라인 무역 적자 1.2조…8분기 연속 적자  노컷뉴스</v>
      </c>
    </row>
    <row r="107" spans="1:4" ht="12.5" x14ac:dyDescent="0.25">
      <c r="A107" s="1" t="str">
        <f ca="1">IFERROR(__xludf.DUMMYFUNCTION("""COMPUTED_VALUE"""),"[심층기획] 노인공원 법제화 필요할까?···전문가들은 “글쎄” - 라펜트")</f>
        <v>[심층기획] 노인공원 법제화 필요할까?···전문가들은 “글쎄” - 라펜트</v>
      </c>
      <c r="B107" s="2" t="str">
        <f ca="1">IFERROR(__xludf.DUMMYFUNCTION("""COMPUTED_VALUE"""),"https://news.google.com/rss/articles/CBMiOmh0dHBzOi8vd3d3LmxhZmVudC5jb20vaW5ld3MvbmV3c192aWV3Lmh0bWw_bmV3c19pZD0xMzIwMTjSAQA?oc=5")</f>
        <v>https://news.google.com/rss/articles/CBMiOmh0dHBzOi8vd3d3LmxhZmVudC5jb20vaW5ld3MvbmV3c192aWV3Lmh0bWw_bmV3c19pZD0xMzIwMTjSAQA?oc=5</v>
      </c>
      <c r="C107" s="1" t="str">
        <f ca="1">IFERROR(__xludf.DUMMYFUNCTION("""COMPUTED_VALUE"""),"Sun, 12 Mar 2023 08:00:00 GMT")</f>
        <v>Sun, 12 Mar 2023 08:00:00 GMT</v>
      </c>
      <c r="D107" s="1" t="str">
        <f ca="1">IFERROR(__xludf.DUMMYFUNCTION("""COMPUTED_VALUE"""),"[심층기획] 노인공원 법제화 필요할까?···전문가들은 “글쎄”  라펜트")</f>
        <v>[심층기획] 노인공원 법제화 필요할까?···전문가들은 “글쎄”  라펜트</v>
      </c>
    </row>
    <row r="108" spans="1:4" ht="12.5" x14ac:dyDescent="0.25">
      <c r="A108" s="1" t="str">
        <f ca="1">IFERROR(__xludf.DUMMYFUNCTION("""COMPUTED_VALUE"""),"안 늙는 사람 있나요.. ‘노인충’ ‘틀딱충’ 노인 혐오 심각 - 파이낸셜뉴스")</f>
        <v>안 늙는 사람 있나요.. ‘노인충’ ‘틀딱충’ 노인 혐오 심각 - 파이낸셜뉴스</v>
      </c>
      <c r="B108" s="2" t="str">
        <f ca="1">IFERROR(__xludf.DUMMYFUNCTION("""COMPUTED_VALUE"""),"https://news.google.com/rss/articles/CBMiLmh0dHBzOi8vd3d3LmZubmV3cy5jb20vbmV3cy8yMDE4MTAyNTA5MTUxNzU0ODfSATFodHRwczovL3d3dy5mbm5ld3MuY29tL2FtcE5ld3MvMjAxODEwMjUwOTE1MTc1NDg3?oc=5")</f>
        <v>https://news.google.com/rss/articles/CBMiLmh0dHBzOi8vd3d3LmZubmV3cy5jb20vbmV3cy8yMDE4MTAyNTA5MTUxNzU0ODfSATFodHRwczovL3d3dy5mbm5ld3MuY29tL2FtcE5ld3MvMjAxODEwMjUwOTE1MTc1NDg3?oc=5</v>
      </c>
      <c r="C108" s="1" t="str">
        <f ca="1">IFERROR(__xludf.DUMMYFUNCTION("""COMPUTED_VALUE"""),"Thu, 25 Oct 2018 07:00:00 GMT")</f>
        <v>Thu, 25 Oct 2018 07:00:00 GMT</v>
      </c>
      <c r="D108" s="1" t="str">
        <f ca="1">IFERROR(__xludf.DUMMYFUNCTION("""COMPUTED_VALUE"""),"안 늙는 사람 있나요.. ‘노인충’ ‘틀딱충’ 노인 혐오 심각  파이낸셜뉴스")</f>
        <v>안 늙는 사람 있나요.. ‘노인충’ ‘틀딱충’ 노인 혐오 심각  파이낸셜뉴스</v>
      </c>
    </row>
    <row r="109" spans="1:4" ht="12.5" x14ac:dyDescent="0.25">
      <c r="A109" s="1" t="str">
        <f ca="1">IFERROR(__xludf.DUMMYFUNCTION("""COMPUTED_VALUE"""),"[정치쇼] 박원석 ""김은경 다음 주 못 넘겨""…김근식 ""이재명 왜 숨어있나"" - SBS 뉴스")</f>
        <v>[정치쇼] 박원석 "김은경 다음 주 못 넘겨"…김근식 "이재명 왜 숨어있나" - SBS 뉴스</v>
      </c>
      <c r="B109" s="2" t="str">
        <f ca="1">IFERROR(__xludf.DUMMYFUNCTION("""COMPUTED_VALUE"""),"https://news.google.com/rss/articles/CBMiOmh0dHBzOi8vbmV3cy5zYnMuY28ua3IvbmV3cy9lbmRQYWdlLmRvP25ld3NfaWQ9TjEwMDcyOTU3NDDSATdodHRwczovL25ld3Muc2JzLmNvLmtyL2FtcC9uZXdzLmFtcD9uZXdzX2lkPU4xMDA3Mjk1NzQw?oc=5")</f>
        <v>https://news.google.com/rss/articles/CBMiOmh0dHBzOi8vbmV3cy5zYnMuY28ua3IvbmV3cy9lbmRQYWdlLmRvP25ld3NfaWQ9TjEwMDcyOTU3NDDSATdodHRwczovL25ld3Muc2JzLmNvLmtyL2FtcC9uZXdzLmFtcD9uZXdzX2lkPU4xMDA3Mjk1NzQw?oc=5</v>
      </c>
      <c r="C109" s="1" t="str">
        <f ca="1">IFERROR(__xludf.DUMMYFUNCTION("""COMPUTED_VALUE"""),"Fri, 04 Aug 2023 07:00:00 GMT")</f>
        <v>Fri, 04 Aug 2023 07:00:00 GMT</v>
      </c>
      <c r="D109" s="1" t="str">
        <f ca="1">IFERROR(__xludf.DUMMYFUNCTION("""COMPUTED_VALUE"""),"[정치쇼] 박원석 ""김은경 다음 주 못 넘겨""…김근식 ""이재명 왜 숨어있나""  SBS 뉴스")</f>
        <v>[정치쇼] 박원석 "김은경 다음 주 못 넘겨"…김근식 "이재명 왜 숨어있나"  SBS 뉴스</v>
      </c>
    </row>
    <row r="110" spans="1:4" ht="12.5" x14ac:dyDescent="0.25">
      <c r="A110" s="1" t="str">
        <f ca="1">IFERROR(__xludf.DUMMYFUNCTION("""COMPUTED_VALUE"""),"“혐오와 차별을 반대한다”…사회 수업 지지하는 제주 교사들 - 한겨레")</f>
        <v>“혐오와 차별을 반대한다”…사회 수업 지지하는 제주 교사들 - 한겨레</v>
      </c>
      <c r="B110" s="2" t="str">
        <f ca="1">IFERROR(__xludf.DUMMYFUNCTION("""COMPUTED_VALUE"""),"https://news.google.com/rss/articles/CBMiMmh0dHBzOi8vd3d3LmhhbmkuY28ua3IvYXJ0aS9hcmVhL2planUvMTA2NjUxNi5odG1s0gEA?oc=5")</f>
        <v>https://news.google.com/rss/articles/CBMiMmh0dHBzOi8vd3d3LmhhbmkuY28ua3IvYXJ0aS9hcmVhL2planUvMTA2NjUxNi5odG1s0gEA?oc=5</v>
      </c>
      <c r="C110" s="1" t="str">
        <f ca="1">IFERROR(__xludf.DUMMYFUNCTION("""COMPUTED_VALUE"""),"Wed, 09 Nov 2022 08:00:00 GMT")</f>
        <v>Wed, 09 Nov 2022 08:00:00 GMT</v>
      </c>
      <c r="D110" s="1" t="str">
        <f ca="1">IFERROR(__xludf.DUMMYFUNCTION("""COMPUTED_VALUE"""),"“혐오와 차별을 반대한다”…사회 수업 지지하는 제주 교사들  한겨레")</f>
        <v>“혐오와 차별을 반대한다”…사회 수업 지지하는 제주 교사들  한겨레</v>
      </c>
    </row>
    <row r="111" spans="1:4" ht="12.5" x14ac:dyDescent="0.25">
      <c r="A111" s="1" t="str">
        <f ca="1">IFERROR(__xludf.DUMMYFUNCTION("""COMPUTED_VALUE"""),"""아프리카 사람 돌아가""…황당한 인종차별 광고[이슈시개] - 노컷뉴스")</f>
        <v>"아프리카 사람 돌아가"…황당한 인종차별 광고[이슈시개] - 노컷뉴스</v>
      </c>
      <c r="B111" s="2" t="str">
        <f ca="1">IFERROR(__xludf.DUMMYFUNCTION("""COMPUTED_VALUE"""),"https://news.google.com/rss/articles/CBMiKGh0dHBzOi8vd3d3Lm5vY3V0bmV3cy5jby5rci9uZXdzLzU5Nzk5MTbSASpodHRwczovL20ubm9jdXRuZXdzLmNvLmtyL25ld3MvYW1wLzU5Nzk5MTY?oc=5")</f>
        <v>https://news.google.com/rss/articles/CBMiKGh0dHBzOi8vd3d3Lm5vY3V0bmV3cy5jby5rci9uZXdzLzU5Nzk5MTbSASpodHRwczovL20ubm9jdXRuZXdzLmNvLmtyL25ld3MvYW1wLzU5Nzk5MTY?oc=5</v>
      </c>
      <c r="C111" s="1" t="str">
        <f ca="1">IFERROR(__xludf.DUMMYFUNCTION("""COMPUTED_VALUE"""),"Wed, 19 Jul 2023 07:00:00 GMT")</f>
        <v>Wed, 19 Jul 2023 07:00:00 GMT</v>
      </c>
      <c r="D111" s="1" t="str">
        <f ca="1">IFERROR(__xludf.DUMMYFUNCTION("""COMPUTED_VALUE"""),"""아프리카 사람 돌아가""…황당한 인종차별 광고[이슈시개]  노컷뉴스")</f>
        <v>"아프리카 사람 돌아가"…황당한 인종차별 광고[이슈시개]  노컷뉴스</v>
      </c>
    </row>
    <row r="112" spans="1:4" ht="12.5" x14ac:dyDescent="0.25">
      <c r="A112" s="1" t="str">
        <f ca="1">IFERROR(__xludf.DUMMYFUNCTION("""COMPUTED_VALUE"""),"NPT 회의서 중국 ""핵오염수""…일본 ""IAEA 관여"" - 노컷뉴스")</f>
        <v>NPT 회의서 중국 "핵오염수"…일본 "IAEA 관여" - 노컷뉴스</v>
      </c>
      <c r="B112" s="2" t="str">
        <f ca="1">IFERROR(__xludf.DUMMYFUNCTION("""COMPUTED_VALUE"""),"https://news.google.com/rss/articles/CBMiKGh0dHBzOi8vd3d3Lm5vY3V0bmV3cy5jby5rci9uZXdzLzU5ODcyMzTSASpodHRwczovL20ubm9jdXRuZXdzLmNvLmtyL25ld3MvYW1wLzU5ODcyMzQ?oc=5")</f>
        <v>https://news.google.com/rss/articles/CBMiKGh0dHBzOi8vd3d3Lm5vY3V0bmV3cy5jby5rci9uZXdzLzU5ODcyMzTSASpodHRwczovL20ubm9jdXRuZXdzLmNvLmtyL25ld3MvYW1wLzU5ODcyMzQ?oc=5</v>
      </c>
      <c r="C112" s="1" t="str">
        <f ca="1">IFERROR(__xludf.DUMMYFUNCTION("""COMPUTED_VALUE"""),"Tue, 01 Aug 2023 05:59:03 GMT")</f>
        <v>Tue, 01 Aug 2023 05:59:03 GMT</v>
      </c>
      <c r="D112" s="1" t="str">
        <f ca="1">IFERROR(__xludf.DUMMYFUNCTION("""COMPUTED_VALUE"""),"NPT 회의서 중국 ""핵오염수""…일본 ""IAEA 관여""  노컷뉴스")</f>
        <v>NPT 회의서 중국 "핵오염수"…일본 "IAEA 관여"  노컷뉴스</v>
      </c>
    </row>
    <row r="113" spans="1:4" ht="12.5" x14ac:dyDescent="0.25">
      <c r="A113" s="1" t="str">
        <f ca="1">IFERROR(__xludf.DUMMYFUNCTION("""COMPUTED_VALUE"""),"“미디어의 소수자 차별, 사회에 공기처럼 퍼져 있어” - 미디어오늘")</f>
        <v>“미디어의 소수자 차별, 사회에 공기처럼 퍼져 있어” - 미디어오늘</v>
      </c>
      <c r="B113" s="2" t="str">
        <f ca="1">IFERROR(__xludf.DUMMYFUNCTION("""COMPUTED_VALUE"""),"https://news.google.com/rss/articles/CBMiPmh0dHA6Ly93d3cubWVkaWF0b2RheS5jby5rci9uZXdzL2FydGljbGVWaWV3Lmh0bWw_aWR4bm89MzA1NzI10gFBaHR0cDovL3d3dy5tZWRpYXRvZGF5LmNvLmtyL25ld3MvYXJ0aWNsZVZpZXdBbXAuaHRtbD9pZHhubz0zMDU3MjU?oc=5")</f>
        <v>https://news.google.com/rss/articles/CBMiPmh0dHA6Ly93d3cubWVkaWF0b2RheS5jby5rci9uZXdzL2FydGljbGVWaWV3Lmh0bWw_aWR4bm89MzA1NzI10gFBaHR0cDovL3d3dy5tZWRpYXRvZGF5LmNvLmtyL25ld3MvYXJ0aWNsZVZpZXdBbXAuaHRtbD9pZHhubz0zMDU3MjU?oc=5</v>
      </c>
      <c r="C113" s="1" t="str">
        <f ca="1">IFERROR(__xludf.DUMMYFUNCTION("""COMPUTED_VALUE"""),"Sat, 10 Sep 2022 07:00:00 GMT")</f>
        <v>Sat, 10 Sep 2022 07:00:00 GMT</v>
      </c>
      <c r="D113" s="1" t="str">
        <f ca="1">IFERROR(__xludf.DUMMYFUNCTION("""COMPUTED_VALUE"""),"“미디어의 소수자 차별, 사회에 공기처럼 퍼져 있어”  미디어오늘")</f>
        <v>“미디어의 소수자 차별, 사회에 공기처럼 퍼져 있어”  미디어오늘</v>
      </c>
    </row>
    <row r="114" spans="1:4" ht="12.5" x14ac:dyDescent="0.25">
      <c r="A114" s="1" t="str">
        <f ca="1">IFERROR(__xludf.DUMMYFUNCTION("""COMPUTED_VALUE"""),"""늙었으면 죽어야지""..경비원에 막말한 고교생, 못참고 때린 50대남성 - 파이낸셜뉴스")</f>
        <v>"늙었으면 죽어야지"..경비원에 막말한 고교생, 못참고 때린 50대남성 - 파이낸셜뉴스</v>
      </c>
      <c r="B114" s="2" t="str">
        <f ca="1">IFERROR(__xludf.DUMMYFUNCTION("""COMPUTED_VALUE"""),"https://news.google.com/rss/articles/CBMiLmh0dHBzOi8vd3d3LmZubmV3cy5jb20vbmV3cy8yMDIzMDUxMTA5NTczMjU0MTDSATFodHRwczovL3d3dy5mbm5ld3MuY29tL2FtcE5ld3MvMjAyMzA1MTEwOTU3MzI1NDEw?oc=5")</f>
        <v>https://news.google.com/rss/articles/CBMiLmh0dHBzOi8vd3d3LmZubmV3cy5jb20vbmV3cy8yMDIzMDUxMTA5NTczMjU0MTDSATFodHRwczovL3d3dy5mbm5ld3MuY29tL2FtcE5ld3MvMjAyMzA1MTEwOTU3MzI1NDEw?oc=5</v>
      </c>
      <c r="C114" s="1" t="str">
        <f ca="1">IFERROR(__xludf.DUMMYFUNCTION("""COMPUTED_VALUE"""),"Thu, 11 May 2023 07:00:00 GMT")</f>
        <v>Thu, 11 May 2023 07:00:00 GMT</v>
      </c>
      <c r="D114" s="1" t="str">
        <f ca="1">IFERROR(__xludf.DUMMYFUNCTION("""COMPUTED_VALUE"""),"""늙었으면 죽어야지""..경비원에 막말한 고교생, 못참고 때린 50대남성  파이낸셜뉴스")</f>
        <v>"늙었으면 죽어야지"..경비원에 막말한 고교생, 못참고 때린 50대남성  파이낸셜뉴스</v>
      </c>
    </row>
    <row r="115" spans="1:4" ht="12.5" x14ac:dyDescent="0.25">
      <c r="A115" s="1" t="str">
        <f ca="1">IFERROR(__xludf.DUMMYFUNCTION("""COMPUTED_VALUE"""),"다 늙는데 ‘노인충’ ‘틀딱충’이라니… 세대간 불통이 혐오로 - 파이낸셜뉴스")</f>
        <v>다 늙는데 ‘노인충’ ‘틀딱충’이라니… 세대간 불통이 혐오로 - 파이낸셜뉴스</v>
      </c>
      <c r="B115" s="2" t="str">
        <f ca="1">IFERROR(__xludf.DUMMYFUNCTION("""COMPUTED_VALUE"""),"https://news.google.com/rss/articles/CBMiLmh0dHBzOi8vd3d3LmZubmV3cy5jb20vbmV3cy8yMDE4MTAyNTE2NTEzNjYzNjDSATFodHRwczovL3d3dy5mbm5ld3MuY29tL2FtcE5ld3MvMjAxODEwMjUxNjUxMzY2MzYw?oc=5")</f>
        <v>https://news.google.com/rss/articles/CBMiLmh0dHBzOi8vd3d3LmZubmV3cy5jb20vbmV3cy8yMDE4MTAyNTE2NTEzNjYzNjDSATFodHRwczovL3d3dy5mbm5ld3MuY29tL2FtcE5ld3MvMjAxODEwMjUxNjUxMzY2MzYw?oc=5</v>
      </c>
      <c r="C115" s="1" t="str">
        <f ca="1">IFERROR(__xludf.DUMMYFUNCTION("""COMPUTED_VALUE"""),"Thu, 25 Oct 2018 07:00:00 GMT")</f>
        <v>Thu, 25 Oct 2018 07:00:00 GMT</v>
      </c>
      <c r="D115" s="1" t="str">
        <f ca="1">IFERROR(__xludf.DUMMYFUNCTION("""COMPUTED_VALUE"""),"다 늙는데 ‘노인충’ ‘틀딱충’이라니… 세대간 불통이 혐오로  파이낸셜뉴스")</f>
        <v>다 늙는데 ‘노인충’ ‘틀딱충’이라니… 세대간 불통이 혐오로  파이낸셜뉴스</v>
      </c>
    </row>
    <row r="116" spans="1:4" ht="12.5" x14ac:dyDescent="0.25">
      <c r="A116" s="1" t="str">
        <f ca="1">IFERROR(__xludf.DUMMYFUNCTION("""COMPUTED_VALUE"""),"“잼민이, 여경 등 혐오조장·성차별 표현 안돼요” - 쿠키뉴스")</f>
        <v>“잼민이, 여경 등 혐오조장·성차별 표현 안돼요” - 쿠키뉴스</v>
      </c>
      <c r="B116" s="2" t="str">
        <f ca="1">IFERROR(__xludf.DUMMYFUNCTION("""COMPUTED_VALUE"""),"https://news.google.com/rss/articles/CBMiMWh0dHBzOi8vd3d3Lmt1a2luZXdzLmNvbS9uZXdzVmlldy9rdWsyMDIzMDQxOTAyMTnSAQA?oc=5")</f>
        <v>https://news.google.com/rss/articles/CBMiMWh0dHBzOi8vd3d3Lmt1a2luZXdzLmNvbS9uZXdzVmlldy9rdWsyMDIzMDQxOTAyMTnSAQA?oc=5</v>
      </c>
      <c r="C116" s="1" t="str">
        <f ca="1">IFERROR(__xludf.DUMMYFUNCTION("""COMPUTED_VALUE"""),"Wed, 19 Apr 2023 07:00:00 GMT")</f>
        <v>Wed, 19 Apr 2023 07:00:00 GMT</v>
      </c>
      <c r="D116" s="1" t="str">
        <f ca="1">IFERROR(__xludf.DUMMYFUNCTION("""COMPUTED_VALUE"""),"“잼민이, 여경 등 혐오조장·성차별 표현 안돼요”  쿠키뉴스")</f>
        <v>“잼민이, 여경 등 혐오조장·성차별 표현 안돼요”  쿠키뉴스</v>
      </c>
    </row>
    <row r="117" spans="1:4" ht="12.5" x14ac:dyDescent="0.25">
      <c r="A117" s="1" t="str">
        <f ca="1">IFERROR(__xludf.DUMMYFUNCTION("""COMPUTED_VALUE"""),"치매 걸리느니 죽는 게 낫다고? 진짜? [김은형의 너도 늙는다] - 한겨레")</f>
        <v>치매 걸리느니 죽는 게 낫다고? 진짜? [김은형의 너도 늙는다] - 한겨레</v>
      </c>
      <c r="B117" s="2" t="str">
        <f ca="1">IFERROR(__xludf.DUMMYFUNCTION("""COMPUTED_VALUE"""),"https://news.google.com/rss/articles/CBMiN2h0dHBzOi8vd3d3LmhhbmkuY28ua3IvYXJ0aS9vcGluaW9uL2NvbHVtbi8xMDUzNDI3Lmh0bWzSAQA?oc=5")</f>
        <v>https://news.google.com/rss/articles/CBMiN2h0dHBzOi8vd3d3LmhhbmkuY28ua3IvYXJ0aS9vcGluaW9uL2NvbHVtbi8xMDUzNDI3Lmh0bWzSAQA?oc=5</v>
      </c>
      <c r="C117" s="1" t="str">
        <f ca="1">IFERROR(__xludf.DUMMYFUNCTION("""COMPUTED_VALUE"""),"Wed, 03 Aug 2022 07:00:00 GMT")</f>
        <v>Wed, 03 Aug 2022 07:00:00 GMT</v>
      </c>
      <c r="D117" s="1" t="str">
        <f ca="1">IFERROR(__xludf.DUMMYFUNCTION("""COMPUTED_VALUE"""),"치매 걸리느니 죽는 게 낫다고? 진짜? [김은형의 너도 늙는다]  한겨레")</f>
        <v>치매 걸리느니 죽는 게 낫다고? 진짜? [김은형의 너도 늙는다]  한겨레</v>
      </c>
    </row>
    <row r="118" spans="1:4" ht="12.5" x14ac:dyDescent="0.25">
      <c r="A118" s="1" t="str">
        <f ca="1">IFERROR(__xludf.DUMMYFUNCTION("""COMPUTED_VALUE"""),"자동차, 무역흑자 '견인'…반도체, 끝없는 '마이너스' - 노컷뉴스")</f>
        <v>자동차, 무역흑자 '견인'…반도체, 끝없는 '마이너스' - 노컷뉴스</v>
      </c>
      <c r="B118" s="2" t="str">
        <f ca="1">IFERROR(__xludf.DUMMYFUNCTION("""COMPUTED_VALUE"""),"https://news.google.com/rss/articles/CBMiKGh0dHBzOi8vd3d3Lm5vY3V0bmV3cy5jby5rci9uZXdzLzU5ODcwNznSASpodHRwczovL20ubm9jdXRuZXdzLmNvLmtyL25ld3MvYW1wLzU5ODcwNzk?oc=5")</f>
        <v>https://news.google.com/rss/articles/CBMiKGh0dHBzOi8vd3d3Lm5vY3V0bmV3cy5jby5rci9uZXdzLzU5ODcwNznSASpodHRwczovL20ubm9jdXRuZXdzLmNvLmtyL25ld3MvYW1wLzU5ODcwNzk?oc=5</v>
      </c>
      <c r="C118" s="1" t="str">
        <f ca="1">IFERROR(__xludf.DUMMYFUNCTION("""COMPUTED_VALUE"""),"Tue, 01 Aug 2023 02:45:44 GMT")</f>
        <v>Tue, 01 Aug 2023 02:45:44 GMT</v>
      </c>
      <c r="D118" s="1" t="str">
        <f ca="1">IFERROR(__xludf.DUMMYFUNCTION("""COMPUTED_VALUE"""),"자동차, 무역흑자 '견인'…반도체, 끝없는 '마이너스'  노컷뉴스")</f>
        <v>자동차, 무역흑자 '견인'…반도체, 끝없는 '마이너스'  노컷뉴스</v>
      </c>
    </row>
    <row r="119" spans="1:4" ht="12.5" x14ac:dyDescent="0.25">
      <c r="A119" s="1" t="str">
        <f ca="1">IFERROR(__xludf.DUMMYFUNCTION("""COMPUTED_VALUE"""),"미니 '클럽맨 언톨드 에디션' 돌아왔다…국내 200대 한정 판매 - 노컷뉴스")</f>
        <v>미니 '클럽맨 언톨드 에디션' 돌아왔다…국내 200대 한정 판매 - 노컷뉴스</v>
      </c>
      <c r="B119" s="2" t="str">
        <f ca="1">IFERROR(__xludf.DUMMYFUNCTION("""COMPUTED_VALUE"""),"https://news.google.com/rss/articles/CBMiKGh0dHBzOi8vd3d3Lm5vY3V0bmV3cy5jby5rci9uZXdzLzU5ODY4MTDSASpodHRwczovL20ubm9jdXRuZXdzLmNvLmtyL25ld3MvYW1wLzU5ODY4MTA?oc=5")</f>
        <v>https://news.google.com/rss/articles/CBMiKGh0dHBzOi8vd3d3Lm5vY3V0bmV3cy5jby5rci9uZXdzLzU5ODY4MTDSASpodHRwczovL20ubm9jdXRuZXdzLmNvLmtyL25ld3MvYW1wLzU5ODY4MTA?oc=5</v>
      </c>
      <c r="C119" s="1" t="str">
        <f ca="1">IFERROR(__xludf.DUMMYFUNCTION("""COMPUTED_VALUE"""),"Mon, 31 Jul 2023 10:07:24 GMT")</f>
        <v>Mon, 31 Jul 2023 10:07:24 GMT</v>
      </c>
      <c r="D119" s="1" t="str">
        <f ca="1">IFERROR(__xludf.DUMMYFUNCTION("""COMPUTED_VALUE"""),"미니 '클럽맨 언톨드 에디션' 돌아왔다…국내 200대 한정 판매  노컷뉴스")</f>
        <v>미니 '클럽맨 언톨드 에디션' 돌아왔다…국내 200대 한정 판매  노컷뉴스</v>
      </c>
    </row>
    <row r="120" spans="1:4" ht="12.5" x14ac:dyDescent="0.25">
      <c r="A120" s="1" t="str">
        <f ca="1">IFERROR(__xludf.DUMMYFUNCTION("""COMPUTED_VALUE"""),"성균관대학교 삼성창원병원, 암센터 개소…""토탈 케어 서비스 도입"" - 노컷뉴스")</f>
        <v>성균관대학교 삼성창원병원, 암센터 개소…"토탈 케어 서비스 도입" - 노컷뉴스</v>
      </c>
      <c r="B120" s="2" t="str">
        <f ca="1">IFERROR(__xludf.DUMMYFUNCTION("""COMPUTED_VALUE"""),"https://news.google.com/rss/articles/CBMiKGh0dHBzOi8vd3d3Lm5vY3V0bmV3cy5jby5rci9uZXdzLzU5NjY0MjPSASpodHRwczovL20ubm9jdXRuZXdzLmNvLmtyL25ld3MvYW1wLzU5NjY0MjM?oc=5")</f>
        <v>https://news.google.com/rss/articles/CBMiKGh0dHBzOi8vd3d3Lm5vY3V0bmV3cy5jby5rci9uZXdzLzU5NjY0MjPSASpodHRwczovL20ubm9jdXRuZXdzLmNvLmtyL25ld3MvYW1wLzU5NjY0MjM?oc=5</v>
      </c>
      <c r="C120" s="1" t="str">
        <f ca="1">IFERROR(__xludf.DUMMYFUNCTION("""COMPUTED_VALUE"""),"Tue, 27 Jun 2023 07:00:00 GMT")</f>
        <v>Tue, 27 Jun 2023 07:00:00 GMT</v>
      </c>
      <c r="D120" s="1" t="str">
        <f ca="1">IFERROR(__xludf.DUMMYFUNCTION("""COMPUTED_VALUE"""),"성균관대학교 삼성창원병원, 암센터 개소…""토탈 케어 서비스 도입""  노컷뉴스")</f>
        <v>성균관대학교 삼성창원병원, 암센터 개소…"토탈 케어 서비스 도입"  노컷뉴스</v>
      </c>
    </row>
    <row r="121" spans="1:4" ht="12.5" x14ac:dyDescent="0.25">
      <c r="A121" s="1" t="str">
        <f ca="1">IFERROR(__xludf.DUMMYFUNCTION("""COMPUTED_VALUE"""),"美텍사스, 밀입국 막는 '수중장벽' 논란…누구 말이 맞나 - 노컷뉴스")</f>
        <v>美텍사스, 밀입국 막는 '수중장벽' 논란…누구 말이 맞나 - 노컷뉴스</v>
      </c>
      <c r="B121" s="2" t="str">
        <f ca="1">IFERROR(__xludf.DUMMYFUNCTION("""COMPUTED_VALUE"""),"https://news.google.com/rss/articles/CBMiKGh0dHBzOi8vd3d3Lm5vY3V0bmV3cy5jby5rci9uZXdzLzU5ODI5NjXSASpodHRwczovL20ubm9jdXRuZXdzLmNvLmtyL25ld3MvYW1wLzU5ODI5NjU?oc=5")</f>
        <v>https://news.google.com/rss/articles/CBMiKGh0dHBzOi8vd3d3Lm5vY3V0bmV3cy5jby5rci9uZXdzLzU5ODI5NjXSASpodHRwczovL20ubm9jdXRuZXdzLmNvLmtyL25ld3MvYW1wLzU5ODI5NjU?oc=5</v>
      </c>
      <c r="C121" s="1" t="str">
        <f ca="1">IFERROR(__xludf.DUMMYFUNCTION("""COMPUTED_VALUE"""),"Tue, 25 Jul 2023 00:37:00 GMT")</f>
        <v>Tue, 25 Jul 2023 00:37:00 GMT</v>
      </c>
      <c r="D121" s="1" t="str">
        <f ca="1">IFERROR(__xludf.DUMMYFUNCTION("""COMPUTED_VALUE"""),"美텍사스, 밀입국 막는 '수중장벽' 논란…누구 말이 맞나  노컷뉴스")</f>
        <v>美텍사스, 밀입국 막는 '수중장벽' 논란…누구 말이 맞나  노컷뉴스</v>
      </c>
    </row>
  </sheetData>
  <phoneticPr fontId="4" type="noConversion"/>
  <hyperlinks>
    <hyperlink ref="B2" r:id="rId1" display="https://news.google.com/rss/articles/CBMiNmh0dHA6Ly93d3cuYWJja3IubmV0L25ld3MvYXJ0aWNsZVZpZXcuaHRtbD9pZHhubz01MDM3N9IBAA?oc=5" xr:uid="{00000000-0004-0000-0200-000000000000}"/>
    <hyperlink ref="B3" r:id="rId2" display="https://news.google.com/rss/articles/CBMiS2h0dHBzOi8vd3d3LmVkYWlseS5jby5rci9uZXdzL3JlYWQ_bmV3c0lkPTAxMTM0ODg2NjM1NjQ2MzEyJm1lZGlhQ29kZU5vPTI1N9IBSGh0dHBzOi8vbS5lZGFpbHkuY28ua3IvYW1wL3JlYWQ_bmV3c0lkPTAxMTM0ODg2NjM1NjQ2MzEyJm1lZGlhQ29kZU5vPTI1Nw?oc=5" xr:uid="{00000000-0004-0000-0200-000001000000}"/>
    <hyperlink ref="B4" r:id="rId3" display="https://news.google.com/rss/articles/CBMiTWh0dHBzOi8vbmV3cy5rb3JlYWRhaWx5LmNvbS8yMDIzLzA5LzAzL3NvY2lldHkvb3Bpbmlvbi8yMDIzMDkwMzA3MDA0MDE5Ni5odG1s0gEA?oc=5" xr:uid="{00000000-0004-0000-0200-000002000000}"/>
    <hyperlink ref="B5" r:id="rId4" display="https://news.google.com/rss/articles/CBMiMWh0dHBzOi8vd3d3Lmt1a2luZXdzLmNvbS9uZXdzVmlldy9rdWsyMDIzMDgxODAxNTTSAQA?oc=5" xr:uid="{00000000-0004-0000-0200-000003000000}"/>
    <hyperlink ref="B6" r:id="rId5" display="https://news.google.com/rss/articles/CBMiS2h0dHBzOi8vd3d3LmVkYWlseS5jby5rci9uZXdzL3JlYWQ_bmV3c0lkPTAxMTA1MzY2NjM1NzA5OTQ0Jm1lZGlhQ29kZU5vPTI1N9IBSGh0dHBzOi8vbS5lZGFpbHkuY28ua3IvYW1wL3JlYWQ_bmV3c0lkPTAxMTA1MzY2NjM1NzA5OTQ0Jm1lZGlhQ29kZU5vPTI1Nw?oc=5" xr:uid="{00000000-0004-0000-0200-000004000000}"/>
    <hyperlink ref="B7" r:id="rId6" display="https://news.google.com/rss/articles/CBMiM2h0dHBzOi8vd3d3LmFzaWFlLmNvLmtyL2FydGljbGUvMjAyMDAxMTcxNDM4MzY5ODM2OdIBAA?oc=5" xr:uid="{00000000-0004-0000-0200-000005000000}"/>
    <hyperlink ref="B8" r:id="rId7" display="https://news.google.com/rss/articles/CBMiKGh0dHBzOi8vd3d3Lm5vY3V0bmV3cy5jby5rci9uZXdzLzU5ODcwMTnSASpodHRwczovL20ubm9jdXRuZXdzLmNvLmtyL25ld3MvYW1wLzU5ODcwMTk?oc=5" xr:uid="{00000000-0004-0000-0200-000006000000}"/>
    <hyperlink ref="B9" r:id="rId8" display="https://news.google.com/rss/articles/CBMiQWh0dHBzOi8vd3d3LmhlYWRsaW5lamVqdS5jby5rci9uZXdzL2FydGljbGVWaWV3Lmh0bWw_aWR4bm89NTIxMzg30gEA?oc=5" xr:uid="{00000000-0004-0000-0200-000007000000}"/>
    <hyperlink ref="B10" r:id="rId9" display="https://news.google.com/rss/articles/CBMiKGh0dHBzOi8vd3d3Lm5vY3V0bmV3cy5jby5rci9uZXdzLzU5ODcyNDTSASpodHRwczovL20ubm9jdXRuZXdzLmNvLmtyL25ld3MvYW1wLzU5ODcyNDQ?oc=5" xr:uid="{00000000-0004-0000-0200-000008000000}"/>
    <hyperlink ref="B11" r:id="rId10" display="https://news.google.com/rss/articles/CBMiQ2h0dHBzOi8vd3d3LmRvbmdhLmNvbS9uZXdzL0N1bHR1cmUvYXJ0aWNsZS9hbGwvMjAyMzA5MDEvMTIwOTc5NDUxLzHSATdodHRwczovL3d3dy5kb25nYS5jb20vbmV3cy9hbXAvYWxsLzIwMjMwOTAxLzEyMDk3OTQ1MS8x?oc=5" xr:uid="{00000000-0004-0000-0200-000009000000}"/>
    <hyperlink ref="B12" r:id="rId11" display="https://news.google.com/rss/articles/CBMiM2h0dHBzOi8vbmV3cy5uYXRlLmNvbS92aWV3LzIwMjMwOTAybjAwNjI1P21pZD1uMDEwMNIBAA?oc=5" xr:uid="{00000000-0004-0000-0200-00000A000000}"/>
    <hyperlink ref="B13" r:id="rId12" display="https://news.google.com/rss/articles/CBMiTWh0dHBzOi8vd2Vla2x5LmtoYW4uY28ua3Iva2hubS5odG1sP21vZGU9dmlldyZkZXB0PTExNSZhcnRfaWQ9MjAyMzA4MjUxMDU1MTcx0gEA?oc=5" xr:uid="{00000000-0004-0000-0200-00000B000000}"/>
    <hyperlink ref="B14" r:id="rId13" display="https://news.google.com/rss/articles/CBMiO2h0dHBzOi8vd3d3LmRvbWluaWxiby5jb20vbmV3cy9hcnRpY2xlVmlldy5odG1sP2lkeG5vPTcxNTQw0gEA?oc=5" xr:uid="{00000000-0004-0000-0200-00000C000000}"/>
    <hyperlink ref="B15" r:id="rId14" display="https://news.google.com/rss/articles/CBMiJmh0dHBzOi8vd3d3Lm5ld3MxLmtyL2FydGljbGVzLz81MTU4NTA10gEqaHR0cHM6Ly93d3cubmV3czEua3IvYW1wL2FydGljbGVzLz81MTU4NTA1?oc=5" xr:uid="{00000000-0004-0000-0200-00000D000000}"/>
    <hyperlink ref="B16" r:id="rId15" display="https://news.google.com/rss/articles/CBMiNmh0dHBzOi8vd3d3Lm1lZGlmb25ld3MuY29tL25ld3MvYXJ0aWNsZS5odG1sP25vPTE4MTkyNdIBAA?oc=5" xr:uid="{00000000-0004-0000-0200-00000E000000}"/>
    <hyperlink ref="B17" r:id="rId16" display="https://news.google.com/rss/articles/CBMiPGh0dHBzOi8vd3d3LnRoZXNjb29wLmNvLmtyL25ld3MvYXJ0aWNsZVZpZXcuaHRtbD9pZHhubz01ODQ3NtIBAA?oc=5" xr:uid="{00000000-0004-0000-0200-00000F000000}"/>
    <hyperlink ref="B18" r:id="rId17" display="https://news.google.com/rss/articles/CBMiKWh0dHBzOi8vbmV3cy5uYXRlLmNvbS92aWV3LzIwMjMwODE5bjA2NDY30gEA?oc=5" xr:uid="{00000000-0004-0000-0200-000010000000}"/>
    <hyperlink ref="B19" r:id="rId18" display="https://news.google.com/rss/articles/CBMiPmh0dHBzOi8vd3d3LndvbWVubmV3cy5jby5rci9uZXdzL2FydGljbGVWaWV3Lmh0bWw_aWR4bm89MjM5NDEx0gEA?oc=5" xr:uid="{00000000-0004-0000-0200-000011000000}"/>
    <hyperlink ref="B20" r:id="rId19" display="https://news.google.com/rss/articles/CBMiS2h0dHBzOi8vd3d3LmVkYWlseS5jby5rci9uZXdzL3JlYWQ_bmV3c0lkPTAxMTY3Njg2NjMyNDg4OTg0Jm1lZGlhQ29kZU5vPTI1N9IBSGh0dHBzOi8vbS5lZGFpbHkuY28ua3IvYW1wL3JlYWQ_bmV3c0lkPTAxMTY3Njg2NjMyNDg4OTg0Jm1lZGlhQ29kZU5vPTI1Nw?oc=5" xr:uid="{00000000-0004-0000-0200-000012000000}"/>
    <hyperlink ref="B21" r:id="rId20" display="https://news.google.com/rss/articles/CBMiPGh0dHBzOi8vd3d3Lm5ld3Nrb3JlYS5uZS5rci9uZXdzL2FydGljbGVWaWV3Lmh0bWw_aWR4bm89NzU4MdIBAA?oc=5" xr:uid="{00000000-0004-0000-0200-000013000000}"/>
    <hyperlink ref="B22" r:id="rId21" display="https://news.google.com/rss/articles/CBMiNmh0dHBzOi8vd3d3Lmhhbmt5dW5nLmNvbS9vcGluaW9uL2FydGljbGUvMjAyMzA4MDIwNjc0MdIBMmh0dHBzOi8vd3d3Lmhhbmt5dW5nLmNvbS9vcGluaW9uL2FtcC8yMDIzMDgwMjA2NzQx?oc=5" xr:uid="{00000000-0004-0000-0200-000014000000}"/>
    <hyperlink ref="B23" r:id="rId22" display="https://news.google.com/rss/articles/CBMiN2h0dHBzOi8vbmV3cy5tdC5jby5rci9tdHZpZXcucGhwP25vPTIwMjMwODAyMjAzODA2NjUyMTnSAT1odHRwczovL20ubXQuY28ua3IvcmVuZXcvdmlld19hbXAuaHRtbD9ubz0yMDIzMDgwMjIwMzgwNjY1MjE5?oc=5" xr:uid="{00000000-0004-0000-0200-000015000000}"/>
    <hyperlink ref="B24" r:id="rId23" display="https://news.google.com/rss/articles/CBMiRGh0dHBzOi8vd3d3LmR0LmNvLmtyL2NvbnRlbnRzLmh0bWw_YXJ0aWNsZV9ubz0yMDIzMDgwMjAyMTA5OTU4MDUxMDA00gEA?oc=5" xr:uid="{00000000-0004-0000-0200-000016000000}"/>
    <hyperlink ref="B25" r:id="rId24" display="https://news.google.com/rss/articles/CBMiO2h0dHBzOi8vd3d3LmR0bmV3czI0LmNvbS9uZXdzL2FydGljbGVWaWV3Lmh0bWw_aWR4bm89NzUyNDg30gEA?oc=5" xr:uid="{00000000-0004-0000-0200-000017000000}"/>
    <hyperlink ref="B26" r:id="rId25" display="https://news.google.com/rss/articles/CBMiS2h0dHA6Ly93ZWVrbHkua2hhbi5jby5rci9raG5tLmh0bWw_bW9kZT12aWV3JmFydGlkPTIwMjMwODI1MTA1NTE3MSZjb2RlPTExNdIBAA?oc=5" xr:uid="{00000000-0004-0000-0200-000018000000}"/>
    <hyperlink ref="B27" r:id="rId26" display="https://news.google.com/rss/articles/CBMiOGh0dHBzOi8vbS5oYW5rb29raWxiby5jb20vTmV3cy9SZWFkL0EyMDIzMDgwNjEyNDgwMDA1OTY50gEA?oc=5" xr:uid="{00000000-0004-0000-0200-000019000000}"/>
    <hyperlink ref="B28" r:id="rId27" display="https://news.google.com/rss/articles/CBMiK2h0dHBzOi8vd3d3LnNlZGFpbHkuY29tL05ld3NWaWV3LzI5UzdVM0dXQVbSASxodHRwczovL20uc2VkYWlseS5jb20vTmV3c1ZpZXdBbXAvMjlTN1UzR1dBVg?oc=5" xr:uid="{00000000-0004-0000-0200-00001A000000}"/>
    <hyperlink ref="B29" r:id="rId28" display="https://news.google.com/rss/articles/CBMiN2h0dHBzOi8vd3d3LmhhbmkuY28ua3IvYXJ0aS9vcGluaW9uL2NvbHVtbi8xMTAzMjE2Lmh0bWzSAQA?oc=5" xr:uid="{00000000-0004-0000-0200-00001B000000}"/>
    <hyperlink ref="B30" r:id="rId29" display="https://news.google.com/rss/articles/CBMiTmh0dHBzOi8vd3d3LmNob3N1bi5jb20vbmF0aW9uYWwvd2Vla2VuZC8yMDIzLzA4LzI2L0lIRUJDSVdNNU5CWk5HTVU2UFBBWUdZUVlRL9IBXWh0dHBzOi8vd3d3LmNob3N1bi5jb20vbmF0aW9uYWwvd2Vla2VuZC8yMDIzLzA4LzI2L0lIRUJDSVdNNU5CWk5HTVU2UFBBWUdZUVlRLz9vdXRwdXRUeXBlPWFtcA?oc=5" xr:uid="{00000000-0004-0000-0200-00001C000000}"/>
    <hyperlink ref="B31" r:id="rId30" display="https://news.google.com/rss/articles/CBMiPmh0dHA6Ly93d3cuMWNvbm9teW5ld3MuY28ua3IvbmV3cy9hcnRpY2xlVmlldy5odG1sP2lkeG5vPTI0MzU10gFBaHR0cDovL3d3dy4xY29ub215bmV3cy5jby5rci9uZXdzL2FydGljbGVWaWV3QW1wLmh0bWw_aWR4bm89MjQzNTU?oc=5" xr:uid="{00000000-0004-0000-0200-00001D000000}"/>
    <hyperlink ref="B32" r:id="rId31" display="https://news.google.com/rss/articles/CBMiL2h0dHBzOi8vd3d3LnluYS5jby5rci92aWV3L0FLUjIwMjMwODI5MTQ5MzAwNTE40gExaHR0cHM6Ly9tLnluYS5jby5rci9hbXAvdmlldy9BS1IyMDIzMDgyOTE0OTMwMDUxOA?oc=5" xr:uid="{00000000-0004-0000-0200-00001E000000}"/>
    <hyperlink ref="B33" r:id="rId32" display="https://news.google.com/rss/articles/CBMiO2h0dHBzOi8vd3d3LnNlb3VsLmNvLmtyL25ld3MvbmV3c1ZpZXcucGhwP2lkPTIwMjMwNTA5NTAwMTI50gEsaHR0cHM6Ly9hbXAuc2VvdWwuY28ua3Ivc2VvdWwvMjAyMzA1MDk1MDAxMjk?oc=5" xr:uid="{00000000-0004-0000-0200-00001F000000}"/>
    <hyperlink ref="B34" r:id="rId33" display="https://news.google.com/rss/articles/CBMiOmh0dHA6Ly93d3cuZGFuYmluZXdzLmNvbS9uZXdzL2FydGljbGVWaWV3Lmh0bWw_aWR4bm89MjQxOTfSAT1odHRwOi8vd3d3LmRhbmJpbmV3cy5jb20vbmV3cy9hcnRpY2xlVmlld0FtcC5odG1sP2lkeG5vPTI0MTk3?oc=5" xr:uid="{00000000-0004-0000-0200-000020000000}"/>
    <hyperlink ref="B35" r:id="rId34" display="https://news.google.com/rss/articles/CBMiOmh0dHBzOi8vd3d3LmtibWFlaWwuY29tL25ld3MvYXJ0aWNsZVZpZXcuaHRtbD9pZHhubz05NjYyNjLSAQA?oc=5" xr:uid="{00000000-0004-0000-0200-000021000000}"/>
    <hyperlink ref="B36" r:id="rId35" display="https://news.google.com/rss/articles/CBMiNWh0dHBzOi8vd3d3LmhhbmkuY28ua3IvYXJ0aS9jdWx0dXJlL2Jvb2svMTEwNjY4OC5odG1s0gEA?oc=5" xr:uid="{00000000-0004-0000-0200-000022000000}"/>
    <hyperlink ref="B37" r:id="rId36" display="https://news.google.com/rss/articles/CBMiLmh0dHBzOi8vYnJhdm8uZXRvZGF5LmNvLmtyL3ZpZXcvYXRjX3ZpZXcvMTM2ODLSAQA?oc=5" xr:uid="{00000000-0004-0000-0200-000023000000}"/>
    <hyperlink ref="B38" r:id="rId37" display="https://news.google.com/rss/articles/CBMiPmh0dHBzOi8vd3d3LnJlYWRlcnNuZXdzLmNvbS9uZXdzL2FydGljbGVWaWV3Lmh0bWw_aWR4bm89MTA4OTY00gEA?oc=5" xr:uid="{00000000-0004-0000-0200-000024000000}"/>
    <hyperlink ref="B39" r:id="rId38" display="https://news.google.com/rss/articles/CBMiOGh0dHBzOi8vd3d3LmlnaW1wby5jb20vbmV3cy9hcnRpY2xlVmlldy5odG1sP2lkeG5vPTc4MzUw0gE7aHR0cHM6Ly93d3cuaWdpbXBvLmNvbS9uZXdzL2FydGljbGVWaWV3QW1wLmh0bWw_aWR4bm89NzgzNTA?oc=5" xr:uid="{00000000-0004-0000-0200-000025000000}"/>
    <hyperlink ref="B40" r:id="rId39" display="https://news.google.com/rss/articles/CBMiO2h0dHBzOi8vd3d3LnByZXNzaWFuLmNvbS9wYWdlcy9hcnRpY2xlcy8yMDIzMDgyNzE0NDIyOTMwOTMw0gEA?oc=5" xr:uid="{00000000-0004-0000-0200-000026000000}"/>
    <hyperlink ref="B41" r:id="rId40" display="https://news.google.com/rss/articles/CBMiRGh0dHBzOi8vd3d3Lm9obXluZXdzLmNvbS9OV1NfV2ViL1ZpZXcvYXRfcGcuYXNweD9DTlROX0NEPUEwMDAyOTMyOTA30gFCaHR0cHM6Ly9tLm9obXluZXdzLmNvbS9OV1NfV2ViL01vYmlsZS9hbXAuYXNweD9DTlROX0NEPUEwMDAyOTMyOTA3?oc=5" xr:uid="{00000000-0004-0000-0200-000027000000}"/>
    <hyperlink ref="B42" r:id="rId41" display="https://news.google.com/rss/articles/CBMiLWh0dHBzOi8vd3d3LnBlb3BsZXBvd2VyMjEub3JnL3dlbGZhcmUvMTkzODc4NtIBAA?oc=5" xr:uid="{00000000-0004-0000-0200-000028000000}"/>
    <hyperlink ref="B43" r:id="rId42" display="https://news.google.com/rss/articles/CBMiQWh0dHBzOi8vd3d3LmRvbmdhLmNvbS9uZXdzL0ludGVyL2FydGljbGUvYWxsLzIwMjMwMjA5LzExNzgwMzA3OC8y0gE3aHR0cHM6Ly93d3cuZG9uZ2EuY29tL25ld3MvYW1wL2FsbC8yMDIzMDIwOS8xMTc4MDMwNzgvMg?oc=5" xr:uid="{00000000-0004-0000-0200-000029000000}"/>
    <hyperlink ref="B44" r:id="rId43" display="https://news.google.com/rss/articles/CBMiO2h0dHA6Ly93d3cubWVkaWF1cy5jby5rci9uZXdzL2FydGljbGVWaWV3Lmh0bWw_aWR4bm89MzA2MTM00gE-aHR0cDovL3d3dy5tZWRpYXVzLmNvLmtyL25ld3MvYXJ0aWNsZVZpZXdBbXAuaHRtbD9pZHhubz0zMDYxMzQ?oc=5" xr:uid="{00000000-0004-0000-0200-00002A000000}"/>
    <hyperlink ref="B45" r:id="rId44" display="https://news.google.com/rss/articles/CBMiLmh0dHBzOi8vc2hpbmRvbmdhLmRvbmdhLmNvbS8zL2FsbC8xMy8zMTE0NTg2LzHSAQA?oc=5" xr:uid="{00000000-0004-0000-0200-00002B000000}"/>
    <hyperlink ref="B46" r:id="rId45" display="https://news.google.com/rss/articles/CBMiKmh0dHBzOi8vd3d3Lm1rLmNvLmtyL25ld3MvY3VsdHVyZS8xMDgxMTYzNtIBH2h0dHBzOi8vbS5tay5jby5rci9hbXAvMTA4MTE2MzY?oc=5" xr:uid="{00000000-0004-0000-0200-00002C000000}"/>
    <hyperlink ref="B47" r:id="rId46" display="https://news.google.com/rss/articles/CBMiK2h0dHBzOi8vd3d3Lm1rLmNvLmtyL25ld3MvYnVzaW5lc3MvMTA4MTMzNjbSAR9odHRwczovL20ubWsuY28ua3IvYW1wLzEwODEzMzY2?oc=5" xr:uid="{00000000-0004-0000-0200-00002D000000}"/>
    <hyperlink ref="B48" r:id="rId47" display="https://news.google.com/rss/articles/CBMiLmh0dHBzOi8vYnJhdm8uZXRvZGF5LmNvLmtyL3ZpZXcvYXRjX3ZpZXcvMTM2NzbSAQA?oc=5" xr:uid="{00000000-0004-0000-0200-00002E000000}"/>
    <hyperlink ref="B49" r:id="rId48" display="https://news.google.com/rss/articles/CBMiQGh0dHBzOi8vd3d3Lmh1ZmZpbmd0b25wb3N0LmtyL25ld3MvYXJ0aWNsZVZpZXcuaHRtbD9pZHhubz0yMDc2MDHSAUNodHRwczovL3d3dy5odWZmaW5ndG9ucG9zdC5rci9uZXdzL2FydGljbGVWaWV3QW1wLmh0bWw_aWR4bm89MjA3NjAx?oc=5" xr:uid="{00000000-0004-0000-0200-00002F000000}"/>
    <hyperlink ref="B50" r:id="rId49" display="https://news.google.com/rss/articles/CBMiLmh0dHBzOi8vYnJhdm8uZXRvZGF5LmNvLmtyL3ZpZXcvYXRjX3ZpZXcvMTM2NzfSAQA?oc=5" xr:uid="{00000000-0004-0000-0200-000030000000}"/>
    <hyperlink ref="B51" r:id="rId50" display="https://news.google.com/rss/articles/CBMiPWh0dHA6Ly93d3cuY29uc3VtZXJ3aWRlLmNvbS9uZXdzL2FydGljbGVWaWV3Lmh0bWw_aWR4bm89NTA0MzTSAQA?oc=5" xr:uid="{00000000-0004-0000-0200-000031000000}"/>
    <hyperlink ref="B52" r:id="rId51" display="https://news.google.com/rss/articles/CBMiLmh0dHBzOi8vYnJhdm8uZXRvZGF5LmNvLmtyL3ZpZXcvYXRjX3ZpZXcvMTM2NTHSAQA?oc=5" xr:uid="{00000000-0004-0000-0200-000032000000}"/>
    <hyperlink ref="B53" r:id="rId52" display="https://news.google.com/rss/articles/CBMiLmh0dHBzOi8vYnJhdm8uZXRvZGF5LmNvLmtyL3ZpZXcvYXRjX3ZpZXcvMTM3MDHSAQA?oc=5" xr:uid="{00000000-0004-0000-0200-000033000000}"/>
    <hyperlink ref="B54" r:id="rId53" display="https://news.google.com/rss/articles/CBMiM2h0dHBzOi8vbmV3cy5uYXRlLmNvbS92aWV3LzIwMjMwOTAxbjE5MzEyP21pZD1uMTEwMdIBAA?oc=5" xr:uid="{00000000-0004-0000-0200-000034000000}"/>
    <hyperlink ref="B55" r:id="rId54" display="https://news.google.com/rss/articles/CBMiKWh0dHBzOi8vbmV3cy5uYXRlLmNvbS92aWV3LzIwMjMwODI0bjAyNTg00gEA?oc=5" xr:uid="{00000000-0004-0000-0200-000035000000}"/>
    <hyperlink ref="B56" r:id="rId55" display="https://news.google.com/rss/articles/CBMiL2h0dHBzOi8vd3d3LnBlb3BsZXBvd2VyMjEub3JnL3B1YmxpY2xhdy8xOTQ2NDEz0gEA?oc=5" xr:uid="{00000000-0004-0000-0200-000036000000}"/>
    <hyperlink ref="B57" r:id="rId56" display="https://news.google.com/rss/articles/CBMiOmh0dHBzOi8vd3d3Lm50b2RheS5jby5rci9uZXdzL2FydGljbGVWaWV3Lmh0bWw_aWR4bm89NzgwNjjSAT1odHRwczovL3d3dy5udG9kYXkuY28ua3IvbmV3cy9hcnRpY2xlVmlld0FtcC5odG1sP2lkeG5vPTc4MDY4?oc=5" xr:uid="{00000000-0004-0000-0200-000037000000}"/>
    <hyperlink ref="B58" r:id="rId57" display="https://news.google.com/rss/articles/CBMiO2h0dHBzOi8vd3d3LnByZXNzaWFuLmNvbS9wYWdlcy9hcnRpY2xlcy8yMDIzMDkwMTA5NTUxODE3ODk40gEA?oc=5" xr:uid="{00000000-0004-0000-0200-000038000000}"/>
    <hyperlink ref="B59" r:id="rId58" display="https://news.google.com/rss/articles/CBMiOmh0dHBzOi8vd3d3LmtibWFlaWwuY29tL25ld3MvYXJ0aWNsZVZpZXcuaHRtbD9pZHhubz05NjY0MznSAQA?oc=5" xr:uid="{00000000-0004-0000-0200-000039000000}"/>
    <hyperlink ref="B60" r:id="rId59" display="https://news.google.com/rss/articles/CBMiO2h0dHBzOi8vd3d3Lmdvb2RuZXdzMS5jb20vbmV3cy9hcnRpY2xlVmlldy5odG1sP2lkeG5vPTk5NzI50gE-aHR0cHM6Ly93d3cuZ29vZG5ld3MxLmNvbS9uZXdzL2FydGljbGVWaWV3QW1wLmh0bWw_aWR4bm89OTk3Mjk?oc=5" xr:uid="{00000000-0004-0000-0200-00003A000000}"/>
    <hyperlink ref="B61" r:id="rId60" display="https://news.google.com/rss/articles/CBMiLmh0dHBzOi8vYnJhdm8uZXRvZGF5LmNvLmtyL3ZpZXcvYXRjX3ZpZXcvMTQ0MDjSAQA?oc=5" xr:uid="{00000000-0004-0000-0200-00003B000000}"/>
    <hyperlink ref="B62" r:id="rId61" display="https://news.google.com/rss/articles/CBMiP2h0dHBzOi8vbm93bmV3cy5zZW91bC5jby5rci9uZXdzL25ld3NWaWV3LnBocD9pZD0yMDIzMDIxNDYwMTAxNtIBLmh0dHBzOi8vYW1wLnNlb3VsLmNvLmtyL25vd25ld3MvMjAyMzAyMTQ2MDEwMTY?oc=5" xr:uid="{00000000-0004-0000-0200-00003C000000}"/>
    <hyperlink ref="B63" r:id="rId62" display="https://news.google.com/rss/articles/CBMiPmh0dHA6Ly93d3cuMWNvbm9teW5ld3MuY28ua3IvbmV3cy9hcnRpY2xlVmlldy5odG1sP2lkeG5vPTE0MDk10gFBaHR0cDovL3d3dy4xY29ub215bmV3cy5jby5rci9uZXdzL2FydGljbGVWaWV3QW1wLmh0bWw_aWR4bm89MTQwOTU?oc=5" xr:uid="{00000000-0004-0000-0200-00003D000000}"/>
    <hyperlink ref="B64" r:id="rId63" display="https://news.google.com/rss/articles/CBMiPGh0dHBzOi8vd3d3LmplanVuZXdzLmNvbS9uZXdzL2FydGljbGVWaWV3Lmh0bWw_aWR4bm89MjIwMjAyMNIBAA?oc=5" xr:uid="{00000000-0004-0000-0200-00003E000000}"/>
    <hyperlink ref="B65" r:id="rId64" display="https://news.google.com/rss/articles/CBMiLmh0dHBzOi8vYnJhdm8uZXRvZGF5LmNvLmtyL3ZpZXcvYXRjX3ZpZXcvMTQ1MDTSAQA?oc=5" xr:uid="{00000000-0004-0000-0200-00003F000000}"/>
    <hyperlink ref="B66" r:id="rId65" display="https://news.google.com/rss/articles/CBMiRGh0dHBzOi8vd3d3Lm9obXluZXdzLmNvbS9OV1NfV2ViL1ZpZXcvYXRfcGcuYXNweD9DTlROX0NEPUEwMDAyNzc0NDQ40gFCaHR0cHM6Ly9tLm9obXluZXdzLmNvbS9OV1NfV2ViL01vYmlsZS9hbXAuYXNweD9DTlROX0NEPUEwMDAyNzc0NDQ4?oc=5" xr:uid="{00000000-0004-0000-0200-000040000000}"/>
    <hyperlink ref="B67" r:id="rId66" display="https://news.google.com/rss/articles/CBMiOGh0dHBzOi8vbS5oYW5rb29raWxiby5jb20vTmV3cy9SZWFkL0EyMDIzMDEwMzA5NTIwMDAyMTQy0gEA?oc=5" xr:uid="{00000000-0004-0000-0200-000041000000}"/>
    <hyperlink ref="B68" r:id="rId67" display="https://news.google.com/rss/articles/CBMiQ2h0dHBzOi8vd3d3LmRvbmdhLmNvbS9uZXdzL1NvY2lldHkvYXJ0aWNsZS9hbGwvMjAyMTA0MDcvMTA2Mjg3NDkwLzHSATdodHRwczovL3d3dy5kb25nYS5jb20vbmV3cy9hbXAvYWxsLzIwMjEwNDA3LzEwNjI4NzQ5MC8x?oc=5" xr:uid="{00000000-0004-0000-0200-000042000000}"/>
    <hyperlink ref="B69" r:id="rId68" display="https://news.google.com/rss/articles/CBMiLmh0dHBzOi8vYnJhdm8uZXRvZGF5LmNvLmtyL3ZpZXcvYXRjX3ZpZXcvMTQzMzPSAQA?oc=5" xr:uid="{00000000-0004-0000-0200-000043000000}"/>
    <hyperlink ref="B70" r:id="rId69" display="https://news.google.com/rss/articles/CBMiV2h0dHBzOi8vd3d3LmNob3N1bi5jb20vbmF0aW9uYWwvbmF0aW9uYWxfZ2VuZXJhbC8yMDIxLzA1LzA5L0tHUEFIWVFQS0JBWDNNQ1FZTTQyVE5UVEpJL9IBZmh0dHBzOi8vd3d3LmNob3N1bi5jb20vbmF0aW9uYWwvbmF0aW9uYWxfZ2VuZXJhbC8yMDIxLzA1LzA5L0tHUEFIWVFQS0JBWDNNQ1FZTTQyVE5UVEpJLz9vdXRwdXRUeXBlPWFtcA?oc=5" xr:uid="{00000000-0004-0000-0200-000044000000}"/>
    <hyperlink ref="B71" r:id="rId70" display="https://news.google.com/rss/articles/CBMiP2h0dHBzOi8vd3d3LmRlbWVudGlhbmV3cy5jby5rci9uZXdzL2FydGljbGVWaWV3Lmh0bWw_aWR4bm89NDI4NdIBAA?oc=5" xr:uid="{00000000-0004-0000-0200-000045000000}"/>
    <hyperlink ref="B72" r:id="rId71" display="https://news.google.com/rss/articles/CBMiP2h0dHBzOi8vd3d3LmRlbWVudGlhbmV3cy5jby5rci9uZXdzL2FydGljbGVWaWV3Lmh0bWw_aWR4bm89MjQ0MtIBAA?oc=5" xr:uid="{00000000-0004-0000-0200-000046000000}"/>
    <hyperlink ref="B73" r:id="rId72" display="https://news.google.com/rss/articles/CBMiPmh0dHBzOi8vd3d3LndvbWVubmV3cy5jby5rci9uZXdzL2FydGljbGVWaWV3Lmh0bWw_aWR4bm89MjM2NTAw0gEA?oc=5" xr:uid="{00000000-0004-0000-0200-000047000000}"/>
    <hyperlink ref="B74" r:id="rId73" display="https://news.google.com/rss/articles/CBMiNmh0dHBzOi8vbS55b25oYXBuZXdzdHYuY28ua3IvbmV3cy9NWUgyMDIzMDIyNDAxNDAwMDY0MdIBAA?oc=5" xr:uid="{00000000-0004-0000-0200-000048000000}"/>
    <hyperlink ref="B75" r:id="rId74" display="https://news.google.com/rss/articles/CBMiOmh0dHBzOi8vd3d3LmRoZGFpbHkuY28ua3IvbmV3cy9hcnRpY2xlVmlldy5odG1sP2lkeG5vPTI4ODHSAQA?oc=5" xr:uid="{00000000-0004-0000-0200-000049000000}"/>
    <hyperlink ref="B76" r:id="rId75" display="https://news.google.com/rss/articles/CBMiLmh0dHBzOi8vYnJhdm8uZXRvZGF5LmNvLmtyL3ZpZXcvYXRjX3ZpZXcvMTQzMTjSAQA?oc=5" xr:uid="{00000000-0004-0000-0200-00004A000000}"/>
    <hyperlink ref="B77" r:id="rId76" display="https://news.google.com/rss/articles/CBMiPmh0dHBzOi8vd3d3LmlseW9zZW91bC5jby5rci9uZXdzL2FydGljbGVWaWV3Lmh0bWw_aWR4bm89NDI2OTEy0gEA?oc=5" xr:uid="{00000000-0004-0000-0200-00004B000000}"/>
    <hyperlink ref="B78" r:id="rId77" display="https://news.google.com/rss/articles/CBMiKWh0dHBzOi8vd3d3Lm1lZGlhcGVuLmNvbS9uZXdzL3ZpZXcvODUwMDUy0gEA?oc=5" xr:uid="{00000000-0004-0000-0200-00004C000000}"/>
    <hyperlink ref="B79" r:id="rId78" display="https://news.google.com/rss/articles/CBMiSmh0dHA6Ly9tb250aGx5LmNob3N1bi5jb20vY2xpZW50L25ld3Mvdml3LmFzcD9jdGNkPSZuTmV3c051bWI9MjAyMzAxMTAwMDM40gEA?oc=5" xr:uid="{00000000-0004-0000-0200-00004D000000}"/>
    <hyperlink ref="B80" r:id="rId79" display="https://news.google.com/rss/articles/CBMiN2h0dHBzOi8vd3d3LmVkcGwuY28ua3IvbmV3cy9hcnRpY2xlVmlldy5odG1sP2lkeG5vPTgxOTPSAQA?oc=5" xr:uid="{00000000-0004-0000-0200-00004E000000}"/>
    <hyperlink ref="B81" r:id="rId80" display="https://news.google.com/rss/articles/CBMiLmh0dHBzOi8vYnJhdm8uZXRvZGF5LmNvLmtyL3ZpZXcvYXRjX3ZpZXcvMTM3NjfSAQA?oc=5" xr:uid="{00000000-0004-0000-0200-00004F000000}"/>
    <hyperlink ref="B82" r:id="rId81" display="https://news.google.com/rss/articles/CBMiJ2h0dHBzOi8vbS5zZWd5ZS5jb20vdmlldy8yMDE5MDMzMTUwODIzNNIBKmh0dHBzOi8vbS5zZWd5ZS5jb20vYW1wVmlldy8yMDE5MDMzMTUwODIzNA?oc=5" xr:uid="{00000000-0004-0000-0200-000050000000}"/>
    <hyperlink ref="B83" r:id="rId82" display="https://news.google.com/rss/articles/CBMiRGh0dHBzOi8vd3d3Lm9obXluZXdzLmNvbS9OV1NfV2ViL1ZpZXcvYXRfcGcuYXNweD9DTlROX0NEPUEwMDAyNjcyNTQ30gFCaHR0cHM6Ly9tLm9obXluZXdzLmNvbS9OV1NfV2ViL01vYmlsZS9hbXAuYXNweD9DTlROX0NEPUEwMDAyNjcyNTQ3?oc=5" xr:uid="{00000000-0004-0000-0200-000051000000}"/>
    <hyperlink ref="B84" r:id="rId83" display="https://news.google.com/rss/articles/CBMiN2h0dHBzOi8vbmV3cy5tdC5jby5rci9tdHZpZXcucGhwP25vPTIwMjMwMjA3MTMyNzQ3NjgxMjbSAT1odHRwczovL20ubXQuY28ua3IvcmVuZXcvdmlld19hbXAuaHRtbD9ubz0yMDIzMDIwNzEzMjc0NzY4MTI2?oc=5" xr:uid="{00000000-0004-0000-0200-000052000000}"/>
    <hyperlink ref="B85" r:id="rId84" display="https://news.google.com/rss/articles/CBMiN2h0dHBzOi8vbmV3cy5tdC5jby5rci9tdHZpZXcucGhwP25vPTIwMTgwODIzMTgzODUyNDAxMzHSAT1odHRwczovL20ubXQuY28ua3IvcmVuZXcvdmlld19hbXAuaHRtbD9ubz0yMDE4MDgyMzE4Mzg1MjQwMTMx?oc=5" xr:uid="{00000000-0004-0000-0200-000053000000}"/>
    <hyperlink ref="B86" r:id="rId85" display="https://news.google.com/rss/articles/CBMiKmh0dHBzOi8vd3d3Lm1rLmNvLmtyL25ld3Mvc29jaWV0eS8xMDM0OTU1OdIBH2h0dHBzOi8vbS5tay5jby5rci9hbXAvMTAzNDk1NTk?oc=5" xr:uid="{00000000-0004-0000-0200-000054000000}"/>
    <hyperlink ref="B87" r:id="rId86" display="https://news.google.com/rss/articles/CBMiMWh0dHBzOi8vd3d3Lnl0bi5jby5rci9fbG4vMDEwM18yMDE1MTAwMjE1MDAwODMyNzDSAUNodHRwczovL20ueXRuLmNvLmtyL25ld3Nfdmlldy5hbXAucGhwP3BhcmFtPTAxMDNfMjAxNTEwMDIxNTAwMDgzMjcw?oc=5" xr:uid="{00000000-0004-0000-0200-000055000000}"/>
    <hyperlink ref="B88" r:id="rId87" display="https://news.google.com/rss/articles/CBMiKGh0dHBzOi8vd3d3Lm5vY3V0bmV3cy5jby5rci9uZXdzLzUwNjUzMDfSASpodHRwczovL20ubm9jdXRuZXdzLmNvLmtyL25ld3MvYW1wLzUwNjUzMDc?oc=5" xr:uid="{00000000-0004-0000-0200-000056000000}"/>
    <hyperlink ref="B89" r:id="rId88" display="https://news.google.com/rss/articles/CBMiO2h0dHBzOi8vd3d3LmlkYWVndS5jby5rci9uZXdzL2FydGljbGVWaWV3Lmh0bWw_aWR4bm89NDE1OTk20gEA?oc=5" xr:uid="{00000000-0004-0000-0200-000057000000}"/>
    <hyperlink ref="B90" r:id="rId89" display="https://news.google.com/rss/articles/CBMiMmh0dHBzOi8va2duZXdzLmNvLmtyL21vYmlsZS9hcnRpY2xlLmh0bWw_bm89NzU3ODU00gEA?oc=5" xr:uid="{00000000-0004-0000-0200-000058000000}"/>
    <hyperlink ref="B91" r:id="rId90" display="https://news.google.com/rss/articles/CBMiS2h0dHBzOi8vd3d3LmNob3N1bi5jb20vZWNvbm9teS9tb25leS8yMDIyLzEyLzAxL1pPTzJMNlpTQlZIN0RNRkUzVkVMRUtHVVM0L9IBWmh0dHBzOi8vd3d3LmNob3N1bi5jb20vZWNvbm9teS9tb25leS8yMDIyLzEyLzAxL1pPTzJMNlpTQlZIN0RNRkUzVkVMRUtHVVM0Lz9vdXRwdXRUeXBlPWFtcA?oc=5" xr:uid="{00000000-0004-0000-0200-000059000000}"/>
    <hyperlink ref="B92" r:id="rId91" display="https://news.google.com/rss/articles/CBMiLmh0dHBzOi8vYnJhdm8uZXRvZGF5LmNvLmtyL3ZpZXcvYXRjX3ZpZXcvMTQ1NTHSAQA?oc=5" xr:uid="{00000000-0004-0000-0200-00005A000000}"/>
    <hyperlink ref="B93" r:id="rId92" display="https://news.google.com/rss/articles/CBMiMGh0dHBzOi8vd3d3Lm5ld3NwaW0uY29tL25ld3Mvdmlldy8yMDE4MDcyNTAwMDI1NdIBMWh0dHBzOi8vbS5uZXdzcGltLmNvbS9uZXdzYW1wL3ZpZXcvMjAxODA3MjUwMDAyNTU?oc=5" xr:uid="{00000000-0004-0000-0200-00005B000000}"/>
    <hyperlink ref="B94" r:id="rId93" display="https://news.google.com/rss/articles/CBMiKGh0dHBzOi8vd3d3Lm5vY3V0bmV3cy5jby5rci9uZXdzLzU5ODcyMjXSASpodHRwczovL20ubm9jdXRuZXdzLmNvLmtyL25ld3MvYW1wLzU5ODcyMjU?oc=5" xr:uid="{00000000-0004-0000-0200-00005C000000}"/>
    <hyperlink ref="B95" r:id="rId94" display="https://news.google.com/rss/articles/CBMiPWh0dHBzOi8vbWJuLmNvLmtyL3BhZ2VzL25ld3MvbmV3c1ZpZXcucGhwP25ld3Nfc2VxX25vPTQ1OTk3MTPSASRodHRwczovL20ubWJuLmNvLmtyL25ld3MtYW1wLzQ1OTk3MTM?oc=5" xr:uid="{00000000-0004-0000-0200-00005D000000}"/>
    <hyperlink ref="B96" r:id="rId95" display="https://news.google.com/rss/articles/CBMiOGh0dHBzOi8vd3d3Lmhhbmtvb2tpbGJvLmNvbS9OZXdzL1JlYWQvMjAyMDAzMjMxMDUwMDczMzgw0gEA?oc=5" xr:uid="{00000000-0004-0000-0200-00005E000000}"/>
    <hyperlink ref="B97" r:id="rId96" display="https://news.google.com/rss/articles/CBMiPmh0dHBzOi8vaDIxLmhhbmkuY28ua3IvYXJ0aS9zb2NpZXR5L3NvY2lldHlfZ2VuZXJhbC81MjcyMS5odG1s0gEA?oc=5" xr:uid="{00000000-0004-0000-0200-00005F000000}"/>
    <hyperlink ref="B98" r:id="rId97" display="https://news.google.com/rss/articles/CBMiOGh0dHBzOi8vd3d3Lm5leHRwbGF5LmtyL25ld3MvYXJ0aWNsZVZpZXcuaHRtbD9pZHhubz01ODM30gEA?oc=5" xr:uid="{00000000-0004-0000-0200-000060000000}"/>
    <hyperlink ref="B99" r:id="rId98" display="https://news.google.com/rss/articles/CBMiPmh0dHBzOi8vd3d3LmF1dG90cmlidW5lLmNvLmtyL25ld3MvYXJ0aWNsZVZpZXcuaHRtbD9pZHhubz04MzMy0gEA?oc=5" xr:uid="{00000000-0004-0000-0200-000061000000}"/>
    <hyperlink ref="B100" r:id="rId99" display="https://news.google.com/rss/articles/CBMiLGh0dHBzOi8vbS5raGFuLmNvLmtyL2FydGljbGUvMjAyMzA4MTcyMDMxMDA10gFIaHR0cHM6Ly9tLmtoYW4uY28ua3IvY3VsdHVyZS9jdWx0dXJlLWdlbmVyYWwvYXJ0aWNsZS8yMDIzMDgxNzIwMzEwMDUvYW1w?oc=5" xr:uid="{00000000-0004-0000-0200-000062000000}"/>
    <hyperlink ref="B101" r:id="rId100" display="https://news.google.com/rss/articles/CBMiKGh0dHBzOi8vd3d3Lm5vY3V0bmV3cy5jby5rci9uZXdzLzU5ODIwMTjSASpodHRwczovL20ubm9jdXRuZXdzLmNvLmtyL25ld3MvYW1wLzU5ODIwMTg?oc=5" xr:uid="{00000000-0004-0000-0200-000063000000}"/>
    <hyperlink ref="B102" r:id="rId101" display="https://news.google.com/rss/articles/CBMiOGh0dHBzOi8vbS5oYW5rb29raWxiby5jb20vTmV3cy9SZWFkL0EyMDIyMTAwOTE2MzYwMDAwODUx0gEA?oc=5" xr:uid="{00000000-0004-0000-0200-000064000000}"/>
    <hyperlink ref="B103" r:id="rId102" display="https://news.google.com/rss/articles/CBMiO2h0dHBzOi8vd3d3LnByZXNzaWFuLmNvbS9wYWdlcy9hcnRpY2xlcy8yMDIzMDMyMTE3MjcxNjA3OTA40gEA?oc=5" xr:uid="{00000000-0004-0000-0200-000065000000}"/>
    <hyperlink ref="B104" r:id="rId103" display="https://news.google.com/rss/articles/CBMiL2h0dHBzOi8vd3d3Lmt5ZW9uZ2dpLmNvbS9hcnRpY2xlLzIwMjMwNTE1NTgwMzAw0gEyaHR0cHM6Ly93d3cua3llb25nZ2kuY29tL2FydGljbGVBbXAvMjAyMzA1MTU1ODAzMDA?oc=5" xr:uid="{00000000-0004-0000-0200-000066000000}"/>
    <hyperlink ref="B105" r:id="rId104" display="https://news.google.com/rss/articles/CBMiKGh0dHBzOi8vd3d3Lm5vY3V0bmV3cy5jby5rci9uZXdzLzU5ODY5MjXSASpodHRwczovL20ubm9jdXRuZXdzLmNvLmtyL25ld3MvYW1wLzU5ODY5MjU?oc=5" xr:uid="{00000000-0004-0000-0200-000067000000}"/>
    <hyperlink ref="B106" r:id="rId105" display="https://news.google.com/rss/articles/CBMiKGh0dHBzOi8vd3d3Lm5vY3V0bmV3cy5jby5rci9uZXdzLzU5ODY5NjbSASpodHRwczovL20ubm9jdXRuZXdzLmNvLmtyL25ld3MvYW1wLzU5ODY5NjY?oc=5" xr:uid="{00000000-0004-0000-0200-000068000000}"/>
    <hyperlink ref="B107" r:id="rId106" display="https://news.google.com/rss/articles/CBMiOmh0dHBzOi8vd3d3LmxhZmVudC5jb20vaW5ld3MvbmV3c192aWV3Lmh0bWw_bmV3c19pZD0xMzIwMTjSAQA?oc=5" xr:uid="{00000000-0004-0000-0200-000069000000}"/>
    <hyperlink ref="B108" r:id="rId107" display="https://news.google.com/rss/articles/CBMiLmh0dHBzOi8vd3d3LmZubmV3cy5jb20vbmV3cy8yMDE4MTAyNTA5MTUxNzU0ODfSATFodHRwczovL3d3dy5mbm5ld3MuY29tL2FtcE5ld3MvMjAxODEwMjUwOTE1MTc1NDg3?oc=5" xr:uid="{00000000-0004-0000-0200-00006A000000}"/>
    <hyperlink ref="B109" r:id="rId108" display="https://news.google.com/rss/articles/CBMiOmh0dHBzOi8vbmV3cy5zYnMuY28ua3IvbmV3cy9lbmRQYWdlLmRvP25ld3NfaWQ9TjEwMDcyOTU3NDDSATdodHRwczovL25ld3Muc2JzLmNvLmtyL2FtcC9uZXdzLmFtcD9uZXdzX2lkPU4xMDA3Mjk1NzQw?oc=5" xr:uid="{00000000-0004-0000-0200-00006B000000}"/>
    <hyperlink ref="B110" r:id="rId109" display="https://news.google.com/rss/articles/CBMiMmh0dHBzOi8vd3d3LmhhbmkuY28ua3IvYXJ0aS9hcmVhL2planUvMTA2NjUxNi5odG1s0gEA?oc=5" xr:uid="{00000000-0004-0000-0200-00006C000000}"/>
    <hyperlink ref="B111" r:id="rId110" display="https://news.google.com/rss/articles/CBMiKGh0dHBzOi8vd3d3Lm5vY3V0bmV3cy5jby5rci9uZXdzLzU5Nzk5MTbSASpodHRwczovL20ubm9jdXRuZXdzLmNvLmtyL25ld3MvYW1wLzU5Nzk5MTY?oc=5" xr:uid="{00000000-0004-0000-0200-00006D000000}"/>
    <hyperlink ref="B112" r:id="rId111" display="https://news.google.com/rss/articles/CBMiKGh0dHBzOi8vd3d3Lm5vY3V0bmV3cy5jby5rci9uZXdzLzU5ODcyMzTSASpodHRwczovL20ubm9jdXRuZXdzLmNvLmtyL25ld3MvYW1wLzU5ODcyMzQ?oc=5" xr:uid="{00000000-0004-0000-0200-00006E000000}"/>
    <hyperlink ref="B113" r:id="rId112" display="https://news.google.com/rss/articles/CBMiPmh0dHA6Ly93d3cubWVkaWF0b2RheS5jby5rci9uZXdzL2FydGljbGVWaWV3Lmh0bWw_aWR4bm89MzA1NzI10gFBaHR0cDovL3d3dy5tZWRpYXRvZGF5LmNvLmtyL25ld3MvYXJ0aWNsZVZpZXdBbXAuaHRtbD9pZHhubz0zMDU3MjU?oc=5" xr:uid="{00000000-0004-0000-0200-00006F000000}"/>
    <hyperlink ref="B114" r:id="rId113" display="https://news.google.com/rss/articles/CBMiLmh0dHBzOi8vd3d3LmZubmV3cy5jb20vbmV3cy8yMDIzMDUxMTA5NTczMjU0MTDSATFodHRwczovL3d3dy5mbm5ld3MuY29tL2FtcE5ld3MvMjAyMzA1MTEwOTU3MzI1NDEw?oc=5" xr:uid="{00000000-0004-0000-0200-000070000000}"/>
    <hyperlink ref="B115" r:id="rId114" display="https://news.google.com/rss/articles/CBMiLmh0dHBzOi8vd3d3LmZubmV3cy5jb20vbmV3cy8yMDE4MTAyNTE2NTEzNjYzNjDSATFodHRwczovL3d3dy5mbm5ld3MuY29tL2FtcE5ld3MvMjAxODEwMjUxNjUxMzY2MzYw?oc=5" xr:uid="{00000000-0004-0000-0200-000071000000}"/>
    <hyperlink ref="B116" r:id="rId115" display="https://news.google.com/rss/articles/CBMiMWh0dHBzOi8vd3d3Lmt1a2luZXdzLmNvbS9uZXdzVmlldy9rdWsyMDIzMDQxOTAyMTnSAQA?oc=5" xr:uid="{00000000-0004-0000-0200-000072000000}"/>
    <hyperlink ref="B117" r:id="rId116" display="https://news.google.com/rss/articles/CBMiN2h0dHBzOi8vd3d3LmhhbmkuY28ua3IvYXJ0aS9vcGluaW9uL2NvbHVtbi8xMDUzNDI3Lmh0bWzSAQA?oc=5" xr:uid="{00000000-0004-0000-0200-000073000000}"/>
    <hyperlink ref="B118" r:id="rId117" display="https://news.google.com/rss/articles/CBMiKGh0dHBzOi8vd3d3Lm5vY3V0bmV3cy5jby5rci9uZXdzLzU5ODcwNznSASpodHRwczovL20ubm9jdXRuZXdzLmNvLmtyL25ld3MvYW1wLzU5ODcwNzk?oc=5" xr:uid="{00000000-0004-0000-0200-000074000000}"/>
    <hyperlink ref="B119" r:id="rId118" display="https://news.google.com/rss/articles/CBMiKGh0dHBzOi8vd3d3Lm5vY3V0bmV3cy5jby5rci9uZXdzLzU5ODY4MTDSASpodHRwczovL20ubm9jdXRuZXdzLmNvLmtyL25ld3MvYW1wLzU5ODY4MTA?oc=5" xr:uid="{00000000-0004-0000-0200-000075000000}"/>
    <hyperlink ref="B120" r:id="rId119" display="https://news.google.com/rss/articles/CBMiKGh0dHBzOi8vd3d3Lm5vY3V0bmV3cy5jby5rci9uZXdzLzU5NjY0MjPSASpodHRwczovL20ubm9jdXRuZXdzLmNvLmtyL25ld3MvYW1wLzU5NjY0MjM?oc=5" xr:uid="{00000000-0004-0000-0200-000076000000}"/>
    <hyperlink ref="B121" r:id="rId120" display="https://news.google.com/rss/articles/CBMiKGh0dHBzOi8vd3d3Lm5vY3V0bmV3cy5jby5rci9uZXdzLzU5ODI5NjXSASpodHRwczovL20ubm9jdXRuZXdzLmNvLmtyL25ld3MvYW1wLzU5ODI5NjU?oc=5" xr:uid="{00000000-0004-0000-0200-00007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세대갈등</vt:lpstr>
      <vt:lpstr>세대차이</vt:lpstr>
      <vt:lpstr>노인혐오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손도</dc:creator>
  <cp:lastModifiedBy>손도</cp:lastModifiedBy>
  <dcterms:created xsi:type="dcterms:W3CDTF">2023-09-04T01:39:11Z</dcterms:created>
  <dcterms:modified xsi:type="dcterms:W3CDTF">2023-09-04T01:47:16Z</dcterms:modified>
</cp:coreProperties>
</file>