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FD-LIFESCIENCES\OPEN PHILANTHROPY SYPHILIS\DATA PRODUCTION\OUTPUT\DECISION TREE\BASE FILE\"/>
    </mc:Choice>
  </mc:AlternateContent>
  <xr:revisionPtr revIDLastSave="0" documentId="13_ncr:1_{80B5D391-3A15-478E-8175-370F63F14F6B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Table S1 w ns &amp; hl" sheetId="15" r:id="rId1"/>
    <sheet name="Table S1 w ns &amp; hl-import" sheetId="12" r:id="rId2"/>
    <sheet name="Table S3 w ns &amp; hl" sheetId="20" r:id="rId3"/>
    <sheet name="Table S3 w ns &amp; hl-import" sheetId="26" r:id="rId4"/>
    <sheet name="stata output-&gt;" sheetId="18" r:id="rId5"/>
    <sheet name="prob_untr_neurosyph" sheetId="9" r:id="rId6"/>
    <sheet name="prob_untr_hearing_loss" sheetId="10" r:id="rId7"/>
    <sheet name="data sources-&gt;" sheetId="14" r:id="rId8"/>
    <sheet name="SUMMARY" sheetId="2" r:id="rId9"/>
    <sheet name="Qin et al 2014" sheetId="4" r:id="rId10"/>
  </sheets>
  <definedNames>
    <definedName name="_xlnm.Print_Area" localSheetId="9">'Qin et al 2014'!$A$1:$B$1</definedName>
    <definedName name="_xlnm.Print_Area" localSheetId="8">SUMMARY!#REF!</definedName>
    <definedName name="_xlnm.Print_Area" localSheetId="0">'Table S1 w ns &amp; hl'!$A$2:$G$12</definedName>
    <definedName name="_xlnm.Print_Area" localSheetId="1">'Table S1 w ns &amp; hl-import'!$A$2:$G$12</definedName>
    <definedName name="_xlnm.Print_Area" localSheetId="2">'Table S3 w ns &amp; hl'!$A$1:$G$35</definedName>
    <definedName name="_xlnm.Print_Area" localSheetId="3">'Table S3 w ns &amp; hl-import'!$A$1:$G$41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6" l="1"/>
  <c r="G29" i="26"/>
  <c r="G16" i="26"/>
  <c r="B41" i="26"/>
  <c r="D34" i="26"/>
  <c r="D28" i="26"/>
  <c r="B28" i="26"/>
  <c r="G27" i="26"/>
  <c r="G26" i="26"/>
  <c r="E24" i="26"/>
  <c r="F24" i="26" s="1"/>
  <c r="G24" i="26" s="1"/>
  <c r="E23" i="26"/>
  <c r="F23" i="26" s="1"/>
  <c r="G23" i="26" s="1"/>
  <c r="E21" i="26"/>
  <c r="F21" i="26" s="1"/>
  <c r="G21" i="26" s="1"/>
  <c r="E20" i="26"/>
  <c r="D15" i="26"/>
  <c r="B15" i="26"/>
  <c r="G14" i="26"/>
  <c r="G13" i="26"/>
  <c r="E11" i="26"/>
  <c r="F11" i="26" s="1"/>
  <c r="G11" i="26" s="1"/>
  <c r="E10" i="26"/>
  <c r="F10" i="26" s="1"/>
  <c r="G10" i="26" s="1"/>
  <c r="E9" i="26"/>
  <c r="F9" i="26" s="1"/>
  <c r="G9" i="26" s="1"/>
  <c r="E7" i="26"/>
  <c r="F7" i="20"/>
  <c r="F35" i="20"/>
  <c r="F30" i="20"/>
  <c r="D30" i="20"/>
  <c r="D35" i="4"/>
  <c r="C35" i="4"/>
  <c r="E33" i="4"/>
  <c r="B32" i="4"/>
  <c r="B34" i="4" s="1"/>
  <c r="E31" i="4"/>
  <c r="E30" i="4"/>
  <c r="F29" i="4"/>
  <c r="F32" i="4" s="1"/>
  <c r="F33" i="4" s="1"/>
  <c r="E29" i="4"/>
  <c r="E28" i="4"/>
  <c r="I29" i="4" s="1"/>
  <c r="E26" i="4"/>
  <c r="E23" i="4"/>
  <c r="D22" i="4"/>
  <c r="C22" i="4"/>
  <c r="C24" i="4" s="1"/>
  <c r="B22" i="4"/>
  <c r="B24" i="4" s="1"/>
  <c r="E21" i="4"/>
  <c r="E20" i="4"/>
  <c r="F19" i="4"/>
  <c r="E19" i="4"/>
  <c r="E18" i="4"/>
  <c r="I19" i="4" s="1"/>
  <c r="K17" i="4"/>
  <c r="G17" i="4"/>
  <c r="E17" i="4"/>
  <c r="E16" i="4"/>
  <c r="D14" i="4"/>
  <c r="C14" i="4"/>
  <c r="E12" i="4"/>
  <c r="D11" i="4"/>
  <c r="C11" i="4"/>
  <c r="C13" i="4" s="1"/>
  <c r="B11" i="4"/>
  <c r="B13" i="4" s="1"/>
  <c r="E10" i="4"/>
  <c r="E9" i="4"/>
  <c r="F8" i="4"/>
  <c r="E8" i="4"/>
  <c r="E7" i="4"/>
  <c r="I8" i="4" s="1"/>
  <c r="G6" i="4"/>
  <c r="H11" i="4" s="1"/>
  <c r="E6" i="4"/>
  <c r="E5" i="4"/>
  <c r="F7" i="2"/>
  <c r="D7" i="2"/>
  <c r="K6" i="2"/>
  <c r="L6" i="2" s="1"/>
  <c r="G6" i="2"/>
  <c r="D6" i="2"/>
  <c r="K5" i="2"/>
  <c r="L5" i="2" s="1"/>
  <c r="E5" i="2"/>
  <c r="D5" i="2"/>
  <c r="K4" i="2"/>
  <c r="L4" i="2" s="1"/>
  <c r="E4" i="2"/>
  <c r="D4" i="2"/>
  <c r="K3" i="2"/>
  <c r="L3" i="2" s="1"/>
  <c r="E3" i="2"/>
  <c r="D3" i="2"/>
  <c r="B35" i="20"/>
  <c r="D26" i="20"/>
  <c r="B26" i="20"/>
  <c r="E22" i="20"/>
  <c r="F22" i="20" s="1"/>
  <c r="G22" i="20" s="1"/>
  <c r="E21" i="20"/>
  <c r="F21" i="20" s="1"/>
  <c r="G21" i="20" s="1"/>
  <c r="E19" i="20"/>
  <c r="F19" i="20" s="1"/>
  <c r="G19" i="20" s="1"/>
  <c r="E18" i="20"/>
  <c r="D15" i="20"/>
  <c r="B15" i="20"/>
  <c r="G14" i="20"/>
  <c r="G13" i="20"/>
  <c r="E11" i="20"/>
  <c r="F11" i="20" s="1"/>
  <c r="G11" i="20" s="1"/>
  <c r="E10" i="20"/>
  <c r="F10" i="20" s="1"/>
  <c r="G10" i="20" s="1"/>
  <c r="E9" i="20"/>
  <c r="F9" i="20" s="1"/>
  <c r="G9" i="20" s="1"/>
  <c r="E7" i="20"/>
  <c r="F12" i="12"/>
  <c r="D12" i="12"/>
  <c r="E12" i="12" s="1"/>
  <c r="G12" i="12" s="1"/>
  <c r="F11" i="12"/>
  <c r="D11" i="12"/>
  <c r="E11" i="12" s="1"/>
  <c r="G11" i="12" s="1"/>
  <c r="F9" i="12"/>
  <c r="C9" i="12"/>
  <c r="D9" i="12" s="1"/>
  <c r="B9" i="12"/>
  <c r="F8" i="12"/>
  <c r="C8" i="12"/>
  <c r="D8" i="12" s="1"/>
  <c r="B8" i="12"/>
  <c r="F7" i="12"/>
  <c r="C7" i="12"/>
  <c r="D7" i="12" s="1"/>
  <c r="B7" i="12"/>
  <c r="F6" i="12"/>
  <c r="C6" i="12"/>
  <c r="B6" i="12"/>
  <c r="F12" i="15"/>
  <c r="D12" i="15"/>
  <c r="E12" i="15" s="1"/>
  <c r="G12" i="15" s="1"/>
  <c r="F11" i="15"/>
  <c r="D11" i="15"/>
  <c r="E11" i="15" s="1"/>
  <c r="G11" i="15" s="1"/>
  <c r="F9" i="15"/>
  <c r="C9" i="15"/>
  <c r="D9" i="15" s="1"/>
  <c r="B9" i="15"/>
  <c r="F8" i="15"/>
  <c r="C8" i="15"/>
  <c r="D8" i="15" s="1"/>
  <c r="B8" i="15"/>
  <c r="F7" i="15"/>
  <c r="C7" i="15"/>
  <c r="D7" i="15" s="1"/>
  <c r="B7" i="15"/>
  <c r="F6" i="15"/>
  <c r="C6" i="15"/>
  <c r="B6" i="15"/>
  <c r="E15" i="26" l="1"/>
  <c r="F7" i="26"/>
  <c r="E28" i="26"/>
  <c r="F20" i="26"/>
  <c r="D41" i="26"/>
  <c r="E34" i="26"/>
  <c r="D35" i="20"/>
  <c r="B13" i="15"/>
  <c r="C13" i="15"/>
  <c r="D6" i="15"/>
  <c r="E7" i="15"/>
  <c r="G7" i="15" s="1"/>
  <c r="E8" i="15"/>
  <c r="G8" i="15" s="1"/>
  <c r="E9" i="15"/>
  <c r="G9" i="15" s="1"/>
  <c r="B13" i="12"/>
  <c r="C13" i="12"/>
  <c r="D6" i="12"/>
  <c r="E7" i="12"/>
  <c r="G7" i="12" s="1"/>
  <c r="E8" i="12"/>
  <c r="G8" i="12" s="1"/>
  <c r="E9" i="12"/>
  <c r="G9" i="12" s="1"/>
  <c r="G24" i="20"/>
  <c r="G25" i="20"/>
  <c r="E15" i="20"/>
  <c r="E26" i="20"/>
  <c r="F18" i="20"/>
  <c r="J3" i="2"/>
  <c r="G3" i="2"/>
  <c r="J4" i="2"/>
  <c r="G4" i="2"/>
  <c r="H4" i="2" s="1"/>
  <c r="I4" i="2" s="1"/>
  <c r="M4" i="2" s="1"/>
  <c r="J5" i="2"/>
  <c r="G5" i="2"/>
  <c r="H5" i="2" s="1"/>
  <c r="I5" i="2" s="1"/>
  <c r="M5" i="2" s="1"/>
  <c r="J6" i="2"/>
  <c r="H6" i="2"/>
  <c r="I6" i="2" s="1"/>
  <c r="M6" i="2" s="1"/>
  <c r="J7" i="2"/>
  <c r="K7" i="2"/>
  <c r="L7" i="2" s="1"/>
  <c r="F11" i="4"/>
  <c r="E11" i="4"/>
  <c r="E13" i="4" s="1"/>
  <c r="F22" i="4"/>
  <c r="E22" i="4"/>
  <c r="E24" i="4" s="1"/>
  <c r="B38" i="4"/>
  <c r="C38" i="4" s="1"/>
  <c r="H22" i="4"/>
  <c r="B37" i="4" s="1"/>
  <c r="C37" i="4" s="1"/>
  <c r="B39" i="4"/>
  <c r="C39" i="4" s="1"/>
  <c r="B40" i="4"/>
  <c r="C40" i="4" s="1"/>
  <c r="B41" i="4"/>
  <c r="C41" i="4" s="1"/>
  <c r="F34" i="26" l="1"/>
  <c r="E37" i="26"/>
  <c r="F37" i="26" s="1"/>
  <c r="E36" i="26"/>
  <c r="F28" i="26"/>
  <c r="G20" i="26"/>
  <c r="G28" i="26" s="1"/>
  <c r="F15" i="26"/>
  <c r="G7" i="26"/>
  <c r="G15" i="26" s="1"/>
  <c r="E33" i="20"/>
  <c r="F33" i="20" s="1"/>
  <c r="E32" i="20"/>
  <c r="F32" i="20" s="1"/>
  <c r="E30" i="20"/>
  <c r="E35" i="20" s="1"/>
  <c r="G7" i="2"/>
  <c r="H7" i="2" s="1"/>
  <c r="I7" i="2" s="1"/>
  <c r="M7" i="2" s="1"/>
  <c r="H3" i="2"/>
  <c r="I3" i="2" s="1"/>
  <c r="M3" i="2" s="1"/>
  <c r="F26" i="20"/>
  <c r="G18" i="20"/>
  <c r="G26" i="20" s="1"/>
  <c r="F15" i="20"/>
  <c r="G7" i="20"/>
  <c r="G15" i="20" s="1"/>
  <c r="D13" i="12"/>
  <c r="E6" i="12"/>
  <c r="G6" i="12" s="1"/>
  <c r="G13" i="12" s="1"/>
  <c r="D13" i="15"/>
  <c r="E6" i="15"/>
  <c r="G6" i="15" s="1"/>
  <c r="G13" i="15" s="1"/>
  <c r="F36" i="26" l="1"/>
  <c r="E41" i="26"/>
  <c r="F41" i="26"/>
</calcChain>
</file>

<file path=xl/sharedStrings.xml><?xml version="1.0" encoding="utf-8"?>
<sst xmlns="http://schemas.openxmlformats.org/spreadsheetml/2006/main" count="284" uniqueCount="101">
  <si>
    <t>Birth outcome</t>
  </si>
  <si>
    <t>LBW/preterm</t>
  </si>
  <si>
    <t>Neonatal death</t>
  </si>
  <si>
    <t>Stillbirth</t>
  </si>
  <si>
    <t>Early symptomatic CS</t>
  </si>
  <si>
    <t>Risk of syphilis-attributable AO among treated mothers (Korenromp)</t>
  </si>
  <si>
    <t>Percent reduction in AO due to treatment of mother relative to the risks from a non-treated syphilis birth (Korenromp)</t>
  </si>
  <si>
    <t>RR from Blencowe Table 1</t>
  </si>
  <si>
    <t>RRs from Blencowe</t>
  </si>
  <si>
    <t>risk if uninfected from Gomez</t>
  </si>
  <si>
    <t>non-incremental risk if infected and untreated: baseline risk + additive risk  (Gomez)</t>
  </si>
  <si>
    <t>incremental risk if untrtd infection: additive risk (F)  - baseline risk (E)</t>
  </si>
  <si>
    <t>incremental risk if trtd: % reduction (D) in the incremental risk in untrtd case (G)</t>
  </si>
  <si>
    <t>non-incremental risk if trtd: baseline (E) risk + additive risk (H)</t>
  </si>
  <si>
    <t>risk if infected and treated: F*C</t>
  </si>
  <si>
    <t>Any ABO</t>
  </si>
  <si>
    <t>(1)</t>
  </si>
  <si>
    <t>(2)</t>
  </si>
  <si>
    <t>(3)</t>
  </si>
  <si>
    <t>(4)</t>
  </si>
  <si>
    <t>(5)</t>
  </si>
  <si>
    <t>(6)</t>
  </si>
  <si>
    <t>Gomez et al. (2013)</t>
  </si>
  <si>
    <t>ABO risk attributable to syphilis among infected untreated women</t>
  </si>
  <si>
    <t>Among infected untreated women</t>
  </si>
  <si>
    <t>Among uninfected women</t>
  </si>
  <si>
    <t>Notes</t>
  </si>
  <si>
    <t>Adverse pregnancy outcomes prevalence</t>
  </si>
  <si>
    <t>All APO</t>
  </si>
  <si>
    <t>Congenital syphilis</t>
  </si>
  <si>
    <t>Preterm</t>
  </si>
  <si>
    <t>Low birth weight</t>
  </si>
  <si>
    <t>Stillbirth or fetal loss</t>
  </si>
  <si>
    <t>Miscarriage</t>
  </si>
  <si>
    <t>Neonatal deaths</t>
  </si>
  <si>
    <t>Categories are overlapping, proportions add up to greater than 100%</t>
  </si>
  <si>
    <t>sub-total</t>
  </si>
  <si>
    <t>total</t>
  </si>
  <si>
    <t>average of preterm &amp; LBW</t>
  </si>
  <si>
    <t>Table 5</t>
  </si>
  <si>
    <t>Proportion</t>
  </si>
  <si>
    <t>Combine preterm &amp; LBW</t>
  </si>
  <si>
    <t>Compute CS as the residual of ABOs</t>
  </si>
  <si>
    <t>Percent difference: women with untreated syphilis vs women with treted syphilis</t>
  </si>
  <si>
    <t>LBW/Preterm</t>
  </si>
  <si>
    <t>Percent reduction</t>
  </si>
  <si>
    <t>Gomez</t>
  </si>
  <si>
    <t>Percent reduction from Blencowe</t>
  </si>
  <si>
    <t>Blencowe et al. (2011)</t>
  </si>
  <si>
    <t>Neurosyphilis</t>
  </si>
  <si>
    <t>Unilateral hearing loss</t>
  </si>
  <si>
    <t>Among infected treated women</t>
  </si>
  <si>
    <t>Ratio of infected &amp; treated risk to infected &amp; untreated risk</t>
  </si>
  <si>
    <t>A. Proportion of pregnancies with LBW/preterm, neonatal death, stillbirth, and early symptomatic congenital syphilis</t>
  </si>
  <si>
    <t>Notes:</t>
  </si>
  <si>
    <r>
      <t>Untreated mothers with syphilis</t>
    </r>
    <r>
      <rPr>
        <vertAlign val="superscript"/>
        <sz val="11"/>
        <color theme="1"/>
        <rFont val="Calibri"/>
        <family val="2"/>
        <scheme val="minor"/>
      </rPr>
      <t>a</t>
    </r>
  </si>
  <si>
    <r>
      <t>Treated mothers with syphilis</t>
    </r>
    <r>
      <rPr>
        <vertAlign val="superscript"/>
        <sz val="11"/>
        <color theme="1"/>
        <rFont val="Calibri"/>
        <family val="2"/>
        <scheme val="minor"/>
      </rPr>
      <t>a</t>
    </r>
  </si>
  <si>
    <r>
      <t>Non-syphilitic mothers</t>
    </r>
    <r>
      <rPr>
        <vertAlign val="superscript"/>
        <sz val="11"/>
        <color theme="1"/>
        <rFont val="Calibri"/>
        <family val="2"/>
        <scheme val="minor"/>
      </rPr>
      <t>b</t>
    </r>
  </si>
  <si>
    <t>a. Qin et al. (2014) Table 5</t>
  </si>
  <si>
    <t>b. Qin et al. (2014) Table 2</t>
  </si>
  <si>
    <t>Qin et al. (2014)</t>
  </si>
  <si>
    <t>(7)</t>
  </si>
  <si>
    <t>(8)</t>
  </si>
  <si>
    <t>Pooled number of ABOs</t>
  </si>
  <si>
    <t>Pooled number of pregnancies</t>
  </si>
  <si>
    <t>Pooled mean estimate of ABO proportion</t>
  </si>
  <si>
    <t>=(3)/(4)</t>
  </si>
  <si>
    <t xml:space="preserve">Table S1. Birth probabilities </t>
  </si>
  <si>
    <t>Table S3. Birth probabilities sensitivity analysis</t>
  </si>
  <si>
    <t>med_prob_untr_neurosyph</t>
  </si>
  <si>
    <t>med_prob_untr_hearing_loss</t>
  </si>
  <si>
    <t>C_1</t>
  </si>
  <si>
    <t>C_2</t>
  </si>
  <si>
    <t>C_3</t>
  </si>
  <si>
    <t>C_4</t>
  </si>
  <si>
    <t>=(4)-(2)</t>
  </si>
  <si>
    <t>C_5</t>
  </si>
  <si>
    <t>C_6</t>
  </si>
  <si>
    <t>= (2) + (5)*(6)</t>
  </si>
  <si>
    <t>Late symptomatic CS:</t>
  </si>
  <si>
    <t>Non-ABO birth</t>
  </si>
  <si>
    <t>C_7</t>
  </si>
  <si>
    <t>Incorporating late symptomatic CS neurosyphilis and hearing loss from GBD 2021, and subtracting the sum of these two probabilities from early symptomatic CS</t>
  </si>
  <si>
    <t>Proportion of pregnancies:</t>
  </si>
  <si>
    <t>Derivation of ABO probabilities for sensitivity analysis</t>
  </si>
  <si>
    <t>Adverse pregnancy outcome (APO)</t>
  </si>
  <si>
    <t xml:space="preserve">Pooled mean estimate of APO proportion </t>
  </si>
  <si>
    <t>Qin et al. proportions substituting the maximum (LBW, preterm) for the pooled LBW/preterm</t>
  </si>
  <si>
    <t xml:space="preserve">LBW/preterm </t>
  </si>
  <si>
    <t>Total</t>
  </si>
  <si>
    <r>
      <t>Non-syphilitic mothers</t>
    </r>
    <r>
      <rPr>
        <vertAlign val="superscript"/>
        <sz val="10"/>
        <color theme="1"/>
        <rFont val="Times New Roman"/>
        <family val="1"/>
      </rPr>
      <t>b</t>
    </r>
  </si>
  <si>
    <t>Adverse birth outcomes in this analysis</t>
  </si>
  <si>
    <t>Divide proportions in (4) by the sum of the proportions across all ABOs in (4)</t>
  </si>
  <si>
    <t>Incorporate late symptomatic CS neurosyphilis and hearing loss, and subtract the sum of these two probabilities from early symptomatic CS in (6)</t>
  </si>
  <si>
    <t>LBW</t>
  </si>
  <si>
    <r>
      <t>Untreated syphilitic mothers</t>
    </r>
    <r>
      <rPr>
        <vertAlign val="superscript"/>
        <sz val="10"/>
        <color theme="1"/>
        <rFont val="Times New Roman"/>
        <family val="1"/>
      </rPr>
      <t>a</t>
    </r>
  </si>
  <si>
    <r>
      <t>Treated syphilitic mothers</t>
    </r>
    <r>
      <rPr>
        <vertAlign val="superscript"/>
        <sz val="10"/>
        <color theme="1"/>
        <rFont val="Times New Roman"/>
        <family val="1"/>
      </rPr>
      <t>a</t>
    </r>
  </si>
  <si>
    <t>CS</t>
  </si>
  <si>
    <t>All APOs</t>
  </si>
  <si>
    <t>Hearing loss</t>
  </si>
  <si>
    <t>Multiply rescaled proportions in (5) by probability of all APOs from Qin et al. in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</si>
</sst>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"/>
    <numFmt numFmtId="166" formatCode="0.0000"/>
    <numFmt numFmtId="167" formatCode="#,##0.000"/>
    <numFmt numFmtId="168" formatCode="#,##0.0000"/>
    <numFmt numFmtId="169" formatCode="0.00000"/>
    <numFmt numFmtId="170" formatCode="0.000000000000000"/>
    <numFmt numFmtId="171" formatCode="0.0000000"/>
    <numFmt numFmtId="172" formatCode="0.000000000"/>
    <numFmt numFmtId="173" formatCode="0.0000000000000"/>
    <numFmt numFmtId="174" formatCode="0.00000000000000"/>
  </numFmts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2"/>
  </cellStyleXfs>
  <cellXfs count="10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wrapText="1"/>
    </xf>
    <xf numFmtId="9" fontId="4" fillId="2" borderId="0" xfId="1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5" fillId="3" borderId="0" xfId="0" applyFont="1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wrapText="1"/>
    </xf>
    <xf numFmtId="165" fontId="5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1" applyNumberFormat="1" applyFont="1"/>
    <xf numFmtId="10" fontId="0" fillId="3" borderId="0" xfId="1" applyNumberFormat="1" applyFont="1" applyFill="1" applyAlignment="1">
      <alignment horizontal="center"/>
    </xf>
    <xf numFmtId="10" fontId="0" fillId="4" borderId="0" xfId="1" applyNumberFormat="1" applyFont="1" applyFill="1"/>
    <xf numFmtId="166" fontId="0" fillId="0" borderId="0" xfId="0" applyNumberFormat="1"/>
    <xf numFmtId="10" fontId="0" fillId="2" borderId="0" xfId="1" applyNumberFormat="1" applyFont="1" applyFill="1"/>
    <xf numFmtId="10" fontId="0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65" fontId="4" fillId="0" borderId="0" xfId="0" applyNumberFormat="1" applyFont="1"/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indent="3"/>
    </xf>
    <xf numFmtId="165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6" fillId="5" borderId="0" xfId="0" applyFont="1" applyFill="1" applyAlignment="1">
      <alignment horizontal="left" indent="3"/>
    </xf>
    <xf numFmtId="165" fontId="0" fillId="5" borderId="0" xfId="0" applyNumberFormat="1" applyFill="1"/>
    <xf numFmtId="3" fontId="0" fillId="5" borderId="0" xfId="0" applyNumberFormat="1" applyFill="1"/>
    <xf numFmtId="167" fontId="0" fillId="5" borderId="0" xfId="0" applyNumberFormat="1" applyFill="1"/>
    <xf numFmtId="165" fontId="0" fillId="2" borderId="0" xfId="0" applyNumberFormat="1" applyFill="1"/>
    <xf numFmtId="167" fontId="4" fillId="2" borderId="0" xfId="0" applyNumberFormat="1" applyFont="1" applyFill="1"/>
    <xf numFmtId="168" fontId="0" fillId="0" borderId="0" xfId="0" applyNumberFormat="1"/>
    <xf numFmtId="3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168" fontId="0" fillId="3" borderId="0" xfId="0" applyNumberFormat="1" applyFill="1"/>
    <xf numFmtId="165" fontId="0" fillId="0" borderId="0" xfId="0" applyNumberFormat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/>
    <xf numFmtId="49" fontId="0" fillId="0" borderId="0" xfId="0" applyNumberFormat="1" applyAlignment="1">
      <alignment horizontal="right"/>
    </xf>
    <xf numFmtId="16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3" fillId="0" borderId="2" xfId="2"/>
    <xf numFmtId="0" fontId="9" fillId="0" borderId="2" xfId="2" applyFont="1"/>
    <xf numFmtId="0" fontId="9" fillId="0" borderId="2" xfId="2" applyFont="1" applyAlignment="1">
      <alignment horizontal="left" wrapText="1"/>
    </xf>
    <xf numFmtId="165" fontId="3" fillId="0" borderId="2" xfId="2" applyNumberFormat="1"/>
    <xf numFmtId="165" fontId="9" fillId="0" borderId="2" xfId="2" applyNumberFormat="1" applyFont="1"/>
    <xf numFmtId="0" fontId="9" fillId="0" borderId="2" xfId="2" applyFont="1" applyAlignment="1">
      <alignment horizontal="left" indent="3"/>
    </xf>
    <xf numFmtId="165" fontId="10" fillId="5" borderId="1" xfId="2" applyNumberFormat="1" applyFont="1" applyFill="1" applyBorder="1" applyAlignment="1">
      <alignment horizontal="center"/>
    </xf>
    <xf numFmtId="165" fontId="9" fillId="5" borderId="1" xfId="2" applyNumberFormat="1" applyFont="1" applyFill="1" applyBorder="1" applyAlignment="1">
      <alignment horizontal="center"/>
    </xf>
    <xf numFmtId="0" fontId="9" fillId="5" borderId="1" xfId="2" applyFont="1" applyFill="1" applyBorder="1"/>
    <xf numFmtId="0" fontId="9" fillId="5" borderId="1" xfId="2" applyFont="1" applyFill="1" applyBorder="1" applyAlignment="1">
      <alignment horizontal="left" indent="3"/>
    </xf>
    <xf numFmtId="165" fontId="10" fillId="0" borderId="2" xfId="2" applyNumberFormat="1" applyFont="1" applyAlignment="1">
      <alignment horizontal="center"/>
    </xf>
    <xf numFmtId="165" fontId="9" fillId="0" borderId="2" xfId="2" applyNumberFormat="1" applyFont="1" applyAlignment="1">
      <alignment horizontal="center"/>
    </xf>
    <xf numFmtId="0" fontId="9" fillId="0" borderId="2" xfId="2" applyFont="1" applyAlignment="1">
      <alignment horizontal="center"/>
    </xf>
    <xf numFmtId="165" fontId="9" fillId="0" borderId="2" xfId="2" applyNumberFormat="1" applyFont="1" applyAlignment="1">
      <alignment horizontal="right"/>
    </xf>
    <xf numFmtId="0" fontId="9" fillId="0" borderId="2" xfId="2" applyFont="1" applyAlignment="1">
      <alignment horizontal="left"/>
    </xf>
    <xf numFmtId="166" fontId="3" fillId="0" borderId="2" xfId="2" applyNumberFormat="1"/>
    <xf numFmtId="165" fontId="10" fillId="5" borderId="2" xfId="2" applyNumberFormat="1" applyFont="1" applyFill="1" applyAlignment="1">
      <alignment horizontal="center"/>
    </xf>
    <xf numFmtId="165" fontId="9" fillId="5" borderId="2" xfId="2" applyNumberFormat="1" applyFont="1" applyFill="1" applyAlignment="1">
      <alignment horizontal="center"/>
    </xf>
    <xf numFmtId="165" fontId="9" fillId="5" borderId="2" xfId="2" applyNumberFormat="1" applyFont="1" applyFill="1"/>
    <xf numFmtId="0" fontId="9" fillId="5" borderId="2" xfId="2" applyFont="1" applyFill="1" applyAlignment="1">
      <alignment horizontal="left" indent="3"/>
    </xf>
    <xf numFmtId="0" fontId="9" fillId="0" borderId="2" xfId="2" applyFont="1" applyAlignment="1">
      <alignment horizontal="right"/>
    </xf>
    <xf numFmtId="165" fontId="12" fillId="0" borderId="2" xfId="2" applyNumberFormat="1" applyFont="1" applyAlignment="1">
      <alignment horizontal="center"/>
    </xf>
    <xf numFmtId="49" fontId="9" fillId="0" borderId="2" xfId="2" applyNumberFormat="1" applyFont="1" applyAlignment="1">
      <alignment horizontal="right"/>
    </xf>
    <xf numFmtId="49" fontId="10" fillId="0" borderId="1" xfId="2" applyNumberFormat="1" applyFont="1" applyBorder="1" applyAlignment="1">
      <alignment horizontal="center" wrapText="1"/>
    </xf>
    <xf numFmtId="0" fontId="10" fillId="0" borderId="2" xfId="2" applyFont="1" applyAlignment="1">
      <alignment horizontal="center" wrapText="1"/>
    </xf>
    <xf numFmtId="166" fontId="9" fillId="0" borderId="2" xfId="2" applyNumberFormat="1" applyFont="1" applyAlignment="1">
      <alignment horizontal="center"/>
    </xf>
    <xf numFmtId="169" fontId="9" fillId="0" borderId="2" xfId="2" applyNumberFormat="1" applyFont="1" applyAlignment="1">
      <alignment horizontal="center"/>
    </xf>
    <xf numFmtId="170" fontId="3" fillId="0" borderId="2" xfId="2" applyNumberFormat="1"/>
    <xf numFmtId="171" fontId="9" fillId="0" borderId="2" xfId="2" applyNumberFormat="1" applyFont="1" applyAlignment="1">
      <alignment horizontal="center"/>
    </xf>
    <xf numFmtId="173" fontId="0" fillId="0" borderId="3" xfId="0" applyNumberFormat="1" applyBorder="1"/>
    <xf numFmtId="174" fontId="0" fillId="0" borderId="3" xfId="0" applyNumberFormat="1" applyBorder="1"/>
    <xf numFmtId="0" fontId="9" fillId="0" borderId="3" xfId="2" applyFont="1" applyBorder="1" applyAlignment="1">
      <alignment horizontal="left" indent="3"/>
    </xf>
    <xf numFmtId="165" fontId="9" fillId="0" borderId="3" xfId="2" applyNumberFormat="1" applyFont="1" applyBorder="1" applyAlignment="1">
      <alignment horizontal="center"/>
    </xf>
    <xf numFmtId="165" fontId="10" fillId="0" borderId="3" xfId="2" applyNumberFormat="1" applyFont="1" applyBorder="1" applyAlignment="1">
      <alignment horizontal="center"/>
    </xf>
    <xf numFmtId="172" fontId="9" fillId="0" borderId="2" xfId="2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0" fillId="0" borderId="2" xfId="2" applyFont="1" applyAlignment="1">
      <alignment horizontal="center"/>
    </xf>
    <xf numFmtId="0" fontId="13" fillId="0" borderId="2" xfId="2" applyFont="1" applyAlignment="1">
      <alignment horizontal="left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2636-3F5B-4276-B27D-693499466496}">
  <dimension ref="A1:L16"/>
  <sheetViews>
    <sheetView tabSelected="1" zoomScale="120" zoomScaleNormal="120" workbookViewId="0">
      <selection sqref="A1:G1"/>
    </sheetView>
  </sheetViews>
  <sheetFormatPr defaultRowHeight="15" x14ac:dyDescent="0.25"/>
  <cols>
    <col min="1" max="1" width="22.140625" customWidth="1"/>
    <col min="2" max="2" width="13.42578125" customWidth="1"/>
    <col min="3" max="3" width="14" customWidth="1"/>
    <col min="4" max="4" width="26.42578125" customWidth="1"/>
    <col min="5" max="5" width="20.7109375" customWidth="1"/>
    <col min="6" max="6" width="14.140625" customWidth="1"/>
    <col min="7" max="7" width="16.42578125" customWidth="1"/>
  </cols>
  <sheetData>
    <row r="1" spans="1:12" ht="15.75" x14ac:dyDescent="0.25">
      <c r="A1" s="95" t="s">
        <v>67</v>
      </c>
      <c r="B1" s="95"/>
      <c r="C1" s="95"/>
      <c r="D1" s="95"/>
      <c r="E1" s="95"/>
      <c r="F1" s="95"/>
      <c r="G1" s="95"/>
    </row>
    <row r="2" spans="1:12" ht="15" customHeight="1" x14ac:dyDescent="0.25">
      <c r="A2" s="1"/>
      <c r="B2" s="96" t="s">
        <v>83</v>
      </c>
      <c r="C2" s="96"/>
      <c r="D2" s="96"/>
      <c r="E2" s="96"/>
      <c r="F2" s="96"/>
      <c r="G2" s="96"/>
    </row>
    <row r="3" spans="1:12" ht="45" customHeight="1" x14ac:dyDescent="0.25">
      <c r="A3" s="1"/>
      <c r="B3" s="58" t="s">
        <v>25</v>
      </c>
      <c r="C3" s="97" t="s">
        <v>24</v>
      </c>
      <c r="D3" s="97"/>
      <c r="E3" s="58" t="s">
        <v>23</v>
      </c>
      <c r="F3" s="58" t="s">
        <v>52</v>
      </c>
      <c r="G3" s="58" t="s">
        <v>51</v>
      </c>
    </row>
    <row r="4" spans="1:12" ht="105" customHeight="1" x14ac:dyDescent="0.25">
      <c r="A4" s="57" t="s">
        <v>0</v>
      </c>
      <c r="B4" s="56" t="s">
        <v>22</v>
      </c>
      <c r="C4" s="56" t="s">
        <v>22</v>
      </c>
      <c r="D4" s="56" t="s">
        <v>82</v>
      </c>
      <c r="E4" s="56" t="s">
        <v>75</v>
      </c>
      <c r="F4" s="56" t="s">
        <v>48</v>
      </c>
      <c r="G4" s="56" t="s">
        <v>78</v>
      </c>
      <c r="H4" s="22"/>
      <c r="I4" s="22"/>
      <c r="J4" s="22"/>
    </row>
    <row r="5" spans="1:12" ht="15.6" customHeight="1" x14ac:dyDescent="0.25">
      <c r="A5" s="47" t="s">
        <v>16</v>
      </c>
      <c r="B5" s="48" t="s">
        <v>17</v>
      </c>
      <c r="C5" s="48" t="s">
        <v>18</v>
      </c>
      <c r="D5" s="48" t="s">
        <v>19</v>
      </c>
      <c r="E5" s="48" t="s">
        <v>20</v>
      </c>
      <c r="F5" s="48" t="s">
        <v>21</v>
      </c>
      <c r="G5" s="48" t="s">
        <v>61</v>
      </c>
      <c r="H5" s="23"/>
      <c r="I5" s="23"/>
      <c r="J5" s="23"/>
      <c r="K5" s="23"/>
      <c r="L5" s="23"/>
    </row>
    <row r="6" spans="1:12" ht="15.75" x14ac:dyDescent="0.25">
      <c r="A6" s="1" t="s">
        <v>1</v>
      </c>
      <c r="B6" s="25">
        <f>VLOOKUP($A6,SUMMARY!$A$3:$I$9,5,FALSE)</f>
        <v>6.3E-2</v>
      </c>
      <c r="C6" s="25">
        <f>VLOOKUP($A6,SUMMARY!$A$3:$I$9,6,FALSE)</f>
        <v>0.121</v>
      </c>
      <c r="D6" s="25">
        <f>C6</f>
        <v>0.121</v>
      </c>
      <c r="E6" s="25">
        <f>D6-B6</f>
        <v>5.7999999999999996E-2</v>
      </c>
      <c r="F6" s="25">
        <f>VLOOKUP(A6,SUMMARY!$A$3:$C$6,3,FALSE)</f>
        <v>0.36</v>
      </c>
      <c r="G6" s="24">
        <f>B6+E6*F6</f>
        <v>8.3879999999999996E-2</v>
      </c>
    </row>
    <row r="7" spans="1:12" ht="15.75" x14ac:dyDescent="0.25">
      <c r="A7" s="1" t="s">
        <v>2</v>
      </c>
      <c r="B7" s="25">
        <f>VLOOKUP($A7,SUMMARY!$A$3:$I$9,5,FALSE)</f>
        <v>0.03</v>
      </c>
      <c r="C7" s="25">
        <f>VLOOKUP($A7,SUMMARY!$A$3:$I$9,6,FALSE)</f>
        <v>0.123</v>
      </c>
      <c r="D7" s="25">
        <f>C7</f>
        <v>0.123</v>
      </c>
      <c r="E7" s="25">
        <f t="shared" ref="E7:E12" si="0">D7-B7</f>
        <v>9.2999999999999999E-2</v>
      </c>
      <c r="F7" s="25">
        <f>VLOOKUP(A7,SUMMARY!$A$3:$C$6,3,FALSE)</f>
        <v>0.2</v>
      </c>
      <c r="G7" s="24">
        <f t="shared" ref="G7:G12" si="1">B7+E7*F7</f>
        <v>4.8600000000000004E-2</v>
      </c>
    </row>
    <row r="8" spans="1:12" ht="15.75" x14ac:dyDescent="0.25">
      <c r="A8" s="1" t="s">
        <v>3</v>
      </c>
      <c r="B8" s="25">
        <f>VLOOKUP($A8,SUMMARY!$A$3:$I$9,5,FALSE)</f>
        <v>4.5999999999999999E-2</v>
      </c>
      <c r="C8" s="25">
        <f>VLOOKUP($A8,SUMMARY!$A$3:$I$9,6,FALSE)</f>
        <v>0.25600000000000001</v>
      </c>
      <c r="D8" s="25">
        <f>C8</f>
        <v>0.25600000000000001</v>
      </c>
      <c r="E8" s="25">
        <f t="shared" si="0"/>
        <v>0.21000000000000002</v>
      </c>
      <c r="F8" s="25">
        <f>VLOOKUP(A8,SUMMARY!$A$3:$C$6,3,FALSE)</f>
        <v>0.18</v>
      </c>
      <c r="G8" s="24">
        <f t="shared" si="1"/>
        <v>8.3799999999999999E-2</v>
      </c>
    </row>
    <row r="9" spans="1:12" ht="15.75" x14ac:dyDescent="0.25">
      <c r="A9" s="1" t="s">
        <v>4</v>
      </c>
      <c r="B9" s="25">
        <f>VLOOKUP($A9,SUMMARY!$A$3:$I$9,5,FALSE)</f>
        <v>0</v>
      </c>
      <c r="C9" s="25">
        <f>VLOOKUP($A9,SUMMARY!$A$3:$I$9,6,FALSE)</f>
        <v>0.155</v>
      </c>
      <c r="D9" s="25">
        <f>C9-(D11+D12)</f>
        <v>0.1135198168823856</v>
      </c>
      <c r="E9" s="25">
        <f t="shared" si="0"/>
        <v>0.1135198168823856</v>
      </c>
      <c r="F9" s="25">
        <f>VLOOKUP(A9,SUMMARY!$A$3:$C$6,3,FALSE)</f>
        <v>0.03</v>
      </c>
      <c r="G9" s="53">
        <f t="shared" si="1"/>
        <v>3.4055945064715679E-3</v>
      </c>
    </row>
    <row r="10" spans="1:12" ht="15.75" x14ac:dyDescent="0.25">
      <c r="A10" s="1" t="s">
        <v>79</v>
      </c>
      <c r="B10" s="25"/>
      <c r="C10" s="25"/>
      <c r="D10" s="25"/>
      <c r="E10" s="25"/>
      <c r="F10" s="25"/>
      <c r="G10" s="24"/>
    </row>
    <row r="11" spans="1:12" ht="15.75" x14ac:dyDescent="0.25">
      <c r="A11" s="55" t="s">
        <v>49</v>
      </c>
      <c r="B11" s="25">
        <v>0</v>
      </c>
      <c r="C11" s="53"/>
      <c r="D11" s="24">
        <f>prob_untr_neurosyph!A2</f>
        <v>1.1326976671123701E-2</v>
      </c>
      <c r="E11" s="24">
        <f t="shared" si="0"/>
        <v>1.1326976671123701E-2</v>
      </c>
      <c r="F11" s="25">
        <f>SUMMARY!C6</f>
        <v>0.03</v>
      </c>
      <c r="G11" s="52">
        <f t="shared" si="1"/>
        <v>3.3980930013371101E-4</v>
      </c>
    </row>
    <row r="12" spans="1:12" ht="15.75" x14ac:dyDescent="0.25">
      <c r="A12" s="55" t="s">
        <v>50</v>
      </c>
      <c r="B12" s="25">
        <v>0</v>
      </c>
      <c r="C12" s="53"/>
      <c r="D12" s="24">
        <f>prob_untr_hearing_loss!A2</f>
        <v>3.01532064464907E-2</v>
      </c>
      <c r="E12" s="24">
        <f t="shared" si="0"/>
        <v>3.01532064464907E-2</v>
      </c>
      <c r="F12" s="25">
        <f>SUMMARY!C6</f>
        <v>0.03</v>
      </c>
      <c r="G12" s="52">
        <f t="shared" si="1"/>
        <v>9.0459619339472094E-4</v>
      </c>
    </row>
    <row r="13" spans="1:12" ht="15.75" x14ac:dyDescent="0.25">
      <c r="A13" s="1" t="s">
        <v>80</v>
      </c>
      <c r="B13" s="25">
        <f>1-SUM(B6:B9)</f>
        <v>0.86099999999999999</v>
      </c>
      <c r="C13" s="25">
        <f>1-SUM(C6:C9)</f>
        <v>0.34499999999999997</v>
      </c>
      <c r="D13" s="25">
        <f>1-SUM(D6:D12)</f>
        <v>0.34499999999999997</v>
      </c>
      <c r="G13" s="24">
        <f>1-SUM(G6:G12)</f>
        <v>0.77907000000000004</v>
      </c>
    </row>
    <row r="15" spans="1:12" x14ac:dyDescent="0.25">
      <c r="D15" s="12"/>
      <c r="E15" s="12"/>
      <c r="F15" s="12"/>
      <c r="G15" s="12"/>
    </row>
    <row r="16" spans="1:12" x14ac:dyDescent="0.25">
      <c r="D16" s="12"/>
      <c r="G16" s="12"/>
    </row>
  </sheetData>
  <mergeCells count="3">
    <mergeCell ref="A1:G1"/>
    <mergeCell ref="B2:G2"/>
    <mergeCell ref="C3:D3"/>
  </mergeCells>
  <pageMargins left="0.7" right="0.7" top="0.75" bottom="0.75" header="0.3" footer="0.3"/>
  <pageSetup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FB10-DAF4-4001-AEEE-0B0283101A3B}">
  <dimension ref="A1:K46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15.28515625" customWidth="1"/>
    <col min="4" max="4" width="17.140625" customWidth="1"/>
    <col min="5" max="5" width="10" bestFit="1" customWidth="1"/>
    <col min="6" max="6" width="9.5703125" bestFit="1" customWidth="1"/>
    <col min="7" max="7" width="10.85546875" customWidth="1"/>
    <col min="8" max="8" width="9.28515625" customWidth="1"/>
    <col min="9" max="9" width="9.5703125" hidden="1" customWidth="1"/>
    <col min="10" max="10" width="6.5703125" bestFit="1" customWidth="1"/>
    <col min="11" max="11" width="63.85546875" bestFit="1" customWidth="1"/>
    <col min="12" max="12" width="26.140625" customWidth="1"/>
  </cols>
  <sheetData>
    <row r="1" spans="1:11" ht="60" customHeight="1" x14ac:dyDescent="0.25">
      <c r="A1" s="44" t="s">
        <v>27</v>
      </c>
      <c r="B1" s="27" t="s">
        <v>65</v>
      </c>
      <c r="C1" s="27" t="s">
        <v>63</v>
      </c>
      <c r="D1" s="27" t="s">
        <v>64</v>
      </c>
      <c r="E1" s="27" t="s">
        <v>40</v>
      </c>
      <c r="F1" s="27" t="s">
        <v>41</v>
      </c>
      <c r="G1" s="27" t="s">
        <v>42</v>
      </c>
      <c r="H1" s="27"/>
      <c r="I1" s="27" t="s">
        <v>38</v>
      </c>
      <c r="J1" s="27" t="s">
        <v>46</v>
      </c>
      <c r="K1" s="26" t="s">
        <v>26</v>
      </c>
    </row>
    <row r="2" spans="1:11" ht="15" customHeight="1" x14ac:dyDescent="0.25">
      <c r="A2" s="44"/>
      <c r="B2" s="102" t="s">
        <v>60</v>
      </c>
      <c r="C2" s="102"/>
      <c r="D2" s="102"/>
      <c r="E2" s="27"/>
      <c r="F2" s="27"/>
      <c r="G2" s="27"/>
      <c r="H2" s="27"/>
      <c r="I2" s="27"/>
      <c r="J2" s="27"/>
      <c r="K2" s="26"/>
    </row>
    <row r="3" spans="1:11" ht="15" customHeight="1" x14ac:dyDescent="0.25">
      <c r="A3" s="49" t="s">
        <v>16</v>
      </c>
      <c r="B3" s="49" t="s">
        <v>17</v>
      </c>
      <c r="C3" s="49" t="s">
        <v>18</v>
      </c>
      <c r="D3" s="49" t="s">
        <v>19</v>
      </c>
      <c r="E3" s="49" t="s">
        <v>20</v>
      </c>
      <c r="F3" s="49" t="s">
        <v>21</v>
      </c>
      <c r="G3" s="49" t="s">
        <v>61</v>
      </c>
      <c r="H3" s="49" t="s">
        <v>62</v>
      </c>
      <c r="I3" s="49"/>
      <c r="J3" s="49"/>
      <c r="K3" s="50"/>
    </row>
    <row r="4" spans="1:11" ht="17.25" x14ac:dyDescent="0.25">
      <c r="A4" t="s">
        <v>55</v>
      </c>
      <c r="B4" s="51"/>
      <c r="C4" s="51"/>
      <c r="D4" s="51"/>
      <c r="E4" s="23" t="s">
        <v>66</v>
      </c>
      <c r="F4" s="23" t="s">
        <v>66</v>
      </c>
      <c r="G4" s="51"/>
      <c r="H4" s="51"/>
      <c r="I4" s="22"/>
      <c r="J4" s="22"/>
      <c r="K4" t="s">
        <v>39</v>
      </c>
    </row>
    <row r="5" spans="1:11" x14ac:dyDescent="0.25">
      <c r="A5" s="30" t="s">
        <v>28</v>
      </c>
      <c r="B5" s="40">
        <v>0.76800000000000002</v>
      </c>
      <c r="C5" s="34">
        <v>1611</v>
      </c>
      <c r="D5" s="34">
        <v>2651</v>
      </c>
      <c r="E5" s="12">
        <f>C5/D5</f>
        <v>0.60769520935496035</v>
      </c>
      <c r="F5" s="12"/>
      <c r="G5" s="12"/>
      <c r="H5" s="12"/>
      <c r="I5" s="12"/>
      <c r="J5" s="12"/>
    </row>
    <row r="6" spans="1:11" x14ac:dyDescent="0.25">
      <c r="A6" s="30" t="s">
        <v>29</v>
      </c>
      <c r="B6" s="12">
        <v>0.36</v>
      </c>
      <c r="C6" s="34">
        <v>887</v>
      </c>
      <c r="D6" s="34">
        <v>3240</v>
      </c>
      <c r="E6" s="12">
        <f t="shared" ref="E6:E12" si="0">C6/D6</f>
        <v>0.27376543209876542</v>
      </c>
      <c r="F6" s="12"/>
      <c r="G6" s="29">
        <f>B5-(F8+E9+E10+E12)</f>
        <v>0.10411768491389373</v>
      </c>
      <c r="H6" s="12"/>
      <c r="I6" s="12"/>
      <c r="J6" s="12">
        <v>0.155</v>
      </c>
    </row>
    <row r="7" spans="1:11" x14ac:dyDescent="0.25">
      <c r="A7" s="30" t="s">
        <v>30</v>
      </c>
      <c r="B7" s="12">
        <v>0.23200000000000001</v>
      </c>
      <c r="C7" s="34">
        <v>179</v>
      </c>
      <c r="D7" s="34">
        <v>932</v>
      </c>
      <c r="E7" s="12">
        <f t="shared" si="0"/>
        <v>0.19206008583690987</v>
      </c>
      <c r="F7" s="12"/>
      <c r="G7" s="12"/>
      <c r="H7" s="12"/>
      <c r="I7" s="12"/>
      <c r="J7" s="12"/>
    </row>
    <row r="8" spans="1:11" x14ac:dyDescent="0.25">
      <c r="A8" s="30" t="s">
        <v>31</v>
      </c>
      <c r="B8" s="12">
        <v>0.23400000000000001</v>
      </c>
      <c r="C8" s="34">
        <v>63</v>
      </c>
      <c r="D8" s="34">
        <v>403</v>
      </c>
      <c r="E8" s="12">
        <f t="shared" si="0"/>
        <v>0.15632754342431762</v>
      </c>
      <c r="F8" s="29">
        <f>(C7+C8)/(D7+D8)</f>
        <v>0.18127340823970037</v>
      </c>
      <c r="G8" s="12"/>
      <c r="H8" s="12"/>
      <c r="I8" s="12">
        <f>AVERAGE(E7:E8)</f>
        <v>0.17419381463061373</v>
      </c>
      <c r="J8" s="12">
        <v>0.121</v>
      </c>
    </row>
    <row r="9" spans="1:11" x14ac:dyDescent="0.25">
      <c r="A9" s="30" t="s">
        <v>32</v>
      </c>
      <c r="B9" s="12">
        <v>0.26400000000000001</v>
      </c>
      <c r="C9" s="34">
        <v>660</v>
      </c>
      <c r="D9" s="34">
        <v>3001</v>
      </c>
      <c r="E9" s="29">
        <f t="shared" si="0"/>
        <v>0.21992669110296567</v>
      </c>
      <c r="F9" s="12"/>
      <c r="G9" s="12"/>
      <c r="H9" s="12"/>
      <c r="I9" s="12"/>
      <c r="J9" s="12">
        <v>0.25600000000000001</v>
      </c>
    </row>
    <row r="10" spans="1:11" x14ac:dyDescent="0.25">
      <c r="A10" s="30" t="s">
        <v>34</v>
      </c>
      <c r="B10" s="12">
        <v>0.16200000000000001</v>
      </c>
      <c r="C10" s="34">
        <v>117</v>
      </c>
      <c r="D10" s="34">
        <v>910</v>
      </c>
      <c r="E10" s="29">
        <f t="shared" si="0"/>
        <v>0.12857142857142856</v>
      </c>
      <c r="F10" s="12"/>
      <c r="G10" s="12"/>
      <c r="H10" s="12"/>
      <c r="I10" s="12"/>
      <c r="J10" s="12">
        <v>0.123</v>
      </c>
    </row>
    <row r="11" spans="1:11" x14ac:dyDescent="0.25">
      <c r="A11" s="36" t="s">
        <v>36</v>
      </c>
      <c r="B11" s="37">
        <f>SUM(B6:B10)</f>
        <v>1.2519999999999998</v>
      </c>
      <c r="C11" s="38">
        <f>SUM(C6:C10)</f>
        <v>1906</v>
      </c>
      <c r="D11" s="38">
        <f t="shared" ref="D11:E11" si="1">SUM(D6:D10)</f>
        <v>8486</v>
      </c>
      <c r="E11" s="39">
        <f t="shared" si="1"/>
        <v>0.97065118103438719</v>
      </c>
      <c r="F11" s="39">
        <f>E6+F8+E9+E10</f>
        <v>0.80353696001286001</v>
      </c>
      <c r="G11" s="39"/>
      <c r="H11" s="41">
        <f>G6+F8+E9+E10</f>
        <v>0.63388921282798838</v>
      </c>
      <c r="I11" s="37"/>
      <c r="J11" s="37">
        <v>0.65500000000000003</v>
      </c>
    </row>
    <row r="12" spans="1:11" x14ac:dyDescent="0.25">
      <c r="A12" s="30" t="s">
        <v>33</v>
      </c>
      <c r="B12" s="12">
        <v>0.14899999999999999</v>
      </c>
      <c r="C12" s="34">
        <v>46</v>
      </c>
      <c r="D12" s="34">
        <v>343</v>
      </c>
      <c r="E12" s="12">
        <f t="shared" si="0"/>
        <v>0.13411078717201166</v>
      </c>
      <c r="F12" s="12"/>
      <c r="G12" s="12"/>
      <c r="H12" s="12"/>
      <c r="I12" s="12"/>
      <c r="J12" s="12"/>
    </row>
    <row r="13" spans="1:11" x14ac:dyDescent="0.25">
      <c r="A13" s="32" t="s">
        <v>37</v>
      </c>
      <c r="B13" s="12">
        <f>B11+B12</f>
        <v>1.4009999999999998</v>
      </c>
      <c r="C13" s="34">
        <f>C11+C12</f>
        <v>1952</v>
      </c>
      <c r="D13" s="34"/>
      <c r="E13" s="12">
        <f>E11+E12</f>
        <v>1.1047619682063989</v>
      </c>
      <c r="F13" s="12"/>
      <c r="G13" s="12"/>
      <c r="H13" s="12"/>
      <c r="I13" s="12"/>
      <c r="J13" s="12"/>
      <c r="K13" t="s">
        <v>35</v>
      </c>
    </row>
    <row r="14" spans="1:11" x14ac:dyDescent="0.25">
      <c r="A14" s="32"/>
      <c r="B14" s="12"/>
      <c r="C14" s="34">
        <f>C7+C8+C9+C10+C12</f>
        <v>1065</v>
      </c>
      <c r="D14" s="34">
        <f>D7+D8+D9+D10+D12</f>
        <v>5589</v>
      </c>
      <c r="E14" s="12"/>
      <c r="F14" s="12"/>
      <c r="G14" s="12"/>
      <c r="H14" s="12"/>
      <c r="I14" s="12"/>
      <c r="J14" s="12"/>
    </row>
    <row r="15" spans="1:11" ht="17.25" x14ac:dyDescent="0.25">
      <c r="A15" t="s">
        <v>56</v>
      </c>
      <c r="B15" s="28"/>
      <c r="C15" s="28"/>
      <c r="D15" s="28"/>
      <c r="E15" s="28"/>
      <c r="F15" s="28"/>
      <c r="G15" s="28"/>
      <c r="H15" s="28"/>
      <c r="K15" t="s">
        <v>39</v>
      </c>
    </row>
    <row r="16" spans="1:11" x14ac:dyDescent="0.25">
      <c r="A16" s="30" t="s">
        <v>28</v>
      </c>
      <c r="B16" s="40">
        <v>0.24199999999999999</v>
      </c>
      <c r="C16" s="34">
        <v>767</v>
      </c>
      <c r="D16" s="34">
        <v>3711</v>
      </c>
      <c r="E16" s="12">
        <f>C16/D16</f>
        <v>0.20668283481541364</v>
      </c>
      <c r="F16" s="12"/>
      <c r="G16" s="12"/>
      <c r="H16" s="12"/>
      <c r="I16" s="12"/>
      <c r="J16" s="12"/>
    </row>
    <row r="17" spans="1:11" x14ac:dyDescent="0.25">
      <c r="A17" s="30" t="s">
        <v>29</v>
      </c>
      <c r="B17" s="12">
        <v>0.14000000000000001</v>
      </c>
      <c r="C17" s="34">
        <v>621</v>
      </c>
      <c r="D17" s="34">
        <v>4975</v>
      </c>
      <c r="E17" s="12">
        <f t="shared" ref="E17:E21" si="2">C17/D17</f>
        <v>0.12482412060301508</v>
      </c>
      <c r="F17" s="12"/>
      <c r="G17" s="29">
        <f>B16-(F19+E20+E21+E23)</f>
        <v>7.9736683638705785E-2</v>
      </c>
      <c r="H17" s="12"/>
      <c r="I17" s="12"/>
      <c r="J17" s="12"/>
      <c r="K17" s="46">
        <f>1-(B17/B6)</f>
        <v>0.61111111111111105</v>
      </c>
    </row>
    <row r="18" spans="1:11" x14ac:dyDescent="0.25">
      <c r="A18" s="30" t="s">
        <v>30</v>
      </c>
      <c r="B18" s="12">
        <v>9.9000000000000005E-2</v>
      </c>
      <c r="C18" s="34">
        <v>180</v>
      </c>
      <c r="D18" s="34">
        <v>2060</v>
      </c>
      <c r="E18" s="12">
        <f t="shared" si="2"/>
        <v>8.7378640776699032E-2</v>
      </c>
      <c r="F18" s="12"/>
      <c r="G18" s="12"/>
      <c r="H18" s="12"/>
      <c r="I18" s="12"/>
      <c r="J18" s="12"/>
    </row>
    <row r="19" spans="1:11" x14ac:dyDescent="0.25">
      <c r="A19" s="30" t="s">
        <v>31</v>
      </c>
      <c r="B19" s="12">
        <v>6.2E-2</v>
      </c>
      <c r="C19" s="34">
        <v>72</v>
      </c>
      <c r="D19" s="34">
        <v>1457</v>
      </c>
      <c r="E19" s="12">
        <f t="shared" si="2"/>
        <v>4.9416609471516812E-2</v>
      </c>
      <c r="F19" s="29">
        <f>(C18+C19)/(D18+D19)</f>
        <v>7.1651976116007959E-2</v>
      </c>
      <c r="G19" s="12"/>
      <c r="H19" s="12"/>
      <c r="I19" s="12">
        <f>AVERAGE(E18:E19)</f>
        <v>6.8397625124107922E-2</v>
      </c>
      <c r="J19" s="12"/>
    </row>
    <row r="20" spans="1:11" x14ac:dyDescent="0.25">
      <c r="A20" s="30" t="s">
        <v>32</v>
      </c>
      <c r="B20" s="12">
        <v>4.4999999999999998E-2</v>
      </c>
      <c r="C20" s="34">
        <v>98</v>
      </c>
      <c r="D20" s="34">
        <v>2661</v>
      </c>
      <c r="E20" s="29">
        <f t="shared" si="2"/>
        <v>3.6828260052611798E-2</v>
      </c>
      <c r="F20" s="12"/>
      <c r="G20" s="12"/>
      <c r="H20" s="12"/>
      <c r="I20" s="12"/>
      <c r="J20" s="12"/>
    </row>
    <row r="21" spans="1:11" x14ac:dyDescent="0.25">
      <c r="A21" s="30" t="s">
        <v>34</v>
      </c>
      <c r="B21" s="12">
        <v>3.2000000000000001E-2</v>
      </c>
      <c r="C21" s="34">
        <v>9</v>
      </c>
      <c r="D21" s="34">
        <v>446</v>
      </c>
      <c r="E21" s="29">
        <f t="shared" si="2"/>
        <v>2.0179372197309416E-2</v>
      </c>
      <c r="F21" s="12"/>
      <c r="G21" s="12"/>
      <c r="H21" s="12"/>
      <c r="I21" s="12"/>
      <c r="J21" s="12"/>
    </row>
    <row r="22" spans="1:11" x14ac:dyDescent="0.25">
      <c r="A22" s="36" t="s">
        <v>36</v>
      </c>
      <c r="B22" s="37">
        <f>SUM(B17:B21)</f>
        <v>0.378</v>
      </c>
      <c r="C22" s="38">
        <f>SUM(C17:C21)</f>
        <v>980</v>
      </c>
      <c r="D22" s="38">
        <f t="shared" ref="D22" si="3">SUM(D17:D21)</f>
        <v>11599</v>
      </c>
      <c r="E22" s="39">
        <f t="shared" ref="E22" si="4">SUM(E17:E21)</f>
        <v>0.31862700310115216</v>
      </c>
      <c r="F22" s="39">
        <f>E17+F19+E20+E21</f>
        <v>0.25348372896894428</v>
      </c>
      <c r="G22" s="39"/>
      <c r="H22" s="41">
        <f>G17+F19+E20+E21</f>
        <v>0.20839629200463497</v>
      </c>
      <c r="I22" s="37"/>
      <c r="J22" s="37"/>
    </row>
    <row r="23" spans="1:11" x14ac:dyDescent="0.25">
      <c r="A23" s="30" t="s">
        <v>33</v>
      </c>
      <c r="B23" s="12">
        <v>0.14899999999999999</v>
      </c>
      <c r="C23" s="34">
        <v>29</v>
      </c>
      <c r="D23" s="34">
        <v>863</v>
      </c>
      <c r="E23" s="12">
        <f t="shared" ref="E23" si="5">C23/D23</f>
        <v>3.3603707995365009E-2</v>
      </c>
      <c r="F23" s="12"/>
      <c r="G23" s="12"/>
      <c r="H23" s="12"/>
      <c r="I23" s="12"/>
      <c r="J23" s="12"/>
    </row>
    <row r="24" spans="1:11" x14ac:dyDescent="0.25">
      <c r="A24" s="32" t="s">
        <v>37</v>
      </c>
      <c r="B24" s="12">
        <f>B22+B23</f>
        <v>0.52700000000000002</v>
      </c>
      <c r="C24" s="34">
        <f>C22+C23</f>
        <v>1009</v>
      </c>
      <c r="D24" s="34"/>
      <c r="E24" s="12">
        <f>E22+E23</f>
        <v>0.35223071109651716</v>
      </c>
      <c r="F24" s="12"/>
      <c r="G24" s="12"/>
      <c r="H24" s="12"/>
      <c r="I24" s="12"/>
      <c r="J24" s="12"/>
      <c r="K24" t="s">
        <v>35</v>
      </c>
    </row>
    <row r="25" spans="1:11" ht="17.25" x14ac:dyDescent="0.25">
      <c r="A25" s="31" t="s">
        <v>57</v>
      </c>
      <c r="B25" s="33"/>
      <c r="C25" s="35"/>
      <c r="D25" s="35"/>
      <c r="E25" s="33"/>
      <c r="F25" s="33"/>
      <c r="G25" s="33"/>
      <c r="H25" s="33"/>
      <c r="I25" s="12"/>
      <c r="J25" s="12"/>
    </row>
    <row r="26" spans="1:11" x14ac:dyDescent="0.25">
      <c r="A26" s="30" t="s">
        <v>28</v>
      </c>
      <c r="B26" s="40">
        <v>0.13700000000000001</v>
      </c>
      <c r="C26" s="34">
        <v>4640</v>
      </c>
      <c r="D26" s="34">
        <v>34546</v>
      </c>
      <c r="E26" s="12">
        <f>C26/D26</f>
        <v>0.13431366873154635</v>
      </c>
      <c r="F26" s="12"/>
      <c r="G26" s="12"/>
      <c r="H26" s="12"/>
      <c r="I26" s="12"/>
      <c r="J26" s="12"/>
    </row>
    <row r="27" spans="1:11" x14ac:dyDescent="0.25">
      <c r="A27" s="30" t="s">
        <v>29</v>
      </c>
      <c r="B27" s="12">
        <v>0</v>
      </c>
      <c r="C27" s="34">
        <v>0</v>
      </c>
      <c r="D27" s="34">
        <v>0</v>
      </c>
      <c r="E27" s="12"/>
      <c r="F27" s="12"/>
      <c r="G27" s="12"/>
      <c r="H27" s="12"/>
      <c r="I27" s="12"/>
      <c r="J27" s="12"/>
    </row>
    <row r="28" spans="1:11" x14ac:dyDescent="0.25">
      <c r="A28" s="30" t="s">
        <v>30</v>
      </c>
      <c r="B28" s="12">
        <v>7.1999999999999995E-2</v>
      </c>
      <c r="C28" s="34">
        <v>1201</v>
      </c>
      <c r="D28" s="34">
        <v>15011</v>
      </c>
      <c r="E28" s="12">
        <f t="shared" ref="E28:E33" si="6">C28/D28</f>
        <v>8.0007994137632404E-2</v>
      </c>
      <c r="F28" s="12"/>
      <c r="G28" s="12"/>
      <c r="H28" s="12"/>
      <c r="I28" s="12"/>
      <c r="J28" s="12"/>
    </row>
    <row r="29" spans="1:11" x14ac:dyDescent="0.25">
      <c r="A29" s="30" t="s">
        <v>31</v>
      </c>
      <c r="B29" s="12">
        <v>4.4999999999999998E-2</v>
      </c>
      <c r="C29" s="34">
        <v>166</v>
      </c>
      <c r="D29" s="34">
        <v>4313</v>
      </c>
      <c r="E29" s="12">
        <f t="shared" si="6"/>
        <v>3.8488291212613032E-2</v>
      </c>
      <c r="F29" s="29">
        <f>(C28+C29)/(D28+D29)</f>
        <v>7.0741047402194168E-2</v>
      </c>
      <c r="G29" s="12"/>
      <c r="H29" s="12"/>
      <c r="I29" s="12">
        <f>AVERAGE(E28:E29)</f>
        <v>5.9248142675122718E-2</v>
      </c>
      <c r="J29" s="12">
        <v>6.3E-2</v>
      </c>
    </row>
    <row r="30" spans="1:11" x14ac:dyDescent="0.25">
      <c r="A30" s="30" t="s">
        <v>32</v>
      </c>
      <c r="B30" s="12">
        <v>3.6999999999999998E-2</v>
      </c>
      <c r="C30" s="34">
        <v>1536</v>
      </c>
      <c r="D30" s="34">
        <v>42726</v>
      </c>
      <c r="E30" s="29">
        <f t="shared" si="6"/>
        <v>3.595000702148575E-2</v>
      </c>
      <c r="F30" s="12"/>
      <c r="G30" s="12"/>
      <c r="H30" s="12"/>
      <c r="I30" s="12"/>
      <c r="J30" s="12">
        <v>4.5999999999999999E-2</v>
      </c>
    </row>
    <row r="31" spans="1:11" x14ac:dyDescent="0.25">
      <c r="A31" s="30" t="s">
        <v>34</v>
      </c>
      <c r="B31" s="12">
        <v>0.02</v>
      </c>
      <c r="C31" s="34">
        <v>581</v>
      </c>
      <c r="D31" s="34">
        <v>27094</v>
      </c>
      <c r="E31" s="29">
        <f t="shared" si="6"/>
        <v>2.1443862109692183E-2</v>
      </c>
      <c r="F31" s="12"/>
      <c r="G31" s="12"/>
      <c r="H31" s="12"/>
      <c r="I31" s="12"/>
      <c r="J31" s="12">
        <v>0.03</v>
      </c>
    </row>
    <row r="32" spans="1:11" x14ac:dyDescent="0.25">
      <c r="A32" s="36" t="s">
        <v>36</v>
      </c>
      <c r="B32" s="37">
        <f>SUM(B27:B31)</f>
        <v>0.17399999999999999</v>
      </c>
      <c r="C32" s="38"/>
      <c r="D32" s="38"/>
      <c r="E32" s="37"/>
      <c r="F32" s="40">
        <f>F29+E30+E31</f>
        <v>0.12813491653337211</v>
      </c>
      <c r="G32" s="37"/>
      <c r="H32" s="37"/>
      <c r="I32" s="37"/>
      <c r="J32" s="37">
        <v>0.14299999999999999</v>
      </c>
    </row>
    <row r="33" spans="1:10" x14ac:dyDescent="0.25">
      <c r="A33" s="30" t="s">
        <v>33</v>
      </c>
      <c r="B33">
        <v>2.3E-2</v>
      </c>
      <c r="C33" s="34">
        <v>62</v>
      </c>
      <c r="D33" s="34">
        <v>2647</v>
      </c>
      <c r="E33" s="12">
        <f t="shared" si="6"/>
        <v>2.3422742727616169E-2</v>
      </c>
      <c r="F33" s="40">
        <f>F32+E33</f>
        <v>0.15155765926098827</v>
      </c>
      <c r="G33" s="12"/>
      <c r="H33" s="12"/>
    </row>
    <row r="34" spans="1:10" x14ac:dyDescent="0.25">
      <c r="A34" s="32" t="s">
        <v>37</v>
      </c>
      <c r="B34" s="12">
        <f>B32+B33</f>
        <v>0.19699999999999998</v>
      </c>
      <c r="C34" s="34"/>
      <c r="D34" s="34"/>
      <c r="E34" s="12"/>
      <c r="F34" s="12"/>
      <c r="G34" s="12"/>
      <c r="H34" s="12"/>
      <c r="I34" s="12"/>
      <c r="J34" s="12"/>
    </row>
    <row r="35" spans="1:10" x14ac:dyDescent="0.25">
      <c r="A35" s="32"/>
      <c r="B35" s="12"/>
      <c r="C35" s="34">
        <f>C18+C19+C20+C21+C23</f>
        <v>388</v>
      </c>
      <c r="D35" s="34">
        <f>D18+D19+D20+D21+D23</f>
        <v>7487</v>
      </c>
      <c r="E35" s="12"/>
      <c r="F35" s="12"/>
      <c r="G35" s="12"/>
      <c r="H35" s="12"/>
      <c r="I35" s="12"/>
      <c r="J35" s="12"/>
    </row>
    <row r="36" spans="1:10" ht="45" customHeight="1" x14ac:dyDescent="0.25">
      <c r="A36" s="6" t="s">
        <v>43</v>
      </c>
      <c r="C36" s="43" t="s">
        <v>45</v>
      </c>
      <c r="D36" s="43" t="s">
        <v>47</v>
      </c>
    </row>
    <row r="37" spans="1:10" x14ac:dyDescent="0.25">
      <c r="A37" s="30" t="s">
        <v>28</v>
      </c>
      <c r="B37" s="12">
        <f>H22/H11</f>
        <v>0.32875822428798013</v>
      </c>
      <c r="C37" s="42">
        <f>1-B37</f>
        <v>0.67124177571201993</v>
      </c>
      <c r="D37" s="42">
        <v>0.84599999999999997</v>
      </c>
      <c r="E37" s="12"/>
      <c r="F37" s="12"/>
      <c r="G37" s="12"/>
      <c r="H37" s="12"/>
      <c r="I37" s="12"/>
      <c r="J37" s="12"/>
    </row>
    <row r="38" spans="1:10" x14ac:dyDescent="0.25">
      <c r="A38" s="30" t="s">
        <v>29</v>
      </c>
      <c r="B38" s="12">
        <f>G17/G6</f>
        <v>0.76583227628090988</v>
      </c>
      <c r="C38" s="42">
        <f t="shared" ref="C38:C41" si="7">1-B38</f>
        <v>0.23416772371909012</v>
      </c>
      <c r="D38" s="42">
        <v>0.97</v>
      </c>
      <c r="E38" s="12"/>
      <c r="F38" s="12"/>
      <c r="G38" s="12"/>
      <c r="H38" s="12"/>
      <c r="I38" s="12"/>
      <c r="J38" s="12"/>
    </row>
    <row r="39" spans="1:10" x14ac:dyDescent="0.25">
      <c r="A39" s="30" t="s">
        <v>44</v>
      </c>
      <c r="B39" s="12">
        <f>F19/F8</f>
        <v>0.39527019882177944</v>
      </c>
      <c r="C39" s="45">
        <f t="shared" si="7"/>
        <v>0.60472980117822051</v>
      </c>
      <c r="D39" s="45">
        <v>0.65</v>
      </c>
      <c r="E39" s="12"/>
      <c r="F39" s="12"/>
      <c r="G39" s="12"/>
      <c r="H39" s="12"/>
      <c r="I39" s="12"/>
      <c r="J39" s="12"/>
    </row>
    <row r="40" spans="1:10" x14ac:dyDescent="0.25">
      <c r="A40" s="30" t="s">
        <v>32</v>
      </c>
      <c r="B40" s="12">
        <f>E20/E9</f>
        <v>0.16745698245134547</v>
      </c>
      <c r="C40" s="45">
        <f t="shared" si="7"/>
        <v>0.83254301754865456</v>
      </c>
      <c r="D40" s="45">
        <v>0.82</v>
      </c>
      <c r="E40" s="12"/>
      <c r="F40" s="12"/>
      <c r="G40" s="12"/>
      <c r="H40" s="12"/>
      <c r="I40" s="12"/>
      <c r="J40" s="12"/>
    </row>
    <row r="41" spans="1:10" x14ac:dyDescent="0.25">
      <c r="A41" s="30" t="s">
        <v>34</v>
      </c>
      <c r="B41" s="12">
        <f>E21/E10</f>
        <v>0.15695067264573992</v>
      </c>
      <c r="C41" s="45">
        <f t="shared" si="7"/>
        <v>0.84304932735426008</v>
      </c>
      <c r="D41" s="45">
        <v>0.8</v>
      </c>
      <c r="E41" s="12"/>
      <c r="F41" s="12"/>
      <c r="G41" s="12"/>
      <c r="H41" s="12"/>
      <c r="I41" s="12"/>
      <c r="J41" s="12"/>
    </row>
    <row r="44" spans="1:10" x14ac:dyDescent="0.25">
      <c r="A44" s="6" t="s">
        <v>54</v>
      </c>
    </row>
    <row r="45" spans="1:10" x14ac:dyDescent="0.25">
      <c r="A45" t="s">
        <v>58</v>
      </c>
    </row>
    <row r="46" spans="1:10" x14ac:dyDescent="0.25">
      <c r="A46" t="s">
        <v>59</v>
      </c>
    </row>
  </sheetData>
  <mergeCells count="1">
    <mergeCell ref="B2:D2"/>
  </mergeCell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3922-024F-4F01-A069-A3BDCE03D35C}">
  <dimension ref="A1:L16"/>
  <sheetViews>
    <sheetView zoomScale="120" zoomScaleNormal="120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G1"/>
    </sheetView>
  </sheetViews>
  <sheetFormatPr defaultRowHeight="15" x14ac:dyDescent="0.25"/>
  <cols>
    <col min="1" max="1" width="24.5703125" customWidth="1"/>
    <col min="2" max="2" width="13.42578125" customWidth="1"/>
    <col min="3" max="3" width="14" customWidth="1"/>
    <col min="4" max="4" width="28.42578125" customWidth="1"/>
    <col min="5" max="5" width="20.7109375" customWidth="1"/>
    <col min="6" max="6" width="14.140625" customWidth="1"/>
    <col min="7" max="7" width="16.42578125" customWidth="1"/>
  </cols>
  <sheetData>
    <row r="1" spans="1:12" ht="15.75" x14ac:dyDescent="0.25">
      <c r="A1" s="95" t="s">
        <v>67</v>
      </c>
      <c r="B1" s="95"/>
      <c r="C1" s="95"/>
      <c r="D1" s="95"/>
      <c r="E1" s="95"/>
      <c r="F1" s="95"/>
      <c r="G1" s="95"/>
    </row>
    <row r="2" spans="1:12" ht="15" customHeight="1" x14ac:dyDescent="0.25">
      <c r="A2" s="1"/>
      <c r="B2" s="99" t="s">
        <v>53</v>
      </c>
      <c r="C2" s="99"/>
      <c r="D2" s="99"/>
      <c r="E2" s="99"/>
      <c r="F2" s="99"/>
      <c r="G2" s="99"/>
    </row>
    <row r="3" spans="1:12" ht="45" customHeight="1" x14ac:dyDescent="0.25">
      <c r="A3" s="1" t="s">
        <v>0</v>
      </c>
      <c r="B3" s="19" t="s">
        <v>25</v>
      </c>
      <c r="C3" s="98" t="s">
        <v>24</v>
      </c>
      <c r="D3" s="98"/>
      <c r="E3" s="19" t="s">
        <v>23</v>
      </c>
      <c r="F3" s="19" t="s">
        <v>52</v>
      </c>
      <c r="G3" s="19" t="s">
        <v>51</v>
      </c>
    </row>
    <row r="4" spans="1:12" ht="105" customHeight="1" x14ac:dyDescent="0.25">
      <c r="A4" s="21"/>
      <c r="B4" s="20" t="s">
        <v>22</v>
      </c>
      <c r="C4" s="20" t="s">
        <v>22</v>
      </c>
      <c r="D4" s="20" t="s">
        <v>82</v>
      </c>
      <c r="E4" s="20" t="s">
        <v>75</v>
      </c>
      <c r="F4" s="20" t="s">
        <v>48</v>
      </c>
      <c r="G4" s="20" t="s">
        <v>78</v>
      </c>
      <c r="H4" s="22"/>
      <c r="I4" s="22"/>
      <c r="J4" s="22"/>
    </row>
    <row r="5" spans="1:12" ht="15.6" customHeight="1" x14ac:dyDescent="0.25">
      <c r="A5" s="47" t="s">
        <v>71</v>
      </c>
      <c r="B5" s="48" t="s">
        <v>72</v>
      </c>
      <c r="C5" s="48" t="s">
        <v>73</v>
      </c>
      <c r="D5" s="48" t="s">
        <v>74</v>
      </c>
      <c r="E5" s="48" t="s">
        <v>76</v>
      </c>
      <c r="F5" s="48" t="s">
        <v>77</v>
      </c>
      <c r="G5" s="48" t="s">
        <v>81</v>
      </c>
      <c r="H5" s="23"/>
      <c r="I5" s="23"/>
      <c r="J5" s="23"/>
      <c r="K5" s="23"/>
      <c r="L5" s="23"/>
    </row>
    <row r="6" spans="1:12" ht="15.75" x14ac:dyDescent="0.25">
      <c r="A6" s="1" t="s">
        <v>1</v>
      </c>
      <c r="B6" s="25">
        <f>VLOOKUP($A6,SUMMARY!$A$3:$I$9,5,FALSE)</f>
        <v>6.3E-2</v>
      </c>
      <c r="C6" s="25">
        <f>VLOOKUP($A6,SUMMARY!$A$3:$I$9,6,FALSE)</f>
        <v>0.121</v>
      </c>
      <c r="D6" s="25">
        <f>C6</f>
        <v>0.121</v>
      </c>
      <c r="E6" s="25">
        <f>D6-B6</f>
        <v>5.7999999999999996E-2</v>
      </c>
      <c r="F6" s="25">
        <f>VLOOKUP(A6,SUMMARY!$A$3:$C$6,3,FALSE)</f>
        <v>0.36</v>
      </c>
      <c r="G6" s="24">
        <f>B6+E6*F6</f>
        <v>8.3879999999999996E-2</v>
      </c>
    </row>
    <row r="7" spans="1:12" ht="15.75" x14ac:dyDescent="0.25">
      <c r="A7" s="1" t="s">
        <v>2</v>
      </c>
      <c r="B7" s="25">
        <f>VLOOKUP($A7,SUMMARY!$A$3:$I$9,5,FALSE)</f>
        <v>0.03</v>
      </c>
      <c r="C7" s="25">
        <f>VLOOKUP($A7,SUMMARY!$A$3:$I$9,6,FALSE)</f>
        <v>0.123</v>
      </c>
      <c r="D7" s="25">
        <f>C7</f>
        <v>0.123</v>
      </c>
      <c r="E7" s="25">
        <f t="shared" ref="E7:E12" si="0">D7-B7</f>
        <v>9.2999999999999999E-2</v>
      </c>
      <c r="F7" s="25">
        <f>VLOOKUP(A7,SUMMARY!$A$3:$C$6,3,FALSE)</f>
        <v>0.2</v>
      </c>
      <c r="G7" s="24">
        <f t="shared" ref="G7:G12" si="1">B7+E7*F7</f>
        <v>4.8600000000000004E-2</v>
      </c>
    </row>
    <row r="8" spans="1:12" ht="15.75" x14ac:dyDescent="0.25">
      <c r="A8" s="1" t="s">
        <v>3</v>
      </c>
      <c r="B8" s="25">
        <f>VLOOKUP($A8,SUMMARY!$A$3:$I$9,5,FALSE)</f>
        <v>4.5999999999999999E-2</v>
      </c>
      <c r="C8" s="25">
        <f>VLOOKUP($A8,SUMMARY!$A$3:$I$9,6,FALSE)</f>
        <v>0.25600000000000001</v>
      </c>
      <c r="D8" s="25">
        <f>C8</f>
        <v>0.25600000000000001</v>
      </c>
      <c r="E8" s="25">
        <f t="shared" si="0"/>
        <v>0.21000000000000002</v>
      </c>
      <c r="F8" s="25">
        <f>VLOOKUP(A8,SUMMARY!$A$3:$C$6,3,FALSE)</f>
        <v>0.18</v>
      </c>
      <c r="G8" s="24">
        <f t="shared" si="1"/>
        <v>8.3799999999999999E-2</v>
      </c>
    </row>
    <row r="9" spans="1:12" ht="15.75" x14ac:dyDescent="0.25">
      <c r="A9" s="1" t="s">
        <v>4</v>
      </c>
      <c r="B9" s="25">
        <f>VLOOKUP($A9,SUMMARY!$A$3:$I$9,5,FALSE)</f>
        <v>0</v>
      </c>
      <c r="C9" s="25">
        <f>VLOOKUP($A9,SUMMARY!$A$3:$I$9,6,FALSE)</f>
        <v>0.155</v>
      </c>
      <c r="D9" s="25">
        <f>C9-(D11+D12)</f>
        <v>0.1135198168823856</v>
      </c>
      <c r="E9" s="25">
        <f t="shared" si="0"/>
        <v>0.1135198168823856</v>
      </c>
      <c r="F9" s="25">
        <f>VLOOKUP(A9,SUMMARY!$A$3:$C$6,3,FALSE)</f>
        <v>0.03</v>
      </c>
      <c r="G9" s="24">
        <f t="shared" si="1"/>
        <v>3.4055945064715679E-3</v>
      </c>
    </row>
    <row r="10" spans="1:12" ht="15.75" x14ac:dyDescent="0.25">
      <c r="A10" s="1" t="s">
        <v>79</v>
      </c>
      <c r="B10" s="25"/>
      <c r="C10" s="25"/>
      <c r="D10" s="25"/>
      <c r="E10" s="25"/>
      <c r="F10" s="25"/>
      <c r="G10" s="24"/>
    </row>
    <row r="11" spans="1:12" ht="15.75" x14ac:dyDescent="0.25">
      <c r="A11" s="54" t="s">
        <v>49</v>
      </c>
      <c r="B11" s="25">
        <v>0</v>
      </c>
      <c r="C11" s="53"/>
      <c r="D11" s="24">
        <f>prob_untr_neurosyph!A2</f>
        <v>1.1326976671123701E-2</v>
      </c>
      <c r="E11" s="24">
        <f t="shared" si="0"/>
        <v>1.1326976671123701E-2</v>
      </c>
      <c r="F11" s="25">
        <f>SUMMARY!C6</f>
        <v>0.03</v>
      </c>
      <c r="G11" s="52">
        <f t="shared" si="1"/>
        <v>3.3980930013371101E-4</v>
      </c>
    </row>
    <row r="12" spans="1:12" ht="15.75" x14ac:dyDescent="0.25">
      <c r="A12" s="54" t="s">
        <v>50</v>
      </c>
      <c r="B12" s="25">
        <v>0</v>
      </c>
      <c r="C12" s="53"/>
      <c r="D12" s="24">
        <f>prob_untr_hearing_loss!A2</f>
        <v>3.01532064464907E-2</v>
      </c>
      <c r="E12" s="24">
        <f t="shared" si="0"/>
        <v>3.01532064464907E-2</v>
      </c>
      <c r="F12" s="25">
        <f>SUMMARY!C6</f>
        <v>0.03</v>
      </c>
      <c r="G12" s="52">
        <f t="shared" si="1"/>
        <v>9.0459619339472094E-4</v>
      </c>
    </row>
    <row r="13" spans="1:12" ht="15.75" x14ac:dyDescent="0.25">
      <c r="A13" s="1" t="s">
        <v>80</v>
      </c>
      <c r="B13" s="25">
        <f>1-SUM(B6:B9)</f>
        <v>0.86099999999999999</v>
      </c>
      <c r="C13" s="25">
        <f>1-SUM(C6:C9)</f>
        <v>0.34499999999999997</v>
      </c>
      <c r="D13" s="25">
        <f>1-SUM(D6:D12)</f>
        <v>0.34499999999999997</v>
      </c>
      <c r="G13" s="24">
        <f>1-SUM(G6:G12)</f>
        <v>0.77907000000000004</v>
      </c>
    </row>
    <row r="15" spans="1:12" x14ac:dyDescent="0.25">
      <c r="D15" s="12"/>
      <c r="E15" s="12"/>
      <c r="F15" s="12"/>
      <c r="G15" s="12"/>
    </row>
    <row r="16" spans="1:12" x14ac:dyDescent="0.25">
      <c r="D16" s="12"/>
      <c r="G16" s="12"/>
    </row>
  </sheetData>
  <mergeCells count="3">
    <mergeCell ref="A1:G1"/>
    <mergeCell ref="C3:D3"/>
    <mergeCell ref="B2:G2"/>
  </mergeCells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808D-2386-484B-89FD-7ACC3B6E3712}">
  <dimension ref="A1:I38"/>
  <sheetViews>
    <sheetView zoomScale="130" zoomScaleNormal="130" workbookViewId="0">
      <selection sqref="A1:G1"/>
    </sheetView>
  </sheetViews>
  <sheetFormatPr defaultColWidth="8.7109375" defaultRowHeight="15" x14ac:dyDescent="0.25"/>
  <cols>
    <col min="1" max="1" width="22.5703125" style="60" customWidth="1"/>
    <col min="2" max="2" width="13" style="60" customWidth="1"/>
    <col min="3" max="3" width="12.85546875" style="60" customWidth="1"/>
    <col min="4" max="4" width="18.140625" style="60" customWidth="1"/>
    <col min="5" max="5" width="13.28515625" style="60" customWidth="1"/>
    <col min="6" max="6" width="14" style="60" customWidth="1"/>
    <col min="7" max="7" width="22.140625" style="60" customWidth="1"/>
    <col min="8" max="8" width="8.7109375" style="60"/>
    <col min="9" max="9" width="19.42578125" style="60" bestFit="1" customWidth="1"/>
    <col min="10" max="16384" width="8.7109375" style="60"/>
  </cols>
  <sheetData>
    <row r="1" spans="1:9" x14ac:dyDescent="0.25">
      <c r="A1" s="101" t="s">
        <v>68</v>
      </c>
      <c r="B1" s="101"/>
      <c r="C1" s="101"/>
      <c r="D1" s="101"/>
      <c r="E1" s="101"/>
      <c r="F1" s="101"/>
      <c r="G1" s="101"/>
    </row>
    <row r="2" spans="1:9" ht="15" customHeight="1" x14ac:dyDescent="0.25">
      <c r="A2" s="100" t="s">
        <v>60</v>
      </c>
      <c r="B2" s="100"/>
      <c r="C2" s="84"/>
      <c r="D2" s="100" t="s">
        <v>84</v>
      </c>
      <c r="E2" s="100"/>
      <c r="F2" s="100"/>
      <c r="G2" s="100"/>
    </row>
    <row r="3" spans="1:9" ht="95.1" customHeight="1" x14ac:dyDescent="0.25">
      <c r="A3" s="84" t="s">
        <v>85</v>
      </c>
      <c r="B3" s="84" t="s">
        <v>86</v>
      </c>
      <c r="C3" s="84" t="s">
        <v>91</v>
      </c>
      <c r="D3" s="84" t="s">
        <v>87</v>
      </c>
      <c r="E3" s="84" t="s">
        <v>92</v>
      </c>
      <c r="F3" s="84" t="s">
        <v>100</v>
      </c>
      <c r="G3" s="84" t="s">
        <v>93</v>
      </c>
    </row>
    <row r="4" spans="1:9" ht="15" customHeight="1" x14ac:dyDescent="0.25">
      <c r="A4" s="83" t="s">
        <v>16</v>
      </c>
      <c r="B4" s="83" t="s">
        <v>17</v>
      </c>
      <c r="C4" s="83" t="s">
        <v>18</v>
      </c>
      <c r="D4" s="83" t="s">
        <v>19</v>
      </c>
      <c r="E4" s="83" t="s">
        <v>20</v>
      </c>
      <c r="F4" s="83" t="s">
        <v>21</v>
      </c>
      <c r="G4" s="83" t="s">
        <v>61</v>
      </c>
    </row>
    <row r="5" spans="1:9" ht="16.5" x14ac:dyDescent="0.25">
      <c r="A5" s="61" t="s">
        <v>95</v>
      </c>
      <c r="B5" s="82"/>
      <c r="C5" s="82"/>
      <c r="D5" s="82"/>
      <c r="E5" s="82"/>
      <c r="F5" s="82"/>
      <c r="G5" s="82"/>
    </row>
    <row r="6" spans="1:9" x14ac:dyDescent="0.25">
      <c r="A6" s="65" t="s">
        <v>98</v>
      </c>
      <c r="B6" s="70">
        <v>0.76800000000000002</v>
      </c>
      <c r="C6" s="71"/>
      <c r="D6" s="71"/>
      <c r="E6" s="71"/>
      <c r="F6" s="71"/>
      <c r="G6" s="71"/>
    </row>
    <row r="7" spans="1:9" x14ac:dyDescent="0.25">
      <c r="A7" s="65" t="s">
        <v>97</v>
      </c>
      <c r="B7" s="71">
        <v>0.36</v>
      </c>
      <c r="C7" s="72" t="s">
        <v>97</v>
      </c>
      <c r="D7" s="71">
        <v>0.36</v>
      </c>
      <c r="E7" s="71">
        <f>D7/$D$15</f>
        <v>0.3529411764705882</v>
      </c>
      <c r="F7" s="71">
        <f>E7*$B$6</f>
        <v>0.27105882352941174</v>
      </c>
      <c r="G7" s="71">
        <f>F7-(G13+G14)</f>
        <v>0.22957864041179735</v>
      </c>
      <c r="I7" s="87"/>
    </row>
    <row r="8" spans="1:9" x14ac:dyDescent="0.25">
      <c r="A8" s="65" t="s">
        <v>30</v>
      </c>
      <c r="B8" s="71">
        <v>0.23200000000000001</v>
      </c>
      <c r="C8" s="72"/>
      <c r="D8" s="71"/>
      <c r="E8" s="71"/>
      <c r="F8" s="71"/>
      <c r="G8" s="71"/>
    </row>
    <row r="9" spans="1:9" x14ac:dyDescent="0.25">
      <c r="A9" s="65" t="s">
        <v>94</v>
      </c>
      <c r="B9" s="71">
        <v>0.23400000000000001</v>
      </c>
      <c r="C9" s="72" t="s">
        <v>88</v>
      </c>
      <c r="D9" s="71">
        <v>0.23400000000000001</v>
      </c>
      <c r="E9" s="71">
        <f>D9/$D$15</f>
        <v>0.22941176470588237</v>
      </c>
      <c r="F9" s="71">
        <f>E9*$B$6</f>
        <v>0.17618823529411767</v>
      </c>
      <c r="G9" s="71">
        <f>F9</f>
        <v>0.17618823529411767</v>
      </c>
    </row>
    <row r="10" spans="1:9" x14ac:dyDescent="0.25">
      <c r="A10" s="65" t="s">
        <v>32</v>
      </c>
      <c r="B10" s="81">
        <v>0.26400000000000001</v>
      </c>
      <c r="C10" s="72" t="s">
        <v>3</v>
      </c>
      <c r="D10" s="81">
        <v>0.26400000000000001</v>
      </c>
      <c r="E10" s="71">
        <f>D10/$D$15</f>
        <v>0.25882352941176473</v>
      </c>
      <c r="F10" s="71">
        <f>E10*$B$6</f>
        <v>0.1987764705882353</v>
      </c>
      <c r="G10" s="71">
        <f>F10</f>
        <v>0.1987764705882353</v>
      </c>
    </row>
    <row r="11" spans="1:9" x14ac:dyDescent="0.25">
      <c r="A11" s="65" t="s">
        <v>34</v>
      </c>
      <c r="B11" s="81">
        <v>0.16200000000000001</v>
      </c>
      <c r="C11" s="72" t="s">
        <v>34</v>
      </c>
      <c r="D11" s="81">
        <v>0.16200000000000001</v>
      </c>
      <c r="E11" s="71">
        <f>D11/$D$15</f>
        <v>0.1588235294117647</v>
      </c>
      <c r="F11" s="71">
        <f>E11*$B$6</f>
        <v>0.12197647058823528</v>
      </c>
      <c r="G11" s="71">
        <f>F11</f>
        <v>0.12197647058823528</v>
      </c>
    </row>
    <row r="12" spans="1:9" x14ac:dyDescent="0.25">
      <c r="A12" s="65" t="s">
        <v>33</v>
      </c>
      <c r="B12" s="71">
        <v>0.14899999999999999</v>
      </c>
      <c r="C12" s="71"/>
      <c r="D12" s="71"/>
      <c r="E12" s="71"/>
      <c r="F12" s="71"/>
      <c r="G12" s="71"/>
    </row>
    <row r="13" spans="1:9" x14ac:dyDescent="0.25">
      <c r="A13" s="65"/>
      <c r="B13" s="71"/>
      <c r="C13" s="59" t="s">
        <v>49</v>
      </c>
      <c r="D13" s="71"/>
      <c r="E13" s="71"/>
      <c r="F13" s="71"/>
      <c r="G13" s="85">
        <f>prob_untr_neurosyph!A2</f>
        <v>1.1326976671123701E-2</v>
      </c>
    </row>
    <row r="14" spans="1:9" x14ac:dyDescent="0.25">
      <c r="A14" s="65"/>
      <c r="B14" s="71"/>
      <c r="C14" s="59" t="s">
        <v>99</v>
      </c>
      <c r="D14" s="71"/>
      <c r="E14" s="71"/>
      <c r="F14" s="71"/>
      <c r="G14" s="85">
        <f>prob_untr_hearing_loss!A2</f>
        <v>3.01532064464907E-2</v>
      </c>
      <c r="I14" s="75"/>
    </row>
    <row r="15" spans="1:9" x14ac:dyDescent="0.25">
      <c r="A15" s="79" t="s">
        <v>89</v>
      </c>
      <c r="B15" s="77">
        <f>SUM(B7:B12)</f>
        <v>1.4009999999999998</v>
      </c>
      <c r="C15" s="77"/>
      <c r="D15" s="77">
        <f>SUM(D7:D11)</f>
        <v>1.02</v>
      </c>
      <c r="E15" s="77">
        <f>SUM(E7:E11)</f>
        <v>0.99999999999999989</v>
      </c>
      <c r="F15" s="76">
        <f>SUM(F7:F11)</f>
        <v>0.76800000000000002</v>
      </c>
      <c r="G15" s="76">
        <f>SUM(G7:G14)</f>
        <v>0.7679999999999999</v>
      </c>
      <c r="I15" s="63"/>
    </row>
    <row r="16" spans="1:9" ht="16.5" x14ac:dyDescent="0.25">
      <c r="A16" s="61" t="s">
        <v>96</v>
      </c>
      <c r="B16" s="80"/>
      <c r="C16" s="80"/>
      <c r="D16" s="80"/>
      <c r="E16" s="80"/>
      <c r="F16" s="80"/>
      <c r="G16" s="80"/>
    </row>
    <row r="17" spans="1:9" x14ac:dyDescent="0.25">
      <c r="A17" s="65" t="s">
        <v>98</v>
      </c>
      <c r="B17" s="70">
        <v>0.24199999999999999</v>
      </c>
      <c r="C17" s="64"/>
      <c r="D17" s="64"/>
      <c r="E17" s="64"/>
      <c r="F17" s="64"/>
      <c r="G17" s="64"/>
    </row>
    <row r="18" spans="1:9" x14ac:dyDescent="0.25">
      <c r="A18" s="65" t="s">
        <v>97</v>
      </c>
      <c r="B18" s="71">
        <v>0.14000000000000001</v>
      </c>
      <c r="C18" s="72" t="s">
        <v>97</v>
      </c>
      <c r="D18" s="71">
        <v>0.14000000000000001</v>
      </c>
      <c r="E18" s="71">
        <f>D18/$D$26</f>
        <v>0.44303797468354428</v>
      </c>
      <c r="F18" s="71">
        <f>E18*$B$17</f>
        <v>0.10721518987341772</v>
      </c>
      <c r="G18" s="71">
        <f>F18-(G24+G25)</f>
        <v>0.10597078437988929</v>
      </c>
    </row>
    <row r="19" spans="1:9" x14ac:dyDescent="0.25">
      <c r="A19" s="65" t="s">
        <v>30</v>
      </c>
      <c r="B19" s="71">
        <v>9.9000000000000005E-2</v>
      </c>
      <c r="C19" s="72" t="s">
        <v>88</v>
      </c>
      <c r="D19" s="71">
        <v>9.9000000000000005E-2</v>
      </c>
      <c r="E19" s="71">
        <f>D19/$D$26</f>
        <v>0.31329113924050628</v>
      </c>
      <c r="F19" s="71">
        <f>E19*$B$17</f>
        <v>7.5816455696202517E-2</v>
      </c>
      <c r="G19" s="71">
        <f>F19</f>
        <v>7.5816455696202517E-2</v>
      </c>
    </row>
    <row r="20" spans="1:9" x14ac:dyDescent="0.25">
      <c r="A20" s="65" t="s">
        <v>94</v>
      </c>
      <c r="B20" s="71">
        <v>6.2E-2</v>
      </c>
      <c r="C20" s="72"/>
      <c r="D20" s="71"/>
      <c r="E20" s="71"/>
      <c r="F20" s="71"/>
      <c r="G20" s="71"/>
    </row>
    <row r="21" spans="1:9" x14ac:dyDescent="0.25">
      <c r="A21" s="65" t="s">
        <v>32</v>
      </c>
      <c r="B21" s="71">
        <v>4.4999999999999998E-2</v>
      </c>
      <c r="C21" s="72" t="s">
        <v>3</v>
      </c>
      <c r="D21" s="71">
        <v>4.4999999999999998E-2</v>
      </c>
      <c r="E21" s="71">
        <f>D21/$D$26</f>
        <v>0.14240506329113922</v>
      </c>
      <c r="F21" s="71">
        <f>E21*$B$17</f>
        <v>3.4462025316455688E-2</v>
      </c>
      <c r="G21" s="71">
        <f>F21</f>
        <v>3.4462025316455688E-2</v>
      </c>
    </row>
    <row r="22" spans="1:9" x14ac:dyDescent="0.25">
      <c r="A22" s="65" t="s">
        <v>34</v>
      </c>
      <c r="B22" s="71">
        <v>3.2000000000000001E-2</v>
      </c>
      <c r="C22" s="72" t="s">
        <v>34</v>
      </c>
      <c r="D22" s="71">
        <v>3.2000000000000001E-2</v>
      </c>
      <c r="E22" s="71">
        <f>D22/$D$26</f>
        <v>0.10126582278481011</v>
      </c>
      <c r="F22" s="71">
        <f>E22*$B$17</f>
        <v>2.4506329113924048E-2</v>
      </c>
      <c r="G22" s="71">
        <f>F22</f>
        <v>2.4506329113924048E-2</v>
      </c>
    </row>
    <row r="23" spans="1:9" x14ac:dyDescent="0.25">
      <c r="A23" s="65" t="s">
        <v>33</v>
      </c>
      <c r="B23" s="71">
        <v>0.14899999999999999</v>
      </c>
      <c r="C23" s="64"/>
      <c r="D23" s="64"/>
      <c r="E23" s="64"/>
      <c r="F23" s="64"/>
      <c r="G23" s="64"/>
    </row>
    <row r="24" spans="1:9" x14ac:dyDescent="0.25">
      <c r="A24" s="65"/>
      <c r="B24" s="71"/>
      <c r="C24" s="59" t="s">
        <v>49</v>
      </c>
      <c r="D24" s="64"/>
      <c r="E24" s="64"/>
      <c r="F24" s="64"/>
      <c r="G24" s="86">
        <f>'Table S1 w ns &amp; hl-import'!G11</f>
        <v>3.3980930013371101E-4</v>
      </c>
    </row>
    <row r="25" spans="1:9" x14ac:dyDescent="0.25">
      <c r="A25" s="65"/>
      <c r="B25" s="71"/>
      <c r="C25" s="59" t="s">
        <v>99</v>
      </c>
      <c r="D25" s="64"/>
      <c r="E25" s="64"/>
      <c r="F25" s="64"/>
      <c r="G25" s="86">
        <f>'Table S1 w ns &amp; hl-import'!G12</f>
        <v>9.0459619339472094E-4</v>
      </c>
    </row>
    <row r="26" spans="1:9" x14ac:dyDescent="0.25">
      <c r="A26" s="79" t="s">
        <v>89</v>
      </c>
      <c r="B26" s="77">
        <f>SUM(B18:B23)</f>
        <v>0.52700000000000002</v>
      </c>
      <c r="C26" s="78"/>
      <c r="D26" s="77">
        <f>SUM(D18:D22)</f>
        <v>0.31600000000000006</v>
      </c>
      <c r="E26" s="77">
        <f>SUM(E18:E22)</f>
        <v>0.99999999999999989</v>
      </c>
      <c r="F26" s="76">
        <f>SUM(F18:F22)</f>
        <v>0.24199999999999997</v>
      </c>
      <c r="G26" s="76">
        <f>SUM(G18:G25)</f>
        <v>0.24200000000000002</v>
      </c>
      <c r="I26" s="63"/>
    </row>
    <row r="27" spans="1:9" ht="16.5" x14ac:dyDescent="0.25">
      <c r="A27" s="74" t="s">
        <v>90</v>
      </c>
      <c r="B27" s="73"/>
      <c r="C27" s="73"/>
      <c r="D27" s="73"/>
      <c r="E27" s="73"/>
      <c r="F27" s="73"/>
      <c r="G27" s="73"/>
    </row>
    <row r="28" spans="1:9" x14ac:dyDescent="0.25">
      <c r="A28" s="65" t="s">
        <v>98</v>
      </c>
      <c r="B28" s="70">
        <v>0.13700000000000001</v>
      </c>
      <c r="C28" s="64"/>
      <c r="D28" s="64"/>
      <c r="E28" s="64"/>
      <c r="F28" s="64"/>
      <c r="G28" s="64"/>
    </row>
    <row r="29" spans="1:9" x14ac:dyDescent="0.25">
      <c r="A29" s="65" t="s">
        <v>97</v>
      </c>
      <c r="B29" s="71">
        <v>0</v>
      </c>
      <c r="C29" s="72"/>
      <c r="D29" s="71"/>
      <c r="E29" s="64"/>
      <c r="F29" s="64"/>
      <c r="G29" s="64"/>
    </row>
    <row r="30" spans="1:9" x14ac:dyDescent="0.25">
      <c r="A30" s="65" t="s">
        <v>30</v>
      </c>
      <c r="B30" s="71">
        <v>7.1999999999999995E-2</v>
      </c>
      <c r="C30" s="72" t="s">
        <v>88</v>
      </c>
      <c r="D30" s="71">
        <f>B30</f>
        <v>7.1999999999999995E-2</v>
      </c>
      <c r="E30" s="71">
        <f>D30/$D$35</f>
        <v>0.55813953488372103</v>
      </c>
      <c r="F30" s="71">
        <f>E30*$B$28</f>
        <v>7.6465116279069781E-2</v>
      </c>
      <c r="G30" s="64"/>
    </row>
    <row r="31" spans="1:9" x14ac:dyDescent="0.25">
      <c r="A31" s="65" t="s">
        <v>94</v>
      </c>
      <c r="B31" s="71">
        <v>4.4999999999999998E-2</v>
      </c>
      <c r="D31" s="71"/>
      <c r="E31" s="71"/>
      <c r="F31" s="71"/>
      <c r="G31" s="71"/>
    </row>
    <row r="32" spans="1:9" x14ac:dyDescent="0.25">
      <c r="A32" s="65" t="s">
        <v>32</v>
      </c>
      <c r="B32" s="71">
        <v>3.6999999999999998E-2</v>
      </c>
      <c r="C32" s="72" t="s">
        <v>3</v>
      </c>
      <c r="D32" s="71">
        <v>3.6999999999999998E-2</v>
      </c>
      <c r="E32" s="71">
        <f>D32/$D$35</f>
        <v>0.28682170542635665</v>
      </c>
      <c r="F32" s="71">
        <f>E32*$B$28</f>
        <v>3.9294573643410866E-2</v>
      </c>
      <c r="G32" s="71"/>
    </row>
    <row r="33" spans="1:9" x14ac:dyDescent="0.25">
      <c r="A33" s="65" t="s">
        <v>34</v>
      </c>
      <c r="B33" s="71">
        <v>0.02</v>
      </c>
      <c r="C33" s="72" t="s">
        <v>34</v>
      </c>
      <c r="D33" s="71">
        <v>0.02</v>
      </c>
      <c r="E33" s="71">
        <f>D33/$D$35</f>
        <v>0.15503875968992251</v>
      </c>
      <c r="F33" s="71">
        <f>E33*$B$28</f>
        <v>2.1240310077519385E-2</v>
      </c>
      <c r="G33" s="71"/>
    </row>
    <row r="34" spans="1:9" x14ac:dyDescent="0.25">
      <c r="A34" s="65" t="s">
        <v>33</v>
      </c>
      <c r="B34" s="71">
        <v>2.3E-2</v>
      </c>
      <c r="C34" s="64"/>
      <c r="D34" s="71"/>
      <c r="E34" s="71"/>
      <c r="F34" s="70"/>
      <c r="G34" s="70"/>
    </row>
    <row r="35" spans="1:9" x14ac:dyDescent="0.25">
      <c r="A35" s="69" t="s">
        <v>89</v>
      </c>
      <c r="B35" s="67">
        <f>SUM(B29:B34)</f>
        <v>0.19699999999999998</v>
      </c>
      <c r="C35" s="68"/>
      <c r="D35" s="67">
        <f>SUM(D30:D33)</f>
        <v>0.12899999999999998</v>
      </c>
      <c r="E35" s="67">
        <f>SUM(E30:E33)</f>
        <v>1.0000000000000002</v>
      </c>
      <c r="F35" s="66">
        <f>SUM(F30:F33)</f>
        <v>0.13700000000000004</v>
      </c>
      <c r="G35" s="66"/>
      <c r="I35" s="63"/>
    </row>
    <row r="36" spans="1:9" x14ac:dyDescent="0.25">
      <c r="A36" s="62" t="s">
        <v>54</v>
      </c>
      <c r="B36" s="61"/>
      <c r="C36" s="61"/>
      <c r="D36" s="61"/>
      <c r="E36" s="61"/>
      <c r="F36" s="61"/>
      <c r="G36" s="61"/>
    </row>
    <row r="37" spans="1:9" x14ac:dyDescent="0.25">
      <c r="A37" s="61" t="s">
        <v>58</v>
      </c>
      <c r="B37" s="61"/>
      <c r="C37" s="61"/>
      <c r="D37" s="61"/>
      <c r="E37" s="61"/>
      <c r="F37" s="61"/>
      <c r="G37" s="61"/>
    </row>
    <row r="38" spans="1:9" x14ac:dyDescent="0.25">
      <c r="A38" s="61" t="s">
        <v>59</v>
      </c>
      <c r="B38" s="61"/>
      <c r="C38" s="61"/>
      <c r="D38" s="61"/>
      <c r="E38" s="61"/>
      <c r="F38" s="61"/>
      <c r="G38" s="61"/>
    </row>
  </sheetData>
  <mergeCells count="3">
    <mergeCell ref="A2:B2"/>
    <mergeCell ref="A1:G1"/>
    <mergeCell ref="D2:G2"/>
  </mergeCells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485B-EC0C-49BB-AAAD-E4A3E48FC4E3}">
  <dimension ref="A1:I45"/>
  <sheetViews>
    <sheetView zoomScale="130" zoomScaleNormal="130" workbookViewId="0">
      <selection sqref="A1:G1"/>
    </sheetView>
  </sheetViews>
  <sheetFormatPr defaultColWidth="8.7109375" defaultRowHeight="15" x14ac:dyDescent="0.25"/>
  <cols>
    <col min="1" max="1" width="22.5703125" style="60" customWidth="1"/>
    <col min="2" max="2" width="13" style="60" customWidth="1"/>
    <col min="3" max="3" width="12.85546875" style="60" customWidth="1"/>
    <col min="4" max="4" width="18.140625" style="60" customWidth="1"/>
    <col min="5" max="5" width="13.28515625" style="60" customWidth="1"/>
    <col min="6" max="6" width="14" style="60" customWidth="1"/>
    <col min="7" max="7" width="22.140625" style="60" customWidth="1"/>
    <col min="8" max="8" width="8.7109375" style="60"/>
    <col min="9" max="9" width="19.42578125" style="60" bestFit="1" customWidth="1"/>
    <col min="10" max="16384" width="8.7109375" style="60"/>
  </cols>
  <sheetData>
    <row r="1" spans="1:9" x14ac:dyDescent="0.25">
      <c r="A1" s="101" t="s">
        <v>68</v>
      </c>
      <c r="B1" s="101"/>
      <c r="C1" s="101"/>
      <c r="D1" s="101"/>
      <c r="E1" s="101"/>
      <c r="F1" s="101"/>
      <c r="G1" s="101"/>
    </row>
    <row r="2" spans="1:9" ht="15" customHeight="1" x14ac:dyDescent="0.25">
      <c r="A2" s="100" t="s">
        <v>60</v>
      </c>
      <c r="B2" s="100"/>
      <c r="C2" s="84"/>
      <c r="D2" s="100" t="s">
        <v>84</v>
      </c>
      <c r="E2" s="100"/>
      <c r="F2" s="100"/>
      <c r="G2" s="100"/>
    </row>
    <row r="3" spans="1:9" ht="95.1" customHeight="1" x14ac:dyDescent="0.25">
      <c r="A3" s="84" t="s">
        <v>85</v>
      </c>
      <c r="B3" s="84" t="s">
        <v>86</v>
      </c>
      <c r="C3" s="84" t="s">
        <v>91</v>
      </c>
      <c r="D3" s="84" t="s">
        <v>87</v>
      </c>
      <c r="E3" s="84" t="s">
        <v>92</v>
      </c>
      <c r="F3" s="84" t="s">
        <v>100</v>
      </c>
      <c r="G3" s="84" t="s">
        <v>93</v>
      </c>
    </row>
    <row r="4" spans="1:9" ht="16.5" x14ac:dyDescent="0.25">
      <c r="A4" s="61" t="s">
        <v>95</v>
      </c>
      <c r="B4" s="82"/>
      <c r="C4" s="82"/>
      <c r="D4" s="82"/>
      <c r="E4" s="82"/>
      <c r="F4" s="82"/>
      <c r="G4" s="82"/>
    </row>
    <row r="5" spans="1:9" ht="15" customHeight="1" x14ac:dyDescent="0.25">
      <c r="A5" s="83" t="s">
        <v>71</v>
      </c>
      <c r="B5" s="83" t="s">
        <v>72</v>
      </c>
      <c r="C5" s="83" t="s">
        <v>73</v>
      </c>
      <c r="D5" s="83" t="s">
        <v>74</v>
      </c>
      <c r="E5" s="83" t="s">
        <v>76</v>
      </c>
      <c r="F5" s="83" t="s">
        <v>77</v>
      </c>
      <c r="G5" s="83" t="s">
        <v>81</v>
      </c>
    </row>
    <row r="6" spans="1:9" x14ac:dyDescent="0.25">
      <c r="A6" s="65" t="s">
        <v>98</v>
      </c>
      <c r="B6" s="70">
        <v>0.76800000000000002</v>
      </c>
      <c r="C6" s="71"/>
      <c r="D6" s="71"/>
      <c r="E6" s="71"/>
      <c r="F6" s="71"/>
      <c r="G6" s="71"/>
    </row>
    <row r="7" spans="1:9" x14ac:dyDescent="0.25">
      <c r="A7" s="65" t="s">
        <v>97</v>
      </c>
      <c r="B7" s="71">
        <v>0.36</v>
      </c>
      <c r="C7" s="72" t="s">
        <v>97</v>
      </c>
      <c r="D7" s="71">
        <v>0.36</v>
      </c>
      <c r="E7" s="71">
        <f>D7/$D$15</f>
        <v>0.3529411764705882</v>
      </c>
      <c r="F7" s="71">
        <f>E7*$B$6</f>
        <v>0.27105882352941174</v>
      </c>
      <c r="G7" s="71">
        <f>F7-(G13+G14)</f>
        <v>0.22957864041179735</v>
      </c>
      <c r="I7" s="87"/>
    </row>
    <row r="8" spans="1:9" x14ac:dyDescent="0.25">
      <c r="A8" s="65" t="s">
        <v>30</v>
      </c>
      <c r="B8" s="71">
        <v>0.23200000000000001</v>
      </c>
      <c r="C8" s="72"/>
      <c r="D8" s="71"/>
      <c r="E8" s="71"/>
      <c r="F8" s="71"/>
      <c r="G8" s="71"/>
    </row>
    <row r="9" spans="1:9" x14ac:dyDescent="0.25">
      <c r="A9" s="65" t="s">
        <v>94</v>
      </c>
      <c r="B9" s="71">
        <v>0.23400000000000001</v>
      </c>
      <c r="C9" s="72" t="s">
        <v>88</v>
      </c>
      <c r="D9" s="71">
        <v>0.23400000000000001</v>
      </c>
      <c r="E9" s="71">
        <f>D9/$D$15</f>
        <v>0.22941176470588237</v>
      </c>
      <c r="F9" s="71">
        <f>E9*$B$6</f>
        <v>0.17618823529411767</v>
      </c>
      <c r="G9" s="71">
        <f>F9</f>
        <v>0.17618823529411767</v>
      </c>
    </row>
    <row r="10" spans="1:9" x14ac:dyDescent="0.25">
      <c r="A10" s="65" t="s">
        <v>32</v>
      </c>
      <c r="B10" s="81">
        <v>0.26400000000000001</v>
      </c>
      <c r="C10" s="72" t="s">
        <v>3</v>
      </c>
      <c r="D10" s="81">
        <v>0.26400000000000001</v>
      </c>
      <c r="E10" s="71">
        <f>D10/$D$15</f>
        <v>0.25882352941176473</v>
      </c>
      <c r="F10" s="71">
        <f>E10*$B$6</f>
        <v>0.1987764705882353</v>
      </c>
      <c r="G10" s="71">
        <f>F10</f>
        <v>0.1987764705882353</v>
      </c>
    </row>
    <row r="11" spans="1:9" x14ac:dyDescent="0.25">
      <c r="A11" s="65" t="s">
        <v>34</v>
      </c>
      <c r="B11" s="81">
        <v>0.16200000000000001</v>
      </c>
      <c r="C11" s="72" t="s">
        <v>34</v>
      </c>
      <c r="D11" s="81">
        <v>0.16200000000000001</v>
      </c>
      <c r="E11" s="71">
        <f>D11/$D$15</f>
        <v>0.1588235294117647</v>
      </c>
      <c r="F11" s="71">
        <f>E11*$B$6</f>
        <v>0.12197647058823528</v>
      </c>
      <c r="G11" s="71">
        <f>F11</f>
        <v>0.12197647058823528</v>
      </c>
    </row>
    <row r="12" spans="1:9" x14ac:dyDescent="0.25">
      <c r="A12" s="65" t="s">
        <v>33</v>
      </c>
      <c r="B12" s="71">
        <v>0.14899999999999999</v>
      </c>
      <c r="C12" s="71"/>
      <c r="D12" s="71"/>
      <c r="E12" s="71"/>
      <c r="F12" s="71"/>
      <c r="G12" s="71"/>
    </row>
    <row r="13" spans="1:9" x14ac:dyDescent="0.25">
      <c r="A13" s="65"/>
      <c r="B13" s="71"/>
      <c r="C13" s="59" t="s">
        <v>49</v>
      </c>
      <c r="D13" s="71"/>
      <c r="E13" s="71"/>
      <c r="F13" s="71"/>
      <c r="G13" s="88">
        <f>prob_untr_neurosyph!A2</f>
        <v>1.1326976671123701E-2</v>
      </c>
    </row>
    <row r="14" spans="1:9" x14ac:dyDescent="0.25">
      <c r="A14" s="65"/>
      <c r="B14" s="71"/>
      <c r="C14" s="59" t="s">
        <v>99</v>
      </c>
      <c r="D14" s="71"/>
      <c r="E14" s="71"/>
      <c r="F14" s="71"/>
      <c r="G14" s="88">
        <f>prob_untr_hearing_loss!A2</f>
        <v>3.01532064464907E-2</v>
      </c>
      <c r="I14" s="75"/>
    </row>
    <row r="15" spans="1:9" x14ac:dyDescent="0.25">
      <c r="A15" s="79" t="s">
        <v>89</v>
      </c>
      <c r="B15" s="77">
        <f>SUM(B7:B12)</f>
        <v>1.4009999999999998</v>
      </c>
      <c r="C15" s="77"/>
      <c r="D15" s="77">
        <f>SUM(D7:D11)</f>
        <v>1.02</v>
      </c>
      <c r="E15" s="77">
        <f>SUM(E7:E11)</f>
        <v>0.99999999999999989</v>
      </c>
      <c r="F15" s="76">
        <f>SUM(F7:F11)</f>
        <v>0.76800000000000002</v>
      </c>
      <c r="G15" s="76">
        <f>SUM(G7:G14)</f>
        <v>0.7679999999999999</v>
      </c>
    </row>
    <row r="16" spans="1:9" x14ac:dyDescent="0.25">
      <c r="A16" s="65"/>
      <c r="B16" s="71"/>
      <c r="C16" s="71" t="s">
        <v>80</v>
      </c>
      <c r="D16" s="71"/>
      <c r="E16" s="71"/>
      <c r="F16" s="70"/>
      <c r="G16" s="70">
        <f>1-G15</f>
        <v>0.2320000000000001</v>
      </c>
    </row>
    <row r="17" spans="1:7" ht="16.5" x14ac:dyDescent="0.25">
      <c r="A17" s="61" t="s">
        <v>96</v>
      </c>
      <c r="B17" s="80"/>
      <c r="C17" s="80"/>
      <c r="D17" s="80"/>
      <c r="E17" s="80"/>
      <c r="F17" s="80"/>
      <c r="G17" s="80"/>
    </row>
    <row r="18" spans="1:7" x14ac:dyDescent="0.25">
      <c r="A18" s="83" t="s">
        <v>71</v>
      </c>
      <c r="B18" s="83" t="s">
        <v>72</v>
      </c>
      <c r="C18" s="83" t="s">
        <v>73</v>
      </c>
      <c r="D18" s="83" t="s">
        <v>74</v>
      </c>
      <c r="E18" s="83" t="s">
        <v>76</v>
      </c>
      <c r="F18" s="83" t="s">
        <v>77</v>
      </c>
      <c r="G18" s="83" t="s">
        <v>81</v>
      </c>
    </row>
    <row r="19" spans="1:7" x14ac:dyDescent="0.25">
      <c r="A19" s="65" t="s">
        <v>98</v>
      </c>
      <c r="B19" s="70">
        <v>0.24199999999999999</v>
      </c>
      <c r="C19" s="64"/>
      <c r="D19" s="64"/>
      <c r="E19" s="64"/>
      <c r="F19" s="64"/>
      <c r="G19" s="64"/>
    </row>
    <row r="20" spans="1:7" x14ac:dyDescent="0.25">
      <c r="A20" s="65" t="s">
        <v>97</v>
      </c>
      <c r="B20" s="71">
        <v>0.14000000000000001</v>
      </c>
      <c r="C20" s="72" t="s">
        <v>97</v>
      </c>
      <c r="D20" s="71">
        <v>0.14000000000000001</v>
      </c>
      <c r="E20" s="71">
        <f>D20/$D$28</f>
        <v>0.44303797468354428</v>
      </c>
      <c r="F20" s="71">
        <f>E20*$B$19</f>
        <v>0.10721518987341772</v>
      </c>
      <c r="G20" s="71">
        <f>F20-(G26+G27)</f>
        <v>0.10597078437988929</v>
      </c>
    </row>
    <row r="21" spans="1:7" x14ac:dyDescent="0.25">
      <c r="A21" s="65" t="s">
        <v>30</v>
      </c>
      <c r="B21" s="71">
        <v>9.9000000000000005E-2</v>
      </c>
      <c r="C21" s="72" t="s">
        <v>88</v>
      </c>
      <c r="D21" s="71">
        <v>9.9000000000000005E-2</v>
      </c>
      <c r="E21" s="71">
        <f>D21/$D$28</f>
        <v>0.31329113924050628</v>
      </c>
      <c r="F21" s="71">
        <f>E21*$B$19</f>
        <v>7.5816455696202517E-2</v>
      </c>
      <c r="G21" s="71">
        <f>F21</f>
        <v>7.5816455696202517E-2</v>
      </c>
    </row>
    <row r="22" spans="1:7" x14ac:dyDescent="0.25">
      <c r="A22" s="65" t="s">
        <v>94</v>
      </c>
      <c r="B22" s="71">
        <v>6.2E-2</v>
      </c>
      <c r="C22" s="72"/>
      <c r="D22" s="71"/>
      <c r="E22" s="71"/>
      <c r="F22" s="71"/>
      <c r="G22" s="71"/>
    </row>
    <row r="23" spans="1:7" x14ac:dyDescent="0.25">
      <c r="A23" s="65" t="s">
        <v>32</v>
      </c>
      <c r="B23" s="71">
        <v>4.4999999999999998E-2</v>
      </c>
      <c r="C23" s="72" t="s">
        <v>3</v>
      </c>
      <c r="D23" s="71">
        <v>4.4999999999999998E-2</v>
      </c>
      <c r="E23" s="71">
        <f>D23/$D$28</f>
        <v>0.14240506329113922</v>
      </c>
      <c r="F23" s="71">
        <f>E23*$B$19</f>
        <v>3.4462025316455688E-2</v>
      </c>
      <c r="G23" s="71">
        <f>F23</f>
        <v>3.4462025316455688E-2</v>
      </c>
    </row>
    <row r="24" spans="1:7" x14ac:dyDescent="0.25">
      <c r="A24" s="65" t="s">
        <v>34</v>
      </c>
      <c r="B24" s="71">
        <v>3.2000000000000001E-2</v>
      </c>
      <c r="C24" s="72" t="s">
        <v>34</v>
      </c>
      <c r="D24" s="71">
        <v>3.2000000000000001E-2</v>
      </c>
      <c r="E24" s="71">
        <f>D24/$D$28</f>
        <v>0.10126582278481011</v>
      </c>
      <c r="F24" s="71">
        <f>E24*$B$19</f>
        <v>2.4506329113924048E-2</v>
      </c>
      <c r="G24" s="71">
        <f>F24</f>
        <v>2.4506329113924048E-2</v>
      </c>
    </row>
    <row r="25" spans="1:7" x14ac:dyDescent="0.25">
      <c r="A25" s="65" t="s">
        <v>33</v>
      </c>
      <c r="B25" s="71">
        <v>0.14899999999999999</v>
      </c>
      <c r="C25" s="64"/>
      <c r="D25" s="64"/>
      <c r="E25" s="64"/>
      <c r="F25" s="64"/>
      <c r="G25" s="64"/>
    </row>
    <row r="26" spans="1:7" x14ac:dyDescent="0.25">
      <c r="A26" s="65"/>
      <c r="B26" s="71"/>
      <c r="C26" s="59" t="s">
        <v>49</v>
      </c>
      <c r="D26" s="64"/>
      <c r="E26" s="64"/>
      <c r="F26" s="64"/>
      <c r="G26" s="94">
        <f>'Table S1 w ns &amp; hl-import'!G11</f>
        <v>3.3980930013371101E-4</v>
      </c>
    </row>
    <row r="27" spans="1:7" x14ac:dyDescent="0.25">
      <c r="A27" s="65"/>
      <c r="B27" s="71"/>
      <c r="C27" s="59" t="s">
        <v>99</v>
      </c>
      <c r="D27" s="64"/>
      <c r="E27" s="64"/>
      <c r="F27" s="64"/>
      <c r="G27" s="94">
        <f>'Table S1 w ns &amp; hl-import'!G12</f>
        <v>9.0459619339472094E-4</v>
      </c>
    </row>
    <row r="28" spans="1:7" x14ac:dyDescent="0.25">
      <c r="A28" s="79" t="s">
        <v>89</v>
      </c>
      <c r="B28" s="77">
        <f>SUM(B20:B25)</f>
        <v>0.52700000000000002</v>
      </c>
      <c r="C28" s="78"/>
      <c r="D28" s="77">
        <f>SUM(D20:D24)</f>
        <v>0.31600000000000006</v>
      </c>
      <c r="E28" s="77">
        <f>SUM(E20:E24)</f>
        <v>0.99999999999999989</v>
      </c>
      <c r="F28" s="76">
        <f>SUM(F20:F24)</f>
        <v>0.24199999999999997</v>
      </c>
      <c r="G28" s="76">
        <f>SUM(G20:G27)</f>
        <v>0.24200000000000002</v>
      </c>
    </row>
    <row r="29" spans="1:7" x14ac:dyDescent="0.25">
      <c r="A29" s="65"/>
      <c r="B29" s="71"/>
      <c r="C29" s="71" t="s">
        <v>80</v>
      </c>
      <c r="D29" s="71"/>
      <c r="E29" s="71"/>
      <c r="F29" s="70"/>
      <c r="G29" s="70">
        <f>1-G28</f>
        <v>0.75800000000000001</v>
      </c>
    </row>
    <row r="30" spans="1:7" ht="16.5" x14ac:dyDescent="0.25">
      <c r="A30" s="74" t="s">
        <v>90</v>
      </c>
      <c r="B30" s="73"/>
      <c r="C30" s="73"/>
      <c r="D30" s="73"/>
      <c r="E30" s="73"/>
      <c r="F30" s="73"/>
      <c r="G30" s="73"/>
    </row>
    <row r="31" spans="1:7" x14ac:dyDescent="0.25">
      <c r="A31" s="83" t="s">
        <v>71</v>
      </c>
      <c r="B31" s="83" t="s">
        <v>72</v>
      </c>
      <c r="C31" s="83" t="s">
        <v>73</v>
      </c>
      <c r="D31" s="83" t="s">
        <v>74</v>
      </c>
      <c r="E31" s="83" t="s">
        <v>76</v>
      </c>
      <c r="F31" s="83" t="s">
        <v>77</v>
      </c>
      <c r="G31" s="83" t="s">
        <v>81</v>
      </c>
    </row>
    <row r="32" spans="1:7" x14ac:dyDescent="0.25">
      <c r="A32" s="65" t="s">
        <v>98</v>
      </c>
      <c r="B32" s="70">
        <v>0.13700000000000001</v>
      </c>
      <c r="C32" s="64"/>
      <c r="D32" s="64"/>
      <c r="E32" s="64"/>
      <c r="F32" s="64"/>
      <c r="G32" s="64"/>
    </row>
    <row r="33" spans="1:7" x14ac:dyDescent="0.25">
      <c r="A33" s="65" t="s">
        <v>97</v>
      </c>
      <c r="B33" s="71">
        <v>0</v>
      </c>
      <c r="C33" s="72"/>
      <c r="D33" s="71"/>
      <c r="E33" s="64"/>
      <c r="F33" s="64"/>
      <c r="G33" s="64"/>
    </row>
    <row r="34" spans="1:7" x14ac:dyDescent="0.25">
      <c r="A34" s="65" t="s">
        <v>30</v>
      </c>
      <c r="B34" s="71">
        <v>7.1999999999999995E-2</v>
      </c>
      <c r="C34" s="72" t="s">
        <v>88</v>
      </c>
      <c r="D34" s="71">
        <f>B34</f>
        <v>7.1999999999999995E-2</v>
      </c>
      <c r="E34" s="71">
        <f>D34/$D$41</f>
        <v>0.55813953488372103</v>
      </c>
      <c r="F34" s="71">
        <f>E34*$B$32</f>
        <v>7.6465116279069781E-2</v>
      </c>
      <c r="G34" s="64"/>
    </row>
    <row r="35" spans="1:7" x14ac:dyDescent="0.25">
      <c r="A35" s="65" t="s">
        <v>94</v>
      </c>
      <c r="B35" s="71">
        <v>4.4999999999999998E-2</v>
      </c>
      <c r="D35" s="71"/>
      <c r="E35" s="71"/>
      <c r="F35" s="71"/>
      <c r="G35" s="71"/>
    </row>
    <row r="36" spans="1:7" x14ac:dyDescent="0.25">
      <c r="A36" s="65" t="s">
        <v>32</v>
      </c>
      <c r="B36" s="71">
        <v>3.6999999999999998E-2</v>
      </c>
      <c r="C36" s="72" t="s">
        <v>3</v>
      </c>
      <c r="D36" s="71">
        <v>3.6999999999999998E-2</v>
      </c>
      <c r="E36" s="71">
        <f>D36/$D$41</f>
        <v>0.28682170542635665</v>
      </c>
      <c r="F36" s="71">
        <f>E36*$B$32</f>
        <v>3.9294573643410866E-2</v>
      </c>
      <c r="G36" s="71"/>
    </row>
    <row r="37" spans="1:7" x14ac:dyDescent="0.25">
      <c r="A37" s="65" t="s">
        <v>34</v>
      </c>
      <c r="B37" s="71">
        <v>0.02</v>
      </c>
      <c r="C37" s="72" t="s">
        <v>34</v>
      </c>
      <c r="D37" s="71">
        <v>0.02</v>
      </c>
      <c r="E37" s="71">
        <f>D37/$D$41</f>
        <v>0.15503875968992251</v>
      </c>
      <c r="F37" s="71">
        <f>E37*$B$32</f>
        <v>2.1240310077519385E-2</v>
      </c>
      <c r="G37" s="71"/>
    </row>
    <row r="38" spans="1:7" x14ac:dyDescent="0.25">
      <c r="A38" s="65" t="s">
        <v>33</v>
      </c>
      <c r="B38" s="71">
        <v>2.3E-2</v>
      </c>
      <c r="C38" s="64"/>
      <c r="D38" s="71"/>
      <c r="E38" s="71"/>
      <c r="F38" s="70"/>
      <c r="G38" s="70"/>
    </row>
    <row r="39" spans="1:7" x14ac:dyDescent="0.25">
      <c r="A39" s="65" t="s">
        <v>49</v>
      </c>
      <c r="B39" s="71"/>
      <c r="C39" s="64"/>
      <c r="D39" s="71"/>
      <c r="E39" s="71"/>
      <c r="F39" s="70"/>
      <c r="G39" s="70"/>
    </row>
    <row r="40" spans="1:7" x14ac:dyDescent="0.25">
      <c r="A40" s="65" t="s">
        <v>99</v>
      </c>
      <c r="B40" s="71"/>
      <c r="C40" s="64"/>
      <c r="D40" s="71"/>
      <c r="E40" s="71"/>
      <c r="F40" s="70"/>
      <c r="G40" s="70"/>
    </row>
    <row r="41" spans="1:7" x14ac:dyDescent="0.25">
      <c r="A41" s="69" t="s">
        <v>89</v>
      </c>
      <c r="B41" s="67">
        <f>SUM(B33:B38)</f>
        <v>0.19699999999999998</v>
      </c>
      <c r="C41" s="68"/>
      <c r="D41" s="67">
        <f>SUM(D34:D37)</f>
        <v>0.12899999999999998</v>
      </c>
      <c r="E41" s="67">
        <f>SUM(E34:E37)</f>
        <v>1.0000000000000002</v>
      </c>
      <c r="F41" s="66">
        <f>SUM(F34:F37)</f>
        <v>0.13700000000000004</v>
      </c>
      <c r="G41" s="66"/>
    </row>
    <row r="42" spans="1:7" x14ac:dyDescent="0.25">
      <c r="A42" s="91"/>
      <c r="B42" s="92"/>
      <c r="C42" s="72" t="s">
        <v>80</v>
      </c>
      <c r="D42" s="92"/>
      <c r="E42" s="92"/>
      <c r="F42" s="93">
        <f>1-F41</f>
        <v>0.86299999999999999</v>
      </c>
      <c r="G42" s="93"/>
    </row>
    <row r="43" spans="1:7" x14ac:dyDescent="0.25">
      <c r="A43" s="62" t="s">
        <v>54</v>
      </c>
      <c r="B43" s="61"/>
      <c r="C43" s="61"/>
      <c r="D43" s="61"/>
      <c r="E43" s="61"/>
      <c r="F43" s="61"/>
      <c r="G43" s="61"/>
    </row>
    <row r="44" spans="1:7" x14ac:dyDescent="0.25">
      <c r="A44" s="61" t="s">
        <v>58</v>
      </c>
      <c r="B44" s="61"/>
      <c r="C44" s="61"/>
      <c r="D44" s="61"/>
      <c r="E44" s="61"/>
      <c r="F44" s="61"/>
      <c r="G44" s="61"/>
    </row>
    <row r="45" spans="1:7" x14ac:dyDescent="0.25">
      <c r="A45" s="61" t="s">
        <v>59</v>
      </c>
      <c r="B45" s="61"/>
      <c r="C45" s="61"/>
      <c r="D45" s="61"/>
      <c r="E45" s="61"/>
      <c r="F45" s="61"/>
      <c r="G45" s="61"/>
    </row>
  </sheetData>
  <mergeCells count="3">
    <mergeCell ref="A1:G1"/>
    <mergeCell ref="A2:B2"/>
    <mergeCell ref="D2:G2"/>
  </mergeCells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8638-0F88-41C3-BDE7-CB12455E4C66}">
  <sheetPr>
    <tabColor rgb="FFFF0000"/>
  </sheetPr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69</v>
      </c>
    </row>
    <row r="2" spans="1:1" x14ac:dyDescent="0.25">
      <c r="A2" s="90">
        <v>1.1326976671123701E-2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27.5703125" bestFit="1" customWidth="1"/>
  </cols>
  <sheetData>
    <row r="1" spans="1:1" x14ac:dyDescent="0.25">
      <c r="A1" t="s">
        <v>70</v>
      </c>
    </row>
    <row r="2" spans="1:1" x14ac:dyDescent="0.25">
      <c r="A2" s="89">
        <v>3.01532064464907E-2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38FF-A54B-46B6-9555-210F8E8111A1}">
  <sheetPr>
    <tabColor rgb="FF92D050"/>
  </sheetPr>
  <dimension ref="A1"/>
  <sheetViews>
    <sheetView workbookViewId="0">
      <selection activeCell="G31" sqref="G31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A4A8-03D5-4DCB-AAA6-A698A68170A3}">
  <dimension ref="A1:M7"/>
  <sheetViews>
    <sheetView zoomScale="130" zoomScaleNormal="130" workbookViewId="0">
      <pane xSplit="1" topLeftCell="B1" activePane="topRight" state="frozen"/>
      <selection pane="topRight"/>
    </sheetView>
  </sheetViews>
  <sheetFormatPr defaultRowHeight="15" x14ac:dyDescent="0.25"/>
  <cols>
    <col min="1" max="1" width="20.5703125" bestFit="1" customWidth="1"/>
    <col min="2" max="2" width="23.7109375" customWidth="1"/>
    <col min="3" max="3" width="9.85546875" style="4" customWidth="1"/>
    <col min="4" max="4" width="10.140625" customWidth="1"/>
    <col min="5" max="5" width="12.85546875" customWidth="1"/>
    <col min="6" max="6" width="20.7109375" customWidth="1"/>
    <col min="7" max="7" width="17.42578125" customWidth="1"/>
    <col min="8" max="8" width="16.42578125" customWidth="1"/>
    <col min="9" max="9" width="20.140625" style="4" customWidth="1"/>
    <col min="10" max="10" width="8.28515625" customWidth="1"/>
    <col min="11" max="11" width="13.140625" customWidth="1"/>
  </cols>
  <sheetData>
    <row r="1" spans="1:13" ht="75" customHeight="1" x14ac:dyDescent="0.25">
      <c r="A1" s="2" t="s">
        <v>5</v>
      </c>
      <c r="B1" s="3">
        <v>0.08</v>
      </c>
    </row>
    <row r="2" spans="1:13" ht="75" customHeight="1" x14ac:dyDescent="0.25">
      <c r="B2" s="5" t="s">
        <v>6</v>
      </c>
      <c r="C2" s="6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7" t="s">
        <v>13</v>
      </c>
      <c r="J2" s="8"/>
      <c r="K2" s="9" t="s">
        <v>14</v>
      </c>
    </row>
    <row r="3" spans="1:13" ht="15.75" x14ac:dyDescent="0.25">
      <c r="A3" s="1" t="s">
        <v>1</v>
      </c>
      <c r="B3" s="10">
        <v>0.65</v>
      </c>
      <c r="C3" s="11">
        <v>0.36</v>
      </c>
      <c r="D3" s="12">
        <f>1-B3</f>
        <v>0.35</v>
      </c>
      <c r="E3" s="13">
        <f>0.063</f>
        <v>6.3E-2</v>
      </c>
      <c r="F3" s="13">
        <v>0.121</v>
      </c>
      <c r="G3" s="13">
        <f>F3-E3</f>
        <v>5.7999999999999996E-2</v>
      </c>
      <c r="H3" s="13">
        <f>D3*G3</f>
        <v>2.0299999999999999E-2</v>
      </c>
      <c r="I3" s="14">
        <f>E3+H3</f>
        <v>8.3299999999999999E-2</v>
      </c>
      <c r="J3" s="15">
        <f>D3*F3</f>
        <v>4.2349999999999999E-2</v>
      </c>
      <c r="K3" s="15">
        <f>F3*C3</f>
        <v>4.3559999999999995E-2</v>
      </c>
      <c r="L3" s="12">
        <f>K3/F3</f>
        <v>0.36</v>
      </c>
      <c r="M3" s="16">
        <f>I3/F3</f>
        <v>0.68842975206611567</v>
      </c>
    </row>
    <row r="4" spans="1:13" ht="15.75" x14ac:dyDescent="0.25">
      <c r="A4" s="1" t="s">
        <v>2</v>
      </c>
      <c r="B4" s="10">
        <v>0.8</v>
      </c>
      <c r="C4" s="11">
        <v>0.2</v>
      </c>
      <c r="D4" s="12">
        <f>1-B4</f>
        <v>0.19999999999999996</v>
      </c>
      <c r="E4" s="13">
        <f>0.03</f>
        <v>0.03</v>
      </c>
      <c r="F4" s="13">
        <v>0.123</v>
      </c>
      <c r="G4" s="13">
        <f t="shared" ref="G4:G6" si="0">F4-E4</f>
        <v>9.2999999999999999E-2</v>
      </c>
      <c r="H4" s="13">
        <f>D4*G4</f>
        <v>1.8599999999999995E-2</v>
      </c>
      <c r="I4" s="14">
        <f>E4+H4</f>
        <v>4.859999999999999E-2</v>
      </c>
      <c r="J4" s="15">
        <f t="shared" ref="J4:J7" si="1">D4*F4</f>
        <v>2.4599999999999993E-2</v>
      </c>
      <c r="K4" s="15">
        <f>F4*C4</f>
        <v>2.46E-2</v>
      </c>
      <c r="L4" s="12">
        <f>K4/F4</f>
        <v>0.2</v>
      </c>
      <c r="M4" s="16">
        <f t="shared" ref="M4:M7" si="2">I4/F4</f>
        <v>0.3951219512195121</v>
      </c>
    </row>
    <row r="5" spans="1:13" ht="15.75" x14ac:dyDescent="0.25">
      <c r="A5" s="1" t="s">
        <v>3</v>
      </c>
      <c r="B5" s="10">
        <v>0.82</v>
      </c>
      <c r="C5" s="11">
        <v>0.18</v>
      </c>
      <c r="D5" s="12">
        <f>1-B5</f>
        <v>0.18000000000000005</v>
      </c>
      <c r="E5" s="13">
        <f>0.046</f>
        <v>4.5999999999999999E-2</v>
      </c>
      <c r="F5" s="13">
        <v>0.25600000000000001</v>
      </c>
      <c r="G5" s="13">
        <f t="shared" si="0"/>
        <v>0.21000000000000002</v>
      </c>
      <c r="H5" s="13">
        <f>D5*G5</f>
        <v>3.7800000000000014E-2</v>
      </c>
      <c r="I5" s="14">
        <f>E5+H5</f>
        <v>8.3800000000000013E-2</v>
      </c>
      <c r="J5" s="15">
        <f t="shared" si="1"/>
        <v>4.6080000000000017E-2</v>
      </c>
      <c r="K5" s="15">
        <f>F5*C5</f>
        <v>4.6079999999999996E-2</v>
      </c>
      <c r="L5" s="12">
        <f>K5/F5</f>
        <v>0.18</v>
      </c>
      <c r="M5" s="16">
        <f t="shared" si="2"/>
        <v>0.32734375000000004</v>
      </c>
    </row>
    <row r="6" spans="1:13" ht="15.75" x14ac:dyDescent="0.25">
      <c r="A6" s="1" t="s">
        <v>4</v>
      </c>
      <c r="B6" s="10">
        <v>0.97</v>
      </c>
      <c r="C6" s="11">
        <v>0.03</v>
      </c>
      <c r="D6" s="12">
        <f>1-B6</f>
        <v>3.0000000000000027E-2</v>
      </c>
      <c r="E6" s="13">
        <v>0</v>
      </c>
      <c r="F6" s="13">
        <v>0.155</v>
      </c>
      <c r="G6" s="13">
        <f t="shared" si="0"/>
        <v>0.155</v>
      </c>
      <c r="H6" s="13">
        <f>D6*G6</f>
        <v>4.650000000000004E-3</v>
      </c>
      <c r="I6" s="14">
        <f t="shared" ref="I6:I7" si="3">E6+H6</f>
        <v>4.650000000000004E-3</v>
      </c>
      <c r="J6" s="15">
        <f t="shared" si="1"/>
        <v>4.650000000000004E-3</v>
      </c>
      <c r="K6" s="15">
        <f>F6*C6</f>
        <v>4.6499999999999996E-3</v>
      </c>
      <c r="L6" s="12">
        <f>K6/F6</f>
        <v>0.03</v>
      </c>
      <c r="M6" s="16">
        <f t="shared" si="2"/>
        <v>3.0000000000000027E-2</v>
      </c>
    </row>
    <row r="7" spans="1:13" ht="15.75" x14ac:dyDescent="0.25">
      <c r="A7" s="1" t="s">
        <v>15</v>
      </c>
      <c r="B7" s="10">
        <v>0.84599999999999997</v>
      </c>
      <c r="D7" s="12">
        <f>1-B7</f>
        <v>0.15400000000000003</v>
      </c>
      <c r="E7" s="17">
        <v>0.14299999999999999</v>
      </c>
      <c r="F7" s="17">
        <f>SUM(F3:F6)</f>
        <v>0.65500000000000003</v>
      </c>
      <c r="G7" s="17">
        <f>SUM(G3:G6)</f>
        <v>0.51600000000000001</v>
      </c>
      <c r="H7" s="3">
        <f>D7*G7</f>
        <v>7.9464000000000021E-2</v>
      </c>
      <c r="I7" s="18">
        <f t="shared" si="3"/>
        <v>0.222464</v>
      </c>
      <c r="J7" s="17">
        <f t="shared" si="1"/>
        <v>0.10087000000000002</v>
      </c>
      <c r="K7" s="15">
        <f>F7*C7</f>
        <v>0</v>
      </c>
      <c r="L7" s="12">
        <f>K7/F7</f>
        <v>0</v>
      </c>
      <c r="M7" s="16">
        <f t="shared" si="2"/>
        <v>0.33963969465648852</v>
      </c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Table S1 w ns &amp; hl</vt:lpstr>
      <vt:lpstr>Table S1 w ns &amp; hl-import</vt:lpstr>
      <vt:lpstr>Table S3 w ns &amp; hl</vt:lpstr>
      <vt:lpstr>Table S3 w ns &amp; hl-import</vt:lpstr>
      <vt:lpstr>stata output-&gt;</vt:lpstr>
      <vt:lpstr>prob_untr_neurosyph</vt:lpstr>
      <vt:lpstr>prob_untr_hearing_loss</vt:lpstr>
      <vt:lpstr>data sources-&gt;</vt:lpstr>
      <vt:lpstr>SUMMARY</vt:lpstr>
      <vt:lpstr>Qin et al 2014</vt:lpstr>
      <vt:lpstr>'Qin et al 2014'!Print_Area</vt:lpstr>
      <vt:lpstr>'Table S1 w ns &amp; hl'!Print_Area</vt:lpstr>
      <vt:lpstr>'Table S1 w ns &amp; hl-import'!Print_Area</vt:lpstr>
      <vt:lpstr>'Table S3 w ns &amp; hl'!Print_Area</vt:lpstr>
      <vt:lpstr>'Table S3 w ns &amp; hl-import'!Print_Area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 Burnes</cp:lastModifiedBy>
  <cp:lastPrinted>2024-08-09T19:42:16Z</cp:lastPrinted>
  <dcterms:created xsi:type="dcterms:W3CDTF">2024-02-01T19:24:32Z</dcterms:created>
  <dcterms:modified xsi:type="dcterms:W3CDTF">2024-10-10T13:33:15Z</dcterms:modified>
</cp:coreProperties>
</file>