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DFD-LIFESCIENCES\OPEN PHILANTHROPY SYPHILIS\DATA PRODUCTION\RAW DATA\DIRECT COSTS\"/>
    </mc:Choice>
  </mc:AlternateContent>
  <xr:revisionPtr revIDLastSave="0" documentId="13_ncr:1_{3895D53D-2859-4A5A-8807-65B0993042F1}" xr6:coauthVersionLast="47" xr6:coauthVersionMax="47" xr10:uidLastSave="{00000000-0000-0000-0000-000000000000}"/>
  <bookViews>
    <workbookView xWindow="23880" yWindow="-120" windowWidth="29040" windowHeight="15840" xr2:uid="{00000000-000D-0000-FFFF-FFFF00000000}"/>
  </bookViews>
  <sheets>
    <sheet name="README" sheetId="6" r:id="rId1"/>
    <sheet name="GROSS ACUTE DIRECT COSTS" sheetId="17" r:id="rId2"/>
    <sheet name="pcgdp_2019USD" sheetId="14" r:id="rId3"/>
    <sheet name="REFERENCES" sheetId="3" r:id="rId4"/>
  </sheets>
  <definedNames>
    <definedName name="_xlnm._FilterDatabase" localSheetId="1" hidden="1">'GROSS ACUTE DIRECT COSTS'!$A$2:$R$91</definedName>
    <definedName name="_xlnm._FilterDatabase" localSheetId="3" hidden="1">REFERENCES!$A$1:$B$31</definedName>
    <definedName name="_xlnm.Print_Area" localSheetId="1">'GROSS ACUTE DIRECT COSTS'!$D$1:$L$91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8" i="17" l="1"/>
  <c r="J37" i="17"/>
  <c r="H39" i="17"/>
  <c r="H38" i="17"/>
  <c r="H37" i="17"/>
  <c r="K37" i="17" l="1"/>
  <c r="K38" i="17"/>
  <c r="H59" i="17" l="1"/>
  <c r="H58" i="17"/>
  <c r="H57" i="17"/>
  <c r="J59" i="17"/>
  <c r="J57" i="17"/>
  <c r="J58" i="17"/>
  <c r="H60" i="17"/>
  <c r="K86" i="17" l="1"/>
  <c r="K83" i="17"/>
  <c r="K80" i="17"/>
  <c r="K18" i="17"/>
  <c r="K14" i="17"/>
  <c r="H88" i="17"/>
  <c r="K88" i="17" s="1"/>
  <c r="J87" i="17"/>
  <c r="K87" i="17" s="1"/>
  <c r="J79" i="17"/>
  <c r="K79" i="17" s="1"/>
  <c r="F90" i="17" l="1"/>
  <c r="F89" i="17"/>
  <c r="F88" i="17"/>
  <c r="F87" i="17"/>
  <c r="F86" i="17"/>
  <c r="F85" i="17"/>
  <c r="F84" i="17"/>
  <c r="F83" i="17"/>
  <c r="F82" i="17"/>
  <c r="F81" i="17"/>
  <c r="F80" i="17"/>
  <c r="F79" i="17"/>
  <c r="F78" i="17"/>
  <c r="F77" i="17"/>
  <c r="F71" i="17"/>
  <c r="F70" i="17"/>
  <c r="F69" i="17"/>
  <c r="F68" i="17"/>
  <c r="F67" i="17"/>
  <c r="F66" i="17"/>
  <c r="F65" i="17"/>
  <c r="F64" i="17"/>
  <c r="F63" i="17"/>
  <c r="F62" i="17"/>
  <c r="F61" i="17"/>
  <c r="F60" i="17"/>
  <c r="R59" i="17"/>
  <c r="F59" i="17"/>
  <c r="R58" i="17"/>
  <c r="F58" i="17"/>
  <c r="R57" i="17"/>
  <c r="F57" i="17"/>
  <c r="F56" i="17"/>
  <c r="F55" i="17"/>
  <c r="F54" i="17"/>
  <c r="F53" i="17"/>
  <c r="F52" i="17"/>
  <c r="F51" i="17"/>
  <c r="F50" i="17"/>
  <c r="F49" i="17"/>
  <c r="F48" i="17"/>
  <c r="F47" i="17"/>
  <c r="F46" i="17"/>
  <c r="F45" i="17"/>
  <c r="F44" i="17"/>
  <c r="F43" i="17"/>
  <c r="F42" i="17"/>
  <c r="F41" i="17"/>
  <c r="F40" i="17"/>
  <c r="F39" i="17"/>
  <c r="Q38" i="17"/>
  <c r="F38" i="17"/>
  <c r="Q37"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0" i="17"/>
  <c r="F9" i="17"/>
  <c r="F8" i="17"/>
  <c r="F7" i="17"/>
  <c r="F6" i="17"/>
  <c r="F5" i="17"/>
  <c r="F4" i="17"/>
  <c r="F3" i="17"/>
  <c r="J60" i="17" l="1"/>
  <c r="K60" i="17" s="1"/>
  <c r="R37" i="17"/>
  <c r="R38" i="17"/>
  <c r="J39" i="17" l="1"/>
</calcChain>
</file>

<file path=xl/sharedStrings.xml><?xml version="1.0" encoding="utf-8"?>
<sst xmlns="http://schemas.openxmlformats.org/spreadsheetml/2006/main" count="1145" uniqueCount="385">
  <si>
    <t>Health state</t>
  </si>
  <si>
    <t>Source</t>
  </si>
  <si>
    <t>Country</t>
  </si>
  <si>
    <t>Currency</t>
  </si>
  <si>
    <t>Costs covered/perspective</t>
  </si>
  <si>
    <t>Notes</t>
  </si>
  <si>
    <t>probability or counts</t>
  </si>
  <si>
    <t>weight</t>
  </si>
  <si>
    <t>Owusu-Edusei et al 2014</t>
  </si>
  <si>
    <t>China</t>
  </si>
  <si>
    <t>2010 USD</t>
  </si>
  <si>
    <t>Acute (assumed)</t>
  </si>
  <si>
    <t>Incremental</t>
  </si>
  <si>
    <t>Assumed to be same as cost of normal delivery</t>
  </si>
  <si>
    <t>Incremental above normal delivery</t>
  </si>
  <si>
    <t>Rydzak and Goldie 2008</t>
  </si>
  <si>
    <t>South Africa</t>
  </si>
  <si>
    <t>2004 USD</t>
  </si>
  <si>
    <t>Acute</t>
  </si>
  <si>
    <t>Incremental, equal to delivery of healthy uninfected infant =58.43</t>
  </si>
  <si>
    <t>Campbell et al 2017</t>
  </si>
  <si>
    <t>UK</t>
  </si>
  <si>
    <t>2013/14 GBP</t>
  </si>
  <si>
    <t>Veettil et al 2022</t>
  </si>
  <si>
    <t xml:space="preserve">Australia </t>
  </si>
  <si>
    <t>2020 USD</t>
  </si>
  <si>
    <t>Table 2: Incremental cost per sillbirth compared with live births</t>
  </si>
  <si>
    <t>US</t>
  </si>
  <si>
    <t xml:space="preserve">Acute </t>
  </si>
  <si>
    <t>Hospital costs to the mother during stillbirth with and average time period of 2.8 days</t>
  </si>
  <si>
    <t>Mistry et al 2013</t>
  </si>
  <si>
    <t>England and Wales</t>
  </si>
  <si>
    <t>2010 GBP</t>
  </si>
  <si>
    <t>Other investigations of cause of stillbirth</t>
  </si>
  <si>
    <t>LBW/preterm</t>
  </si>
  <si>
    <t>Hong et al 2010</t>
  </si>
  <si>
    <t>2005 USD</t>
  </si>
  <si>
    <t>Institutional and private</t>
  </si>
  <si>
    <t xml:space="preserve">Table 3. Removed from total cost of LBW (5,135.06) the proportion of total costs that was attributed to missed working time (7.53%) and traffic &amp; nutrition (29.47%). These costs are from the city of Shenzhen, which is a relatively high-income area of China. We will take account of the lack of representation of Shenzhen with respect to China as a whole in our extrapolations. </t>
  </si>
  <si>
    <t>Huntington et al 2020</t>
  </si>
  <si>
    <t>2018 GBP</t>
  </si>
  <si>
    <t>Table 1. Total for preterm delivery (7100.37) minus term delivery (2034.62)</t>
  </si>
  <si>
    <t>Mangham et al 2009</t>
  </si>
  <si>
    <t>2006 GBP</t>
  </si>
  <si>
    <t>UK healthcare system costs</t>
  </si>
  <si>
    <t>Table 4: Incremental cost per all preterm birth of delivery (322) plus neonatal care per all preterm births (21,066)</t>
  </si>
  <si>
    <t>Table 4: Incremental inpatient (21,625) + outpatient (553) costs per all preterm birth minus initial hospitalization costs</t>
  </si>
  <si>
    <t>Hospitalization costs for treatment of LBW from Malan (1992)</t>
  </si>
  <si>
    <t>Table 2. Cost of LBW infant (1,214.63) minus delivery of healthy uninfected infant (58.43).</t>
  </si>
  <si>
    <t>Paintain et al 2020</t>
  </si>
  <si>
    <t>Indonesia</t>
  </si>
  <si>
    <t>2016 USD</t>
  </si>
  <si>
    <t>Health provider perspective</t>
  </si>
  <si>
    <t xml:space="preserve">Table 2. Health provider mean cost per LBW. Table S1 provides the derivation, which is based on "Additional days in hospital for LBW compared to NBW," from Ahmed et al. (2019). </t>
  </si>
  <si>
    <t xml:space="preserve">Hospital maternal delivery costs services through discharge after delivery. Does not include initial hospitalization costs of the infant. The latter costs are included in the costs for the first birth year.
</t>
  </si>
  <si>
    <t xml:space="preserve">Table 12-1: Excess maternal delivery cost per case. </t>
  </si>
  <si>
    <t>IOM 2007</t>
  </si>
  <si>
    <t>Page 12: Incremental maternal delivery cost for &lt;28 weeks of gestation</t>
  </si>
  <si>
    <t>Page 12: Incremental maternal delivery cost for 28-31 weeks of gestation</t>
  </si>
  <si>
    <t>Page 12: Incremental maternal delivery cost for 32-36 weeks of gestation</t>
  </si>
  <si>
    <t>Inpatient (including initial deliver) and outpatient medical costs</t>
  </si>
  <si>
    <t xml:space="preserve">Table 12-5: Average annual cost per case &lt;28 weeks gestation 190,476 - term gestation 3,325. </t>
  </si>
  <si>
    <t>Table 12-5: Average annual cost per case 28-31 weeks gestation 94,785 - term gestation 3,325</t>
  </si>
  <si>
    <t>Table 12-5: Average annual cost per case 32-36 weeks gestation 13,621 - term gestation 3,325</t>
  </si>
  <si>
    <t>Table 12-5: Average annual cost per case &lt;28 weeks gestation 12,172 - term gestation 1,328.</t>
  </si>
  <si>
    <t>Table 12-5: Average annual cost per case 28-31 weeks gestation 7,715 - term gestation 1,328.</t>
  </si>
  <si>
    <t>Table 12-5: Average annual cost per case 32-36 weeks gestation 1,736 - term gestation 1,328.</t>
  </si>
  <si>
    <t>Table 12-5: Average annual cost per case &lt;28 weeks gestation 4,944 - term gestation 661</t>
  </si>
  <si>
    <t>Table 12-5: Average annual cost per case 28-31 weeks gestation 2,534 - term gestation 661</t>
  </si>
  <si>
    <t>Table 12-5: Average annual cost per case 32-36 weeks gestation 814 - term gestation 661</t>
  </si>
  <si>
    <t>Table 12-5: Average annual cost per case &lt;28 weeks gestation 1,119 - term gestation 471</t>
  </si>
  <si>
    <t>Table 12-5: Average annual cost per case 28-31 weeks gestation 490 - term gestation 471</t>
  </si>
  <si>
    <t>Table 12-5: Average annual cost per case 32-36 weeks gestation 643 - term gestation 471</t>
  </si>
  <si>
    <t>Medical costs sourced from health plans, including initial hospitalization costs. OOPs not included.</t>
  </si>
  <si>
    <t>Table 12-1: Average lifetime medical care costs per case.</t>
  </si>
  <si>
    <t>Wikstrom et al 2022</t>
  </si>
  <si>
    <t>Sweden</t>
  </si>
  <si>
    <t>2021 USD</t>
  </si>
  <si>
    <t>Hospital costs for delivery and postpartum ward care of mother and child</t>
  </si>
  <si>
    <t xml:space="preserve">Probability-weighted average using the probabilities in Table 2, rescaled to sum to one across all categories of preterm birth. </t>
  </si>
  <si>
    <t>Hospital costs per neonate. 70% of neonates in gestation categores 35+0 to 36+6 weeks do not need intensive or intermediate neonatal care (NICU), but needed prolonged postpartum ward care.</t>
  </si>
  <si>
    <t>Table 4: neontal care for &lt;33 weeks gestation (69586) minus  neonatal care for &gt;=37 weeks gestation (8146)</t>
  </si>
  <si>
    <t>Table 4: neontal care for 33-36 weeks gestation (11739) minus neonatal care for &gt;=37 weeks gestation (8146)</t>
  </si>
  <si>
    <t>Hospital cost of extra stay for neonates not admitted to NICU (see note above)</t>
  </si>
  <si>
    <t>Table 4 and pp 783-784: prolonged postpartum ward care costs for the 70% of neonates in gestation categores 35+0 to 36+6 weeks that do not require NICU.</t>
  </si>
  <si>
    <t>Waitzman et al 2021</t>
  </si>
  <si>
    <t>Inpatient maternal delivery services through initial discharge after delivery. Does not include initial hospitalization costs of infant.</t>
  </si>
  <si>
    <t>Table 1: Maternal delivery care costs for preterm birth</t>
  </si>
  <si>
    <t>Medical care costs of affected child, including initial hospitalization costs. OOPs not included.</t>
  </si>
  <si>
    <t>Table 1: Total lifetime medical care costs per preterm birth relative to term birth</t>
  </si>
  <si>
    <t>Table 2:Total lifetime incremental medical costs for &lt; 28 wks gestational age, 344,355 * 82% medical (82% includes inpatient maternal delivery costs)</t>
  </si>
  <si>
    <t>Table 2: Total lifetime incremental medical costs for 28 - 31 wks gestational age, 186,731 * 79% medical (79% includes inpatient maternal delivery costs)</t>
  </si>
  <si>
    <t>Table 2: Total lifetime incremental medical costs for 32 - 36 wks gestational age, 28,367 * 67% medical (67% includes inpatient maternal delivery costs)</t>
  </si>
  <si>
    <t>Ahmadzadeh et al 2017</t>
  </si>
  <si>
    <t>Iran</t>
  </si>
  <si>
    <t>2014 USD</t>
  </si>
  <si>
    <t>Not incremental</t>
  </si>
  <si>
    <t>Table 6: Mean medical cost in public hospitals &lt;28 wks gestation</t>
  </si>
  <si>
    <t>Table 6: Mean medical cost in public hospitals 28-32 wks gestation</t>
  </si>
  <si>
    <t>Table 6: Mean medical cost in public hospitals 32-37 wks gestation</t>
  </si>
  <si>
    <t>Table 6: Mean medical cost in private hospitals &lt;28 wks gestation</t>
  </si>
  <si>
    <t>Table 6: Mean medical cost in private hospitals 28-32 wks gestation</t>
  </si>
  <si>
    <t>Table 6: Mean medical cost in private hospitals 32-37 wks gestation</t>
  </si>
  <si>
    <t>Table 5: Mean medical cost per neonate in public hospitals</t>
  </si>
  <si>
    <t>Table 5: Mean medical cost per neonate in private hospital</t>
  </si>
  <si>
    <t>Newnham et al 2021</t>
  </si>
  <si>
    <t>Australia</t>
  </si>
  <si>
    <t>2018 AUD</t>
  </si>
  <si>
    <t xml:space="preserve">Acute/neonatal </t>
  </si>
  <si>
    <t>Probability-weighted average using the proportions of births across all categories of preterm births in Appendix Table A2</t>
  </si>
  <si>
    <t>Primary and secondary medical care</t>
  </si>
  <si>
    <t>Table 1: primary care + secondary care for extremely preterm</t>
  </si>
  <si>
    <t>Table 1: primary care + secondary care for moderately preterm</t>
  </si>
  <si>
    <t>Table 1: primary care + secondary care for late preterm</t>
  </si>
  <si>
    <t>de Melo et al 2022</t>
  </si>
  <si>
    <t>Brazil</t>
  </si>
  <si>
    <t>2018 BRL</t>
  </si>
  <si>
    <t>Direct medical costs: hospital and professional services (consultation, treatment) of newborns</t>
  </si>
  <si>
    <t>Abstract/Discussion: Average direct hospital costs of extremely preterm newborns. Estimated using regression analysis.</t>
  </si>
  <si>
    <t>Abstract/Discussion: Average direct hospital costs of moderate preterm newborns. Estimated using regression analysis.</t>
  </si>
  <si>
    <t>Abstract/Discussion: Average direct hospital costs of late preterm newborns. Estimated using regression analysis.</t>
  </si>
  <si>
    <t>Probability-weighted average using the percentages in Table 1: extremely preterm (0.027), moderate preterm (0.524), late preterm (0.449)</t>
  </si>
  <si>
    <t>Sicuri et al 2011</t>
  </si>
  <si>
    <t>Mozambique</t>
  </si>
  <si>
    <t>2007 USD</t>
  </si>
  <si>
    <t>The study implies that the incremental hospital delivery costs of a LBW infant is zero.</t>
  </si>
  <si>
    <t>Page 2: The only two sources of incremental costs identified in the first year of life are: (1) costs of routine health care after delivery, and (2) costs for excess morbidity (hospital admissions after delivery).</t>
  </si>
  <si>
    <t>Healthcare costs (inpatient and outpatient) after delivery in the first year of life</t>
  </si>
  <si>
    <t>Table 4: Sum of admissions after delivery at disrict hospital (4,145.43), admissions to referral hospital (29,937.60), all cause admissions during first year of life (11,612.16), and routine health visits (49.71) divided by 120 LWB infants (page 5)</t>
  </si>
  <si>
    <t>Ngabonzima et al  2022</t>
  </si>
  <si>
    <t>Rwanda</t>
  </si>
  <si>
    <t>Table 2: Mean direct medical cost of premature infant (US$)</t>
  </si>
  <si>
    <t>neonatal death</t>
  </si>
  <si>
    <t xml:space="preserve">Table 3. Death of neonates/fetuses. These costs are from the city of Shenzhen, which is a relatively high-income area of China. We will take account of the lack of representation of Shenzhen with respect to China as a whole in our extrapolations. </t>
  </si>
  <si>
    <t>Table 1 and Table S11: Table 1 has the cost of neonatal death as the cost of intrauterine fetal demise (IUFD) (4356.80) plus additional hospital costs (1449) for neonatal death vs. stillbirth. But the IUFD costs from Campbell et al. 2017 include costs related to parental anxiety and depression. Therefore, our estimate is the direct medical cost of additional hospital stay from Table S11 of Huntington et al. We could add to this the direct medical costs of still birth from Campbell et al above, but the latter costs need to first be converted from 2013/14 GBP to 2018 GBP.</t>
  </si>
  <si>
    <t xml:space="preserve">Costs are sourced from hospital data (Malan 1992), and cover hospital costs for the infant: professional/personnel, medical services, supplies, overhead, equipment, and building. </t>
  </si>
  <si>
    <t>Table 2: Cost of neonatal death (2,880.42) minus delivery cost of healthy uninfected infant (58.43).</t>
  </si>
  <si>
    <t>Kowlessar et al 2013</t>
  </si>
  <si>
    <t>2011 USD</t>
  </si>
  <si>
    <t>Total amount the hospital billed. Does not include professional (physician) fees.</t>
  </si>
  <si>
    <t>Table 2: Average hospital cost for those that died after birth (28,600) minus average hospital costs for all live births (3,200)</t>
  </si>
  <si>
    <t>by 6-8 wks after birth</t>
  </si>
  <si>
    <t>Table 2: Mean(incremental) cost per fetal death or infant death by 6-8 weeks after birth.</t>
  </si>
  <si>
    <t>live born with clinical CS</t>
  </si>
  <si>
    <t>Owusu-Edusei et al  2013</t>
  </si>
  <si>
    <t>2009 USD</t>
  </si>
  <si>
    <t>Hospital costs using insurance medical claims data</t>
  </si>
  <si>
    <t xml:space="preserve">Table 3. Cost of CS. These costs are from the city of Shenzhen, which is a relatively high-income area of China. We will take account of the lack of representation of Shenzhen with respect to China as a whole in our extrapolations. </t>
  </si>
  <si>
    <t>Table 2: Treatment of infant with CS (647.67) minus cost to delivery of healthy uninfected infant (58.43).</t>
  </si>
  <si>
    <t>Boodman et al 2022</t>
  </si>
  <si>
    <t>Canada</t>
  </si>
  <si>
    <t>2021 CAD</t>
  </si>
  <si>
    <t>Pediatric ward admission costs and associated physician fees</t>
  </si>
  <si>
    <t>Ribeiro et al 2020</t>
  </si>
  <si>
    <t>2018 USD</t>
  </si>
  <si>
    <t>Medical costs based on neurosyphilis in newborns</t>
  </si>
  <si>
    <t>Abstract: "About 50.8% (32/63) of the newborns were hospitalized due to syphilis complications and each case of neurosyphilis spent at least US$ 881.48 on treatment and hospitalization."</t>
  </si>
  <si>
    <t xml:space="preserve">Umapathi et al 2019 </t>
  </si>
  <si>
    <t>2019 USD</t>
  </si>
  <si>
    <t>CS-related hospital expenditures for children &lt; 1 year of age (does not include professional/physician fees).</t>
  </si>
  <si>
    <t xml:space="preserve">Table 3 2016 values: Mean CS-related hospital charges in first year of life ($100,674) minus mean hospital charges for any non-CS conditions ($22,871).  </t>
  </si>
  <si>
    <t>cerebral palsy</t>
  </si>
  <si>
    <t>Nigeria</t>
  </si>
  <si>
    <t>Denmark</t>
  </si>
  <si>
    <t>Netherlands</t>
  </si>
  <si>
    <t>South Korea</t>
  </si>
  <si>
    <t>yes</t>
  </si>
  <si>
    <t>no</t>
  </si>
  <si>
    <t>normal delivery</t>
  </si>
  <si>
    <t>United Kingdom</t>
  </si>
  <si>
    <t>United States</t>
  </si>
  <si>
    <t>Direct</t>
  </si>
  <si>
    <t>Citation</t>
  </si>
  <si>
    <t>x</t>
  </si>
  <si>
    <t>Ahmadzadeh, N., Rezapour, A., Ghanavatinejad, Z., Nouhi, M., Karimi, S., Saravani, A., ... &amp; Jahangiri, R. (2017). Estimation of economic burden of preterm and premature births in Iran. Medical Journal of the Islamic Republic of Iran, 31, 78.</t>
  </si>
  <si>
    <t>Australia, C. P. (2008). The economic impact of cerebral palsy in Australia in 2007. Access Economics Pty Ltd, 74.</t>
  </si>
  <si>
    <t>Badaru, U. M., Abdulrahman, H., Ahmad, R. Y., Lawal, I. U., &amp; Zakari, M. K. (2019). Analysis of direct monthly cost of outpatient hospital-based care for children with cerebral palsy in Kano, Nigeria. Value in Health Regional Issues, 19, 145-150.</t>
  </si>
  <si>
    <t>Boodman, C., Bullard, J., Stein, D. R., Lee, S., Poliquin, V., &amp; Van Caeseele, P. (2023). Expanded prenatal syphilis screening in Manitoba, Canada: a direct short-term cost-avoidance analysis in an outbreak context. Canadian Journal of Public Health, 114(2), 287-294.</t>
  </si>
  <si>
    <t>Campbell, H. E., Kurinczuk, J. J., Heazell, A. E. P., Leal, J., &amp; Rivero‐Arias, O. (2018). Healthcare and wider societal implications of stillbirth: a population‐based cost‐of‐illness study. BJOG: An International Journal of Obstetrics &amp; Gynaecology, 125(2), 108-117.</t>
  </si>
  <si>
    <t>Centers for Disease Control and Prevention. (2004). Economic Costs Associated with Mental Retardation, Cerebral Palsy, Hearing Loss, and Vision Impairment --- United States, 2003. MMWR. Morbidity and Mortality Weekly Report: 53(03);57-59.</t>
  </si>
  <si>
    <t>Centers for Disease Control and Prevention. (2022). Data &amp; Statistics on Cerebral Palsy. Retrieved from https://www.cdc.gov/ncbddd/cp/data.html</t>
  </si>
  <si>
    <t>de Melo, T. F. M., Carregaro, R. L., Araújo, W. N. D., Silva, E. N. D., &amp; Toledo, A. M. D. (2022). Direct costs of prematurity and factors associated with birth and maternal conditions. Revista de Saúde Pública, 56.</t>
  </si>
  <si>
    <t>Hong, F. C., Liu, J. B., Feng, T. J., Liu, X. L., Pan, P., Zhou, H., ... &amp; Zeegers, M. P. (2010). Congenital syphilis: an economic evaluation of a prevention program in China. Sexually transmitted diseases, 26-31.</t>
  </si>
  <si>
    <t>Hoving, M. A., Evers, S. M. A. A., Ament, A. J. H. A., Van Raak, E. P. M., Vles, J. S. H., &amp; Dutch Study Group on Child Spasticity. (2008). Intrathecal baclofen therapy in children with intractable spastic cerebral palsy: a cost‐effectiveness analysis. Developmental Medicine &amp; Child Neurology, 50(6), 450-455.</t>
  </si>
  <si>
    <t>Huntington, S., Weston, G., Seedat, F., Marshall, J., Bailey, H., Tebruegge, M., ... &amp; Adams, E. (2020). Repeat screening for syphilis in pregnancy as an alternative screening strategy in the UK: a cost-effectiveness analysis. BMJ open, 10(11), e038505.</t>
  </si>
  <si>
    <t>Institute of Medicine (2007). Societal costs of preterm birth. In Preterm birth: causes, consequences, and prevention. National Academies Press (US).</t>
  </si>
  <si>
    <t>Kowlessar, N. M., Jiang, H. J., &amp; Steiner, C. (2013). Hospital stays for newborns, 2011.</t>
  </si>
  <si>
    <t>Kruse, M., Michelsen, S. I., Flachs, E. M., BRØNNUM‐HANSEN, H. E. N. R. I. K., Madsen, M., &amp; Uldall, P. (2009). Lifetime costs of cerebral palsy. Developmental Medicine &amp; Child Neurology, 51(8), 622-628.</t>
  </si>
  <si>
    <t>Mangham, L. J., Petrou, S., Doyle, L. W., Draper, E. S., &amp; Marlow, N. (2009). The cost of preterm birth throughout childhood in England and Wales. Pediatrics, 123(2), e312-e327.</t>
  </si>
  <si>
    <t>Mistry, H., Heazell, A. E., Vincent, O., &amp; Roberts, T. (2013). A structured review and exploration of the healthcare costs associated with stillbirth and a subsequent pregnancy in England and Wales. BMC pregnancy and childbirth, 13, 1-11.</t>
  </si>
  <si>
    <t>Newnham, J. P., Schilling, C., Petrou, S., Morris, J. M., Wallace, E. M., Brown, K., ... &amp; Doherty, D. A. (2022). The health and educational costs of preterm birth to 18 years of age in Australia. Australian and New Zealand Journal of Obstetrics and Gynaecology, 62(1), 55-61.</t>
  </si>
  <si>
    <t>Ngabonzima, A., Asingizwe, D., Cechetto, D., Mukunde, G., Nyalihama, A., Gakwerere, M., &amp; Epstein, D. M. (2022). Evaluating the medical direct costs associated with prematurity during the initial hospitalization in Rwanda: a prevalence based cost of illness study. BMC Health Services Research, 22(1), 1-11.</t>
  </si>
  <si>
    <t>Owusu-Edusei, K., Introcaso, C. E., &amp; Chesson, H. W. (2013). Hospitalization cost of congenital syphilis diagnosis from insurance claims data in the United States. Sexually Transmitted Diseases, 40(3), 226-229.</t>
  </si>
  <si>
    <t>Owusu-Edusei, K., Tao, G., Gift, T. L., Wang, A., Wang, L., Tun, Y., ... &amp; Bulterys, M. (2014). Cost-effectiveness of integrated routine offering of prenatal HIV and syphilis screening in China. Sexually Transmitted Diseases, 41(2), 103-110.</t>
  </si>
  <si>
    <t>Paintain, L., Hill, J., Ahmed, R., Landuwulang, C. U. R., Ansariadi, A., Poespoprodjo, J. R., ... &amp; Webster, J. (2020). Cost-effectiveness of intermittent preventive treatment with dihydroartemisinin-piperaquine versus single screening and treatment for the control of malaria in pregnancy in Papua, Indonesia: a provider perspective analysis from a cluster-randomised trial. The Lancet Global Health, 8(12), e1524-e1533.</t>
  </si>
  <si>
    <t>Park, M. S., Kim, S. J., Chung, C. Y., Kwon, D. G., Choi, I. H., &amp; Lee, K. M. (2011). Prevalence and lifetime healthcare cost of cerebral palsy in South Korea. Health policy, 100(2-3), 234-238.</t>
  </si>
  <si>
    <t>Ribeiro, A. D. D. C., Dan, C. D. S., Santos, A. D. S., Croda, J., &amp; Simionatto, S. (2020). Neurosyphilis in Brazilian newborns: a health problem that could be avoided. Revista do Instituto de Medicina Tropical de São Paulo, 62.</t>
  </si>
  <si>
    <t>Rydzak, C. E., &amp; Goldie, S. J. (2008). Cost-effectiveness of rapid point-of-care prenatal syphilis screening in sub-Saharan Africa. Sexually transmitted diseases, 775-784.</t>
  </si>
  <si>
    <t>Sicuri, E., Bardají, A., Sigauque, B., Maixenchs, M., Nhacolo, A., Nhalungo, D., ... &amp; Menéndez, C. (2011). Costs associated with low birth weight in a rural area of Southern Mozambique. PloS one, 6(12), e28744.</t>
  </si>
  <si>
    <t>Umapathi, K. K., Thavamani, A., &amp; Chotikanatis, K. (2019). Incidence trends, risk factors, mortality and healthcare utilization in congenital syphilis-related hospitalizations in the United States: a nationwide population analysis. The Pediatric Infectious Disease Journal, 38(11), 1126-1130.</t>
  </si>
  <si>
    <t>Veettil, S. K., Kategeaw, W., Hejazi, A. A., Workalemahu, T., Rothwell, E., Silver, R. M., &amp; Chaiyakunapruk, N. (2022). EE487 The Economic Burden Associated with Stillbirth: A Systematic Review. V</t>
  </si>
  <si>
    <t>Waitzman, N. J., Jalali, A., &amp; Grosse, S. D. (2021). Preterm birth lifetime costs in the United States in 2016: An update. In Seminars in perinatology (Vol. 45, No. 3, p. 151390). WB Saunders.</t>
  </si>
  <si>
    <t>Wikström, T., Kuusela, P., Jacobsson, B., Hagberg, H., Lindgren, P., Svensson, M., ... &amp; Valentin, L. (2022). Cost‐effectiveness of cervical length screening and progesterone treatment to prevent spontaneous preterm delivery in Sweden. Ultrasound in Obstetrics &amp; Gynecology, 59(6), 778-792.</t>
  </si>
  <si>
    <t>World Health Organization. (2017). Global costs of unaddressed hearing loss and cost-effectiveness of interventions: a WHO report, 2017. World Health Organization.</t>
  </si>
  <si>
    <t>UK healthcare system perspective. Hospital costs for neonatal death</t>
  </si>
  <si>
    <t>UK healthcare system perspective. Inpatient treatment costs and hospital stay</t>
  </si>
  <si>
    <t>Perspective</t>
  </si>
  <si>
    <t xml:space="preserve">UK healthcare system perspective. </t>
  </si>
  <si>
    <t>Healthcare system</t>
  </si>
  <si>
    <t>IOM = Institute of Medicine</t>
  </si>
  <si>
    <t>LBW = low birth weight</t>
  </si>
  <si>
    <t>Perinatal:  the time of preganancy up to the first year of life</t>
  </si>
  <si>
    <t>Abbreviations:</t>
  </si>
  <si>
    <t>Definitions</t>
  </si>
  <si>
    <t>Neonatal: first 28 days of life</t>
  </si>
  <si>
    <t>OOP = out-of-pocket</t>
  </si>
  <si>
    <t>Acute: initial hospital stay</t>
  </si>
  <si>
    <t>health system and household</t>
  </si>
  <si>
    <t xml:space="preserve">Healthcare system perspective </t>
  </si>
  <si>
    <t>Still birth</t>
  </si>
  <si>
    <t>Callander et al 2019</t>
  </si>
  <si>
    <t>2017/18 AUS</t>
  </si>
  <si>
    <t>Hospital costs at birth</t>
  </si>
  <si>
    <t>Delivery and initial postmortum investigation</t>
  </si>
  <si>
    <t>Table 1: Difference between matched pairs -34, code to 0</t>
  </si>
  <si>
    <t>Table 2: post-mortum, placental autopsy, testing</t>
  </si>
  <si>
    <t>Core investigation plus investigation (tests) of cause of stillbirth</t>
  </si>
  <si>
    <t xml:space="preserve">Table 4: Incremental cost per all preterm birth of delivery (322) </t>
  </si>
  <si>
    <t>Institutional and individual/private</t>
  </si>
  <si>
    <t>Neonate: birth to one month</t>
  </si>
  <si>
    <t>Not Incremental</t>
  </si>
  <si>
    <t>Table 1. Costs are relative to live birth and only include those associated with delivery initial postmortum investigation.</t>
  </si>
  <si>
    <t>Delivery without initial postmortum investigation</t>
  </si>
  <si>
    <t>Table 1. Difference in post-delivery hospital length of stay between live birth and still birth (-174)</t>
  </si>
  <si>
    <t>Direct costs for initial hospitalization: Physician visit/consultation, surgery, medicines, diagnostic tests, nursing, emergency, medical devices, accomodations, hospital bed (see Figure 1). Infant cost only.</t>
  </si>
  <si>
    <t>Birth and neonatal admissions including admissions after the initial birth. Infants only.</t>
  </si>
  <si>
    <t>UK healthcare system perspective. Preterm delivery. Infant only.</t>
  </si>
  <si>
    <t>UK healthcare system costs of delivery. Infant only.</t>
  </si>
  <si>
    <t>UK healthcare system costs. Infant only.</t>
  </si>
  <si>
    <t>Hospital costs associated with prematurity during initial hospitalization (see Table 2 for detailed list of costs). Infant only.</t>
  </si>
  <si>
    <t>lookup</t>
  </si>
  <si>
    <t>acute_duration</t>
  </si>
  <si>
    <t>1_Still_birth_China_2010_USD</t>
  </si>
  <si>
    <t>2_Still_birth_SouthAfrica_2004_USD</t>
  </si>
  <si>
    <t>3_Still_birth_UK_2013_GBP</t>
  </si>
  <si>
    <t>4_Still_birth_UK_2013_GBP</t>
  </si>
  <si>
    <t>5_Still_birth_Australia_2018_AUS</t>
  </si>
  <si>
    <t>6_Still_birth_US_2020_USD</t>
  </si>
  <si>
    <t>7_Still_birth_UK_2010_GBP</t>
  </si>
  <si>
    <t>8_Still_birth_UK_2010_GBP</t>
  </si>
  <si>
    <t>1_LBW_preterm_China_2005_USD</t>
  </si>
  <si>
    <t>2_LBW_preterm_China_2010_USD</t>
  </si>
  <si>
    <t>3_LBW_preterm_UK_2018_GBP</t>
  </si>
  <si>
    <t>4_LBW_preterm_UK_2006_GBP</t>
  </si>
  <si>
    <t>5_LBW_preterm_UK_2006_GBP</t>
  </si>
  <si>
    <t>6_LBW_preterm_UK_2006_GBP</t>
  </si>
  <si>
    <t>7_LBW_preterm_SouthAfrica_2004_USD</t>
  </si>
  <si>
    <t>8_LBW_preterm_Indonesia_2016_USD</t>
  </si>
  <si>
    <t>9_LBW_preterm_US_2005_USD</t>
  </si>
  <si>
    <t>10_LBW_preterm_US_2005_USD</t>
  </si>
  <si>
    <t>11_LBW_preterm_US_2005_USD</t>
  </si>
  <si>
    <t>12_LBW_preterm_US_2005_USD</t>
  </si>
  <si>
    <t>13_LBW_preterm_US_2005_USD</t>
  </si>
  <si>
    <t>14_LBW_preterm_US_2005_USD</t>
  </si>
  <si>
    <t>15_LBW_preterm_US_2005_USD</t>
  </si>
  <si>
    <t>16_LBW_preterm_US_2005_USD</t>
  </si>
  <si>
    <t>17_LBW_preterm_US_2005_USD</t>
  </si>
  <si>
    <t>18_LBW_preterm_US_2005_USD</t>
  </si>
  <si>
    <t>19_LBW_preterm_US_2005_USD</t>
  </si>
  <si>
    <t>20_LBW_preterm_US_2005_USD</t>
  </si>
  <si>
    <t>21_LBW_preterm_US_2005_USD</t>
  </si>
  <si>
    <t>22_LBW_preterm_US_2005_USD</t>
  </si>
  <si>
    <t>23_LBW_preterm_US_2005_USD</t>
  </si>
  <si>
    <t>24_LBW_preterm_US_2005_USD</t>
  </si>
  <si>
    <t>25_LBW_preterm_US_2005_USD</t>
  </si>
  <si>
    <t>26_LBW_preterm_Sweden_2021_USD</t>
  </si>
  <si>
    <t>27_LBW_preterm_Sweden_2021_USD</t>
  </si>
  <si>
    <t>28_LBW_preterm_Sweden_2021_USD</t>
  </si>
  <si>
    <t>29_LBW_preterm_Sweden_2021_USD</t>
  </si>
  <si>
    <t>30_LBW_preterm_Sweden_2021_USD</t>
  </si>
  <si>
    <t>31_LBW_preterm_Sweden_2021_USD</t>
  </si>
  <si>
    <t>32_LBW_preterm_Sweden_2021_USD</t>
  </si>
  <si>
    <t>33_LBW_preterm_US_2016_USD</t>
  </si>
  <si>
    <t>34_LBW_preterm_US_2016_USD</t>
  </si>
  <si>
    <t>35_LBW_preterm_US_2016_USD</t>
  </si>
  <si>
    <t>36_LBW_preterm_US_2016_USD</t>
  </si>
  <si>
    <t>37_LBW_preterm_US_2016_USD</t>
  </si>
  <si>
    <t>38_LBW_preterm_Iran_2014_USD</t>
  </si>
  <si>
    <t>39_LBW_preterm_Iran_2014_USD</t>
  </si>
  <si>
    <t>40_LBW_preterm_Iran_2014_USD</t>
  </si>
  <si>
    <t>41_LBW_preterm_Iran_2014_USD</t>
  </si>
  <si>
    <t>42_LBW_preterm_Iran_2014_USD</t>
  </si>
  <si>
    <t>43_LBW_preterm_Iran_2014_USD</t>
  </si>
  <si>
    <t>44_LBW_preterm_Iran_2014_USD</t>
  </si>
  <si>
    <t>45_LBW_preterm_Iran_2014_USD</t>
  </si>
  <si>
    <t>46_LBW_preterm_Australia_2018_AUD</t>
  </si>
  <si>
    <t>47_LBW_preterm_Australia_2018_AUD</t>
  </si>
  <si>
    <t>48_LBW_preterm_Australia_2018_AUD</t>
  </si>
  <si>
    <t>49_LBW_preterm_Australia_2018_AUD</t>
  </si>
  <si>
    <t>50_LBW_preterm_Australia_2018_AUD</t>
  </si>
  <si>
    <t>51_LBW_preterm_Australia_2018_AUD</t>
  </si>
  <si>
    <t>52_LBW_preterm_Australia_2018_AUD</t>
  </si>
  <si>
    <t>53_LBW_preterm_Australia_2018_AUD</t>
  </si>
  <si>
    <t>54_LBW_preterm_Brazil_2018_BRL</t>
  </si>
  <si>
    <t>55_LBW_preterm_Brazil_2018_BRL</t>
  </si>
  <si>
    <t>56_LBW_preterm_Brazil_2018_BRL</t>
  </si>
  <si>
    <t>57_LBW_preterm_Brazil_2018_BRL</t>
  </si>
  <si>
    <t>58_LBW_preterm_Mozambique_2007_USD</t>
  </si>
  <si>
    <t>59_LBW_preterm_Mozambique_2007_USD</t>
  </si>
  <si>
    <t>60_LBW_preterm_Rwanda_2021_USD</t>
  </si>
  <si>
    <t>1_neonatal_death_China_2005_USD</t>
  </si>
  <si>
    <t>2_neonatal_death_China_2010_USD</t>
  </si>
  <si>
    <t>3_neonatal_death_UK_2018_GBP</t>
  </si>
  <si>
    <t>4_neonatal_death_SouthAfrica_2004_USD</t>
  </si>
  <si>
    <t>5_neonatal_death_US_2011_USD</t>
  </si>
  <si>
    <t>6_neonatal_death_Indonesia_2016_USD</t>
  </si>
  <si>
    <t>1_clinical_CS_US_2009_USD</t>
  </si>
  <si>
    <t>2_clinical_CS_China_2005_USD</t>
  </si>
  <si>
    <t>3_clinical_CS_China_2010_USD</t>
  </si>
  <si>
    <t>4_clinical_CS_SouthAfrica_2004_USD</t>
  </si>
  <si>
    <t>5_clinical_CS_UK_2018_GBP</t>
  </si>
  <si>
    <t>6_clinical_CS_Canada_2021_CAD</t>
  </si>
  <si>
    <t>7_clinical_CS_Brazil_2018_USD</t>
  </si>
  <si>
    <t>8_clinical_CS_US_2019_USD</t>
  </si>
  <si>
    <t>1_cerebral_palsy_Nigeria_2016_USD</t>
  </si>
  <si>
    <t>2_cerebral_palsy_Denmark_2000_EUR</t>
  </si>
  <si>
    <t>3_cerebral_palsy_Denmark_2000_EUR</t>
  </si>
  <si>
    <t>4_cerebral_palsy_Denmark_2000_EUR</t>
  </si>
  <si>
    <t>5_cerebral_palsy_Netherlands_2003_EUR</t>
  </si>
  <si>
    <t>6_cerebral_palsy_Australia_2007_AUD</t>
  </si>
  <si>
    <t>7_cerebral_palsy_US_2003_USD</t>
  </si>
  <si>
    <t>8_cerebral_palsy_US_2005_USD</t>
  </si>
  <si>
    <t>9_cerebral_palsy_SouthKorea_2008_USD</t>
  </si>
  <si>
    <t>country</t>
  </si>
  <si>
    <t>pcgdp_2019USD</t>
  </si>
  <si>
    <t>healthstate</t>
  </si>
  <si>
    <t>PCGDP 2019 USD</t>
  </si>
  <si>
    <t>Infancy: from age 0-1 year</t>
  </si>
  <si>
    <t>Shiber and Todia 2014</t>
  </si>
  <si>
    <t>Hospital charges for infant</t>
  </si>
  <si>
    <t>Page 267.e3, total cost of evalutating and treating a neonate for syphilis in Cleveland area, 1993-2009 study but 2011 costs</t>
  </si>
  <si>
    <t>Table 1: Cost of CS, which is 0.25 times the inflation-adjusted cost in Hong 2010 to match a more low income area. ARV treatment costs are not included. This cost (1,470 2010 US$) is a separate line item.</t>
  </si>
  <si>
    <t>Birth year</t>
  </si>
  <si>
    <t xml:space="preserve">Average annual inpatient costs. Includes physician fees. </t>
  </si>
  <si>
    <t>Table 12-3: average inpatient cost over first year of life for gestational age &lt;28 wks (181,111) minus costs for full term (1,895)</t>
  </si>
  <si>
    <t>Table 12-3: average inpatient cost over first year of life for gestational age 28-31 wks (85,171) minus costs for full term (1,895)</t>
  </si>
  <si>
    <t>Table 12-3: average inpatient cost over first year of life for gestational age 32-36 wks (10,855) minus costs for full term (1,895)</t>
  </si>
  <si>
    <t>Table 12-3: average inpatient cost over first year of life for gestational age 37-40 wks (term)</t>
  </si>
  <si>
    <t>9_clinical_CS_US_2011_USD</t>
  </si>
  <si>
    <t>61_LBW_preterm_US_2005_USD</t>
  </si>
  <si>
    <t>62_LBW_preterm_US_2005_USD</t>
  </si>
  <si>
    <t>63_LBW_preterm_US_2005_USD</t>
  </si>
  <si>
    <t>64_LBW_preterm_US_2005_USD</t>
  </si>
  <si>
    <t>Biswas et al 2021</t>
  </si>
  <si>
    <t>Bangladesh</t>
  </si>
  <si>
    <t>2012 BDT</t>
  </si>
  <si>
    <t>9_Still_birth_Bangladesh_2012_BDT</t>
  </si>
  <si>
    <t>Community death notification (100) + Conduction of verbal autopsy (200) + Conduction of social autopsy (400) + facility death certificate (50) + facility death review meeting (500)</t>
  </si>
  <si>
    <t>Table 2. Acrual field implementation use</t>
  </si>
  <si>
    <t>Acute-infant hospital admissions/stays over a 3-month period</t>
  </si>
  <si>
    <t xml:space="preserve">Table 1: Cost of APOs-LBW, which is 0.25 times the inflation-adjusted cost in Hong 2010 to match a more low income area. Uses costs from Hong 2010 inflated from 2005 to 2010 USD, and then multiplied by a factor of 0.25 to represent costs that would be incurred in more low-income areas of China. </t>
  </si>
  <si>
    <t>Table 1: Cost of ND, which is 0.25 times the inflation-adjusted cost in Hong 2010 to match a more low income area.</t>
  </si>
  <si>
    <t>65_LBW_preterm_US_2005_USD</t>
  </si>
  <si>
    <t>Probability-weighted average using the percentages from Newnham et al 2021 computed in cells W57:W59</t>
  </si>
  <si>
    <t>Institutional and private (includes personnel)</t>
  </si>
  <si>
    <t>Costs include both institutional (includes personnel) and individual/private expenses.</t>
  </si>
  <si>
    <t>Costs include both institutional (includes personnel) and individual/private expenses. Cost does not include first-line antiretroviral (ARV) treatments. These costs are provided separately.</t>
  </si>
  <si>
    <t>control_cost</t>
  </si>
  <si>
    <t>full term delivery cost</t>
  </si>
  <si>
    <t>control_cost_desc</t>
  </si>
  <si>
    <t>Delivery of a healthy, uninfected infant</t>
  </si>
  <si>
    <t>healthy newborn</t>
  </si>
  <si>
    <t>Table 3: Adjusted estimate of costs per case.</t>
  </si>
  <si>
    <t>Table 2. Direct cost of treating one uncomplicated congenital syphilis case. Direct cost of normal delivery is derived by DB based: LOS of 2 days at 1701 per day (Table 2) + inital consultation of pediatrician of 177.75 (p. 291).</t>
  </si>
  <si>
    <t>full term delivery and neonatal admission</t>
  </si>
  <si>
    <t>full term delivery</t>
  </si>
  <si>
    <t>Table A3: Delivery cost of extremely preterm birth (6,459) + neonatal admission cost for extremely preterm (154,174); full term costs: delivery (7,555) +  neonatal admission (8,553)</t>
  </si>
  <si>
    <t>Table A3: Delivery cost of moderately preterm birth (11,301) + neonatal admission cost for moderately preterm (63,894); full term costs: delivery (7,555) +  neonatal admission (8,553)</t>
  </si>
  <si>
    <t>Table A3: Delivery cost of late preterm birth (8,628) + neonatal admission cost for late preterm (21,630); full term costs: delivery (7,555) +  neonatal admission (8,553)</t>
  </si>
  <si>
    <t>Table S13: Total cost of treating neonates with CS: penicillin treatment (12.08) + glucose treatmen (49.22) + hospital stay (7,210)</t>
  </si>
  <si>
    <t>donor</t>
  </si>
  <si>
    <t>net_acute_cost</t>
  </si>
  <si>
    <t>gross_acute_cost</t>
  </si>
  <si>
    <t>Table 4: delivery cost for &lt;33 weeks gestation (6431) + cost of neonatal care (69,586)</t>
  </si>
  <si>
    <t>Table 4: delivery cost for 33-36 weeks gestation (5222) plus cost of neonatal care (11,739)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</si>
</sst>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000000"/>
      <name val="Calibri"/>
      <family val="2"/>
    </font>
    <font>
      <sz val="11"/>
      <name val="Calibri"/>
      <family val="2"/>
    </font>
  </fonts>
  <fills count="5">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rgb="FFFFC000"/>
        <bgColor indexed="64"/>
      </patternFill>
    </fill>
  </fills>
  <borders count="2">
    <border>
      <left/>
      <right/>
      <top/>
      <bottom/>
      <diagonal/>
    </border>
    <border>
      <left/>
      <right/>
      <top/>
      <bottom style="medium">
        <color indexed="64"/>
      </bottom>
      <diagonal/>
    </border>
  </borders>
  <cellStyleXfs count="3">
    <xf numFmtId="0" fontId="0" fillId="0" borderId="0"/>
    <xf numFmtId="0" fontId="2" fillId="0" borderId="0" applyNumberFormat="0" applyFill="0" applyBorder="0" applyAlignment="0" applyProtection="0"/>
    <xf numFmtId="0" fontId="5" fillId="0" borderId="0"/>
  </cellStyleXfs>
  <cellXfs count="42">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center"/>
    </xf>
    <xf numFmtId="0" fontId="1" fillId="0" borderId="0" xfId="0" applyFont="1" applyAlignment="1">
      <alignment horizontal="center" wrapText="1"/>
    </xf>
    <xf numFmtId="0" fontId="0" fillId="0" borderId="0" xfId="0" applyAlignment="1">
      <alignment wrapText="1"/>
    </xf>
    <xf numFmtId="0" fontId="0" fillId="0" borderId="0" xfId="0" applyAlignment="1">
      <alignment horizontal="left"/>
    </xf>
    <xf numFmtId="4" fontId="0" fillId="0" borderId="0" xfId="0" applyNumberFormat="1"/>
    <xf numFmtId="0" fontId="0" fillId="0" borderId="0" xfId="0" applyAlignment="1">
      <alignment horizontal="left" vertical="center" wrapText="1"/>
    </xf>
    <xf numFmtId="0" fontId="0" fillId="0" borderId="0" xfId="0" applyAlignment="1">
      <alignment horizontal="left" indent="2"/>
    </xf>
    <xf numFmtId="10" fontId="0" fillId="0" borderId="0" xfId="0" applyNumberFormat="1" applyAlignment="1">
      <alignment horizontal="left" wrapText="1"/>
    </xf>
    <xf numFmtId="0" fontId="0" fillId="0" borderId="0" xfId="0" applyAlignment="1">
      <alignment horizontal="left" wrapText="1"/>
    </xf>
    <xf numFmtId="0" fontId="3" fillId="0" borderId="0" xfId="1" applyFont="1" applyFill="1"/>
    <xf numFmtId="10" fontId="0" fillId="0" borderId="0" xfId="0" applyNumberFormat="1" applyAlignment="1">
      <alignment horizontal="left"/>
    </xf>
    <xf numFmtId="0" fontId="1" fillId="0" borderId="0" xfId="0" applyFont="1" applyAlignment="1">
      <alignment horizontal="left" wrapText="1"/>
    </xf>
    <xf numFmtId="0" fontId="2" fillId="0" borderId="0" xfId="1"/>
    <xf numFmtId="0" fontId="4" fillId="0" borderId="0" xfId="0" applyFont="1"/>
    <xf numFmtId="1" fontId="5" fillId="0" borderId="0" xfId="2" applyNumberFormat="1"/>
    <xf numFmtId="0" fontId="0" fillId="0" borderId="1" xfId="0" applyBorder="1" applyAlignment="1">
      <alignment wrapText="1"/>
    </xf>
    <xf numFmtId="0" fontId="0" fillId="0" borderId="1" xfId="0" applyBorder="1"/>
    <xf numFmtId="4" fontId="0" fillId="0" borderId="1" xfId="0" applyNumberFormat="1" applyBorder="1"/>
    <xf numFmtId="0" fontId="0" fillId="0" borderId="1" xfId="0" applyBorder="1" applyAlignment="1">
      <alignment horizontal="center"/>
    </xf>
    <xf numFmtId="0" fontId="0" fillId="0" borderId="1" xfId="0" applyBorder="1" applyAlignment="1">
      <alignment horizontal="left"/>
    </xf>
    <xf numFmtId="10" fontId="0" fillId="0" borderId="1" xfId="0" applyNumberFormat="1" applyBorder="1" applyAlignment="1">
      <alignment horizontal="left"/>
    </xf>
    <xf numFmtId="0" fontId="0" fillId="0" borderId="1" xfId="0" applyBorder="1" applyAlignment="1">
      <alignment horizontal="left" wrapText="1"/>
    </xf>
    <xf numFmtId="0" fontId="0" fillId="0" borderId="0" xfId="0" applyAlignment="1">
      <alignment vertical="center" wrapText="1"/>
    </xf>
    <xf numFmtId="10" fontId="0" fillId="2" borderId="0" xfId="0" applyNumberFormat="1" applyFill="1" applyAlignment="1">
      <alignment horizontal="left"/>
    </xf>
    <xf numFmtId="0" fontId="0" fillId="0" borderId="0" xfId="0" applyAlignment="1">
      <alignment horizontal="center" wrapText="1"/>
    </xf>
    <xf numFmtId="0" fontId="0" fillId="0" borderId="1" xfId="0" applyBorder="1" applyAlignment="1">
      <alignment horizontal="center" wrapText="1"/>
    </xf>
    <xf numFmtId="0" fontId="0" fillId="3" borderId="0" xfId="0" applyFill="1"/>
    <xf numFmtId="0" fontId="0" fillId="3" borderId="1" xfId="0" applyFill="1" applyBorder="1"/>
    <xf numFmtId="0" fontId="1" fillId="0" borderId="0" xfId="0" applyFont="1" applyAlignment="1">
      <alignment horizontal="left"/>
    </xf>
    <xf numFmtId="4" fontId="0" fillId="4" borderId="0" xfId="0" applyNumberFormat="1" applyFill="1"/>
    <xf numFmtId="0" fontId="0" fillId="0" borderId="1" xfId="0" applyBorder="1" applyAlignment="1">
      <alignment horizontal="left" indent="2"/>
    </xf>
    <xf numFmtId="4" fontId="0" fillId="4" borderId="1" xfId="0" applyNumberFormat="1" applyFill="1" applyBorder="1"/>
    <xf numFmtId="0" fontId="0" fillId="0" borderId="1" xfId="0" applyBorder="1" applyAlignment="1">
      <alignment vertical="center" wrapText="1"/>
    </xf>
    <xf numFmtId="0" fontId="0" fillId="4" borderId="0" xfId="0" applyFill="1"/>
    <xf numFmtId="0" fontId="3" fillId="0" borderId="0" xfId="0" applyFont="1" applyAlignment="1">
      <alignment horizontal="left" indent="2"/>
    </xf>
    <xf numFmtId="0" fontId="0" fillId="0" borderId="0" xfId="0" applyAlignment="1">
      <alignment horizontal="left" vertical="center" wrapText="1"/>
    </xf>
    <xf numFmtId="0" fontId="0" fillId="0" borderId="0" xfId="0" applyAlignment="1">
      <alignment vertical="center" wrapText="1"/>
    </xf>
    <xf numFmtId="0" fontId="0" fillId="0" borderId="1" xfId="0" applyBorder="1" applyAlignment="1">
      <alignment vertical="center" wrapText="1"/>
    </xf>
    <xf numFmtId="0" fontId="0" fillId="0" borderId="0" xfId="0" applyAlignment="1">
      <alignment horizontal="left" wrapText="1"/>
    </xf>
  </cellXfs>
  <cellStyles count="3">
    <cellStyle name="Hyperlink" xfId="1" builtinId="8"/>
    <cellStyle name="Normal" xfId="0" builtinId="0"/>
    <cellStyle name="Normal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19586258-C566-4A24-840F-17A9E5B95103}"/>
</namedSheetView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dx.doi.org/10.1136/bmjopen-2020-038505" TargetMode="External"/><Relationship Id="rId13" Type="http://schemas.openxmlformats.org/officeDocument/2006/relationships/hyperlink" Target="https://doi.org/10.1111/j.1469-8749.2008.03190.x" TargetMode="External"/><Relationship Id="rId18" Type="http://schemas.openxmlformats.org/officeDocument/2006/relationships/hyperlink" Target="https://doi.org/10.11606/s1518-8787.2022056003657" TargetMode="External"/><Relationship Id="rId26" Type="http://schemas.openxmlformats.org/officeDocument/2006/relationships/hyperlink" Target="https://doi.org/10.1590/S1678-9946202062082" TargetMode="External"/><Relationship Id="rId3" Type="http://schemas.openxmlformats.org/officeDocument/2006/relationships/hyperlink" Target="https://doi.org/10.1016/j.semperi.2021.151390" TargetMode="External"/><Relationship Id="rId21" Type="http://schemas.openxmlformats.org/officeDocument/2006/relationships/hyperlink" Target="https://doi.org/10.1186/s12913-022-08283-w" TargetMode="External"/><Relationship Id="rId7" Type="http://schemas.openxmlformats.org/officeDocument/2006/relationships/hyperlink" Target="https://doi.org/10.1542/peds.2008-1827" TargetMode="External"/><Relationship Id="rId12" Type="http://schemas.openxmlformats.org/officeDocument/2006/relationships/hyperlink" Target="https://doi.org/10.1016/j.vhri.2019.07.003" TargetMode="External"/><Relationship Id="rId17" Type="http://schemas.openxmlformats.org/officeDocument/2006/relationships/hyperlink" Target="http://cpaustralia.com.au/media/20379/access_economics_report.pdf" TargetMode="External"/><Relationship Id="rId25" Type="http://schemas.openxmlformats.org/officeDocument/2006/relationships/hyperlink" Target="https://doi.org/10.1016/j.healthpol.2010.09.010" TargetMode="External"/><Relationship Id="rId2" Type="http://schemas.openxmlformats.org/officeDocument/2006/relationships/hyperlink" Target="https://doi.org/10.1111/1471-0528.14972" TargetMode="External"/><Relationship Id="rId16" Type="http://schemas.openxmlformats.org/officeDocument/2006/relationships/hyperlink" Target="https://www.cdc.gov/ncbddd/cp/data.html" TargetMode="External"/><Relationship Id="rId20" Type="http://schemas.openxmlformats.org/officeDocument/2006/relationships/hyperlink" Target="https://www.ncbi.nlm.nih.gov/books/NBK11358/" TargetMode="External"/><Relationship Id="rId29" Type="http://schemas.openxmlformats.org/officeDocument/2006/relationships/hyperlink" Target="https://doi.org/10.1016/j.jval.2022.04.734" TargetMode="External"/><Relationship Id="rId1" Type="http://schemas.openxmlformats.org/officeDocument/2006/relationships/hyperlink" Target="https://europepmc.org/article/NBK/nbk173954" TargetMode="External"/><Relationship Id="rId6" Type="http://schemas.openxmlformats.org/officeDocument/2006/relationships/hyperlink" Target="https://doi.org/10.1371/journal.pone.0028744" TargetMode="External"/><Relationship Id="rId11" Type="http://schemas.openxmlformats.org/officeDocument/2006/relationships/hyperlink" Target="https://doi.org/10.1097/INF.0000000000002445" TargetMode="External"/><Relationship Id="rId24" Type="http://schemas.openxmlformats.org/officeDocument/2006/relationships/hyperlink" Target="https://doi.org/10.1016/S2214-109X(20)30386-7" TargetMode="External"/><Relationship Id="rId5" Type="http://schemas.openxmlformats.org/officeDocument/2006/relationships/hyperlink" Target="https://doi.org/10.1111/ajo.13405" TargetMode="External"/><Relationship Id="rId15" Type="http://schemas.openxmlformats.org/officeDocument/2006/relationships/hyperlink" Target="https://www.cdc.gov/mmwr/preview/mmwrhtml/mm5303a4.htm" TargetMode="External"/><Relationship Id="rId23" Type="http://schemas.openxmlformats.org/officeDocument/2006/relationships/hyperlink" Target="https://www.jstor.org/stable/48511728" TargetMode="External"/><Relationship Id="rId28" Type="http://schemas.openxmlformats.org/officeDocument/2006/relationships/hyperlink" Target="https://doi.org/10.1002/uog.24884" TargetMode="External"/><Relationship Id="rId10" Type="http://schemas.openxmlformats.org/officeDocument/2006/relationships/hyperlink" Target="https://doi.org/10.17269/s41997-022-00682-0" TargetMode="External"/><Relationship Id="rId19" Type="http://schemas.openxmlformats.org/officeDocument/2006/relationships/hyperlink" Target="https://doi.org/10.1111/j.1469-8749.2008.02059.x" TargetMode="External"/><Relationship Id="rId31" Type="http://schemas.openxmlformats.org/officeDocument/2006/relationships/printerSettings" Target="../printerSettings/printerSettings3.bin"/><Relationship Id="rId4" Type="http://schemas.openxmlformats.org/officeDocument/2006/relationships/hyperlink" Target="https://doi.org/10.14196%2Fmjiri.31.78" TargetMode="External"/><Relationship Id="rId9" Type="http://schemas.openxmlformats.org/officeDocument/2006/relationships/hyperlink" Target="https://www.jstor.org/stable/44970010" TargetMode="External"/><Relationship Id="rId14" Type="http://schemas.openxmlformats.org/officeDocument/2006/relationships/hyperlink" Target="https://apps.who.int/iris/bitstream/handle/10665/254659/9789241512046-eng.pdf" TargetMode="External"/><Relationship Id="rId22" Type="http://schemas.openxmlformats.org/officeDocument/2006/relationships/hyperlink" Target="https://www.jstor.org/stable/48512410" TargetMode="External"/><Relationship Id="rId27" Type="http://schemas.openxmlformats.org/officeDocument/2006/relationships/hyperlink" Target="https://www.jstor.org/stable/44969387" TargetMode="External"/><Relationship Id="rId30" Type="http://schemas.openxmlformats.org/officeDocument/2006/relationships/hyperlink" Target="https://doi.org/10.1186/1471-2393-13-2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998EA-E1F1-4A0C-A41F-FF44E4A258A2}">
  <sheetPr>
    <tabColor rgb="FFFF0000"/>
  </sheetPr>
  <dimension ref="A1:A10"/>
  <sheetViews>
    <sheetView tabSelected="1" workbookViewId="0"/>
  </sheetViews>
  <sheetFormatPr defaultRowHeight="15" x14ac:dyDescent="0.25"/>
  <cols>
    <col min="1" max="1" width="173.7109375" style="5" customWidth="1"/>
  </cols>
  <sheetData>
    <row r="1" spans="1:1" x14ac:dyDescent="0.25">
      <c r="A1" s="2" t="s">
        <v>213</v>
      </c>
    </row>
    <row r="2" spans="1:1" x14ac:dyDescent="0.25">
      <c r="A2" t="s">
        <v>211</v>
      </c>
    </row>
    <row r="3" spans="1:1" x14ac:dyDescent="0.25">
      <c r="A3" s="5" t="s">
        <v>337</v>
      </c>
    </row>
    <row r="4" spans="1:1" x14ac:dyDescent="0.25">
      <c r="A4" t="s">
        <v>214</v>
      </c>
    </row>
    <row r="5" spans="1:1" x14ac:dyDescent="0.25">
      <c r="A5" t="s">
        <v>229</v>
      </c>
    </row>
    <row r="6" spans="1:1" x14ac:dyDescent="0.25">
      <c r="A6" t="s">
        <v>216</v>
      </c>
    </row>
    <row r="7" spans="1:1" x14ac:dyDescent="0.25">
      <c r="A7" s="2" t="s">
        <v>212</v>
      </c>
    </row>
    <row r="8" spans="1:1" x14ac:dyDescent="0.25">
      <c r="A8" s="5" t="s">
        <v>209</v>
      </c>
    </row>
    <row r="9" spans="1:1" x14ac:dyDescent="0.25">
      <c r="A9" t="s">
        <v>210</v>
      </c>
    </row>
    <row r="10" spans="1:1" x14ac:dyDescent="0.25">
      <c r="A10" t="s">
        <v>215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E3175-D748-45CE-8403-238E169B06AF}">
  <dimension ref="A1:R91"/>
  <sheetViews>
    <sheetView zoomScale="130" zoomScaleNormal="130" workbookViewId="0">
      <pane xSplit="5" ySplit="2" topLeftCell="L3" activePane="bottomRight" state="frozen"/>
      <selection pane="topRight" activeCell="D1" sqref="D1"/>
      <selection pane="bottomLeft" activeCell="A7" sqref="A7"/>
      <selection pane="bottomRight"/>
    </sheetView>
  </sheetViews>
  <sheetFormatPr defaultRowHeight="15" x14ac:dyDescent="0.25"/>
  <cols>
    <col min="1" max="1" width="4.7109375" style="3" customWidth="1"/>
    <col min="2" max="2" width="34.42578125" style="6" customWidth="1"/>
    <col min="3" max="3" width="11.28515625" customWidth="1"/>
    <col min="4" max="4" width="25.140625" customWidth="1"/>
    <col min="5" max="5" width="9.140625" customWidth="1"/>
    <col min="6" max="6" width="11.85546875" customWidth="1"/>
    <col min="7" max="7" width="9.85546875" customWidth="1"/>
    <col min="8" max="8" width="12.140625" customWidth="1"/>
    <col min="9" max="9" width="15.140625" hidden="1" customWidth="1"/>
    <col min="10" max="10" width="17.42578125" customWidth="1"/>
    <col min="11" max="11" width="18.42578125" bestFit="1" customWidth="1"/>
    <col min="12" max="12" width="19.7109375" style="3" customWidth="1"/>
    <col min="13" max="13" width="20.85546875" style="3" customWidth="1"/>
    <col min="14" max="14" width="36.42578125" style="3" customWidth="1"/>
    <col min="15" max="15" width="32.140625" style="3" customWidth="1"/>
    <col min="16" max="16" width="105.42578125" customWidth="1"/>
    <col min="17" max="17" width="13.85546875" customWidth="1"/>
  </cols>
  <sheetData>
    <row r="1" spans="1:18" x14ac:dyDescent="0.25">
      <c r="A1" s="1"/>
      <c r="B1" s="31"/>
      <c r="C1" s="2"/>
      <c r="E1" s="2"/>
      <c r="F1" s="1"/>
      <c r="G1" s="1"/>
      <c r="H1" s="1"/>
      <c r="I1" s="1"/>
      <c r="J1" s="1"/>
      <c r="K1" s="1"/>
      <c r="L1" s="1"/>
      <c r="M1" s="1"/>
    </row>
    <row r="2" spans="1:18" ht="45" customHeight="1" x14ac:dyDescent="0.25">
      <c r="A2" s="1" t="s">
        <v>380</v>
      </c>
      <c r="B2" s="31" t="s">
        <v>240</v>
      </c>
      <c r="C2" s="2" t="s">
        <v>0</v>
      </c>
      <c r="D2" s="1" t="s">
        <v>1</v>
      </c>
      <c r="E2" s="1" t="s">
        <v>2</v>
      </c>
      <c r="F2" s="4" t="s">
        <v>336</v>
      </c>
      <c r="G2" s="1" t="s">
        <v>3</v>
      </c>
      <c r="H2" s="1" t="s">
        <v>367</v>
      </c>
      <c r="I2" s="1" t="s">
        <v>369</v>
      </c>
      <c r="J2" s="1" t="s">
        <v>382</v>
      </c>
      <c r="K2" s="1" t="s">
        <v>381</v>
      </c>
      <c r="L2" s="1" t="s">
        <v>241</v>
      </c>
      <c r="M2" s="1" t="s">
        <v>12</v>
      </c>
      <c r="N2" s="14" t="s">
        <v>4</v>
      </c>
      <c r="O2" s="14" t="s">
        <v>206</v>
      </c>
      <c r="P2" s="2" t="s">
        <v>5</v>
      </c>
      <c r="Q2" s="4" t="s">
        <v>6</v>
      </c>
      <c r="R2" s="4" t="s">
        <v>7</v>
      </c>
    </row>
    <row r="3" spans="1:18" ht="14.45" customHeight="1" x14ac:dyDescent="0.25">
      <c r="A3" s="27"/>
      <c r="B3" s="11" t="s">
        <v>242</v>
      </c>
      <c r="C3" s="5" t="s">
        <v>219</v>
      </c>
      <c r="D3" t="s">
        <v>8</v>
      </c>
      <c r="E3" t="s">
        <v>9</v>
      </c>
      <c r="F3" s="7">
        <f>VLOOKUP(B3,pcgdp_2019USD!$C$2:$D$92,2,FALSE)</f>
        <v>10143.838195559531</v>
      </c>
      <c r="G3" t="s">
        <v>10</v>
      </c>
      <c r="L3" s="3" t="s">
        <v>11</v>
      </c>
      <c r="M3" s="3" t="s">
        <v>12</v>
      </c>
      <c r="N3" s="6" t="s">
        <v>13</v>
      </c>
      <c r="O3" s="6"/>
      <c r="P3" t="s">
        <v>14</v>
      </c>
    </row>
    <row r="4" spans="1:18" ht="14.45" customHeight="1" x14ac:dyDescent="0.25">
      <c r="A4" s="27"/>
      <c r="B4" s="11" t="s">
        <v>243</v>
      </c>
      <c r="C4" s="5" t="s">
        <v>219</v>
      </c>
      <c r="D4" t="s">
        <v>15</v>
      </c>
      <c r="E4" t="s">
        <v>16</v>
      </c>
      <c r="F4" s="7">
        <f>VLOOKUP(B4,pcgdp_2019USD!$C$2:$D$92,2,FALSE)</f>
        <v>6624.7618649330934</v>
      </c>
      <c r="G4" t="s">
        <v>17</v>
      </c>
      <c r="L4" s="3" t="s">
        <v>18</v>
      </c>
      <c r="M4" s="3" t="s">
        <v>12</v>
      </c>
      <c r="N4" s="6" t="s">
        <v>13</v>
      </c>
      <c r="O4" s="6"/>
      <c r="P4" t="s">
        <v>19</v>
      </c>
    </row>
    <row r="5" spans="1:18" ht="14.45" customHeight="1" x14ac:dyDescent="0.25">
      <c r="A5" s="27"/>
      <c r="B5" s="11" t="s">
        <v>244</v>
      </c>
      <c r="C5" s="5" t="s">
        <v>219</v>
      </c>
      <c r="D5" t="s">
        <v>20</v>
      </c>
      <c r="E5" t="s">
        <v>21</v>
      </c>
      <c r="F5" s="7">
        <f>VLOOKUP(B5,pcgdp_2019USD!$C$2:$D$92,2,FALSE)</f>
        <v>43070.498359588782</v>
      </c>
      <c r="G5" t="s">
        <v>22</v>
      </c>
      <c r="L5" s="3" t="s">
        <v>18</v>
      </c>
      <c r="M5" s="3" t="s">
        <v>12</v>
      </c>
      <c r="N5" s="6" t="s">
        <v>223</v>
      </c>
      <c r="O5" s="6"/>
      <c r="P5" t="s">
        <v>231</v>
      </c>
    </row>
    <row r="6" spans="1:18" ht="14.45" customHeight="1" x14ac:dyDescent="0.25">
      <c r="A6" s="27"/>
      <c r="B6" s="11" t="s">
        <v>245</v>
      </c>
      <c r="C6" s="5" t="s">
        <v>219</v>
      </c>
      <c r="D6" t="s">
        <v>20</v>
      </c>
      <c r="E6" t="s">
        <v>21</v>
      </c>
      <c r="F6" s="7">
        <f>VLOOKUP(B6,pcgdp_2019USD!$C$2:$D$92,2,FALSE)</f>
        <v>43070.498359588782</v>
      </c>
      <c r="G6" t="s">
        <v>22</v>
      </c>
      <c r="L6" s="3" t="s">
        <v>18</v>
      </c>
      <c r="M6" s="3" t="s">
        <v>12</v>
      </c>
      <c r="N6" s="6" t="s">
        <v>232</v>
      </c>
      <c r="O6" s="6"/>
      <c r="P6" t="s">
        <v>233</v>
      </c>
    </row>
    <row r="7" spans="1:18" ht="14.45" customHeight="1" x14ac:dyDescent="0.25">
      <c r="A7" s="27"/>
      <c r="B7" s="11" t="s">
        <v>246</v>
      </c>
      <c r="C7" s="5" t="s">
        <v>219</v>
      </c>
      <c r="D7" t="s">
        <v>220</v>
      </c>
      <c r="E7" t="s">
        <v>24</v>
      </c>
      <c r="F7" s="7">
        <f>VLOOKUP(B7,pcgdp_2019USD!$C$2:$D$92,2,FALSE)</f>
        <v>54875.285956335058</v>
      </c>
      <c r="G7" t="s">
        <v>221</v>
      </c>
      <c r="L7" s="3" t="s">
        <v>18</v>
      </c>
      <c r="M7" s="3" t="s">
        <v>12</v>
      </c>
      <c r="N7" s="6" t="s">
        <v>222</v>
      </c>
      <c r="O7" s="6"/>
      <c r="P7" t="s">
        <v>224</v>
      </c>
    </row>
    <row r="8" spans="1:18" ht="14.45" customHeight="1" x14ac:dyDescent="0.25">
      <c r="A8" s="27"/>
      <c r="B8" s="11" t="s">
        <v>247</v>
      </c>
      <c r="C8" s="5" t="s">
        <v>219</v>
      </c>
      <c r="D8" t="s">
        <v>23</v>
      </c>
      <c r="E8" t="s">
        <v>27</v>
      </c>
      <c r="F8" s="7">
        <f>VLOOKUP(B8,pcgdp_2019USD!$C$2:$D$92,2,FALSE)</f>
        <v>65094.799428792903</v>
      </c>
      <c r="G8" t="s">
        <v>25</v>
      </c>
      <c r="L8" s="3" t="s">
        <v>28</v>
      </c>
      <c r="M8" s="3" t="s">
        <v>12</v>
      </c>
      <c r="N8" s="6" t="s">
        <v>29</v>
      </c>
      <c r="O8" s="6"/>
      <c r="P8" t="s">
        <v>26</v>
      </c>
    </row>
    <row r="9" spans="1:18" ht="14.45" customHeight="1" x14ac:dyDescent="0.25">
      <c r="A9" s="27"/>
      <c r="B9" s="11" t="s">
        <v>248</v>
      </c>
      <c r="C9" s="5" t="s">
        <v>219</v>
      </c>
      <c r="D9" t="s">
        <v>30</v>
      </c>
      <c r="E9" t="s">
        <v>31</v>
      </c>
      <c r="F9" s="7">
        <f>VLOOKUP(B9,pcgdp_2019USD!$C$2:$D$92,2,FALSE)</f>
        <v>43070.498359588782</v>
      </c>
      <c r="G9" t="s">
        <v>32</v>
      </c>
      <c r="L9" s="3" t="s">
        <v>18</v>
      </c>
      <c r="M9" s="3" t="s">
        <v>12</v>
      </c>
      <c r="N9" s="6" t="s">
        <v>226</v>
      </c>
      <c r="O9" s="6"/>
      <c r="P9" t="s">
        <v>225</v>
      </c>
    </row>
    <row r="10" spans="1:18" ht="14.45" customHeight="1" x14ac:dyDescent="0.25">
      <c r="A10" s="27"/>
      <c r="B10" s="11" t="s">
        <v>249</v>
      </c>
      <c r="C10" s="5" t="s">
        <v>219</v>
      </c>
      <c r="D10" t="s">
        <v>30</v>
      </c>
      <c r="E10" t="s">
        <v>31</v>
      </c>
      <c r="F10" s="7">
        <f>VLOOKUP(B10,pcgdp_2019USD!$C$2:$D$92,2,FALSE)</f>
        <v>43070.498359588782</v>
      </c>
      <c r="G10" t="s">
        <v>32</v>
      </c>
      <c r="L10" s="3" t="s">
        <v>18</v>
      </c>
      <c r="M10" s="3" t="s">
        <v>12</v>
      </c>
      <c r="N10" s="6" t="s">
        <v>33</v>
      </c>
      <c r="O10" s="6"/>
    </row>
    <row r="11" spans="1:18" ht="14.45" customHeight="1" thickBot="1" x14ac:dyDescent="0.3">
      <c r="A11" s="28"/>
      <c r="B11" s="24" t="s">
        <v>356</v>
      </c>
      <c r="C11" s="18" t="s">
        <v>219</v>
      </c>
      <c r="D11" s="19" t="s">
        <v>353</v>
      </c>
      <c r="E11" s="19" t="s">
        <v>354</v>
      </c>
      <c r="F11" s="20"/>
      <c r="G11" s="19" t="s">
        <v>355</v>
      </c>
      <c r="H11" s="19"/>
      <c r="I11" s="19"/>
      <c r="J11" s="19"/>
      <c r="K11" s="19"/>
      <c r="L11" s="21" t="s">
        <v>18</v>
      </c>
      <c r="M11" s="21" t="s">
        <v>12</v>
      </c>
      <c r="N11" s="22" t="s">
        <v>357</v>
      </c>
      <c r="O11" s="22"/>
      <c r="P11" s="19" t="s">
        <v>358</v>
      </c>
    </row>
    <row r="12" spans="1:18" ht="15" customHeight="1" x14ac:dyDescent="0.25">
      <c r="A12" s="27"/>
      <c r="B12" s="6" t="s">
        <v>250</v>
      </c>
      <c r="C12" s="5" t="s">
        <v>34</v>
      </c>
      <c r="D12" t="s">
        <v>35</v>
      </c>
      <c r="E12" t="s">
        <v>9</v>
      </c>
      <c r="F12" s="7">
        <f>VLOOKUP(B12,pcgdp_2019USD!$C$2:$D$92,2,FALSE)</f>
        <v>10143.838195559531</v>
      </c>
      <c r="G12" t="s">
        <v>36</v>
      </c>
      <c r="L12" s="3" t="s">
        <v>11</v>
      </c>
      <c r="M12" s="3" t="s">
        <v>230</v>
      </c>
      <c r="N12" s="6" t="s">
        <v>364</v>
      </c>
      <c r="O12" s="6" t="s">
        <v>37</v>
      </c>
      <c r="P12" t="s">
        <v>38</v>
      </c>
    </row>
    <row r="13" spans="1:18" ht="15" customHeight="1" x14ac:dyDescent="0.25">
      <c r="A13" s="27" t="s">
        <v>166</v>
      </c>
      <c r="B13" s="6" t="s">
        <v>251</v>
      </c>
      <c r="C13" t="s">
        <v>34</v>
      </c>
      <c r="D13" t="s">
        <v>8</v>
      </c>
      <c r="E13" t="s">
        <v>9</v>
      </c>
      <c r="F13" s="7">
        <f>VLOOKUP(B13,pcgdp_2019USD!$C$2:$D$92,2,FALSE)</f>
        <v>10143.838195559531</v>
      </c>
      <c r="G13" t="s">
        <v>10</v>
      </c>
      <c r="J13" s="7">
        <v>1525</v>
      </c>
      <c r="L13" s="3" t="s">
        <v>11</v>
      </c>
      <c r="M13" s="3" t="s">
        <v>230</v>
      </c>
      <c r="N13" s="6" t="s">
        <v>364</v>
      </c>
      <c r="O13" s="6" t="s">
        <v>37</v>
      </c>
      <c r="P13" s="6" t="s">
        <v>360</v>
      </c>
    </row>
    <row r="14" spans="1:18" ht="15" customHeight="1" x14ac:dyDescent="0.25">
      <c r="A14" s="27" t="s">
        <v>166</v>
      </c>
      <c r="B14" s="6" t="s">
        <v>252</v>
      </c>
      <c r="C14" t="s">
        <v>34</v>
      </c>
      <c r="D14" t="s">
        <v>39</v>
      </c>
      <c r="E14" t="s">
        <v>21</v>
      </c>
      <c r="F14" s="7">
        <f>VLOOKUP(B14,pcgdp_2019USD!$C$2:$D$92,2,FALSE)</f>
        <v>43070.498359588782</v>
      </c>
      <c r="G14" t="s">
        <v>40</v>
      </c>
      <c r="H14" s="7">
        <v>2034.62</v>
      </c>
      <c r="I14" t="s">
        <v>375</v>
      </c>
      <c r="J14" s="7">
        <v>7100.37</v>
      </c>
      <c r="K14" s="7">
        <f>J14-H14</f>
        <v>5065.75</v>
      </c>
      <c r="L14" s="3" t="s">
        <v>18</v>
      </c>
      <c r="M14" s="3" t="s">
        <v>12</v>
      </c>
      <c r="N14" s="6" t="s">
        <v>236</v>
      </c>
      <c r="O14" s="6" t="s">
        <v>207</v>
      </c>
      <c r="P14" t="s">
        <v>41</v>
      </c>
    </row>
    <row r="15" spans="1:18" ht="15" customHeight="1" x14ac:dyDescent="0.25">
      <c r="A15" s="27"/>
      <c r="B15" s="6" t="s">
        <v>253</v>
      </c>
      <c r="C15" s="5" t="s">
        <v>34</v>
      </c>
      <c r="D15" t="s">
        <v>42</v>
      </c>
      <c r="E15" t="s">
        <v>31</v>
      </c>
      <c r="F15" s="7">
        <f>VLOOKUP(B15,pcgdp_2019USD!$C$2:$D$92,2,FALSE)</f>
        <v>43070.498359588782</v>
      </c>
      <c r="G15" t="s">
        <v>43</v>
      </c>
      <c r="L15" s="3" t="s">
        <v>18</v>
      </c>
      <c r="M15" s="3" t="s">
        <v>12</v>
      </c>
      <c r="N15" s="6" t="s">
        <v>237</v>
      </c>
      <c r="O15" s="6" t="s">
        <v>207</v>
      </c>
      <c r="P15" t="s">
        <v>227</v>
      </c>
    </row>
    <row r="16" spans="1:18" ht="15" customHeight="1" x14ac:dyDescent="0.25">
      <c r="A16" s="27"/>
      <c r="B16" s="6" t="s">
        <v>254</v>
      </c>
      <c r="C16" s="5" t="s">
        <v>34</v>
      </c>
      <c r="D16" t="s">
        <v>42</v>
      </c>
      <c r="E16" t="s">
        <v>31</v>
      </c>
      <c r="F16" s="7">
        <f>VLOOKUP(B16,pcgdp_2019USD!$C$2:$D$92,2,FALSE)</f>
        <v>43070.498359588782</v>
      </c>
      <c r="G16" t="s">
        <v>43</v>
      </c>
      <c r="L16" s="3" t="s">
        <v>108</v>
      </c>
      <c r="M16" s="3" t="s">
        <v>12</v>
      </c>
      <c r="N16" s="6" t="s">
        <v>238</v>
      </c>
      <c r="O16" s="6" t="s">
        <v>207</v>
      </c>
      <c r="P16" t="s">
        <v>45</v>
      </c>
    </row>
    <row r="17" spans="1:16" ht="15" customHeight="1" x14ac:dyDescent="0.25">
      <c r="A17" s="27"/>
      <c r="B17" s="6" t="s">
        <v>255</v>
      </c>
      <c r="C17" s="5" t="s">
        <v>34</v>
      </c>
      <c r="D17" t="s">
        <v>42</v>
      </c>
      <c r="E17" t="s">
        <v>31</v>
      </c>
      <c r="F17" s="7">
        <f>VLOOKUP(B17,pcgdp_2019USD!$C$2:$D$92,2,FALSE)</f>
        <v>43070.498359588782</v>
      </c>
      <c r="G17" t="s">
        <v>43</v>
      </c>
      <c r="M17" s="3" t="s">
        <v>12</v>
      </c>
      <c r="N17" s="6" t="s">
        <v>44</v>
      </c>
      <c r="O17" s="6"/>
      <c r="P17" t="s">
        <v>46</v>
      </c>
    </row>
    <row r="18" spans="1:16" ht="30" customHeight="1" x14ac:dyDescent="0.25">
      <c r="A18" s="27" t="s">
        <v>166</v>
      </c>
      <c r="B18" s="6" t="s">
        <v>256</v>
      </c>
      <c r="C18" t="s">
        <v>34</v>
      </c>
      <c r="D18" t="s">
        <v>15</v>
      </c>
      <c r="E18" t="s">
        <v>16</v>
      </c>
      <c r="F18" s="7">
        <f>VLOOKUP(B18,pcgdp_2019USD!$C$2:$D$92,2,FALSE)</f>
        <v>6624.7618649330934</v>
      </c>
      <c r="G18" t="s">
        <v>17</v>
      </c>
      <c r="H18" s="7">
        <v>58.43</v>
      </c>
      <c r="I18" s="5" t="s">
        <v>370</v>
      </c>
      <c r="J18" s="7">
        <v>1214.6300000000001</v>
      </c>
      <c r="K18" s="7">
        <f>J18-H18</f>
        <v>1156.2</v>
      </c>
      <c r="L18" s="8" t="s">
        <v>359</v>
      </c>
      <c r="M18" s="3" t="s">
        <v>12</v>
      </c>
      <c r="N18" s="6" t="s">
        <v>47</v>
      </c>
      <c r="O18" s="6"/>
      <c r="P18" t="s">
        <v>48</v>
      </c>
    </row>
    <row r="19" spans="1:16" ht="15" customHeight="1" x14ac:dyDescent="0.25">
      <c r="A19" s="27"/>
      <c r="B19" s="6" t="s">
        <v>257</v>
      </c>
      <c r="C19" s="5" t="s">
        <v>34</v>
      </c>
      <c r="D19" t="s">
        <v>49</v>
      </c>
      <c r="E19" t="s">
        <v>50</v>
      </c>
      <c r="F19" s="7">
        <f>VLOOKUP(B19,pcgdp_2019USD!$C$2:$D$92,2,FALSE)</f>
        <v>4135.2333435120227</v>
      </c>
      <c r="G19" t="s">
        <v>51</v>
      </c>
      <c r="L19" s="3" t="s">
        <v>18</v>
      </c>
      <c r="M19" s="3" t="s">
        <v>12</v>
      </c>
      <c r="N19" s="6" t="s">
        <v>52</v>
      </c>
      <c r="O19" s="6" t="s">
        <v>52</v>
      </c>
      <c r="P19" t="s">
        <v>53</v>
      </c>
    </row>
    <row r="20" spans="1:16" ht="15" customHeight="1" x14ac:dyDescent="0.25">
      <c r="A20" s="27"/>
      <c r="B20" s="6" t="s">
        <v>258</v>
      </c>
      <c r="C20" s="5" t="s">
        <v>34</v>
      </c>
      <c r="D20" s="37" t="s">
        <v>56</v>
      </c>
      <c r="E20" t="s">
        <v>27</v>
      </c>
      <c r="F20" s="7">
        <f>VLOOKUP(B20,pcgdp_2019USD!$C$2:$D$92,2,FALSE)</f>
        <v>65094.799428792903</v>
      </c>
      <c r="G20" t="s">
        <v>36</v>
      </c>
      <c r="L20" s="3" t="s">
        <v>18</v>
      </c>
      <c r="M20" s="3" t="s">
        <v>12</v>
      </c>
      <c r="N20" s="39" t="s">
        <v>54</v>
      </c>
      <c r="O20" s="25"/>
      <c r="P20" t="s">
        <v>55</v>
      </c>
    </row>
    <row r="21" spans="1:16" ht="15" customHeight="1" x14ac:dyDescent="0.25">
      <c r="A21" s="27"/>
      <c r="B21" s="6" t="s">
        <v>259</v>
      </c>
      <c r="C21" s="5" t="s">
        <v>34</v>
      </c>
      <c r="D21" s="37" t="s">
        <v>56</v>
      </c>
      <c r="E21" t="s">
        <v>27</v>
      </c>
      <c r="F21" s="7">
        <f>VLOOKUP(B21,pcgdp_2019USD!$C$2:$D$92,2,FALSE)</f>
        <v>65094.799428792903</v>
      </c>
      <c r="G21" t="s">
        <v>36</v>
      </c>
      <c r="L21" s="3" t="s">
        <v>18</v>
      </c>
      <c r="M21" s="3" t="s">
        <v>12</v>
      </c>
      <c r="N21" s="39"/>
      <c r="O21" s="25"/>
      <c r="P21" t="s">
        <v>57</v>
      </c>
    </row>
    <row r="22" spans="1:16" ht="15" customHeight="1" x14ac:dyDescent="0.25">
      <c r="A22" s="27"/>
      <c r="B22" s="6" t="s">
        <v>260</v>
      </c>
      <c r="C22" s="5" t="s">
        <v>34</v>
      </c>
      <c r="D22" s="37" t="s">
        <v>56</v>
      </c>
      <c r="E22" t="s">
        <v>27</v>
      </c>
      <c r="F22" s="7">
        <f>VLOOKUP(B22,pcgdp_2019USD!$C$2:$D$92,2,FALSE)</f>
        <v>65094.799428792903</v>
      </c>
      <c r="G22" t="s">
        <v>36</v>
      </c>
      <c r="L22" s="3" t="s">
        <v>18</v>
      </c>
      <c r="M22" s="3" t="s">
        <v>12</v>
      </c>
      <c r="N22" s="39"/>
      <c r="O22" s="25"/>
      <c r="P22" t="s">
        <v>58</v>
      </c>
    </row>
    <row r="23" spans="1:16" ht="15" customHeight="1" x14ac:dyDescent="0.25">
      <c r="A23" s="27"/>
      <c r="B23" s="6" t="s">
        <v>261</v>
      </c>
      <c r="C23" s="5" t="s">
        <v>34</v>
      </c>
      <c r="D23" s="37" t="s">
        <v>56</v>
      </c>
      <c r="E23" t="s">
        <v>27</v>
      </c>
      <c r="F23" s="7">
        <f>VLOOKUP(B23,pcgdp_2019USD!$C$2:$D$92,2,FALSE)</f>
        <v>65094.799428792903</v>
      </c>
      <c r="G23" t="s">
        <v>36</v>
      </c>
      <c r="L23" s="3" t="s">
        <v>18</v>
      </c>
      <c r="M23" s="3" t="s">
        <v>12</v>
      </c>
      <c r="N23" s="39"/>
      <c r="O23" s="25"/>
      <c r="P23" t="s">
        <v>59</v>
      </c>
    </row>
    <row r="24" spans="1:16" ht="15" customHeight="1" x14ac:dyDescent="0.25">
      <c r="A24" s="27"/>
      <c r="B24" s="6" t="s">
        <v>262</v>
      </c>
      <c r="C24" s="5" t="s">
        <v>34</v>
      </c>
      <c r="D24" s="9" t="s">
        <v>56</v>
      </c>
      <c r="E24" t="s">
        <v>27</v>
      </c>
      <c r="F24" s="7">
        <f>VLOOKUP(B24,pcgdp_2019USD!$C$2:$D$92,2,FALSE)</f>
        <v>65094.799428792903</v>
      </c>
      <c r="G24" t="s">
        <v>36</v>
      </c>
      <c r="M24" s="3" t="s">
        <v>12</v>
      </c>
      <c r="N24" s="38" t="s">
        <v>60</v>
      </c>
      <c r="O24" s="8"/>
      <c r="P24" t="s">
        <v>61</v>
      </c>
    </row>
    <row r="25" spans="1:16" ht="15" customHeight="1" x14ac:dyDescent="0.25">
      <c r="A25" s="27"/>
      <c r="B25" s="6" t="s">
        <v>263</v>
      </c>
      <c r="C25" s="5" t="s">
        <v>34</v>
      </c>
      <c r="D25" s="9" t="s">
        <v>56</v>
      </c>
      <c r="E25" t="s">
        <v>27</v>
      </c>
      <c r="F25" s="7">
        <f>VLOOKUP(B25,pcgdp_2019USD!$C$2:$D$92,2,FALSE)</f>
        <v>65094.799428792903</v>
      </c>
      <c r="G25" t="s">
        <v>36</v>
      </c>
      <c r="M25" s="3" t="s">
        <v>12</v>
      </c>
      <c r="N25" s="38"/>
      <c r="O25" s="8"/>
      <c r="P25" t="s">
        <v>62</v>
      </c>
    </row>
    <row r="26" spans="1:16" ht="15" customHeight="1" x14ac:dyDescent="0.25">
      <c r="A26" s="27"/>
      <c r="B26" s="6" t="s">
        <v>264</v>
      </c>
      <c r="C26" s="5" t="s">
        <v>34</v>
      </c>
      <c r="D26" s="9" t="s">
        <v>56</v>
      </c>
      <c r="E26" t="s">
        <v>27</v>
      </c>
      <c r="F26" s="7">
        <f>VLOOKUP(B26,pcgdp_2019USD!$C$2:$D$92,2,FALSE)</f>
        <v>65094.799428792903</v>
      </c>
      <c r="G26" t="s">
        <v>36</v>
      </c>
      <c r="M26" s="3" t="s">
        <v>12</v>
      </c>
      <c r="N26" s="38"/>
      <c r="O26" s="8"/>
      <c r="P26" t="s">
        <v>63</v>
      </c>
    </row>
    <row r="27" spans="1:16" ht="15" customHeight="1" x14ac:dyDescent="0.25">
      <c r="A27" s="27"/>
      <c r="B27" s="6" t="s">
        <v>265</v>
      </c>
      <c r="C27" s="5" t="s">
        <v>34</v>
      </c>
      <c r="D27" s="9" t="s">
        <v>56</v>
      </c>
      <c r="E27" t="s">
        <v>27</v>
      </c>
      <c r="F27" s="7">
        <f>VLOOKUP(B27,pcgdp_2019USD!$C$2:$D$92,2,FALSE)</f>
        <v>65094.799428792903</v>
      </c>
      <c r="G27" t="s">
        <v>36</v>
      </c>
      <c r="M27" s="3" t="s">
        <v>12</v>
      </c>
      <c r="N27" s="38"/>
      <c r="O27" s="8"/>
      <c r="P27" t="s">
        <v>64</v>
      </c>
    </row>
    <row r="28" spans="1:16" ht="15" customHeight="1" x14ac:dyDescent="0.25">
      <c r="A28" s="27"/>
      <c r="B28" s="6" t="s">
        <v>266</v>
      </c>
      <c r="C28" s="5" t="s">
        <v>34</v>
      </c>
      <c r="D28" s="9" t="s">
        <v>56</v>
      </c>
      <c r="E28" t="s">
        <v>27</v>
      </c>
      <c r="F28" s="7">
        <f>VLOOKUP(B28,pcgdp_2019USD!$C$2:$D$92,2,FALSE)</f>
        <v>65094.799428792903</v>
      </c>
      <c r="G28" t="s">
        <v>36</v>
      </c>
      <c r="M28" s="3" t="s">
        <v>12</v>
      </c>
      <c r="N28" s="38"/>
      <c r="O28" s="8"/>
      <c r="P28" t="s">
        <v>65</v>
      </c>
    </row>
    <row r="29" spans="1:16" ht="15" customHeight="1" x14ac:dyDescent="0.25">
      <c r="A29" s="27"/>
      <c r="B29" s="6" t="s">
        <v>267</v>
      </c>
      <c r="C29" s="5" t="s">
        <v>34</v>
      </c>
      <c r="D29" s="9" t="s">
        <v>56</v>
      </c>
      <c r="E29" t="s">
        <v>27</v>
      </c>
      <c r="F29" s="7">
        <f>VLOOKUP(B29,pcgdp_2019USD!$C$2:$D$92,2,FALSE)</f>
        <v>65094.799428792903</v>
      </c>
      <c r="G29" t="s">
        <v>36</v>
      </c>
      <c r="M29" s="3" t="s">
        <v>12</v>
      </c>
      <c r="N29" s="38"/>
      <c r="O29" s="8"/>
      <c r="P29" t="s">
        <v>66</v>
      </c>
    </row>
    <row r="30" spans="1:16" ht="15" customHeight="1" x14ac:dyDescent="0.25">
      <c r="A30" s="27"/>
      <c r="B30" s="6" t="s">
        <v>268</v>
      </c>
      <c r="C30" s="5" t="s">
        <v>34</v>
      </c>
      <c r="D30" s="9" t="s">
        <v>56</v>
      </c>
      <c r="E30" t="s">
        <v>27</v>
      </c>
      <c r="F30" s="7">
        <f>VLOOKUP(B30,pcgdp_2019USD!$C$2:$D$92,2,FALSE)</f>
        <v>65094.799428792903</v>
      </c>
      <c r="G30" t="s">
        <v>36</v>
      </c>
      <c r="M30" s="3" t="s">
        <v>12</v>
      </c>
      <c r="N30" s="38"/>
      <c r="O30" s="8"/>
      <c r="P30" t="s">
        <v>67</v>
      </c>
    </row>
    <row r="31" spans="1:16" ht="15" customHeight="1" x14ac:dyDescent="0.25">
      <c r="A31" s="27"/>
      <c r="B31" s="6" t="s">
        <v>269</v>
      </c>
      <c r="C31" s="5" t="s">
        <v>34</v>
      </c>
      <c r="D31" s="9" t="s">
        <v>56</v>
      </c>
      <c r="E31" t="s">
        <v>27</v>
      </c>
      <c r="F31" s="7">
        <f>VLOOKUP(B31,pcgdp_2019USD!$C$2:$D$92,2,FALSE)</f>
        <v>65094.799428792903</v>
      </c>
      <c r="G31" t="s">
        <v>36</v>
      </c>
      <c r="M31" s="3" t="s">
        <v>12</v>
      </c>
      <c r="N31" s="38"/>
      <c r="O31" s="8"/>
      <c r="P31" t="s">
        <v>68</v>
      </c>
    </row>
    <row r="32" spans="1:16" ht="15" customHeight="1" x14ac:dyDescent="0.25">
      <c r="A32" s="27"/>
      <c r="B32" s="6" t="s">
        <v>270</v>
      </c>
      <c r="C32" s="5" t="s">
        <v>34</v>
      </c>
      <c r="D32" s="9" t="s">
        <v>56</v>
      </c>
      <c r="E32" t="s">
        <v>27</v>
      </c>
      <c r="F32" s="7">
        <f>VLOOKUP(B32,pcgdp_2019USD!$C$2:$D$92,2,FALSE)</f>
        <v>65094.799428792903</v>
      </c>
      <c r="G32" t="s">
        <v>36</v>
      </c>
      <c r="M32" s="3" t="s">
        <v>12</v>
      </c>
      <c r="N32" s="38"/>
      <c r="O32" s="8"/>
      <c r="P32" t="s">
        <v>69</v>
      </c>
    </row>
    <row r="33" spans="1:18" ht="15" customHeight="1" x14ac:dyDescent="0.25">
      <c r="A33" s="27"/>
      <c r="B33" s="6" t="s">
        <v>271</v>
      </c>
      <c r="C33" s="5" t="s">
        <v>34</v>
      </c>
      <c r="D33" s="9" t="s">
        <v>56</v>
      </c>
      <c r="E33" t="s">
        <v>27</v>
      </c>
      <c r="F33" s="7">
        <f>VLOOKUP(B33,pcgdp_2019USD!$C$2:$D$92,2,FALSE)</f>
        <v>65094.799428792903</v>
      </c>
      <c r="G33" t="s">
        <v>36</v>
      </c>
      <c r="M33" s="3" t="s">
        <v>12</v>
      </c>
      <c r="N33" s="38"/>
      <c r="O33" s="8"/>
      <c r="P33" t="s">
        <v>70</v>
      </c>
    </row>
    <row r="34" spans="1:18" ht="15" customHeight="1" x14ac:dyDescent="0.25">
      <c r="A34" s="27"/>
      <c r="B34" s="6" t="s">
        <v>272</v>
      </c>
      <c r="C34" s="5" t="s">
        <v>34</v>
      </c>
      <c r="D34" s="9" t="s">
        <v>56</v>
      </c>
      <c r="E34" t="s">
        <v>27</v>
      </c>
      <c r="F34" s="7">
        <f>VLOOKUP(B34,pcgdp_2019USD!$C$2:$D$92,2,FALSE)</f>
        <v>65094.799428792903</v>
      </c>
      <c r="G34" t="s">
        <v>36</v>
      </c>
      <c r="M34" s="3" t="s">
        <v>12</v>
      </c>
      <c r="N34" s="38"/>
      <c r="O34" s="8"/>
      <c r="P34" t="s">
        <v>71</v>
      </c>
    </row>
    <row r="35" spans="1:18" ht="15" customHeight="1" x14ac:dyDescent="0.25">
      <c r="A35" s="27"/>
      <c r="B35" s="6" t="s">
        <v>273</v>
      </c>
      <c r="C35" s="5" t="s">
        <v>34</v>
      </c>
      <c r="D35" s="9" t="s">
        <v>56</v>
      </c>
      <c r="E35" t="s">
        <v>27</v>
      </c>
      <c r="F35" s="7">
        <f>VLOOKUP(B35,pcgdp_2019USD!$C$2:$D$92,2,FALSE)</f>
        <v>65094.799428792903</v>
      </c>
      <c r="G35" t="s">
        <v>36</v>
      </c>
      <c r="M35" s="3" t="s">
        <v>12</v>
      </c>
      <c r="N35" s="38"/>
      <c r="O35" s="8"/>
      <c r="P35" t="s">
        <v>72</v>
      </c>
    </row>
    <row r="36" spans="1:18" ht="15" customHeight="1" x14ac:dyDescent="0.25">
      <c r="A36" s="27"/>
      <c r="B36" s="6" t="s">
        <v>274</v>
      </c>
      <c r="C36" s="5" t="s">
        <v>34</v>
      </c>
      <c r="D36" s="9" t="s">
        <v>56</v>
      </c>
      <c r="E36" t="s">
        <v>27</v>
      </c>
      <c r="F36" s="7">
        <f>VLOOKUP(B36,pcgdp_2019USD!$C$2:$D$92,2,FALSE)</f>
        <v>65094.799428792903</v>
      </c>
      <c r="G36" t="s">
        <v>36</v>
      </c>
      <c r="M36" s="3" t="s">
        <v>12</v>
      </c>
      <c r="N36" s="13" t="s">
        <v>73</v>
      </c>
      <c r="O36" s="26" t="s">
        <v>208</v>
      </c>
      <c r="P36" t="s">
        <v>74</v>
      </c>
    </row>
    <row r="37" spans="1:18" ht="15" customHeight="1" x14ac:dyDescent="0.25">
      <c r="A37" s="27"/>
      <c r="B37" s="6" t="s">
        <v>275</v>
      </c>
      <c r="C37" s="5" t="s">
        <v>34</v>
      </c>
      <c r="D37" t="s">
        <v>75</v>
      </c>
      <c r="E37" t="s">
        <v>76</v>
      </c>
      <c r="F37" s="7">
        <f>VLOOKUP(B37,pcgdp_2019USD!$C$2:$D$92,2,FALSE)</f>
        <v>51939.429744529123</v>
      </c>
      <c r="G37" t="s">
        <v>77</v>
      </c>
      <c r="H37">
        <f>4289 + 8146</f>
        <v>12435</v>
      </c>
      <c r="I37" t="s">
        <v>375</v>
      </c>
      <c r="J37">
        <f>6431 + 69586</f>
        <v>76017</v>
      </c>
      <c r="K37">
        <f>J37-H37</f>
        <v>63582</v>
      </c>
      <c r="L37" s="3" t="s">
        <v>108</v>
      </c>
      <c r="M37" s="3" t="s">
        <v>12</v>
      </c>
      <c r="N37" s="38" t="s">
        <v>78</v>
      </c>
      <c r="O37" s="8"/>
      <c r="P37" t="s">
        <v>383</v>
      </c>
      <c r="Q37">
        <f>0.006+0.005</f>
        <v>1.0999999999999999E-2</v>
      </c>
      <c r="R37">
        <f>Q37/(Q37+Q38)</f>
        <v>0.20754716981132071</v>
      </c>
    </row>
    <row r="38" spans="1:18" ht="15" customHeight="1" x14ac:dyDescent="0.25">
      <c r="A38" s="27"/>
      <c r="B38" s="6" t="s">
        <v>276</v>
      </c>
      <c r="C38" s="5" t="s">
        <v>34</v>
      </c>
      <c r="D38" t="s">
        <v>75</v>
      </c>
      <c r="E38" t="s">
        <v>76</v>
      </c>
      <c r="F38" s="7">
        <f>VLOOKUP(B38,pcgdp_2019USD!$C$2:$D$92,2,FALSE)</f>
        <v>51939.429744529123</v>
      </c>
      <c r="G38" t="s">
        <v>77</v>
      </c>
      <c r="H38">
        <f>4289 + 8146</f>
        <v>12435</v>
      </c>
      <c r="I38" t="s">
        <v>375</v>
      </c>
      <c r="J38">
        <f xml:space="preserve"> 5222 + 11739</f>
        <v>16961</v>
      </c>
      <c r="K38">
        <f>J38-H38</f>
        <v>4526</v>
      </c>
      <c r="L38" s="3" t="s">
        <v>108</v>
      </c>
      <c r="M38" s="3" t="s">
        <v>12</v>
      </c>
      <c r="N38" s="38"/>
      <c r="O38" s="8"/>
      <c r="P38" t="s">
        <v>384</v>
      </c>
      <c r="Q38">
        <f>0.032+0.01</f>
        <v>4.2000000000000003E-2</v>
      </c>
      <c r="R38">
        <f>Q38/(Q37+Q38)</f>
        <v>0.79245283018867918</v>
      </c>
    </row>
    <row r="39" spans="1:18" ht="15" customHeight="1" x14ac:dyDescent="0.25">
      <c r="A39" s="27" t="s">
        <v>166</v>
      </c>
      <c r="B39" s="6" t="s">
        <v>277</v>
      </c>
      <c r="C39" t="s">
        <v>34</v>
      </c>
      <c r="D39" t="s">
        <v>75</v>
      </c>
      <c r="E39" t="s">
        <v>76</v>
      </c>
      <c r="F39" s="7">
        <f>VLOOKUP(B39,pcgdp_2019USD!$C$2:$D$92,2,FALSE)</f>
        <v>51939.429744529123</v>
      </c>
      <c r="G39" t="s">
        <v>77</v>
      </c>
      <c r="H39" s="7">
        <f xml:space="preserve"> 4289 + 8146</f>
        <v>12435</v>
      </c>
      <c r="I39" t="s">
        <v>375</v>
      </c>
      <c r="J39" s="32">
        <f>J37*R37 + J38*R38</f>
        <v>29217.905660377357</v>
      </c>
      <c r="L39" s="3" t="s">
        <v>108</v>
      </c>
      <c r="M39" s="3" t="s">
        <v>12</v>
      </c>
      <c r="N39" s="38"/>
      <c r="O39" s="8"/>
      <c r="P39" s="29" t="s">
        <v>79</v>
      </c>
    </row>
    <row r="40" spans="1:18" ht="15" customHeight="1" x14ac:dyDescent="0.25">
      <c r="A40" s="27"/>
      <c r="B40" s="6" t="s">
        <v>278</v>
      </c>
      <c r="C40" s="5" t="s">
        <v>34</v>
      </c>
      <c r="D40" t="s">
        <v>75</v>
      </c>
      <c r="E40" t="s">
        <v>76</v>
      </c>
      <c r="F40" s="7">
        <f>VLOOKUP(B40,pcgdp_2019USD!$C$2:$D$92,2,FALSE)</f>
        <v>51939.429744529123</v>
      </c>
      <c r="G40" t="s">
        <v>77</v>
      </c>
      <c r="M40" s="3" t="s">
        <v>12</v>
      </c>
      <c r="N40" s="41" t="s">
        <v>80</v>
      </c>
      <c r="O40" s="11"/>
      <c r="P40" t="s">
        <v>81</v>
      </c>
    </row>
    <row r="41" spans="1:18" ht="15" customHeight="1" x14ac:dyDescent="0.25">
      <c r="A41" s="27"/>
      <c r="B41" s="6" t="s">
        <v>279</v>
      </c>
      <c r="C41" s="5" t="s">
        <v>34</v>
      </c>
      <c r="D41" t="s">
        <v>75</v>
      </c>
      <c r="E41" t="s">
        <v>76</v>
      </c>
      <c r="F41" s="7">
        <f>VLOOKUP(B41,pcgdp_2019USD!$C$2:$D$92,2,FALSE)</f>
        <v>51939.429744529123</v>
      </c>
      <c r="G41" t="s">
        <v>77</v>
      </c>
      <c r="M41" s="3" t="s">
        <v>12</v>
      </c>
      <c r="N41" s="41"/>
      <c r="O41" s="11"/>
      <c r="P41" t="s">
        <v>82</v>
      </c>
    </row>
    <row r="42" spans="1:18" ht="15" customHeight="1" x14ac:dyDescent="0.25">
      <c r="A42" s="27"/>
      <c r="B42" s="6" t="s">
        <v>280</v>
      </c>
      <c r="C42" s="5" t="s">
        <v>34</v>
      </c>
      <c r="D42" t="s">
        <v>75</v>
      </c>
      <c r="E42" t="s">
        <v>76</v>
      </c>
      <c r="F42" s="7">
        <f>VLOOKUP(B42,pcgdp_2019USD!$C$2:$D$92,2,FALSE)</f>
        <v>51939.429744529123</v>
      </c>
      <c r="G42" t="s">
        <v>77</v>
      </c>
      <c r="L42" s="7"/>
      <c r="M42" s="3" t="s">
        <v>12</v>
      </c>
      <c r="N42" s="41"/>
      <c r="O42" s="11"/>
      <c r="P42" s="29" t="s">
        <v>79</v>
      </c>
    </row>
    <row r="43" spans="1:18" ht="15" customHeight="1" x14ac:dyDescent="0.25">
      <c r="A43" s="27"/>
      <c r="B43" s="6" t="s">
        <v>281</v>
      </c>
      <c r="C43" s="5" t="s">
        <v>34</v>
      </c>
      <c r="D43" t="s">
        <v>75</v>
      </c>
      <c r="E43" t="s">
        <v>76</v>
      </c>
      <c r="F43" s="7">
        <f>VLOOKUP(B43,pcgdp_2019USD!$C$2:$D$92,2,FALSE)</f>
        <v>51939.429744529123</v>
      </c>
      <c r="G43" t="s">
        <v>77</v>
      </c>
      <c r="M43" s="3" t="s">
        <v>12</v>
      </c>
      <c r="N43" s="11" t="s">
        <v>83</v>
      </c>
      <c r="O43" s="11"/>
      <c r="P43" t="s">
        <v>84</v>
      </c>
    </row>
    <row r="44" spans="1:18" ht="15" customHeight="1" x14ac:dyDescent="0.25">
      <c r="A44" s="27"/>
      <c r="B44" s="6" t="s">
        <v>282</v>
      </c>
      <c r="C44" s="5" t="s">
        <v>34</v>
      </c>
      <c r="D44" t="s">
        <v>85</v>
      </c>
      <c r="E44" t="s">
        <v>27</v>
      </c>
      <c r="F44" s="7">
        <f>VLOOKUP(B44,pcgdp_2019USD!$C$2:$D$92,2,FALSE)</f>
        <v>65094.799428792903</v>
      </c>
      <c r="G44" t="s">
        <v>51</v>
      </c>
      <c r="L44" s="3" t="s">
        <v>18</v>
      </c>
      <c r="M44" s="3" t="s">
        <v>12</v>
      </c>
      <c r="N44" s="11" t="s">
        <v>86</v>
      </c>
      <c r="O44" s="6"/>
      <c r="P44" t="s">
        <v>87</v>
      </c>
    </row>
    <row r="45" spans="1:18" ht="15" customHeight="1" x14ac:dyDescent="0.25">
      <c r="A45" s="27"/>
      <c r="B45" s="6" t="s">
        <v>283</v>
      </c>
      <c r="C45" s="5" t="s">
        <v>34</v>
      </c>
      <c r="D45" t="s">
        <v>85</v>
      </c>
      <c r="E45" t="s">
        <v>27</v>
      </c>
      <c r="F45" s="7">
        <f>VLOOKUP(B45,pcgdp_2019USD!$C$2:$D$92,2,FALSE)</f>
        <v>65094.799428792903</v>
      </c>
      <c r="G45" t="s">
        <v>51</v>
      </c>
      <c r="M45" s="3" t="s">
        <v>12</v>
      </c>
      <c r="N45" s="38" t="s">
        <v>88</v>
      </c>
      <c r="O45" s="8"/>
      <c r="P45" t="s">
        <v>89</v>
      </c>
    </row>
    <row r="46" spans="1:18" ht="15" customHeight="1" x14ac:dyDescent="0.25">
      <c r="A46" s="27"/>
      <c r="B46" s="6" t="s">
        <v>284</v>
      </c>
      <c r="C46" s="5" t="s">
        <v>34</v>
      </c>
      <c r="D46" s="12" t="s">
        <v>85</v>
      </c>
      <c r="E46" t="s">
        <v>27</v>
      </c>
      <c r="F46" s="7">
        <f>VLOOKUP(B46,pcgdp_2019USD!$C$2:$D$92,2,FALSE)</f>
        <v>65094.799428792903</v>
      </c>
      <c r="G46" s="7" t="s">
        <v>51</v>
      </c>
      <c r="H46" s="7"/>
      <c r="I46" s="7"/>
      <c r="J46" s="7"/>
      <c r="K46" s="7"/>
      <c r="M46" s="3" t="s">
        <v>12</v>
      </c>
      <c r="N46" s="38"/>
      <c r="O46" s="8"/>
      <c r="P46" t="s">
        <v>90</v>
      </c>
    </row>
    <row r="47" spans="1:18" ht="15" customHeight="1" x14ac:dyDescent="0.25">
      <c r="A47" s="27"/>
      <c r="B47" s="6" t="s">
        <v>285</v>
      </c>
      <c r="C47" s="5" t="s">
        <v>34</v>
      </c>
      <c r="D47" s="12" t="s">
        <v>85</v>
      </c>
      <c r="E47" t="s">
        <v>27</v>
      </c>
      <c r="F47" s="7">
        <f>VLOOKUP(B47,pcgdp_2019USD!$C$2:$D$92,2,FALSE)</f>
        <v>65094.799428792903</v>
      </c>
      <c r="G47" s="7" t="s">
        <v>51</v>
      </c>
      <c r="H47" s="7"/>
      <c r="I47" s="7"/>
      <c r="J47" s="7"/>
      <c r="K47" s="7"/>
      <c r="M47" s="3" t="s">
        <v>12</v>
      </c>
      <c r="N47" s="38"/>
      <c r="O47" s="8"/>
      <c r="P47" t="s">
        <v>91</v>
      </c>
    </row>
    <row r="48" spans="1:18" ht="15" customHeight="1" x14ac:dyDescent="0.25">
      <c r="A48" s="27"/>
      <c r="B48" s="6" t="s">
        <v>286</v>
      </c>
      <c r="C48" s="5" t="s">
        <v>34</v>
      </c>
      <c r="D48" s="12" t="s">
        <v>85</v>
      </c>
      <c r="E48" t="s">
        <v>27</v>
      </c>
      <c r="F48" s="7">
        <f>VLOOKUP(B48,pcgdp_2019USD!$C$2:$D$92,2,FALSE)</f>
        <v>65094.799428792903</v>
      </c>
      <c r="G48" s="7" t="s">
        <v>51</v>
      </c>
      <c r="H48" s="7"/>
      <c r="I48" s="7"/>
      <c r="J48" s="7"/>
      <c r="K48" s="7"/>
      <c r="M48" s="3" t="s">
        <v>12</v>
      </c>
      <c r="N48" s="38"/>
      <c r="O48" s="8"/>
      <c r="P48" t="s">
        <v>92</v>
      </c>
    </row>
    <row r="49" spans="1:18" ht="15" customHeight="1" x14ac:dyDescent="0.25">
      <c r="A49" s="27"/>
      <c r="B49" s="6" t="s">
        <v>287</v>
      </c>
      <c r="C49" s="5" t="s">
        <v>34</v>
      </c>
      <c r="D49" t="s">
        <v>93</v>
      </c>
      <c r="E49" t="s">
        <v>94</v>
      </c>
      <c r="F49" s="7">
        <f>VLOOKUP(B49,pcgdp_2019USD!$C$2:$D$92,2,FALSE)</f>
        <v>3514.0421682577962</v>
      </c>
      <c r="G49" t="s">
        <v>95</v>
      </c>
      <c r="L49" s="3" t="s">
        <v>18</v>
      </c>
      <c r="M49" s="3" t="s">
        <v>96</v>
      </c>
      <c r="N49" s="38" t="s">
        <v>234</v>
      </c>
      <c r="O49" s="8"/>
      <c r="P49" t="s">
        <v>97</v>
      </c>
    </row>
    <row r="50" spans="1:18" ht="15" customHeight="1" x14ac:dyDescent="0.25">
      <c r="A50" s="27"/>
      <c r="B50" s="6" t="s">
        <v>288</v>
      </c>
      <c r="C50" s="5" t="s">
        <v>34</v>
      </c>
      <c r="D50" t="s">
        <v>93</v>
      </c>
      <c r="E50" t="s">
        <v>94</v>
      </c>
      <c r="F50" s="7">
        <f>VLOOKUP(B50,pcgdp_2019USD!$C$2:$D$92,2,FALSE)</f>
        <v>3514.0421682577962</v>
      </c>
      <c r="G50" t="s">
        <v>95</v>
      </c>
      <c r="L50" s="3" t="s">
        <v>18</v>
      </c>
      <c r="M50" s="3" t="s">
        <v>96</v>
      </c>
      <c r="N50" s="38"/>
      <c r="O50" s="38" t="s">
        <v>218</v>
      </c>
      <c r="P50" t="s">
        <v>98</v>
      </c>
    </row>
    <row r="51" spans="1:18" ht="15" customHeight="1" x14ac:dyDescent="0.25">
      <c r="A51" s="27"/>
      <c r="B51" s="6" t="s">
        <v>289</v>
      </c>
      <c r="C51" s="5" t="s">
        <v>34</v>
      </c>
      <c r="D51" t="s">
        <v>93</v>
      </c>
      <c r="E51" t="s">
        <v>94</v>
      </c>
      <c r="F51" s="7">
        <f>VLOOKUP(B51,pcgdp_2019USD!$C$2:$D$92,2,FALSE)</f>
        <v>3514.0421682577962</v>
      </c>
      <c r="G51" t="s">
        <v>95</v>
      </c>
      <c r="L51" s="3" t="s">
        <v>18</v>
      </c>
      <c r="M51" s="3" t="s">
        <v>96</v>
      </c>
      <c r="N51" s="38"/>
      <c r="O51" s="38"/>
      <c r="P51" t="s">
        <v>99</v>
      </c>
    </row>
    <row r="52" spans="1:18" ht="15" customHeight="1" x14ac:dyDescent="0.25">
      <c r="A52" s="27"/>
      <c r="B52" s="6" t="s">
        <v>290</v>
      </c>
      <c r="C52" s="5" t="s">
        <v>34</v>
      </c>
      <c r="D52" t="s">
        <v>93</v>
      </c>
      <c r="E52" t="s">
        <v>94</v>
      </c>
      <c r="F52" s="7">
        <f>VLOOKUP(B52,pcgdp_2019USD!$C$2:$D$92,2,FALSE)</f>
        <v>3514.0421682577962</v>
      </c>
      <c r="G52" t="s">
        <v>95</v>
      </c>
      <c r="L52" s="3" t="s">
        <v>18</v>
      </c>
      <c r="M52" s="3" t="s">
        <v>96</v>
      </c>
      <c r="N52" s="38"/>
      <c r="O52" s="38"/>
      <c r="P52" t="s">
        <v>100</v>
      </c>
    </row>
    <row r="53" spans="1:18" ht="15" customHeight="1" x14ac:dyDescent="0.25">
      <c r="A53" s="27"/>
      <c r="B53" s="6" t="s">
        <v>291</v>
      </c>
      <c r="C53" s="5" t="s">
        <v>34</v>
      </c>
      <c r="D53" t="s">
        <v>93</v>
      </c>
      <c r="E53" t="s">
        <v>94</v>
      </c>
      <c r="F53" s="7">
        <f>VLOOKUP(B53,pcgdp_2019USD!$C$2:$D$92,2,FALSE)</f>
        <v>3514.0421682577962</v>
      </c>
      <c r="G53" t="s">
        <v>95</v>
      </c>
      <c r="L53" s="3" t="s">
        <v>18</v>
      </c>
      <c r="M53" s="3" t="s">
        <v>96</v>
      </c>
      <c r="N53" s="38"/>
      <c r="O53" s="38"/>
      <c r="P53" t="s">
        <v>101</v>
      </c>
    </row>
    <row r="54" spans="1:18" ht="15" customHeight="1" x14ac:dyDescent="0.25">
      <c r="A54" s="27"/>
      <c r="B54" s="6" t="s">
        <v>292</v>
      </c>
      <c r="C54" s="5" t="s">
        <v>34</v>
      </c>
      <c r="D54" t="s">
        <v>93</v>
      </c>
      <c r="E54" t="s">
        <v>94</v>
      </c>
      <c r="F54" s="7">
        <f>VLOOKUP(B54,pcgdp_2019USD!$C$2:$D$92,2,FALSE)</f>
        <v>3514.0421682577962</v>
      </c>
      <c r="G54" t="s">
        <v>95</v>
      </c>
      <c r="L54" s="3" t="s">
        <v>18</v>
      </c>
      <c r="M54" s="3" t="s">
        <v>96</v>
      </c>
      <c r="N54" s="38"/>
      <c r="O54" s="38"/>
      <c r="P54" t="s">
        <v>102</v>
      </c>
    </row>
    <row r="55" spans="1:18" ht="15" customHeight="1" x14ac:dyDescent="0.25">
      <c r="A55" s="27" t="s">
        <v>166</v>
      </c>
      <c r="B55" s="6" t="s">
        <v>293</v>
      </c>
      <c r="C55" s="3" t="s">
        <v>34</v>
      </c>
      <c r="D55" t="s">
        <v>93</v>
      </c>
      <c r="E55" t="s">
        <v>94</v>
      </c>
      <c r="F55" s="7">
        <f>VLOOKUP(B55,pcgdp_2019USD!$C$2:$D$92,2,FALSE)</f>
        <v>3514.0421682577962</v>
      </c>
      <c r="G55" t="s">
        <v>95</v>
      </c>
      <c r="J55" s="32">
        <v>3515.53</v>
      </c>
      <c r="K55" s="7"/>
      <c r="L55" s="3" t="s">
        <v>18</v>
      </c>
      <c r="M55" s="3" t="s">
        <v>96</v>
      </c>
      <c r="N55" s="38"/>
      <c r="O55" s="38"/>
      <c r="P55" s="29" t="s">
        <v>103</v>
      </c>
    </row>
    <row r="56" spans="1:18" ht="15" customHeight="1" x14ac:dyDescent="0.25">
      <c r="A56" s="27" t="s">
        <v>167</v>
      </c>
      <c r="B56" s="6" t="s">
        <v>294</v>
      </c>
      <c r="C56" s="5" t="s">
        <v>34</v>
      </c>
      <c r="D56" t="s">
        <v>93</v>
      </c>
      <c r="E56" t="s">
        <v>94</v>
      </c>
      <c r="F56" s="7">
        <f>VLOOKUP(B56,pcgdp_2019USD!$C$2:$D$92,2,FALSE)</f>
        <v>3514.0421682577962</v>
      </c>
      <c r="G56" t="s">
        <v>95</v>
      </c>
      <c r="J56" s="36">
        <v>8156.04</v>
      </c>
      <c r="K56" s="7"/>
      <c r="L56" s="3" t="s">
        <v>18</v>
      </c>
      <c r="M56" s="3" t="s">
        <v>96</v>
      </c>
      <c r="N56" s="38"/>
      <c r="O56" s="38"/>
      <c r="P56" s="29" t="s">
        <v>104</v>
      </c>
    </row>
    <row r="57" spans="1:18" ht="15" customHeight="1" x14ac:dyDescent="0.25">
      <c r="A57" s="27"/>
      <c r="B57" s="6" t="s">
        <v>295</v>
      </c>
      <c r="C57" s="5" t="s">
        <v>34</v>
      </c>
      <c r="D57" t="s">
        <v>105</v>
      </c>
      <c r="E57" t="s">
        <v>106</v>
      </c>
      <c r="F57" s="7">
        <f>VLOOKUP(B57,pcgdp_2019USD!$C$2:$D$92,2,FALSE)</f>
        <v>54875.285956335058</v>
      </c>
      <c r="G57" t="s">
        <v>107</v>
      </c>
      <c r="H57" s="7">
        <f>7555+8553</f>
        <v>16108</v>
      </c>
      <c r="I57" t="s">
        <v>374</v>
      </c>
      <c r="J57" s="7">
        <f>6459+154174</f>
        <v>160633</v>
      </c>
      <c r="L57" s="3" t="s">
        <v>108</v>
      </c>
      <c r="M57" s="3" t="s">
        <v>12</v>
      </c>
      <c r="N57" s="38" t="s">
        <v>235</v>
      </c>
      <c r="O57" s="8"/>
      <c r="P57" t="s">
        <v>376</v>
      </c>
      <c r="Q57">
        <v>2769</v>
      </c>
      <c r="R57">
        <f>Q57/(Q57+Q58+Q59)</f>
        <v>0.10326695010069367</v>
      </c>
    </row>
    <row r="58" spans="1:18" ht="15" customHeight="1" x14ac:dyDescent="0.25">
      <c r="A58" s="27"/>
      <c r="B58" s="6" t="s">
        <v>296</v>
      </c>
      <c r="C58" s="5" t="s">
        <v>34</v>
      </c>
      <c r="D58" t="s">
        <v>105</v>
      </c>
      <c r="E58" t="s">
        <v>106</v>
      </c>
      <c r="F58" s="7">
        <f>VLOOKUP(B58,pcgdp_2019USD!$C$2:$D$92,2,FALSE)</f>
        <v>54875.285956335058</v>
      </c>
      <c r="G58" t="s">
        <v>107</v>
      </c>
      <c r="H58" s="7">
        <f>7555+8553</f>
        <v>16108</v>
      </c>
      <c r="I58" t="s">
        <v>374</v>
      </c>
      <c r="J58" s="7">
        <f>11301+63894</f>
        <v>75195</v>
      </c>
      <c r="L58" s="3" t="s">
        <v>108</v>
      </c>
      <c r="M58" s="3" t="s">
        <v>12</v>
      </c>
      <c r="N58" s="38"/>
      <c r="O58" s="8"/>
      <c r="P58" t="s">
        <v>377</v>
      </c>
      <c r="Q58">
        <v>2302</v>
      </c>
      <c r="R58">
        <f>Q58/(Q57+Q58+Q59)</f>
        <v>8.5850675020511677E-2</v>
      </c>
    </row>
    <row r="59" spans="1:18" ht="15" customHeight="1" x14ac:dyDescent="0.25">
      <c r="A59" s="27"/>
      <c r="B59" s="6" t="s">
        <v>297</v>
      </c>
      <c r="C59" s="5" t="s">
        <v>34</v>
      </c>
      <c r="D59" t="s">
        <v>105</v>
      </c>
      <c r="E59" t="s">
        <v>106</v>
      </c>
      <c r="F59" s="7">
        <f>VLOOKUP(B59,pcgdp_2019USD!$C$2:$D$92,2,FALSE)</f>
        <v>54875.285956335058</v>
      </c>
      <c r="G59" t="s">
        <v>107</v>
      </c>
      <c r="H59" s="7">
        <f>7555+8553</f>
        <v>16108</v>
      </c>
      <c r="I59" t="s">
        <v>374</v>
      </c>
      <c r="J59" s="7">
        <f>8628+21630</f>
        <v>30258</v>
      </c>
      <c r="L59" s="3" t="s">
        <v>108</v>
      </c>
      <c r="M59" s="3" t="s">
        <v>12</v>
      </c>
      <c r="N59" s="38"/>
      <c r="O59" s="8"/>
      <c r="P59" t="s">
        <v>378</v>
      </c>
      <c r="Q59">
        <v>21743</v>
      </c>
      <c r="R59">
        <f>Q59/(Q57+Q58+Q59)</f>
        <v>0.81088237487879467</v>
      </c>
    </row>
    <row r="60" spans="1:18" ht="15" customHeight="1" x14ac:dyDescent="0.25">
      <c r="A60" s="27" t="s">
        <v>166</v>
      </c>
      <c r="B60" s="6" t="s">
        <v>298</v>
      </c>
      <c r="C60" t="s">
        <v>34</v>
      </c>
      <c r="D60" t="s">
        <v>105</v>
      </c>
      <c r="E60" t="s">
        <v>106</v>
      </c>
      <c r="F60" s="7">
        <f>VLOOKUP(B60,pcgdp_2019USD!$C$2:$D$92,2,FALSE)</f>
        <v>54875.285956335058</v>
      </c>
      <c r="G60" t="s">
        <v>107</v>
      </c>
      <c r="H60" s="7">
        <f>7555+8553</f>
        <v>16108</v>
      </c>
      <c r="I60" t="s">
        <v>374</v>
      </c>
      <c r="J60" s="32">
        <f>J57*$R$57+J58*$R$58+J59*$R$59</f>
        <v>47579.300402774672</v>
      </c>
      <c r="K60" s="7">
        <f>J60-H60</f>
        <v>31471.300402774672</v>
      </c>
      <c r="L60" s="3" t="s">
        <v>108</v>
      </c>
      <c r="M60" s="3" t="s">
        <v>12</v>
      </c>
      <c r="N60" s="38"/>
      <c r="O60" s="8"/>
      <c r="P60" s="29" t="s">
        <v>109</v>
      </c>
    </row>
    <row r="61" spans="1:18" ht="15" customHeight="1" x14ac:dyDescent="0.25">
      <c r="A61" s="27"/>
      <c r="B61" s="6" t="s">
        <v>299</v>
      </c>
      <c r="C61" s="5" t="s">
        <v>34</v>
      </c>
      <c r="D61" t="s">
        <v>105</v>
      </c>
      <c r="E61" t="s">
        <v>106</v>
      </c>
      <c r="F61" s="7">
        <f>VLOOKUP(B61,pcgdp_2019USD!$C$2:$D$92,2,FALSE)</f>
        <v>54875.285956335058</v>
      </c>
      <c r="G61" t="s">
        <v>107</v>
      </c>
      <c r="M61" s="3" t="s">
        <v>12</v>
      </c>
      <c r="N61" s="38" t="s">
        <v>110</v>
      </c>
      <c r="O61" s="8"/>
      <c r="P61" t="s">
        <v>111</v>
      </c>
    </row>
    <row r="62" spans="1:18" ht="15" customHeight="1" x14ac:dyDescent="0.25">
      <c r="A62" s="27"/>
      <c r="B62" s="6" t="s">
        <v>300</v>
      </c>
      <c r="C62" s="5" t="s">
        <v>34</v>
      </c>
      <c r="D62" t="s">
        <v>105</v>
      </c>
      <c r="E62" t="s">
        <v>106</v>
      </c>
      <c r="F62" s="7">
        <f>VLOOKUP(B62,pcgdp_2019USD!$C$2:$D$92,2,FALSE)</f>
        <v>54875.285956335058</v>
      </c>
      <c r="G62" t="s">
        <v>107</v>
      </c>
      <c r="M62" s="3" t="s">
        <v>12</v>
      </c>
      <c r="N62" s="38"/>
      <c r="O62" s="8"/>
      <c r="P62" t="s">
        <v>112</v>
      </c>
    </row>
    <row r="63" spans="1:18" ht="15" customHeight="1" x14ac:dyDescent="0.25">
      <c r="A63" s="27"/>
      <c r="B63" s="6" t="s">
        <v>301</v>
      </c>
      <c r="C63" s="5" t="s">
        <v>34</v>
      </c>
      <c r="D63" t="s">
        <v>105</v>
      </c>
      <c r="E63" t="s">
        <v>106</v>
      </c>
      <c r="F63" s="7">
        <f>VLOOKUP(B63,pcgdp_2019USD!$C$2:$D$92,2,FALSE)</f>
        <v>54875.285956335058</v>
      </c>
      <c r="G63" t="s">
        <v>107</v>
      </c>
      <c r="M63" s="3" t="s">
        <v>12</v>
      </c>
      <c r="N63" s="38"/>
      <c r="O63" s="8"/>
      <c r="P63" t="s">
        <v>113</v>
      </c>
    </row>
    <row r="64" spans="1:18" ht="15" customHeight="1" x14ac:dyDescent="0.25">
      <c r="A64" s="27"/>
      <c r="B64" s="6" t="s">
        <v>302</v>
      </c>
      <c r="C64" s="5" t="s">
        <v>34</v>
      </c>
      <c r="D64" t="s">
        <v>105</v>
      </c>
      <c r="E64" t="s">
        <v>106</v>
      </c>
      <c r="F64" s="7">
        <f>VLOOKUP(B64,pcgdp_2019USD!$C$2:$D$92,2,FALSE)</f>
        <v>54875.285956335058</v>
      </c>
      <c r="G64" t="s">
        <v>107</v>
      </c>
      <c r="M64" s="3" t="s">
        <v>12</v>
      </c>
      <c r="N64" s="38"/>
      <c r="O64" s="8"/>
      <c r="P64" s="29" t="s">
        <v>109</v>
      </c>
    </row>
    <row r="65" spans="1:18" ht="15" customHeight="1" x14ac:dyDescent="0.25">
      <c r="A65" s="27"/>
      <c r="B65" s="6" t="s">
        <v>303</v>
      </c>
      <c r="C65" s="5" t="s">
        <v>34</v>
      </c>
      <c r="D65" t="s">
        <v>114</v>
      </c>
      <c r="E65" t="s">
        <v>115</v>
      </c>
      <c r="F65" s="7">
        <f>VLOOKUP(B65,pcgdp_2019USD!$C$2:$D$92,2,FALSE)</f>
        <v>8876.0598358777934</v>
      </c>
      <c r="G65" t="s">
        <v>116</v>
      </c>
      <c r="L65" s="3" t="s">
        <v>108</v>
      </c>
      <c r="M65" s="3" t="s">
        <v>12</v>
      </c>
      <c r="N65" s="38" t="s">
        <v>117</v>
      </c>
      <c r="O65" s="8"/>
      <c r="P65" t="s">
        <v>118</v>
      </c>
    </row>
    <row r="66" spans="1:18" ht="15" customHeight="1" x14ac:dyDescent="0.25">
      <c r="A66" s="27"/>
      <c r="B66" s="6" t="s">
        <v>304</v>
      </c>
      <c r="C66" s="5" t="s">
        <v>34</v>
      </c>
      <c r="D66" t="s">
        <v>114</v>
      </c>
      <c r="E66" t="s">
        <v>115</v>
      </c>
      <c r="F66" s="7">
        <f>VLOOKUP(B66,pcgdp_2019USD!$C$2:$D$92,2,FALSE)</f>
        <v>8876.0598358777934</v>
      </c>
      <c r="G66" t="s">
        <v>116</v>
      </c>
      <c r="L66" s="3" t="s">
        <v>108</v>
      </c>
      <c r="M66" s="3" t="s">
        <v>12</v>
      </c>
      <c r="N66" s="38"/>
      <c r="O66" s="8"/>
      <c r="P66" t="s">
        <v>119</v>
      </c>
    </row>
    <row r="67" spans="1:18" ht="15" customHeight="1" x14ac:dyDescent="0.25">
      <c r="A67" s="27"/>
      <c r="B67" s="6" t="s">
        <v>305</v>
      </c>
      <c r="C67" s="5" t="s">
        <v>34</v>
      </c>
      <c r="D67" t="s">
        <v>114</v>
      </c>
      <c r="E67" t="s">
        <v>115</v>
      </c>
      <c r="F67" s="7">
        <f>VLOOKUP(B67,pcgdp_2019USD!$C$2:$D$92,2,FALSE)</f>
        <v>8876.0598358777934</v>
      </c>
      <c r="G67" t="s">
        <v>116</v>
      </c>
      <c r="L67" s="3" t="s">
        <v>108</v>
      </c>
      <c r="M67" s="3" t="s">
        <v>12</v>
      </c>
      <c r="N67" s="38"/>
      <c r="O67" s="8"/>
      <c r="P67" t="s">
        <v>120</v>
      </c>
    </row>
    <row r="68" spans="1:18" ht="15" customHeight="1" x14ac:dyDescent="0.25">
      <c r="A68" s="27" t="s">
        <v>166</v>
      </c>
      <c r="B68" s="6" t="s">
        <v>306</v>
      </c>
      <c r="C68" t="s">
        <v>34</v>
      </c>
      <c r="D68" t="s">
        <v>114</v>
      </c>
      <c r="E68" t="s">
        <v>115</v>
      </c>
      <c r="F68" s="7">
        <f>VLOOKUP(B68,pcgdp_2019USD!$C$2:$D$92,2,FALSE)</f>
        <v>8876.0598358777934</v>
      </c>
      <c r="G68" t="s">
        <v>116</v>
      </c>
      <c r="J68" s="32">
        <v>4477.0600000000004</v>
      </c>
      <c r="K68" s="7"/>
      <c r="L68" s="3" t="s">
        <v>108</v>
      </c>
      <c r="M68" s="3" t="s">
        <v>96</v>
      </c>
      <c r="N68" s="38"/>
      <c r="O68" s="8"/>
      <c r="P68" s="29" t="s">
        <v>121</v>
      </c>
    </row>
    <row r="69" spans="1:18" ht="15" customHeight="1" x14ac:dyDescent="0.25">
      <c r="A69" s="27"/>
      <c r="B69" s="6" t="s">
        <v>307</v>
      </c>
      <c r="C69" s="5" t="s">
        <v>34</v>
      </c>
      <c r="D69" t="s">
        <v>122</v>
      </c>
      <c r="E69" t="s">
        <v>123</v>
      </c>
      <c r="F69" s="7">
        <f>VLOOKUP(B69,pcgdp_2019USD!$C$2:$D$92,2,FALSE)</f>
        <v>506.81713913122451</v>
      </c>
      <c r="G69" t="s">
        <v>124</v>
      </c>
      <c r="L69" s="3" t="s">
        <v>18</v>
      </c>
      <c r="M69" s="3" t="s">
        <v>12</v>
      </c>
      <c r="N69" s="6" t="s">
        <v>125</v>
      </c>
      <c r="O69" s="6" t="s">
        <v>217</v>
      </c>
      <c r="P69" t="s">
        <v>126</v>
      </c>
    </row>
    <row r="70" spans="1:18" ht="15" customHeight="1" x14ac:dyDescent="0.25">
      <c r="A70" s="27"/>
      <c r="B70" s="6" t="s">
        <v>308</v>
      </c>
      <c r="C70" s="5" t="s">
        <v>34</v>
      </c>
      <c r="D70" t="s">
        <v>122</v>
      </c>
      <c r="E70" t="s">
        <v>123</v>
      </c>
      <c r="F70" s="7">
        <f>VLOOKUP(B70,pcgdp_2019USD!$C$2:$D$92,2,FALSE)</f>
        <v>506.81713913122451</v>
      </c>
      <c r="G70" t="s">
        <v>124</v>
      </c>
      <c r="M70" s="3" t="s">
        <v>12</v>
      </c>
      <c r="N70" s="6" t="s">
        <v>127</v>
      </c>
      <c r="O70" s="6"/>
      <c r="P70" t="s">
        <v>128</v>
      </c>
    </row>
    <row r="71" spans="1:18" ht="15" customHeight="1" x14ac:dyDescent="0.25">
      <c r="A71" s="27" t="s">
        <v>166</v>
      </c>
      <c r="B71" s="6" t="s">
        <v>309</v>
      </c>
      <c r="C71" t="s">
        <v>34</v>
      </c>
      <c r="D71" t="s">
        <v>129</v>
      </c>
      <c r="E71" t="s">
        <v>130</v>
      </c>
      <c r="F71" s="7">
        <f>VLOOKUP(B71,pcgdp_2019USD!$C$2:$D$92,2,FALSE)</f>
        <v>820.17723928209421</v>
      </c>
      <c r="G71" t="s">
        <v>77</v>
      </c>
      <c r="J71" s="7">
        <v>237.7</v>
      </c>
      <c r="K71" s="7"/>
      <c r="L71" s="3" t="s">
        <v>18</v>
      </c>
      <c r="M71" s="3" t="s">
        <v>96</v>
      </c>
      <c r="N71" s="6" t="s">
        <v>239</v>
      </c>
      <c r="O71" s="6"/>
      <c r="P71" s="29" t="s">
        <v>131</v>
      </c>
    </row>
    <row r="72" spans="1:18" ht="15" customHeight="1" x14ac:dyDescent="0.25">
      <c r="A72" s="27"/>
      <c r="B72" s="6" t="s">
        <v>349</v>
      </c>
      <c r="C72" s="5" t="s">
        <v>34</v>
      </c>
      <c r="D72" s="9" t="s">
        <v>56</v>
      </c>
      <c r="E72" t="s">
        <v>27</v>
      </c>
      <c r="F72" s="7"/>
      <c r="G72" t="s">
        <v>36</v>
      </c>
      <c r="L72" s="3" t="s">
        <v>342</v>
      </c>
      <c r="M72" s="3" t="s">
        <v>12</v>
      </c>
      <c r="N72" s="39" t="s">
        <v>343</v>
      </c>
      <c r="O72" s="25"/>
      <c r="P72" t="s">
        <v>344</v>
      </c>
    </row>
    <row r="73" spans="1:18" ht="15" customHeight="1" x14ac:dyDescent="0.25">
      <c r="A73" s="27"/>
      <c r="B73" s="6" t="s">
        <v>350</v>
      </c>
      <c r="C73" s="5" t="s">
        <v>34</v>
      </c>
      <c r="D73" s="9" t="s">
        <v>56</v>
      </c>
      <c r="E73" t="s">
        <v>27</v>
      </c>
      <c r="F73" s="7"/>
      <c r="G73" t="s">
        <v>36</v>
      </c>
      <c r="L73" s="3" t="s">
        <v>342</v>
      </c>
      <c r="M73" s="3" t="s">
        <v>12</v>
      </c>
      <c r="N73" s="39"/>
      <c r="O73" s="25"/>
      <c r="P73" t="s">
        <v>345</v>
      </c>
    </row>
    <row r="74" spans="1:18" ht="15" customHeight="1" x14ac:dyDescent="0.25">
      <c r="A74" s="27"/>
      <c r="B74" s="6" t="s">
        <v>351</v>
      </c>
      <c r="C74" s="5" t="s">
        <v>34</v>
      </c>
      <c r="D74" s="9" t="s">
        <v>56</v>
      </c>
      <c r="E74" t="s">
        <v>27</v>
      </c>
      <c r="F74" s="7"/>
      <c r="G74" t="s">
        <v>36</v>
      </c>
      <c r="L74" s="3" t="s">
        <v>342</v>
      </c>
      <c r="M74" s="3" t="s">
        <v>12</v>
      </c>
      <c r="N74" s="39"/>
      <c r="O74" s="25"/>
      <c r="P74" t="s">
        <v>346</v>
      </c>
    </row>
    <row r="75" spans="1:18" ht="15" customHeight="1" x14ac:dyDescent="0.25">
      <c r="A75" s="27"/>
      <c r="B75" s="6" t="s">
        <v>352</v>
      </c>
      <c r="C75" s="5" t="s">
        <v>34</v>
      </c>
      <c r="D75" s="9" t="s">
        <v>56</v>
      </c>
      <c r="E75" t="s">
        <v>27</v>
      </c>
      <c r="F75" s="7"/>
      <c r="G75" t="s">
        <v>36</v>
      </c>
      <c r="L75" s="3" t="s">
        <v>342</v>
      </c>
      <c r="M75" s="3" t="s">
        <v>12</v>
      </c>
      <c r="N75" s="39"/>
      <c r="O75" s="25"/>
      <c r="P75" t="s">
        <v>347</v>
      </c>
    </row>
    <row r="76" spans="1:18" ht="15" customHeight="1" thickBot="1" x14ac:dyDescent="0.3">
      <c r="A76" s="28"/>
      <c r="B76" s="22" t="s">
        <v>362</v>
      </c>
      <c r="C76" s="18" t="s">
        <v>34</v>
      </c>
      <c r="D76" s="33" t="s">
        <v>56</v>
      </c>
      <c r="E76" s="19" t="s">
        <v>27</v>
      </c>
      <c r="F76" s="34">
        <v>65094.799428792903</v>
      </c>
      <c r="G76" s="19" t="s">
        <v>36</v>
      </c>
      <c r="H76" s="19"/>
      <c r="I76" s="19"/>
      <c r="J76" s="19"/>
      <c r="K76" s="19"/>
      <c r="L76" s="21" t="s">
        <v>342</v>
      </c>
      <c r="M76" s="21" t="s">
        <v>12</v>
      </c>
      <c r="N76" s="40"/>
      <c r="O76" s="35"/>
      <c r="P76" s="30" t="s">
        <v>363</v>
      </c>
      <c r="Q76" s="19"/>
      <c r="R76" s="19"/>
    </row>
    <row r="77" spans="1:18" ht="15" customHeight="1" x14ac:dyDescent="0.25">
      <c r="A77" s="27"/>
      <c r="B77" t="s">
        <v>310</v>
      </c>
      <c r="C77" s="6" t="s">
        <v>132</v>
      </c>
      <c r="D77" t="s">
        <v>35</v>
      </c>
      <c r="E77" t="s">
        <v>9</v>
      </c>
      <c r="F77" s="7">
        <f>VLOOKUP(B77,pcgdp_2019USD!$C$2:$D$92,2,FALSE)</f>
        <v>10143.838195559531</v>
      </c>
      <c r="G77" t="s">
        <v>36</v>
      </c>
      <c r="L77" s="3" t="s">
        <v>108</v>
      </c>
      <c r="M77" s="6" t="s">
        <v>230</v>
      </c>
      <c r="N77" s="13" t="s">
        <v>365</v>
      </c>
      <c r="O77" s="13" t="s">
        <v>228</v>
      </c>
      <c r="P77" t="s">
        <v>133</v>
      </c>
    </row>
    <row r="78" spans="1:18" ht="14.45" customHeight="1" x14ac:dyDescent="0.25">
      <c r="A78" s="27" t="s">
        <v>166</v>
      </c>
      <c r="B78" s="5" t="s">
        <v>311</v>
      </c>
      <c r="C78" s="6" t="s">
        <v>132</v>
      </c>
      <c r="D78" t="s">
        <v>8</v>
      </c>
      <c r="E78" t="s">
        <v>9</v>
      </c>
      <c r="F78" s="7">
        <f>VLOOKUP(B78,pcgdp_2019USD!$C$2:$D$92,2,FALSE)</f>
        <v>10143.838195559531</v>
      </c>
      <c r="G78" t="s">
        <v>10</v>
      </c>
      <c r="J78" s="7">
        <v>2125</v>
      </c>
      <c r="L78" s="3" t="s">
        <v>108</v>
      </c>
      <c r="M78" s="3" t="s">
        <v>230</v>
      </c>
      <c r="N78" s="13" t="s">
        <v>364</v>
      </c>
      <c r="O78" s="13" t="s">
        <v>37</v>
      </c>
      <c r="P78" t="s">
        <v>361</v>
      </c>
    </row>
    <row r="79" spans="1:18" ht="14.45" customHeight="1" x14ac:dyDescent="0.25">
      <c r="A79" s="27" t="s">
        <v>166</v>
      </c>
      <c r="B79" s="5" t="s">
        <v>312</v>
      </c>
      <c r="C79" s="6" t="s">
        <v>132</v>
      </c>
      <c r="D79" t="s">
        <v>39</v>
      </c>
      <c r="E79" t="s">
        <v>21</v>
      </c>
      <c r="F79" s="7">
        <f>VLOOKUP(B79,pcgdp_2019USD!$C$2:$D$92,2,FALSE)</f>
        <v>43070.498359588782</v>
      </c>
      <c r="G79" t="s">
        <v>40</v>
      </c>
      <c r="H79" s="7">
        <v>2034.62</v>
      </c>
      <c r="I79" t="s">
        <v>368</v>
      </c>
      <c r="J79" s="7">
        <f>1449+4356.8+2034.62</f>
        <v>7840.42</v>
      </c>
      <c r="K79" s="7">
        <f t="shared" ref="K79:K80" si="0">J79-H79</f>
        <v>5805.8</v>
      </c>
      <c r="L79" s="3" t="s">
        <v>18</v>
      </c>
      <c r="M79" s="3" t="s">
        <v>12</v>
      </c>
      <c r="N79" s="13" t="s">
        <v>204</v>
      </c>
      <c r="O79" s="13" t="s">
        <v>207</v>
      </c>
      <c r="P79" s="5" t="s">
        <v>134</v>
      </c>
    </row>
    <row r="80" spans="1:18" ht="30" customHeight="1" x14ac:dyDescent="0.25">
      <c r="A80" s="27" t="s">
        <v>166</v>
      </c>
      <c r="B80" s="6" t="s">
        <v>313</v>
      </c>
      <c r="C80" s="6" t="s">
        <v>132</v>
      </c>
      <c r="D80" t="s">
        <v>15</v>
      </c>
      <c r="E80" t="s">
        <v>16</v>
      </c>
      <c r="F80" s="7">
        <f>VLOOKUP(B80,pcgdp_2019USD!$C$2:$D$92,2,FALSE)</f>
        <v>6624.7618649330934</v>
      </c>
      <c r="G80" t="s">
        <v>17</v>
      </c>
      <c r="H80" s="7">
        <v>58.43</v>
      </c>
      <c r="I80" s="11" t="s">
        <v>370</v>
      </c>
      <c r="J80" s="7">
        <v>2880.42</v>
      </c>
      <c r="K80" s="7">
        <f t="shared" si="0"/>
        <v>2821.9900000000002</v>
      </c>
      <c r="L80" s="3" t="s">
        <v>18</v>
      </c>
      <c r="M80" s="3" t="s">
        <v>12</v>
      </c>
      <c r="N80" s="10" t="s">
        <v>135</v>
      </c>
      <c r="O80" s="10"/>
      <c r="P80" t="s">
        <v>136</v>
      </c>
    </row>
    <row r="81" spans="1:18" ht="15" customHeight="1" x14ac:dyDescent="0.25">
      <c r="A81" s="27"/>
      <c r="B81" t="s">
        <v>314</v>
      </c>
      <c r="C81" s="6" t="s">
        <v>132</v>
      </c>
      <c r="D81" t="s">
        <v>137</v>
      </c>
      <c r="E81" t="s">
        <v>27</v>
      </c>
      <c r="F81" s="7">
        <f>VLOOKUP(B81,pcgdp_2019USD!$C$2:$D$92,2,FALSE)</f>
        <v>65094.799428792903</v>
      </c>
      <c r="G81" t="s">
        <v>138</v>
      </c>
      <c r="L81" s="3" t="s">
        <v>18</v>
      </c>
      <c r="M81" s="3" t="s">
        <v>12</v>
      </c>
      <c r="N81" s="13" t="s">
        <v>139</v>
      </c>
      <c r="O81" s="13"/>
      <c r="P81" t="s">
        <v>140</v>
      </c>
    </row>
    <row r="82" spans="1:18" ht="14.45" customHeight="1" thickBot="1" x14ac:dyDescent="0.3">
      <c r="A82" s="21"/>
      <c r="B82" s="19" t="s">
        <v>315</v>
      </c>
      <c r="C82" s="22" t="s">
        <v>132</v>
      </c>
      <c r="D82" s="19" t="s">
        <v>49</v>
      </c>
      <c r="E82" s="19" t="s">
        <v>50</v>
      </c>
      <c r="F82" s="20">
        <f>VLOOKUP(B82,pcgdp_2019USD!$C$2:$D$92,2,FALSE)</f>
        <v>4135.2333435120227</v>
      </c>
      <c r="G82" s="19" t="s">
        <v>51</v>
      </c>
      <c r="H82" s="19"/>
      <c r="I82" s="19"/>
      <c r="J82" s="19"/>
      <c r="K82" s="19"/>
      <c r="L82" s="21" t="s">
        <v>141</v>
      </c>
      <c r="M82" s="21" t="s">
        <v>12</v>
      </c>
      <c r="N82" s="23" t="s">
        <v>52</v>
      </c>
      <c r="O82" s="23" t="s">
        <v>52</v>
      </c>
      <c r="P82" s="19" t="s">
        <v>142</v>
      </c>
      <c r="Q82" s="19"/>
      <c r="R82" s="19"/>
    </row>
    <row r="83" spans="1:18" ht="15" customHeight="1" x14ac:dyDescent="0.25">
      <c r="A83" s="27" t="s">
        <v>166</v>
      </c>
      <c r="B83" t="s">
        <v>316</v>
      </c>
      <c r="C83" t="s">
        <v>143</v>
      </c>
      <c r="D83" t="s">
        <v>144</v>
      </c>
      <c r="E83" t="s">
        <v>27</v>
      </c>
      <c r="F83" s="7">
        <f>VLOOKUP(B83,pcgdp_2019USD!$C$2:$D$92,2,FALSE)</f>
        <v>65094.799428792903</v>
      </c>
      <c r="G83" t="s">
        <v>145</v>
      </c>
      <c r="H83" s="7">
        <v>1408</v>
      </c>
      <c r="I83" s="6" t="s">
        <v>371</v>
      </c>
      <c r="J83" s="7">
        <v>11377</v>
      </c>
      <c r="K83" s="7">
        <f>J83-H83</f>
        <v>9969</v>
      </c>
      <c r="L83" s="3" t="s">
        <v>18</v>
      </c>
      <c r="M83" s="3" t="s">
        <v>12</v>
      </c>
      <c r="N83" s="13" t="s">
        <v>146</v>
      </c>
      <c r="O83" s="13"/>
      <c r="P83" t="s">
        <v>372</v>
      </c>
    </row>
    <row r="84" spans="1:18" ht="15" customHeight="1" x14ac:dyDescent="0.25">
      <c r="A84" s="27"/>
      <c r="B84" t="s">
        <v>317</v>
      </c>
      <c r="C84" t="s">
        <v>143</v>
      </c>
      <c r="D84" t="s">
        <v>35</v>
      </c>
      <c r="E84" t="s">
        <v>9</v>
      </c>
      <c r="F84" s="7">
        <f>VLOOKUP(B84,pcgdp_2019USD!$C$2:$D$92,2,FALSE)</f>
        <v>10143.838195559531</v>
      </c>
      <c r="G84" t="s">
        <v>36</v>
      </c>
      <c r="J84" s="7"/>
      <c r="L84" s="3" t="s">
        <v>11</v>
      </c>
      <c r="M84" s="3" t="s">
        <v>96</v>
      </c>
      <c r="N84" s="13" t="s">
        <v>365</v>
      </c>
      <c r="O84" s="13"/>
      <c r="P84" t="s">
        <v>147</v>
      </c>
    </row>
    <row r="85" spans="1:18" ht="15" customHeight="1" x14ac:dyDescent="0.25">
      <c r="A85" s="27" t="s">
        <v>166</v>
      </c>
      <c r="B85" t="s">
        <v>318</v>
      </c>
      <c r="C85" t="s">
        <v>143</v>
      </c>
      <c r="D85" t="s">
        <v>8</v>
      </c>
      <c r="E85" t="s">
        <v>9</v>
      </c>
      <c r="F85" s="7">
        <f>VLOOKUP(B85,pcgdp_2019USD!$C$2:$D$92,2,FALSE)</f>
        <v>10143.838195559531</v>
      </c>
      <c r="G85" t="s">
        <v>10</v>
      </c>
      <c r="J85" s="7">
        <v>1325</v>
      </c>
      <c r="L85" s="3" t="s">
        <v>11</v>
      </c>
      <c r="M85" s="3" t="s">
        <v>230</v>
      </c>
      <c r="N85" s="13" t="s">
        <v>366</v>
      </c>
      <c r="O85" s="13"/>
      <c r="P85" t="s">
        <v>341</v>
      </c>
    </row>
    <row r="86" spans="1:18" ht="30" customHeight="1" x14ac:dyDescent="0.25">
      <c r="A86" s="27" t="s">
        <v>166</v>
      </c>
      <c r="B86" s="6" t="s">
        <v>319</v>
      </c>
      <c r="C86" t="s">
        <v>143</v>
      </c>
      <c r="D86" t="s">
        <v>15</v>
      </c>
      <c r="E86" t="s">
        <v>16</v>
      </c>
      <c r="F86" s="7">
        <f>VLOOKUP(B86,pcgdp_2019USD!$C$2:$D$92,2,FALSE)</f>
        <v>6624.7618649330934</v>
      </c>
      <c r="G86" t="s">
        <v>17</v>
      </c>
      <c r="H86" s="7">
        <v>58.43</v>
      </c>
      <c r="I86" s="5" t="s">
        <v>370</v>
      </c>
      <c r="J86" s="7">
        <v>647.66999999999996</v>
      </c>
      <c r="K86" s="7">
        <f t="shared" ref="K86:K88" si="1">J86-H86</f>
        <v>589.24</v>
      </c>
      <c r="L86" s="3" t="s">
        <v>18</v>
      </c>
      <c r="M86" s="3" t="s">
        <v>12</v>
      </c>
      <c r="N86" s="13" t="s">
        <v>135</v>
      </c>
      <c r="O86" s="10"/>
      <c r="P86" t="s">
        <v>148</v>
      </c>
    </row>
    <row r="87" spans="1:18" ht="15" customHeight="1" x14ac:dyDescent="0.25">
      <c r="A87" s="27" t="s">
        <v>166</v>
      </c>
      <c r="B87" t="s">
        <v>320</v>
      </c>
      <c r="C87" t="s">
        <v>143</v>
      </c>
      <c r="D87" t="s">
        <v>39</v>
      </c>
      <c r="E87" t="s">
        <v>21</v>
      </c>
      <c r="F87" s="7">
        <f>VLOOKUP(B87,pcgdp_2019USD!$C$2:$D$92,2,FALSE)</f>
        <v>43070.498359588782</v>
      </c>
      <c r="G87" t="s">
        <v>40</v>
      </c>
      <c r="H87" s="7">
        <v>2034.62</v>
      </c>
      <c r="I87" t="s">
        <v>368</v>
      </c>
      <c r="J87" s="7">
        <f>7210+49.22+12.08</f>
        <v>7271.3</v>
      </c>
      <c r="K87" s="7">
        <f t="shared" si="1"/>
        <v>5236.68</v>
      </c>
      <c r="L87" s="3" t="s">
        <v>18</v>
      </c>
      <c r="M87" s="3" t="s">
        <v>12</v>
      </c>
      <c r="N87" s="13" t="s">
        <v>205</v>
      </c>
      <c r="O87" s="13" t="s">
        <v>207</v>
      </c>
      <c r="P87" t="s">
        <v>379</v>
      </c>
    </row>
    <row r="88" spans="1:18" ht="15" customHeight="1" x14ac:dyDescent="0.25">
      <c r="A88" s="27" t="s">
        <v>166</v>
      </c>
      <c r="B88" t="s">
        <v>321</v>
      </c>
      <c r="C88" t="s">
        <v>143</v>
      </c>
      <c r="D88" t="s">
        <v>149</v>
      </c>
      <c r="E88" t="s">
        <v>150</v>
      </c>
      <c r="F88" s="7">
        <f>VLOOKUP(B88,pcgdp_2019USD!$C$2:$D$92,2,FALSE)</f>
        <v>46328.671840849704</v>
      </c>
      <c r="G88" t="s">
        <v>151</v>
      </c>
      <c r="H88" s="7">
        <f>(1701*2) + 177.75</f>
        <v>3579.75</v>
      </c>
      <c r="I88" t="s">
        <v>168</v>
      </c>
      <c r="J88" s="7">
        <v>18151.400000000001</v>
      </c>
      <c r="K88" s="7">
        <f t="shared" si="1"/>
        <v>14571.650000000001</v>
      </c>
      <c r="L88" s="3" t="s">
        <v>18</v>
      </c>
      <c r="M88" s="3" t="s">
        <v>12</v>
      </c>
      <c r="N88" s="13" t="s">
        <v>152</v>
      </c>
      <c r="O88" s="13"/>
      <c r="P88" t="s">
        <v>373</v>
      </c>
    </row>
    <row r="89" spans="1:18" ht="15" customHeight="1" x14ac:dyDescent="0.25">
      <c r="A89" s="27"/>
      <c r="B89" t="s">
        <v>322</v>
      </c>
      <c r="C89" t="s">
        <v>143</v>
      </c>
      <c r="D89" t="s">
        <v>153</v>
      </c>
      <c r="E89" t="s">
        <v>115</v>
      </c>
      <c r="F89" s="7">
        <f>VLOOKUP(B89,pcgdp_2019USD!$C$2:$D$92,2,FALSE)</f>
        <v>8876.0598358777934</v>
      </c>
      <c r="G89" t="s">
        <v>154</v>
      </c>
      <c r="L89" s="3" t="s">
        <v>18</v>
      </c>
      <c r="M89" s="3" t="s">
        <v>12</v>
      </c>
      <c r="N89" s="13" t="s">
        <v>155</v>
      </c>
      <c r="O89" s="13"/>
      <c r="P89" s="5" t="s">
        <v>156</v>
      </c>
    </row>
    <row r="90" spans="1:18" ht="15" customHeight="1" x14ac:dyDescent="0.25">
      <c r="A90" s="27"/>
      <c r="B90" t="s">
        <v>323</v>
      </c>
      <c r="C90" t="s">
        <v>143</v>
      </c>
      <c r="D90" t="s">
        <v>157</v>
      </c>
      <c r="E90" t="s">
        <v>27</v>
      </c>
      <c r="F90" s="7">
        <f>VLOOKUP(B90,pcgdp_2019USD!$C$2:$D$92,2,FALSE)</f>
        <v>65094.799428792903</v>
      </c>
      <c r="G90" t="s">
        <v>158</v>
      </c>
      <c r="M90" s="3" t="s">
        <v>12</v>
      </c>
      <c r="N90" s="13" t="s">
        <v>159</v>
      </c>
      <c r="O90" s="13"/>
      <c r="P90" t="s">
        <v>160</v>
      </c>
    </row>
    <row r="91" spans="1:18" ht="15" customHeight="1" thickBot="1" x14ac:dyDescent="0.3">
      <c r="A91" s="28" t="s">
        <v>166</v>
      </c>
      <c r="B91" s="19" t="s">
        <v>348</v>
      </c>
      <c r="C91" s="19" t="s">
        <v>143</v>
      </c>
      <c r="D91" s="19" t="s">
        <v>338</v>
      </c>
      <c r="E91" s="19" t="s">
        <v>27</v>
      </c>
      <c r="F91" s="20">
        <v>65094.799428792903</v>
      </c>
      <c r="G91" s="19" t="s">
        <v>138</v>
      </c>
      <c r="H91" s="20"/>
      <c r="I91" s="19"/>
      <c r="J91" s="20">
        <v>11079</v>
      </c>
      <c r="K91" s="20"/>
      <c r="L91" s="21" t="s">
        <v>18</v>
      </c>
      <c r="M91" s="21" t="s">
        <v>230</v>
      </c>
      <c r="N91" s="23" t="s">
        <v>339</v>
      </c>
      <c r="O91" s="23"/>
      <c r="P91" s="19" t="s">
        <v>340</v>
      </c>
      <c r="Q91" s="19"/>
      <c r="R91" s="19"/>
    </row>
  </sheetData>
  <autoFilter ref="A2:R91" xr:uid="{09BFC01B-D953-4034-8A76-E4671AAB8450}"/>
  <mergeCells count="11">
    <mergeCell ref="N61:N64"/>
    <mergeCell ref="N65:N68"/>
    <mergeCell ref="N72:N76"/>
    <mergeCell ref="N40:N42"/>
    <mergeCell ref="N45:N48"/>
    <mergeCell ref="N49:N56"/>
    <mergeCell ref="O50:O56"/>
    <mergeCell ref="N37:N39"/>
    <mergeCell ref="N20:N23"/>
    <mergeCell ref="N24:N35"/>
    <mergeCell ref="N57:N60"/>
  </mergeCells>
  <pageMargins left="0.7" right="0.7" top="0.75" bottom="0.75" header="0.3" footer="0.3"/>
  <pageSetup orientation="landscape"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92"/>
  <sheetViews>
    <sheetView workbookViewId="0"/>
  </sheetViews>
  <sheetFormatPr defaultRowHeight="15" x14ac:dyDescent="0.25"/>
  <cols>
    <col min="1" max="1" width="14.7109375" bestFit="1" customWidth="1"/>
    <col min="2" max="2" width="21.85546875" bestFit="1" customWidth="1"/>
    <col min="3" max="3" width="37.42578125" bestFit="1" customWidth="1"/>
    <col min="4" max="4" width="14.42578125" bestFit="1" customWidth="1"/>
  </cols>
  <sheetData>
    <row r="1" spans="1:4" x14ac:dyDescent="0.25">
      <c r="A1" t="s">
        <v>333</v>
      </c>
      <c r="B1" t="s">
        <v>335</v>
      </c>
      <c r="C1" t="s">
        <v>240</v>
      </c>
      <c r="D1" t="s">
        <v>334</v>
      </c>
    </row>
    <row r="2" spans="1:4" x14ac:dyDescent="0.25">
      <c r="A2" t="s">
        <v>106</v>
      </c>
      <c r="B2" t="s">
        <v>34</v>
      </c>
      <c r="C2" t="s">
        <v>295</v>
      </c>
      <c r="D2" s="17">
        <v>54875.285956335058</v>
      </c>
    </row>
    <row r="3" spans="1:4" x14ac:dyDescent="0.25">
      <c r="A3" t="s">
        <v>115</v>
      </c>
      <c r="B3" t="s">
        <v>34</v>
      </c>
      <c r="C3" t="s">
        <v>303</v>
      </c>
      <c r="D3" s="17">
        <v>8876.0598358777934</v>
      </c>
    </row>
    <row r="4" spans="1:4" x14ac:dyDescent="0.25">
      <c r="A4" t="s">
        <v>150</v>
      </c>
      <c r="B4" t="s">
        <v>143</v>
      </c>
      <c r="C4" t="s">
        <v>321</v>
      </c>
      <c r="D4" s="17">
        <v>46328.671840849704</v>
      </c>
    </row>
    <row r="5" spans="1:4" x14ac:dyDescent="0.25">
      <c r="A5" t="s">
        <v>9</v>
      </c>
      <c r="B5" t="s">
        <v>34</v>
      </c>
      <c r="C5" t="s">
        <v>250</v>
      </c>
      <c r="D5" s="17">
        <v>10143.838195559531</v>
      </c>
    </row>
    <row r="6" spans="1:4" x14ac:dyDescent="0.25">
      <c r="A6" t="s">
        <v>163</v>
      </c>
      <c r="B6" t="s">
        <v>161</v>
      </c>
      <c r="C6" t="s">
        <v>325</v>
      </c>
      <c r="D6" s="17">
        <v>59775.735096451463</v>
      </c>
    </row>
    <row r="7" spans="1:4" x14ac:dyDescent="0.25">
      <c r="A7" t="s">
        <v>50</v>
      </c>
      <c r="B7" t="s">
        <v>132</v>
      </c>
      <c r="C7" t="s">
        <v>315</v>
      </c>
      <c r="D7" s="17">
        <v>4135.2333435120227</v>
      </c>
    </row>
    <row r="8" spans="1:4" x14ac:dyDescent="0.25">
      <c r="A8" t="s">
        <v>94</v>
      </c>
      <c r="B8" t="s">
        <v>34</v>
      </c>
      <c r="C8" t="s">
        <v>287</v>
      </c>
      <c r="D8" s="17">
        <v>3514.0421682577962</v>
      </c>
    </row>
    <row r="9" spans="1:4" x14ac:dyDescent="0.25">
      <c r="A9" t="s">
        <v>123</v>
      </c>
      <c r="B9" t="s">
        <v>34</v>
      </c>
      <c r="C9" t="s">
        <v>307</v>
      </c>
      <c r="D9" s="17">
        <v>506.81713913122451</v>
      </c>
    </row>
    <row r="10" spans="1:4" x14ac:dyDescent="0.25">
      <c r="A10" t="s">
        <v>164</v>
      </c>
      <c r="B10" t="s">
        <v>161</v>
      </c>
      <c r="C10" t="s">
        <v>328</v>
      </c>
      <c r="D10" s="17">
        <v>52476.273253332707</v>
      </c>
    </row>
    <row r="11" spans="1:4" x14ac:dyDescent="0.25">
      <c r="A11" t="s">
        <v>162</v>
      </c>
      <c r="B11" t="s">
        <v>161</v>
      </c>
      <c r="C11" t="s">
        <v>324</v>
      </c>
      <c r="D11" s="17">
        <v>2229.8586518612992</v>
      </c>
    </row>
    <row r="12" spans="1:4" x14ac:dyDescent="0.25">
      <c r="A12" t="s">
        <v>130</v>
      </c>
      <c r="B12" t="s">
        <v>34</v>
      </c>
      <c r="C12" t="s">
        <v>309</v>
      </c>
      <c r="D12" s="17">
        <v>820.17723928209421</v>
      </c>
    </row>
    <row r="13" spans="1:4" x14ac:dyDescent="0.25">
      <c r="A13" t="s">
        <v>16</v>
      </c>
      <c r="B13" t="s">
        <v>219</v>
      </c>
      <c r="C13" t="s">
        <v>243</v>
      </c>
      <c r="D13" s="17">
        <v>6624.7618649330934</v>
      </c>
    </row>
    <row r="14" spans="1:4" x14ac:dyDescent="0.25">
      <c r="A14" t="s">
        <v>165</v>
      </c>
      <c r="B14" t="s">
        <v>161</v>
      </c>
      <c r="C14" t="s">
        <v>332</v>
      </c>
      <c r="D14" s="17">
        <v>31902.41690481942</v>
      </c>
    </row>
    <row r="15" spans="1:4" x14ac:dyDescent="0.25">
      <c r="A15" t="s">
        <v>76</v>
      </c>
      <c r="B15" t="s">
        <v>34</v>
      </c>
      <c r="C15" t="s">
        <v>275</v>
      </c>
      <c r="D15" s="17">
        <v>51939.429744529123</v>
      </c>
    </row>
    <row r="16" spans="1:4" x14ac:dyDescent="0.25">
      <c r="A16" t="s">
        <v>169</v>
      </c>
      <c r="B16" t="s">
        <v>34</v>
      </c>
      <c r="C16" t="s">
        <v>252</v>
      </c>
      <c r="D16" s="17">
        <v>43070.498359588782</v>
      </c>
    </row>
    <row r="17" spans="1:4" x14ac:dyDescent="0.25">
      <c r="A17" t="s">
        <v>170</v>
      </c>
      <c r="B17" t="s">
        <v>34</v>
      </c>
      <c r="C17" t="s">
        <v>259</v>
      </c>
      <c r="D17" s="17">
        <v>65094.799428792903</v>
      </c>
    </row>
    <row r="18" spans="1:4" x14ac:dyDescent="0.25">
      <c r="A18" t="s">
        <v>106</v>
      </c>
      <c r="B18" t="s">
        <v>34</v>
      </c>
      <c r="C18" t="s">
        <v>296</v>
      </c>
      <c r="D18" s="17">
        <v>54875.285956335058</v>
      </c>
    </row>
    <row r="19" spans="1:4" x14ac:dyDescent="0.25">
      <c r="A19" t="s">
        <v>106</v>
      </c>
      <c r="B19" t="s">
        <v>34</v>
      </c>
      <c r="C19" t="s">
        <v>297</v>
      </c>
      <c r="D19" s="17">
        <v>54875.285956335058</v>
      </c>
    </row>
    <row r="20" spans="1:4" x14ac:dyDescent="0.25">
      <c r="A20" t="s">
        <v>106</v>
      </c>
      <c r="B20" t="s">
        <v>34</v>
      </c>
      <c r="C20" t="s">
        <v>298</v>
      </c>
      <c r="D20" s="17">
        <v>54875.285956335058</v>
      </c>
    </row>
    <row r="21" spans="1:4" x14ac:dyDescent="0.25">
      <c r="A21" t="s">
        <v>106</v>
      </c>
      <c r="B21" t="s">
        <v>34</v>
      </c>
      <c r="C21" t="s">
        <v>299</v>
      </c>
      <c r="D21" s="17">
        <v>54875.285956335058</v>
      </c>
    </row>
    <row r="22" spans="1:4" x14ac:dyDescent="0.25">
      <c r="A22" t="s">
        <v>106</v>
      </c>
      <c r="B22" t="s">
        <v>34</v>
      </c>
      <c r="C22" t="s">
        <v>300</v>
      </c>
      <c r="D22" s="17">
        <v>54875.285956335058</v>
      </c>
    </row>
    <row r="23" spans="1:4" x14ac:dyDescent="0.25">
      <c r="A23" t="s">
        <v>106</v>
      </c>
      <c r="B23" t="s">
        <v>34</v>
      </c>
      <c r="C23" t="s">
        <v>301</v>
      </c>
      <c r="D23" s="17">
        <v>54875.285956335058</v>
      </c>
    </row>
    <row r="24" spans="1:4" x14ac:dyDescent="0.25">
      <c r="A24" t="s">
        <v>106</v>
      </c>
      <c r="B24" t="s">
        <v>34</v>
      </c>
      <c r="C24" t="s">
        <v>302</v>
      </c>
      <c r="D24" s="17">
        <v>54875.285956335058</v>
      </c>
    </row>
    <row r="25" spans="1:4" x14ac:dyDescent="0.25">
      <c r="A25" t="s">
        <v>106</v>
      </c>
      <c r="B25" t="s">
        <v>219</v>
      </c>
      <c r="C25" t="s">
        <v>246</v>
      </c>
      <c r="D25" s="17">
        <v>54875.285956335058</v>
      </c>
    </row>
    <row r="26" spans="1:4" x14ac:dyDescent="0.25">
      <c r="A26" t="s">
        <v>106</v>
      </c>
      <c r="B26" t="s">
        <v>161</v>
      </c>
      <c r="C26" t="s">
        <v>329</v>
      </c>
      <c r="D26" s="17">
        <v>54875.285956335058</v>
      </c>
    </row>
    <row r="27" spans="1:4" x14ac:dyDescent="0.25">
      <c r="A27" t="s">
        <v>115</v>
      </c>
      <c r="B27" t="s">
        <v>34</v>
      </c>
      <c r="C27" t="s">
        <v>304</v>
      </c>
      <c r="D27" s="17">
        <v>8876.0598358777934</v>
      </c>
    </row>
    <row r="28" spans="1:4" x14ac:dyDescent="0.25">
      <c r="A28" t="s">
        <v>115</v>
      </c>
      <c r="B28" t="s">
        <v>34</v>
      </c>
      <c r="C28" t="s">
        <v>305</v>
      </c>
      <c r="D28" s="17">
        <v>8876.0598358777934</v>
      </c>
    </row>
    <row r="29" spans="1:4" x14ac:dyDescent="0.25">
      <c r="A29" t="s">
        <v>115</v>
      </c>
      <c r="B29" t="s">
        <v>34</v>
      </c>
      <c r="C29" t="s">
        <v>306</v>
      </c>
      <c r="D29" s="17">
        <v>8876.0598358777934</v>
      </c>
    </row>
    <row r="30" spans="1:4" x14ac:dyDescent="0.25">
      <c r="A30" t="s">
        <v>115</v>
      </c>
      <c r="B30" t="s">
        <v>143</v>
      </c>
      <c r="C30" t="s">
        <v>322</v>
      </c>
      <c r="D30" s="17">
        <v>8876.0598358777934</v>
      </c>
    </row>
    <row r="31" spans="1:4" x14ac:dyDescent="0.25">
      <c r="A31" t="s">
        <v>9</v>
      </c>
      <c r="B31" t="s">
        <v>219</v>
      </c>
      <c r="C31" t="s">
        <v>242</v>
      </c>
      <c r="D31" s="17">
        <v>10143.838195559531</v>
      </c>
    </row>
    <row r="32" spans="1:4" x14ac:dyDescent="0.25">
      <c r="A32" t="s">
        <v>9</v>
      </c>
      <c r="B32" t="s">
        <v>132</v>
      </c>
      <c r="C32" t="s">
        <v>310</v>
      </c>
      <c r="D32" s="17">
        <v>10143.838195559531</v>
      </c>
    </row>
    <row r="33" spans="1:4" x14ac:dyDescent="0.25">
      <c r="A33" t="s">
        <v>9</v>
      </c>
      <c r="B33" t="s">
        <v>34</v>
      </c>
      <c r="C33" t="s">
        <v>251</v>
      </c>
      <c r="D33" s="17">
        <v>10143.838195559531</v>
      </c>
    </row>
    <row r="34" spans="1:4" x14ac:dyDescent="0.25">
      <c r="A34" t="s">
        <v>9</v>
      </c>
      <c r="B34" t="s">
        <v>143</v>
      </c>
      <c r="C34" t="s">
        <v>317</v>
      </c>
      <c r="D34" s="17">
        <v>10143.838195559531</v>
      </c>
    </row>
    <row r="35" spans="1:4" x14ac:dyDescent="0.25">
      <c r="A35" t="s">
        <v>9</v>
      </c>
      <c r="B35" t="s">
        <v>132</v>
      </c>
      <c r="C35" t="s">
        <v>311</v>
      </c>
      <c r="D35" s="17">
        <v>10143.838195559531</v>
      </c>
    </row>
    <row r="36" spans="1:4" x14ac:dyDescent="0.25">
      <c r="A36" t="s">
        <v>9</v>
      </c>
      <c r="B36" t="s">
        <v>143</v>
      </c>
      <c r="C36" t="s">
        <v>318</v>
      </c>
      <c r="D36" s="17">
        <v>10143.838195559531</v>
      </c>
    </row>
    <row r="37" spans="1:4" x14ac:dyDescent="0.25">
      <c r="A37" t="s">
        <v>163</v>
      </c>
      <c r="B37" t="s">
        <v>161</v>
      </c>
      <c r="C37" t="s">
        <v>326</v>
      </c>
      <c r="D37" s="17">
        <v>59775.735096451463</v>
      </c>
    </row>
    <row r="38" spans="1:4" x14ac:dyDescent="0.25">
      <c r="A38" t="s">
        <v>163</v>
      </c>
      <c r="B38" t="s">
        <v>161</v>
      </c>
      <c r="C38" t="s">
        <v>327</v>
      </c>
      <c r="D38" s="17">
        <v>59775.735096451463</v>
      </c>
    </row>
    <row r="39" spans="1:4" x14ac:dyDescent="0.25">
      <c r="A39" t="s">
        <v>50</v>
      </c>
      <c r="B39" t="s">
        <v>34</v>
      </c>
      <c r="C39" t="s">
        <v>257</v>
      </c>
      <c r="D39" s="17">
        <v>4135.2333435120227</v>
      </c>
    </row>
    <row r="40" spans="1:4" x14ac:dyDescent="0.25">
      <c r="A40" t="s">
        <v>94</v>
      </c>
      <c r="B40" t="s">
        <v>34</v>
      </c>
      <c r="C40" t="s">
        <v>288</v>
      </c>
      <c r="D40" s="17">
        <v>3514.0421682577962</v>
      </c>
    </row>
    <row r="41" spans="1:4" x14ac:dyDescent="0.25">
      <c r="A41" t="s">
        <v>94</v>
      </c>
      <c r="B41" t="s">
        <v>34</v>
      </c>
      <c r="C41" t="s">
        <v>289</v>
      </c>
      <c r="D41" s="17">
        <v>3514.0421682577962</v>
      </c>
    </row>
    <row r="42" spans="1:4" x14ac:dyDescent="0.25">
      <c r="A42" t="s">
        <v>94</v>
      </c>
      <c r="B42" t="s">
        <v>34</v>
      </c>
      <c r="C42" t="s">
        <v>290</v>
      </c>
      <c r="D42" s="17">
        <v>3514.0421682577962</v>
      </c>
    </row>
    <row r="43" spans="1:4" x14ac:dyDescent="0.25">
      <c r="A43" t="s">
        <v>94</v>
      </c>
      <c r="B43" t="s">
        <v>34</v>
      </c>
      <c r="C43" t="s">
        <v>291</v>
      </c>
      <c r="D43" s="17">
        <v>3514.0421682577962</v>
      </c>
    </row>
    <row r="44" spans="1:4" x14ac:dyDescent="0.25">
      <c r="A44" t="s">
        <v>94</v>
      </c>
      <c r="B44" t="s">
        <v>34</v>
      </c>
      <c r="C44" t="s">
        <v>292</v>
      </c>
      <c r="D44" s="17">
        <v>3514.0421682577962</v>
      </c>
    </row>
    <row r="45" spans="1:4" x14ac:dyDescent="0.25">
      <c r="A45" t="s">
        <v>94</v>
      </c>
      <c r="B45" t="s">
        <v>34</v>
      </c>
      <c r="C45" t="s">
        <v>293</v>
      </c>
      <c r="D45" s="17">
        <v>3514.0421682577962</v>
      </c>
    </row>
    <row r="46" spans="1:4" x14ac:dyDescent="0.25">
      <c r="A46" t="s">
        <v>94</v>
      </c>
      <c r="B46" t="s">
        <v>34</v>
      </c>
      <c r="C46" t="s">
        <v>294</v>
      </c>
      <c r="D46" s="17">
        <v>3514.0421682577962</v>
      </c>
    </row>
    <row r="47" spans="1:4" x14ac:dyDescent="0.25">
      <c r="A47" t="s">
        <v>123</v>
      </c>
      <c r="B47" t="s">
        <v>34</v>
      </c>
      <c r="C47" t="s">
        <v>308</v>
      </c>
      <c r="D47" s="17">
        <v>506.81713913122451</v>
      </c>
    </row>
    <row r="48" spans="1:4" x14ac:dyDescent="0.25">
      <c r="A48" t="s">
        <v>16</v>
      </c>
      <c r="B48" t="s">
        <v>143</v>
      </c>
      <c r="C48" t="s">
        <v>319</v>
      </c>
      <c r="D48" s="17">
        <v>6624.7618649330934</v>
      </c>
    </row>
    <row r="49" spans="1:4" x14ac:dyDescent="0.25">
      <c r="A49" t="s">
        <v>16</v>
      </c>
      <c r="B49" t="s">
        <v>132</v>
      </c>
      <c r="C49" t="s">
        <v>313</v>
      </c>
      <c r="D49" s="17">
        <v>6624.7618649330934</v>
      </c>
    </row>
    <row r="50" spans="1:4" x14ac:dyDescent="0.25">
      <c r="A50" t="s">
        <v>16</v>
      </c>
      <c r="B50" t="s">
        <v>34</v>
      </c>
      <c r="C50" t="s">
        <v>256</v>
      </c>
      <c r="D50" s="17">
        <v>6624.7618649330934</v>
      </c>
    </row>
    <row r="51" spans="1:4" x14ac:dyDescent="0.25">
      <c r="A51" t="s">
        <v>76</v>
      </c>
      <c r="B51" t="s">
        <v>34</v>
      </c>
      <c r="C51" t="s">
        <v>276</v>
      </c>
      <c r="D51" s="17">
        <v>51939.429744529123</v>
      </c>
    </row>
    <row r="52" spans="1:4" x14ac:dyDescent="0.25">
      <c r="A52" t="s">
        <v>76</v>
      </c>
      <c r="B52" t="s">
        <v>34</v>
      </c>
      <c r="C52" t="s">
        <v>277</v>
      </c>
      <c r="D52" s="17">
        <v>51939.429744529123</v>
      </c>
    </row>
    <row r="53" spans="1:4" x14ac:dyDescent="0.25">
      <c r="A53" t="s">
        <v>76</v>
      </c>
      <c r="B53" t="s">
        <v>34</v>
      </c>
      <c r="C53" t="s">
        <v>278</v>
      </c>
      <c r="D53" s="17">
        <v>51939.429744529123</v>
      </c>
    </row>
    <row r="54" spans="1:4" x14ac:dyDescent="0.25">
      <c r="A54" t="s">
        <v>76</v>
      </c>
      <c r="B54" t="s">
        <v>34</v>
      </c>
      <c r="C54" t="s">
        <v>279</v>
      </c>
      <c r="D54" s="17">
        <v>51939.429744529123</v>
      </c>
    </row>
    <row r="55" spans="1:4" x14ac:dyDescent="0.25">
      <c r="A55" t="s">
        <v>76</v>
      </c>
      <c r="B55" t="s">
        <v>34</v>
      </c>
      <c r="C55" t="s">
        <v>280</v>
      </c>
      <c r="D55" s="17">
        <v>51939.429744529123</v>
      </c>
    </row>
    <row r="56" spans="1:4" x14ac:dyDescent="0.25">
      <c r="A56" t="s">
        <v>76</v>
      </c>
      <c r="B56" t="s">
        <v>34</v>
      </c>
      <c r="C56" t="s">
        <v>281</v>
      </c>
      <c r="D56" s="17">
        <v>51939.429744529123</v>
      </c>
    </row>
    <row r="57" spans="1:4" x14ac:dyDescent="0.25">
      <c r="A57" t="s">
        <v>169</v>
      </c>
      <c r="B57" t="s">
        <v>219</v>
      </c>
      <c r="C57" t="s">
        <v>244</v>
      </c>
      <c r="D57" s="17">
        <v>43070.498359588782</v>
      </c>
    </row>
    <row r="58" spans="1:4" x14ac:dyDescent="0.25">
      <c r="A58" t="s">
        <v>169</v>
      </c>
      <c r="B58" t="s">
        <v>132</v>
      </c>
      <c r="C58" t="s">
        <v>312</v>
      </c>
      <c r="D58" s="17">
        <v>43070.498359588782</v>
      </c>
    </row>
    <row r="59" spans="1:4" x14ac:dyDescent="0.25">
      <c r="A59" t="s">
        <v>169</v>
      </c>
      <c r="B59" t="s">
        <v>34</v>
      </c>
      <c r="C59" t="s">
        <v>253</v>
      </c>
      <c r="D59" s="17">
        <v>43070.498359588782</v>
      </c>
    </row>
    <row r="60" spans="1:4" x14ac:dyDescent="0.25">
      <c r="A60" t="s">
        <v>169</v>
      </c>
      <c r="B60" t="s">
        <v>219</v>
      </c>
      <c r="C60" t="s">
        <v>245</v>
      </c>
      <c r="D60" s="17">
        <v>43070.498359588782</v>
      </c>
    </row>
    <row r="61" spans="1:4" x14ac:dyDescent="0.25">
      <c r="A61" t="s">
        <v>169</v>
      </c>
      <c r="B61" t="s">
        <v>34</v>
      </c>
      <c r="C61" t="s">
        <v>254</v>
      </c>
      <c r="D61" s="17">
        <v>43070.498359588782</v>
      </c>
    </row>
    <row r="62" spans="1:4" x14ac:dyDescent="0.25">
      <c r="A62" t="s">
        <v>169</v>
      </c>
      <c r="B62" t="s">
        <v>143</v>
      </c>
      <c r="C62" t="s">
        <v>320</v>
      </c>
      <c r="D62" s="17">
        <v>43070.498359588782</v>
      </c>
    </row>
    <row r="63" spans="1:4" x14ac:dyDescent="0.25">
      <c r="A63" t="s">
        <v>169</v>
      </c>
      <c r="B63" t="s">
        <v>34</v>
      </c>
      <c r="C63" t="s">
        <v>255</v>
      </c>
      <c r="D63" s="17">
        <v>43070.498359588782</v>
      </c>
    </row>
    <row r="64" spans="1:4" x14ac:dyDescent="0.25">
      <c r="A64" t="s">
        <v>169</v>
      </c>
      <c r="B64" t="s">
        <v>219</v>
      </c>
      <c r="C64" t="s">
        <v>248</v>
      </c>
      <c r="D64" s="17">
        <v>43070.498359588782</v>
      </c>
    </row>
    <row r="65" spans="1:4" x14ac:dyDescent="0.25">
      <c r="A65" t="s">
        <v>169</v>
      </c>
      <c r="B65" t="s">
        <v>219</v>
      </c>
      <c r="C65" t="s">
        <v>249</v>
      </c>
      <c r="D65" s="17">
        <v>43070.498359588782</v>
      </c>
    </row>
    <row r="66" spans="1:4" x14ac:dyDescent="0.25">
      <c r="A66" t="s">
        <v>170</v>
      </c>
      <c r="B66" t="s">
        <v>34</v>
      </c>
      <c r="C66" t="s">
        <v>260</v>
      </c>
      <c r="D66" s="17">
        <v>65094.799428792903</v>
      </c>
    </row>
    <row r="67" spans="1:4" x14ac:dyDescent="0.25">
      <c r="A67" t="s">
        <v>170</v>
      </c>
      <c r="B67" t="s">
        <v>34</v>
      </c>
      <c r="C67" t="s">
        <v>261</v>
      </c>
      <c r="D67" s="17">
        <v>65094.799428792903</v>
      </c>
    </row>
    <row r="68" spans="1:4" x14ac:dyDescent="0.25">
      <c r="A68" t="s">
        <v>170</v>
      </c>
      <c r="B68" t="s">
        <v>34</v>
      </c>
      <c r="C68" t="s">
        <v>262</v>
      </c>
      <c r="D68" s="17">
        <v>65094.799428792903</v>
      </c>
    </row>
    <row r="69" spans="1:4" x14ac:dyDescent="0.25">
      <c r="A69" t="s">
        <v>170</v>
      </c>
      <c r="B69" t="s">
        <v>34</v>
      </c>
      <c r="C69" t="s">
        <v>263</v>
      </c>
      <c r="D69" s="17">
        <v>65094.799428792903</v>
      </c>
    </row>
    <row r="70" spans="1:4" x14ac:dyDescent="0.25">
      <c r="A70" t="s">
        <v>170</v>
      </c>
      <c r="B70" t="s">
        <v>34</v>
      </c>
      <c r="C70" t="s">
        <v>264</v>
      </c>
      <c r="D70" s="17">
        <v>65094.799428792903</v>
      </c>
    </row>
    <row r="71" spans="1:4" x14ac:dyDescent="0.25">
      <c r="A71" t="s">
        <v>170</v>
      </c>
      <c r="B71" t="s">
        <v>34</v>
      </c>
      <c r="C71" t="s">
        <v>265</v>
      </c>
      <c r="D71" s="17">
        <v>65094.799428792903</v>
      </c>
    </row>
    <row r="72" spans="1:4" x14ac:dyDescent="0.25">
      <c r="A72" t="s">
        <v>170</v>
      </c>
      <c r="B72" t="s">
        <v>34</v>
      </c>
      <c r="C72" t="s">
        <v>266</v>
      </c>
      <c r="D72" s="17">
        <v>65094.799428792903</v>
      </c>
    </row>
    <row r="73" spans="1:4" x14ac:dyDescent="0.25">
      <c r="A73" t="s">
        <v>170</v>
      </c>
      <c r="B73" t="s">
        <v>34</v>
      </c>
      <c r="C73" t="s">
        <v>267</v>
      </c>
      <c r="D73" s="17">
        <v>65094.799428792903</v>
      </c>
    </row>
    <row r="74" spans="1:4" x14ac:dyDescent="0.25">
      <c r="A74" t="s">
        <v>170</v>
      </c>
      <c r="B74" t="s">
        <v>34</v>
      </c>
      <c r="C74" t="s">
        <v>268</v>
      </c>
      <c r="D74" s="17">
        <v>65094.799428792903</v>
      </c>
    </row>
    <row r="75" spans="1:4" x14ac:dyDescent="0.25">
      <c r="A75" t="s">
        <v>170</v>
      </c>
      <c r="B75" t="s">
        <v>143</v>
      </c>
      <c r="C75" t="s">
        <v>316</v>
      </c>
      <c r="D75" s="17">
        <v>65094.799428792903</v>
      </c>
    </row>
    <row r="76" spans="1:4" x14ac:dyDescent="0.25">
      <c r="A76" t="s">
        <v>170</v>
      </c>
      <c r="B76" t="s">
        <v>34</v>
      </c>
      <c r="C76" t="s">
        <v>269</v>
      </c>
      <c r="D76" s="17">
        <v>65094.799428792903</v>
      </c>
    </row>
    <row r="77" spans="1:4" x14ac:dyDescent="0.25">
      <c r="A77" t="s">
        <v>170</v>
      </c>
      <c r="B77" t="s">
        <v>34</v>
      </c>
      <c r="C77" t="s">
        <v>270</v>
      </c>
      <c r="D77" s="17">
        <v>65094.799428792903</v>
      </c>
    </row>
    <row r="78" spans="1:4" x14ac:dyDescent="0.25">
      <c r="A78" t="s">
        <v>170</v>
      </c>
      <c r="B78" t="s">
        <v>34</v>
      </c>
      <c r="C78" t="s">
        <v>271</v>
      </c>
      <c r="D78" s="17">
        <v>65094.799428792903</v>
      </c>
    </row>
    <row r="79" spans="1:4" x14ac:dyDescent="0.25">
      <c r="A79" t="s">
        <v>170</v>
      </c>
      <c r="B79" t="s">
        <v>34</v>
      </c>
      <c r="C79" t="s">
        <v>272</v>
      </c>
      <c r="D79" s="17">
        <v>65094.799428792903</v>
      </c>
    </row>
    <row r="80" spans="1:4" x14ac:dyDescent="0.25">
      <c r="A80" t="s">
        <v>170</v>
      </c>
      <c r="B80" t="s">
        <v>34</v>
      </c>
      <c r="C80" t="s">
        <v>273</v>
      </c>
      <c r="D80" s="17">
        <v>65094.799428792903</v>
      </c>
    </row>
    <row r="81" spans="1:4" x14ac:dyDescent="0.25">
      <c r="A81" t="s">
        <v>170</v>
      </c>
      <c r="B81" t="s">
        <v>34</v>
      </c>
      <c r="C81" t="s">
        <v>274</v>
      </c>
      <c r="D81" s="17">
        <v>65094.799428792903</v>
      </c>
    </row>
    <row r="82" spans="1:4" x14ac:dyDescent="0.25">
      <c r="A82" t="s">
        <v>170</v>
      </c>
      <c r="B82" t="s">
        <v>34</v>
      </c>
      <c r="C82" t="s">
        <v>282</v>
      </c>
      <c r="D82" s="17">
        <v>65094.799428792903</v>
      </c>
    </row>
    <row r="83" spans="1:4" x14ac:dyDescent="0.25">
      <c r="A83" t="s">
        <v>170</v>
      </c>
      <c r="B83" t="s">
        <v>34</v>
      </c>
      <c r="C83" t="s">
        <v>283</v>
      </c>
      <c r="D83" s="17">
        <v>65094.799428792903</v>
      </c>
    </row>
    <row r="84" spans="1:4" x14ac:dyDescent="0.25">
      <c r="A84" t="s">
        <v>170</v>
      </c>
      <c r="B84" t="s">
        <v>34</v>
      </c>
      <c r="C84" t="s">
        <v>284</v>
      </c>
      <c r="D84" s="17">
        <v>65094.799428792903</v>
      </c>
    </row>
    <row r="85" spans="1:4" x14ac:dyDescent="0.25">
      <c r="A85" t="s">
        <v>170</v>
      </c>
      <c r="B85" t="s">
        <v>34</v>
      </c>
      <c r="C85" t="s">
        <v>285</v>
      </c>
      <c r="D85" s="17">
        <v>65094.799428792903</v>
      </c>
    </row>
    <row r="86" spans="1:4" x14ac:dyDescent="0.25">
      <c r="A86" t="s">
        <v>170</v>
      </c>
      <c r="B86" t="s">
        <v>34</v>
      </c>
      <c r="C86" t="s">
        <v>286</v>
      </c>
      <c r="D86" s="17">
        <v>65094.799428792903</v>
      </c>
    </row>
    <row r="87" spans="1:4" x14ac:dyDescent="0.25">
      <c r="A87" t="s">
        <v>170</v>
      </c>
      <c r="B87" t="s">
        <v>132</v>
      </c>
      <c r="C87" t="s">
        <v>314</v>
      </c>
      <c r="D87" s="17">
        <v>65094.799428792903</v>
      </c>
    </row>
    <row r="88" spans="1:4" x14ac:dyDescent="0.25">
      <c r="A88" t="s">
        <v>170</v>
      </c>
      <c r="B88" t="s">
        <v>219</v>
      </c>
      <c r="C88" t="s">
        <v>247</v>
      </c>
      <c r="D88" s="17">
        <v>65094.799428792903</v>
      </c>
    </row>
    <row r="89" spans="1:4" x14ac:dyDescent="0.25">
      <c r="A89" t="s">
        <v>170</v>
      </c>
      <c r="B89" t="s">
        <v>161</v>
      </c>
      <c r="C89" t="s">
        <v>330</v>
      </c>
      <c r="D89" s="17">
        <v>65094.799428792903</v>
      </c>
    </row>
    <row r="90" spans="1:4" x14ac:dyDescent="0.25">
      <c r="A90" t="s">
        <v>170</v>
      </c>
      <c r="B90" t="s">
        <v>161</v>
      </c>
      <c r="C90" t="s">
        <v>331</v>
      </c>
      <c r="D90" s="17">
        <v>65094.799428792903</v>
      </c>
    </row>
    <row r="91" spans="1:4" x14ac:dyDescent="0.25">
      <c r="A91" t="s">
        <v>170</v>
      </c>
      <c r="B91" t="s">
        <v>143</v>
      </c>
      <c r="C91" t="s">
        <v>323</v>
      </c>
      <c r="D91" s="17">
        <v>65094.799428792903</v>
      </c>
    </row>
    <row r="92" spans="1:4" x14ac:dyDescent="0.25">
      <c r="A92" t="s">
        <v>170</v>
      </c>
      <c r="B92" t="s">
        <v>34</v>
      </c>
      <c r="C92" t="s">
        <v>258</v>
      </c>
      <c r="D92" s="17">
        <v>65094.799428792903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47BF3-592F-4913-B88C-4555BA1F28D2}">
  <sheetPr>
    <tabColor rgb="FF00B0F0"/>
  </sheetPr>
  <dimension ref="A1:B33"/>
  <sheetViews>
    <sheetView workbookViewId="0"/>
  </sheetViews>
  <sheetFormatPr defaultRowHeight="15" x14ac:dyDescent="0.25"/>
  <cols>
    <col min="1" max="1" width="8.7109375" style="3"/>
    <col min="2" max="2" width="255.5703125" bestFit="1" customWidth="1"/>
  </cols>
  <sheetData>
    <row r="1" spans="1:2" x14ac:dyDescent="0.25">
      <c r="A1" s="1" t="s">
        <v>171</v>
      </c>
      <c r="B1" s="2" t="s">
        <v>172</v>
      </c>
    </row>
    <row r="2" spans="1:2" x14ac:dyDescent="0.25">
      <c r="A2" s="3" t="s">
        <v>173</v>
      </c>
      <c r="B2" s="15" t="s">
        <v>174</v>
      </c>
    </row>
    <row r="3" spans="1:2" x14ac:dyDescent="0.25">
      <c r="A3" s="3" t="s">
        <v>173</v>
      </c>
      <c r="B3" s="15" t="s">
        <v>175</v>
      </c>
    </row>
    <row r="4" spans="1:2" x14ac:dyDescent="0.25">
      <c r="A4" s="3" t="s">
        <v>173</v>
      </c>
      <c r="B4" s="15" t="s">
        <v>176</v>
      </c>
    </row>
    <row r="5" spans="1:2" x14ac:dyDescent="0.25">
      <c r="A5" s="3" t="s">
        <v>173</v>
      </c>
      <c r="B5" s="15" t="s">
        <v>177</v>
      </c>
    </row>
    <row r="6" spans="1:2" x14ac:dyDescent="0.25">
      <c r="A6" s="3" t="s">
        <v>173</v>
      </c>
      <c r="B6" s="15" t="s">
        <v>178</v>
      </c>
    </row>
    <row r="7" spans="1:2" x14ac:dyDescent="0.25">
      <c r="A7" s="3" t="s">
        <v>173</v>
      </c>
      <c r="B7" s="15" t="s">
        <v>179</v>
      </c>
    </row>
    <row r="8" spans="1:2" x14ac:dyDescent="0.25">
      <c r="A8" s="3" t="s">
        <v>173</v>
      </c>
      <c r="B8" s="15" t="s">
        <v>180</v>
      </c>
    </row>
    <row r="9" spans="1:2" x14ac:dyDescent="0.25">
      <c r="A9" s="3" t="s">
        <v>173</v>
      </c>
      <c r="B9" s="15" t="s">
        <v>181</v>
      </c>
    </row>
    <row r="10" spans="1:2" x14ac:dyDescent="0.25">
      <c r="A10" s="3" t="s">
        <v>173</v>
      </c>
      <c r="B10" s="15" t="s">
        <v>182</v>
      </c>
    </row>
    <row r="11" spans="1:2" x14ac:dyDescent="0.25">
      <c r="A11" s="3" t="s">
        <v>173</v>
      </c>
      <c r="B11" s="15" t="s">
        <v>183</v>
      </c>
    </row>
    <row r="12" spans="1:2" x14ac:dyDescent="0.25">
      <c r="A12" s="3" t="s">
        <v>173</v>
      </c>
      <c r="B12" s="15" t="s">
        <v>184</v>
      </c>
    </row>
    <row r="13" spans="1:2" x14ac:dyDescent="0.25">
      <c r="A13" s="3" t="s">
        <v>173</v>
      </c>
      <c r="B13" s="15" t="s">
        <v>185</v>
      </c>
    </row>
    <row r="14" spans="1:2" x14ac:dyDescent="0.25">
      <c r="A14" s="3" t="s">
        <v>173</v>
      </c>
      <c r="B14" s="15" t="s">
        <v>186</v>
      </c>
    </row>
    <row r="15" spans="1:2" x14ac:dyDescent="0.25">
      <c r="A15" s="3" t="s">
        <v>173</v>
      </c>
      <c r="B15" s="15" t="s">
        <v>187</v>
      </c>
    </row>
    <row r="16" spans="1:2" x14ac:dyDescent="0.25">
      <c r="A16" s="3" t="s">
        <v>173</v>
      </c>
      <c r="B16" s="15" t="s">
        <v>188</v>
      </c>
    </row>
    <row r="17" spans="1:2" x14ac:dyDescent="0.25">
      <c r="A17" s="3" t="s">
        <v>173</v>
      </c>
      <c r="B17" s="15" t="s">
        <v>189</v>
      </c>
    </row>
    <row r="18" spans="1:2" x14ac:dyDescent="0.25">
      <c r="A18" s="3" t="s">
        <v>173</v>
      </c>
      <c r="B18" s="15" t="s">
        <v>190</v>
      </c>
    </row>
    <row r="19" spans="1:2" x14ac:dyDescent="0.25">
      <c r="A19" s="3" t="s">
        <v>173</v>
      </c>
      <c r="B19" s="15" t="s">
        <v>191</v>
      </c>
    </row>
    <row r="20" spans="1:2" x14ac:dyDescent="0.25">
      <c r="A20" s="3" t="s">
        <v>173</v>
      </c>
      <c r="B20" s="15" t="s">
        <v>192</v>
      </c>
    </row>
    <row r="21" spans="1:2" x14ac:dyDescent="0.25">
      <c r="A21" s="3" t="s">
        <v>173</v>
      </c>
      <c r="B21" s="15" t="s">
        <v>193</v>
      </c>
    </row>
    <row r="22" spans="1:2" x14ac:dyDescent="0.25">
      <c r="A22" s="3" t="s">
        <v>173</v>
      </c>
      <c r="B22" s="15" t="s">
        <v>194</v>
      </c>
    </row>
    <row r="23" spans="1:2" x14ac:dyDescent="0.25">
      <c r="A23" s="3" t="s">
        <v>173</v>
      </c>
      <c r="B23" s="15" t="s">
        <v>195</v>
      </c>
    </row>
    <row r="24" spans="1:2" x14ac:dyDescent="0.25">
      <c r="A24" s="3" t="s">
        <v>173</v>
      </c>
      <c r="B24" s="15" t="s">
        <v>196</v>
      </c>
    </row>
    <row r="25" spans="1:2" x14ac:dyDescent="0.25">
      <c r="A25" s="3" t="s">
        <v>173</v>
      </c>
      <c r="B25" s="15" t="s">
        <v>197</v>
      </c>
    </row>
    <row r="26" spans="1:2" x14ac:dyDescent="0.25">
      <c r="A26" s="3" t="s">
        <v>173</v>
      </c>
      <c r="B26" s="15" t="s">
        <v>198</v>
      </c>
    </row>
    <row r="27" spans="1:2" x14ac:dyDescent="0.25">
      <c r="A27" s="3" t="s">
        <v>173</v>
      </c>
      <c r="B27" s="15" t="s">
        <v>199</v>
      </c>
    </row>
    <row r="28" spans="1:2" x14ac:dyDescent="0.25">
      <c r="A28" s="3" t="s">
        <v>173</v>
      </c>
      <c r="B28" s="15" t="s">
        <v>200</v>
      </c>
    </row>
    <row r="29" spans="1:2" x14ac:dyDescent="0.25">
      <c r="A29" s="3" t="s">
        <v>173</v>
      </c>
      <c r="B29" s="15" t="s">
        <v>201</v>
      </c>
    </row>
    <row r="30" spans="1:2" x14ac:dyDescent="0.25">
      <c r="A30" s="3" t="s">
        <v>173</v>
      </c>
      <c r="B30" s="15" t="s">
        <v>202</v>
      </c>
    </row>
    <row r="31" spans="1:2" x14ac:dyDescent="0.25">
      <c r="A31" s="3" t="s">
        <v>173</v>
      </c>
      <c r="B31" s="15" t="s">
        <v>203</v>
      </c>
    </row>
    <row r="32" spans="1:2" x14ac:dyDescent="0.25">
      <c r="B32" s="16"/>
    </row>
    <row r="33" spans="2:2" x14ac:dyDescent="0.25">
      <c r="B33" s="16"/>
    </row>
  </sheetData>
  <autoFilter ref="A1:B31" xr:uid="{C0F47BF3-592F-4913-B88C-4555BA1F28D2}"/>
  <sortState xmlns:xlrd2="http://schemas.microsoft.com/office/spreadsheetml/2017/richdata2" ref="B2:B1048573">
    <sortCondition ref="B2:B1048573"/>
  </sortState>
  <hyperlinks>
    <hyperlink ref="B14" r:id="rId1" xr:uid="{00000000-0004-0000-0900-000000000000}"/>
    <hyperlink ref="B6" r:id="rId2" display="Campbell, H. E., Kurinczuk, J. J., Heazell, A. E. P., Leal, J., &amp; Rivero‐Arias, O. (2018). Healthcare and wider societal implications of stillbirth: a population‐based cost‐of‐illness study. BJOG: An International Journal of Obstetrics &amp; Gynaecology, 125(2), 108-117." xr:uid="{00000000-0004-0000-0900-000001000000}"/>
    <hyperlink ref="B29" r:id="rId3" display="Waitzman, N. J., Jalali, A., &amp; Grosse, S. D. (2021, April). Preterm birth lifetime costs in the United States in 2016: An update. In Seminars in perinatology (Vol. 45, No. 3, p. 151390). WB Saunders." xr:uid="{00000000-0004-0000-0900-000003000000}"/>
    <hyperlink ref="B2" r:id="rId4" xr:uid="{00000000-0004-0000-0900-000004000000}"/>
    <hyperlink ref="B18" r:id="rId5" display="Newnham, J. P., Schilling, C., Petrou, S., Morris, J. M., Wallace, E. M., Brown, K., ... &amp; Doherty, D. A. (2022). The health and educational costs of preterm birth to 18 years of age in Australia. Australian and New Zealand Journal of Obstetrics and Gynaecology, 62(1), 55-61." xr:uid="{00000000-0004-0000-0900-000005000000}"/>
    <hyperlink ref="B26" r:id="rId6" xr:uid="{00000000-0004-0000-0900-000006000000}"/>
    <hyperlink ref="B16" r:id="rId7" xr:uid="{00000000-0004-0000-0900-000007000000}"/>
    <hyperlink ref="B12" r:id="rId8" xr:uid="{00000000-0004-0000-0900-000008000000}"/>
    <hyperlink ref="B10" r:id="rId9" xr:uid="{00000000-0004-0000-0900-00000A000000}"/>
    <hyperlink ref="B5" r:id="rId10" display="Boodman, C., Bullard, J., Stein, D. R., Lee, S., Poliquin, V., &amp; Van Caeseele, P. (2023). Expanded prenatal syphilis screening in Manitoba, Canada: a direct short-term cost-avoidance analysis in an outbreak context. Canadian Journal of Public Health, 114(2), 287-294." xr:uid="{00000000-0004-0000-0900-00000B000000}"/>
    <hyperlink ref="B27" r:id="rId11" display="Umapathi, K. K., Thavamani, A., &amp; Chotikanatis, K. (2019). Incidence trends, risk factors, mortality and healthcare utilization in congenital syphilis-related hospitalizations in the United States: a nationwide population analysis. The Pediatric Infectious Disease Journal, 38(11), 1126-1130." xr:uid="{00000000-0004-0000-0900-00000C000000}"/>
    <hyperlink ref="B4" r:id="rId12" xr:uid="{00000000-0004-0000-0900-00000D000000}"/>
    <hyperlink ref="B15" r:id="rId13" xr:uid="{00000000-0004-0000-0900-00000F000000}"/>
    <hyperlink ref="B31" r:id="rId14" xr:uid="{00000000-0004-0000-0900-000010000000}"/>
    <hyperlink ref="B7" r:id="rId15" xr:uid="{00000000-0004-0000-0900-000011000000}"/>
    <hyperlink ref="B8" r:id="rId16" xr:uid="{00000000-0004-0000-0900-000012000000}"/>
    <hyperlink ref="B3" r:id="rId17" xr:uid="{00000000-0004-0000-0900-000013000000}"/>
    <hyperlink ref="B9" r:id="rId18" xr:uid="{00000000-0004-0000-0900-000014000000}"/>
    <hyperlink ref="B11" r:id="rId19" display="Hoving, M. A., Evers, S. M. A. A., Ament, A. J. H. A., Van Raak, E. P. M., Vles, J. S. H., &amp; Dutch Study Group on Child Spasticity. (2008). Intrathecal baclofen therapy in children with intractable spastic cerebral palsy: a cost‐effectiveness analysis. Developmental Medicine &amp; Child Neurology, 50(6), 450-455." xr:uid="{00000000-0004-0000-0900-000015000000}"/>
    <hyperlink ref="B13" r:id="rId20" xr:uid="{00000000-0004-0000-0900-000016000000}"/>
    <hyperlink ref="B19" r:id="rId21" display="Ngabonzima, A., Asingizwe, D., Cechetto, D., Mukunde, G., Nyalihama, A., Gakwerere, M., &amp; Epstein, D. M. (2022). Evaluating the medical direct costs associated with prematurity during the initial hospitalization in Rwanda: a prevalence based cost of illness study. BMC Health Services Research, 22(1), 1-11." xr:uid="{00000000-0004-0000-0900-000017000000}"/>
    <hyperlink ref="B20" r:id="rId22" xr:uid="{00000000-0004-0000-0900-000018000000}"/>
    <hyperlink ref="B21" r:id="rId23" xr:uid="{00000000-0004-0000-0900-000019000000}"/>
    <hyperlink ref="B22" r:id="rId24" display="Paintain, L., Hill, J., Ahmed, R., Landuwulang, C. U. R., Ansariadi, A., Poespoprodjo, J. R., ... &amp; Webster, J. (2020). Cost-effectiveness of intermittent preventive treatment with dihydroartemisinin-piperaquine versus single screening and treatment for the control of malaria in pregnancy in Papua, Indonesia: a provider perspective analysis from a cluster-randomised trial. The Lancet Global Health, 8(12), e1524-e1533." xr:uid="{00000000-0004-0000-0900-00001A000000}"/>
    <hyperlink ref="B23" r:id="rId25" xr:uid="{00000000-0004-0000-0900-00001B000000}"/>
    <hyperlink ref="B24" r:id="rId26" xr:uid="{00000000-0004-0000-0900-00001C000000}"/>
    <hyperlink ref="B25" r:id="rId27" xr:uid="{00000000-0004-0000-0900-00001D000000}"/>
    <hyperlink ref="B30" r:id="rId28" display="Wikström, T., Kuusela, P., Jacobsson, B., Hagberg, H., Lindgren, P., Svensson, M., ... &amp; Valentin, L. (2022). Cost‐effectiveness of cervical length screening and progesterone treatment to prevent spontaneous preterm delivery in Sweden. Ultrasound in Obstetrics &amp; Gynecology, 59(6), 778-792." xr:uid="{00000000-0004-0000-0900-00001E000000}"/>
    <hyperlink ref="B28" r:id="rId29" xr:uid="{00000000-0004-0000-0900-00001F000000}"/>
    <hyperlink ref="B17" r:id="rId30" xr:uid="{00000000-0004-0000-0900-000020000000}"/>
  </hyperlinks>
  <pageMargins left="0.7" right="0.7" top="0.75" bottom="0.75" header="0.3" footer="0.3"/>
  <pageSetup orientation="portrait"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README</vt:lpstr>
      <vt:lpstr>GROSS ACUTE DIRECT COSTS</vt:lpstr>
      <vt:lpstr>pcgdp_2019USD</vt:lpstr>
      <vt:lpstr>REFERENCES</vt:lpstr>
      <vt:lpstr>'GROSS ACUTE DIRECT COSTS'!Print_Area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Daria Burnes</dc:creator>
  <cp:keywords/>
  <dc:description/>
  <cp:lastModifiedBy>Daria Burnes</cp:lastModifiedBy>
  <cp:revision/>
  <dcterms:created xsi:type="dcterms:W3CDTF">2023-06-23T14:37:53Z</dcterms:created>
  <dcterms:modified xsi:type="dcterms:W3CDTF">2024-10-10T02:46:55Z</dcterms:modified>
  <cp:category/>
  <cp:contentStatus/>
</cp:coreProperties>
</file>