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DFD-LIFESCIENCES\OPEN PHILANTHROPY SYPHILIS\DATA PRODUCTION\RAW DATA\DIRECT COSTS\"/>
    </mc:Choice>
  </mc:AlternateContent>
  <xr:revisionPtr revIDLastSave="0" documentId="13_ncr:1_{1F25CE97-2653-45AC-A00F-FD15A6FF961B}" xr6:coauthVersionLast="47" xr6:coauthVersionMax="47" xr10:uidLastSave="{00000000-0000-0000-0000-000000000000}"/>
  <bookViews>
    <workbookView xWindow="23880" yWindow="-120" windowWidth="29040" windowHeight="15840" xr2:uid="{00000000-000D-0000-FFFF-FFFF00000000}"/>
  </bookViews>
  <sheets>
    <sheet name="README" sheetId="6" r:id="rId1"/>
    <sheet name="POST-ACUTE COSTS" sheetId="13" r:id="rId2"/>
    <sheet name="WHO hearing loss Tables 5&amp;6" sheetId="26" r:id="rId3"/>
    <sheet name="work-&gt;" sheetId="20" r:id="rId4"/>
    <sheet name="Newnham Table A3" sheetId="24" r:id="rId5"/>
    <sheet name="Newnham Table A4" sheetId="25" r:id="rId6"/>
    <sheet name="pcgdp_2019USD" sheetId="14" r:id="rId7"/>
    <sheet name="REFERENCES" sheetId="3" r:id="rId8"/>
  </sheets>
  <definedNames>
    <definedName name="_xlnm._FilterDatabase" localSheetId="4" hidden="1">'Newnham Table A3'!$A$1:$G$52</definedName>
    <definedName name="_xlnm._FilterDatabase" localSheetId="1" hidden="1">'POST-ACUTE COSTS'!$A$2:$S$77</definedName>
    <definedName name="_xlnm._FilterDatabase" localSheetId="7" hidden="1">REFERENCES!$A$1:$B$31</definedName>
    <definedName name="_xlnm._FilterDatabase" localSheetId="2" hidden="1">'WHO hearing loss Tables 5&amp;6'!$A$1:$P$1</definedName>
    <definedName name="_xlnm.Print_Area" localSheetId="1">'POST-ACUTE COSTS'!$D$1:$L$77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1" i="13" l="1"/>
  <c r="F55" i="13"/>
  <c r="F56" i="13"/>
  <c r="F57" i="13"/>
  <c r="F58" i="13"/>
  <c r="H58" i="13"/>
  <c r="F59" i="13"/>
  <c r="F39" i="13"/>
  <c r="F40" i="13"/>
  <c r="F41" i="13"/>
  <c r="F42" i="13"/>
  <c r="F43" i="13"/>
  <c r="F44" i="13"/>
  <c r="F45" i="13"/>
  <c r="F46" i="13"/>
  <c r="F47" i="13"/>
  <c r="H47" i="13"/>
  <c r="S47" i="13"/>
  <c r="F48" i="13"/>
  <c r="H48" i="13"/>
  <c r="S48" i="13"/>
  <c r="F49" i="13"/>
  <c r="H49" i="13"/>
  <c r="S49" i="13"/>
  <c r="F50" i="13"/>
  <c r="H50" i="13"/>
  <c r="F34" i="13"/>
  <c r="F28" i="13"/>
  <c r="H28" i="13"/>
  <c r="R28" i="13"/>
  <c r="F29" i="13"/>
  <c r="H29" i="13"/>
  <c r="R29" i="13"/>
  <c r="S28" i="13" s="1"/>
  <c r="S29" i="13"/>
  <c r="F30" i="13"/>
  <c r="H30" i="13"/>
  <c r="F9" i="13"/>
  <c r="H9" i="13"/>
  <c r="F10" i="13"/>
  <c r="F11" i="13"/>
  <c r="F12" i="13"/>
  <c r="F13" i="13"/>
  <c r="F14" i="13"/>
  <c r="F3" i="13"/>
  <c r="H3" i="13"/>
  <c r="F4" i="13"/>
  <c r="F5" i="13"/>
  <c r="H5" i="13"/>
  <c r="F6" i="13"/>
  <c r="F7" i="13"/>
  <c r="H7" i="13"/>
  <c r="J65" i="13" l="1"/>
  <c r="G24" i="26"/>
  <c r="G25" i="26"/>
  <c r="G26" i="26"/>
  <c r="G27" i="26"/>
  <c r="G28" i="26"/>
  <c r="G29" i="26"/>
  <c r="G18" i="26"/>
  <c r="G15" i="26"/>
  <c r="G13" i="26"/>
  <c r="G11" i="26"/>
  <c r="I3" i="26"/>
  <c r="I4" i="26"/>
  <c r="I5" i="26"/>
  <c r="I6" i="26"/>
  <c r="I7" i="26"/>
  <c r="I8" i="26"/>
  <c r="I9" i="26"/>
  <c r="I2" i="26"/>
  <c r="G3" i="26"/>
  <c r="G4" i="26"/>
  <c r="G5" i="26"/>
  <c r="G6" i="26"/>
  <c r="G7" i="26"/>
  <c r="G8" i="26"/>
  <c r="G9" i="26"/>
  <c r="G10" i="26"/>
  <c r="G12" i="26"/>
  <c r="G14" i="26"/>
  <c r="G16" i="26"/>
  <c r="G17" i="26"/>
  <c r="G19" i="26"/>
  <c r="G20" i="26"/>
  <c r="G21" i="26"/>
  <c r="G22" i="26"/>
  <c r="G23" i="26"/>
  <c r="G2" i="26"/>
  <c r="I76" i="13"/>
  <c r="B34" i="25"/>
  <c r="B31" i="25"/>
  <c r="C52" i="24"/>
  <c r="C51" i="24"/>
  <c r="C50" i="24"/>
  <c r="C49" i="24"/>
  <c r="J64" i="13"/>
  <c r="J63" i="13"/>
  <c r="J62" i="13"/>
  <c r="I66" i="13"/>
  <c r="I64" i="13"/>
  <c r="I63" i="13"/>
  <c r="I62" i="13"/>
  <c r="I77" i="13"/>
  <c r="H64" i="13" l="1"/>
  <c r="H63" i="13"/>
  <c r="H62" i="13"/>
  <c r="F8" i="13"/>
  <c r="F15" i="13"/>
  <c r="F16" i="13"/>
  <c r="F17" i="13"/>
  <c r="F18" i="13"/>
  <c r="F19" i="13"/>
  <c r="F20" i="13"/>
  <c r="F21" i="13"/>
  <c r="F22" i="13"/>
  <c r="F23" i="13"/>
  <c r="F24" i="13"/>
  <c r="F25" i="13"/>
  <c r="F26" i="13"/>
  <c r="F27" i="13"/>
  <c r="F31" i="13"/>
  <c r="F32" i="13"/>
  <c r="F33" i="13"/>
  <c r="F35" i="13"/>
  <c r="F36" i="13"/>
  <c r="F37" i="13"/>
  <c r="F38" i="13"/>
  <c r="F51" i="13"/>
  <c r="F52" i="13"/>
  <c r="F53" i="13"/>
  <c r="F54" i="13"/>
  <c r="F60" i="13"/>
  <c r="F69" i="13"/>
  <c r="F70" i="13"/>
  <c r="F71" i="13"/>
  <c r="F72" i="13"/>
  <c r="F73" i="13"/>
  <c r="F74" i="13"/>
  <c r="F75" i="13"/>
  <c r="F76" i="13"/>
  <c r="F77" i="13"/>
  <c r="I75" i="13"/>
  <c r="I72" i="13"/>
  <c r="I60" i="13"/>
  <c r="I53" i="13"/>
  <c r="I52" i="13"/>
  <c r="I51" i="13"/>
  <c r="I38" i="13"/>
  <c r="I37" i="13"/>
  <c r="I36" i="13"/>
  <c r="I26" i="13"/>
  <c r="I25" i="13"/>
  <c r="I24" i="13"/>
  <c r="I23" i="13"/>
  <c r="I22" i="13"/>
  <c r="I21" i="13"/>
  <c r="I20" i="13"/>
  <c r="I19" i="13"/>
  <c r="I18" i="13"/>
  <c r="I17" i="13"/>
  <c r="I16" i="13"/>
  <c r="I15" i="13"/>
  <c r="I8" i="13"/>
  <c r="I65" i="13" l="1"/>
  <c r="H66" i="13"/>
  <c r="I54" i="13"/>
</calcChain>
</file>

<file path=xl/sharedStrings.xml><?xml version="1.0" encoding="utf-8"?>
<sst xmlns="http://schemas.openxmlformats.org/spreadsheetml/2006/main" count="1251" uniqueCount="432">
  <si>
    <t>Acute costs</t>
  </si>
  <si>
    <t>Post acute costs</t>
  </si>
  <si>
    <t>Health state</t>
  </si>
  <si>
    <t>Source</t>
  </si>
  <si>
    <t>Country</t>
  </si>
  <si>
    <t>Currency</t>
  </si>
  <si>
    <t>Costs covered/perspective</t>
  </si>
  <si>
    <t>Notes</t>
  </si>
  <si>
    <t>probability or counts</t>
  </si>
  <si>
    <t>weight</t>
  </si>
  <si>
    <t>Owusu-Edusei et al 2014</t>
  </si>
  <si>
    <t>China</t>
  </si>
  <si>
    <t>2010 USD</t>
  </si>
  <si>
    <t>Incremental</t>
  </si>
  <si>
    <t>Rydzak and Goldie 2008</t>
  </si>
  <si>
    <t>South Africa</t>
  </si>
  <si>
    <t>2004 USD</t>
  </si>
  <si>
    <t>UK</t>
  </si>
  <si>
    <t>US</t>
  </si>
  <si>
    <t>England and Wales</t>
  </si>
  <si>
    <t>LBW/preterm</t>
  </si>
  <si>
    <t>Hong et al 2010</t>
  </si>
  <si>
    <t>2005 USD</t>
  </si>
  <si>
    <t>Institutional and private</t>
  </si>
  <si>
    <t xml:space="preserve">Table 3. Removed from total cost of LBW (5,135.06) the proportion of total costs that was attributed to missed working time (7.53%) and traffic &amp; nutrition (29.47%). These costs are from the city of Shenzhen, which is a relatively high-income area of China. We will take account of the lack of representation of Shenzhen with respect to China as a whole in our extrapolations. </t>
  </si>
  <si>
    <t>Huntington et al 2020</t>
  </si>
  <si>
    <t>2018 GBP</t>
  </si>
  <si>
    <t>Table 1. Total for preterm delivery (7100.37) minus term delivery (2034.62)</t>
  </si>
  <si>
    <t>Mangham et al 2009</t>
  </si>
  <si>
    <t>2006 GBP</t>
  </si>
  <si>
    <t>UK healthcare system costs</t>
  </si>
  <si>
    <t>Table 4: Incremental cost per all preterm birth of delivery (322) plus neonatal care per all preterm births (21,066)</t>
  </si>
  <si>
    <t>Discharge from initial hosplitalization through age 18</t>
  </si>
  <si>
    <t>Hospitalization costs for treatment of LBW from Malan (1992)</t>
  </si>
  <si>
    <t>Table 2. Cost of LBW infant (1,214.63) minus delivery of healthy uninfected infant (58.43).</t>
  </si>
  <si>
    <t>Paintain et al 2020</t>
  </si>
  <si>
    <t>Indonesia</t>
  </si>
  <si>
    <t>2016 USD</t>
  </si>
  <si>
    <t>Health provider perspective</t>
  </si>
  <si>
    <t xml:space="preserve">Table 2. Health provider mean cost per LBW. Table S1 provides the derivation, which is based on "Additional days in hospital for LBW compared to NBW," from Ahmed et al. (2019). </t>
  </si>
  <si>
    <t xml:space="preserve">Hospital maternal delivery costs services through discharge after delivery. Does not include initial hospitalization costs of the infant. The latter costs are included in the costs for the first birth year.
</t>
  </si>
  <si>
    <t xml:space="preserve">Table 12-1: Excess maternal delivery cost per case. </t>
  </si>
  <si>
    <t>IOM 2007</t>
  </si>
  <si>
    <t>Page 12: Incremental maternal delivery cost for &lt;28 weeks of gestation</t>
  </si>
  <si>
    <t>Page 12: Incremental maternal delivery cost for 28-31 weeks of gestation</t>
  </si>
  <si>
    <t>Page 12: Incremental maternal delivery cost for 32-36 weeks of gestation</t>
  </si>
  <si>
    <t>birth year</t>
  </si>
  <si>
    <t>Inpatient (including initial deliver) and outpatient medical costs</t>
  </si>
  <si>
    <t xml:space="preserve">Table 12-5: Average annual cost per case &lt;28 weeks gestation 190,476 - term gestation 3,325. </t>
  </si>
  <si>
    <t>Table 12-5: Average annual cost per case 28-31 weeks gestation 94,785 - term gestation 3,325</t>
  </si>
  <si>
    <t>Table 12-5: Average annual cost per case 32-36 weeks gestation 13,621 - term gestation 3,325</t>
  </si>
  <si>
    <t>year 2</t>
  </si>
  <si>
    <t>Table 12-5: Average annual cost per case &lt;28 weeks gestation 12,172 - term gestation 1,328.</t>
  </si>
  <si>
    <t>Table 12-5: Average annual cost per case 28-31 weeks gestation 7,715 - term gestation 1,328.</t>
  </si>
  <si>
    <t>Table 12-5: Average annual cost per case 32-36 weeks gestation 1,736 - term gestation 1,328.</t>
  </si>
  <si>
    <t>year 3-4</t>
  </si>
  <si>
    <t>Table 12-5: Average annual cost per case &lt;28 weeks gestation 4,944 - term gestation 661</t>
  </si>
  <si>
    <t>Table 12-5: Average annual cost per case 28-31 weeks gestation 2,534 - term gestation 661</t>
  </si>
  <si>
    <t>Table 12-5: Average annual cost per case 32-36 weeks gestation 814 - term gestation 661</t>
  </si>
  <si>
    <t>year 5-7</t>
  </si>
  <si>
    <t>Table 12-5: Average annual cost per case &lt;28 weeks gestation 1,119 - term gestation 471</t>
  </si>
  <si>
    <t>Table 12-5: Average annual cost per case 28-31 weeks gestation 490 - term gestation 471</t>
  </si>
  <si>
    <t>Table 12-5: Average annual cost per case 32-36 weeks gestation 643 - term gestation 471</t>
  </si>
  <si>
    <t>lifetime</t>
  </si>
  <si>
    <t>Medical costs sourced from health plans, including initial hospitalization costs. OOPs not included.</t>
  </si>
  <si>
    <t>Wikstrom et al 2022</t>
  </si>
  <si>
    <t>Sweden</t>
  </si>
  <si>
    <t>2021 USD</t>
  </si>
  <si>
    <t>Hospital costs for delivery and postpartum ward care of mother and child</t>
  </si>
  <si>
    <t>Table 4: delivery cost for &lt;33 weeks gestation (6431) minus delivery cost of &gt;=37 weeks gestation (4289)</t>
  </si>
  <si>
    <t>Table 4: delivery cost for 33-36 weeks gestation (5222) minus delivery cost of &gt;=37 weeks gestation (4289)</t>
  </si>
  <si>
    <t xml:space="preserve">Probability-weighted average using the probabilities in Table 2, rescaled to sum to one across all categories of preterm birth. </t>
  </si>
  <si>
    <t>Waitzman et al 2021</t>
  </si>
  <si>
    <t>Inpatient maternal delivery services through initial discharge after delivery. Does not include initial hospitalization costs of infant.</t>
  </si>
  <si>
    <t>Table 1: Maternal delivery care costs for preterm birth</t>
  </si>
  <si>
    <t>Medical care costs of affected child, including initial hospitalization costs. OOPs not included.</t>
  </si>
  <si>
    <t>Table 1: Total lifetime medical care costs per preterm birth relative to term birth</t>
  </si>
  <si>
    <t>Table 2:Total lifetime incremental medical costs for &lt; 28 wks gestational age, 344,355 * 82% medical (82% includes inpatient maternal delivery costs)</t>
  </si>
  <si>
    <t>Table 2: Total lifetime incremental medical costs for 28 - 31 wks gestational age, 186,731 * 79% medical (79% includes inpatient maternal delivery costs)</t>
  </si>
  <si>
    <t>Table 2: Total lifetime incremental medical costs for 32 - 36 wks gestational age, 28,367 * 67% medical (67% includes inpatient maternal delivery costs)</t>
  </si>
  <si>
    <t>Ahmadzadeh et al 2017</t>
  </si>
  <si>
    <t>Iran</t>
  </si>
  <si>
    <t>2014 USD</t>
  </si>
  <si>
    <t>Not incremental</t>
  </si>
  <si>
    <t>Table 6: Mean medical cost in public hospitals &lt;28 wks gestation</t>
  </si>
  <si>
    <t>Table 6: Mean medical cost in public hospitals 28-32 wks gestation</t>
  </si>
  <si>
    <t>Table 6: Mean medical cost in public hospitals 32-37 wks gestation</t>
  </si>
  <si>
    <t>Table 6: Mean medical cost in private hospitals &lt;28 wks gestation</t>
  </si>
  <si>
    <t>Table 6: Mean medical cost in private hospitals 28-32 wks gestation</t>
  </si>
  <si>
    <t>Table 6: Mean medical cost in private hospitals 32-37 wks gestation</t>
  </si>
  <si>
    <t>Table 5: Mean medical cost per neonate in public hospitals</t>
  </si>
  <si>
    <t>Table 5: Mean medical cost per neonate in private hospital</t>
  </si>
  <si>
    <t>Newnham et al 2021</t>
  </si>
  <si>
    <t>Australia</t>
  </si>
  <si>
    <t>2018 AUD</t>
  </si>
  <si>
    <t>Table 1: incremental cost of preterm birth for extremely preterm: birth (-860) + neonatal admissions (146,469)</t>
  </si>
  <si>
    <t>Table 1: incremental cost of preterm birth for moderately preterm:  birth (3,657) + neonatal admissions (60,876)</t>
  </si>
  <si>
    <t>Table 1: incremental cost of preterm birth for late preterm:  birth (995) + neonatal admissions (15,927)</t>
  </si>
  <si>
    <t>Probability-weighted average using the proportions of births across all categories of preterm births in Appendix Table A2</t>
  </si>
  <si>
    <t>ages 1-18</t>
  </si>
  <si>
    <t>Primary and secondary medical care</t>
  </si>
  <si>
    <t>de Melo et al 2022</t>
  </si>
  <si>
    <t>Brazil</t>
  </si>
  <si>
    <t>2018 BRL</t>
  </si>
  <si>
    <t>Direct medical costs: hospital and professional services (consultation, treatment) of newborns</t>
  </si>
  <si>
    <t>Probability-weighted average using the percentages in Table 1: extremely preterm (0.027), moderate preterm (0.524), late preterm (0.449)</t>
  </si>
  <si>
    <t>Sicuri et al 2011</t>
  </si>
  <si>
    <t>Mozambique</t>
  </si>
  <si>
    <t>2007 USD</t>
  </si>
  <si>
    <t>The study implies that the incremental hospital delivery costs of a LBW infant is zero.</t>
  </si>
  <si>
    <t>Page 2: The only two sources of incremental costs identified in the first year of life are: (1) costs of routine health care after delivery, and (2) costs for excess morbidity (hospital admissions after delivery).</t>
  </si>
  <si>
    <t>first year of life</t>
  </si>
  <si>
    <t>Healthcare costs (inpatient and outpatient) after delivery in the first year of life</t>
  </si>
  <si>
    <t>Table 4: Sum of admissions after delivery at disrict hospital (4,145.43), admissions to referral hospital (29,937.60), all cause admissions during first year of life (11,612.16), and routine health visits (49.71) divided by 120 LWB infants (page 5)</t>
  </si>
  <si>
    <t>Ngabonzima et al  2022</t>
  </si>
  <si>
    <t>Rwanda</t>
  </si>
  <si>
    <t>Table 2: Mean direct medical cost of premature infant (US$)</t>
  </si>
  <si>
    <t>neonatal death</t>
  </si>
  <si>
    <t>live born with clinical CS</t>
  </si>
  <si>
    <t>Canada</t>
  </si>
  <si>
    <t>Long-term sequelae:</t>
  </si>
  <si>
    <t>Late symptomatic congenital syphilis, neurosyphilis: cerebral palsy (CP) proxy disease</t>
  </si>
  <si>
    <t>cerebral palsy</t>
  </si>
  <si>
    <t>Badura et al 2019</t>
  </si>
  <si>
    <t>Nigeria</t>
  </si>
  <si>
    <t>monthly</t>
  </si>
  <si>
    <t>Table 3: Average monthly cost for outpatient health care and physiotherapy for young children with CP (direct cost of medical care)</t>
  </si>
  <si>
    <t>Kruse et al 2009</t>
  </si>
  <si>
    <t>Denmark</t>
  </si>
  <si>
    <t>2000 EUR</t>
  </si>
  <si>
    <t xml:space="preserve">Primary health care, hospitals, and pharmaceuticals </t>
  </si>
  <si>
    <t>Table III: discounted (5%) lifetime health care costs for men with CP. The attributable costs of CP were computed by an individuals with CP. Incremental approach, where the total costs of individuals without CP were deducted from the total costs of</t>
  </si>
  <si>
    <t>Table III: discounted (5%) lifetime health care costs for women with CP. The attributable costs of CP were computed by an individuals with CP. Incremental approach, where the total costs of individuals without CP were deducted from the total costs of</t>
  </si>
  <si>
    <t>Arithmetic mean of male and female costs</t>
  </si>
  <si>
    <t>Hoving et al 2008</t>
  </si>
  <si>
    <t>Netherlands</t>
  </si>
  <si>
    <t>2003 EUR</t>
  </si>
  <si>
    <t>annual</t>
  </si>
  <si>
    <t>Taken from parent survey and validated with institutional data: general practitioner care, outpatient specialist medical care, alternative therapies, emergency department attendances, ambulance transfers, hospitalizations, tests, and prescribed medication</t>
  </si>
  <si>
    <t>Table II: total mean annual health care costs using standard CP treatment</t>
  </si>
  <si>
    <t>Cerebral Palsy Australia 2007</t>
  </si>
  <si>
    <t>2007 AUD</t>
  </si>
  <si>
    <t>Direct health system expenditures. Includes OOPs (see Table 2-4 and 2-5). "… expenditure that is additional to the average expenditure to the general population" (p. 30).</t>
  </si>
  <si>
    <t>CDC 2003</t>
  </si>
  <si>
    <t>2003 USD</t>
  </si>
  <si>
    <t xml:space="preserve">Physician visits, prescription medication, hospital inpatient stays, assistive devices, therapy &amp; rehabilitatoin (ages &lt; 18), and long-term care for ages 18-76, adjusted for age-specific survival. Does not include OOPs. Includes cost of comorbidities (e.g., mental retardation and CP). </t>
  </si>
  <si>
    <t xml:space="preserve">Table: Average total lifetime cost per person for CP = 921,000, of which (1175 M/11470 M) are direct medical costs. </t>
  </si>
  <si>
    <t>CDC 2022</t>
  </si>
  <si>
    <t>2005 medical costs covered by Medicaid for children aged 8 years old</t>
  </si>
  <si>
    <t>Park et al 2011</t>
  </si>
  <si>
    <t>South Korea</t>
  </si>
  <si>
    <t>2008 USD</t>
  </si>
  <si>
    <t>Costs covered by the national health insurance system</t>
  </si>
  <si>
    <t>2015 int$</t>
  </si>
  <si>
    <t>yes</t>
  </si>
  <si>
    <t>France</t>
  </si>
  <si>
    <t>Germany</t>
  </si>
  <si>
    <t>India</t>
  </si>
  <si>
    <t>Japan</t>
  </si>
  <si>
    <t>United Kingdom</t>
  </si>
  <si>
    <t>United States</t>
  </si>
  <si>
    <t>Direct</t>
  </si>
  <si>
    <t>Citation</t>
  </si>
  <si>
    <t>x</t>
  </si>
  <si>
    <t>Ahmadzadeh, N., Rezapour, A., Ghanavatinejad, Z., Nouhi, M., Karimi, S., Saravani, A., ... &amp; Jahangiri, R. (2017). Estimation of economic burden of preterm and premature births in Iran. Medical Journal of the Islamic Republic of Iran, 31, 78.</t>
  </si>
  <si>
    <t>Australia, C. P. (2008). The economic impact of cerebral palsy in Australia in 2007. Access Economics Pty Ltd, 74.</t>
  </si>
  <si>
    <t>Badaru, U. M., Abdulrahman, H., Ahmad, R. Y., Lawal, I. U., &amp; Zakari, M. K. (2019). Analysis of direct monthly cost of outpatient hospital-based care for children with cerebral palsy in Kano, Nigeria. Value in Health Regional Issues, 19, 145-150.</t>
  </si>
  <si>
    <t>Boodman, C., Bullard, J., Stein, D. R., Lee, S., Poliquin, V., &amp; Van Caeseele, P. (2023). Expanded prenatal syphilis screening in Manitoba, Canada: a direct short-term cost-avoidance analysis in an outbreak context. Canadian Journal of Public Health, 114(2), 287-294.</t>
  </si>
  <si>
    <t>Campbell, H. E., Kurinczuk, J. J., Heazell, A. E. P., Leal, J., &amp; Rivero‐Arias, O. (2018). Healthcare and wider societal implications of stillbirth: a population‐based cost‐of‐illness study. BJOG: An International Journal of Obstetrics &amp; Gynaecology, 125(2), 108-117.</t>
  </si>
  <si>
    <t>Centers for Disease Control and Prevention. (2004). Economic Costs Associated with Mental Retardation, Cerebral Palsy, Hearing Loss, and Vision Impairment --- United States, 2003. MMWR. Morbidity and Mortality Weekly Report: 53(03);57-59.</t>
  </si>
  <si>
    <t>Centers for Disease Control and Prevention. (2022). Data &amp; Statistics on Cerebral Palsy. Retrieved from https://www.cdc.gov/ncbddd/cp/data.html</t>
  </si>
  <si>
    <t>de Melo, T. F. M., Carregaro, R. L., Araújo, W. N. D., Silva, E. N. D., &amp; Toledo, A. M. D. (2022). Direct costs of prematurity and factors associated with birth and maternal conditions. Revista de Saúde Pública, 56.</t>
  </si>
  <si>
    <t>Hong, F. C., Liu, J. B., Feng, T. J., Liu, X. L., Pan, P., Zhou, H., ... &amp; Zeegers, M. P. (2010). Congenital syphilis: an economic evaluation of a prevention program in China. Sexually transmitted diseases, 26-31.</t>
  </si>
  <si>
    <t>Hoving, M. A., Evers, S. M. A. A., Ament, A. J. H. A., Van Raak, E. P. M., Vles, J. S. H., &amp; Dutch Study Group on Child Spasticity. (2008). Intrathecal baclofen therapy in children with intractable spastic cerebral palsy: a cost‐effectiveness analysis. Developmental Medicine &amp; Child Neurology, 50(6), 450-455.</t>
  </si>
  <si>
    <t>Huntington, S., Weston, G., Seedat, F., Marshall, J., Bailey, H., Tebruegge, M., ... &amp; Adams, E. (2020). Repeat screening for syphilis in pregnancy as an alternative screening strategy in the UK: a cost-effectiveness analysis. BMJ open, 10(11), e038505.</t>
  </si>
  <si>
    <t>Institute of Medicine (2007). Societal costs of preterm birth. In Preterm birth: causes, consequences, and prevention. National Academies Press (US).</t>
  </si>
  <si>
    <t>Kowlessar, N. M., Jiang, H. J., &amp; Steiner, C. (2013). Hospital stays for newborns, 2011.</t>
  </si>
  <si>
    <t>Kruse, M., Michelsen, S. I., Flachs, E. M., BRØNNUM‐HANSEN, H. E. N. R. I. K., Madsen, M., &amp; Uldall, P. (2009). Lifetime costs of cerebral palsy. Developmental Medicine &amp; Child Neurology, 51(8), 622-628.</t>
  </si>
  <si>
    <t>Mangham, L. J., Petrou, S., Doyle, L. W., Draper, E. S., &amp; Marlow, N. (2009). The cost of preterm birth throughout childhood in England and Wales. Pediatrics, 123(2), e312-e327.</t>
  </si>
  <si>
    <t>Mistry, H., Heazell, A. E., Vincent, O., &amp; Roberts, T. (2013). A structured review and exploration of the healthcare costs associated with stillbirth and a subsequent pregnancy in England and Wales. BMC pregnancy and childbirth, 13, 1-11.</t>
  </si>
  <si>
    <t>Newnham, J. P., Schilling, C., Petrou, S., Morris, J. M., Wallace, E. M., Brown, K., ... &amp; Doherty, D. A. (2022). The health and educational costs of preterm birth to 18 years of age in Australia. Australian and New Zealand Journal of Obstetrics and Gynaecology, 62(1), 55-61.</t>
  </si>
  <si>
    <t>Ngabonzima, A., Asingizwe, D., Cechetto, D., Mukunde, G., Nyalihama, A., Gakwerere, M., &amp; Epstein, D. M. (2022). Evaluating the medical direct costs associated with prematurity during the initial hospitalization in Rwanda: a prevalence based cost of illness study. BMC Health Services Research, 22(1), 1-11.</t>
  </si>
  <si>
    <t>Owusu-Edusei, K., Introcaso, C. E., &amp; Chesson, H. W. (2013). Hospitalization cost of congenital syphilis diagnosis from insurance claims data in the United States. Sexually Transmitted Diseases, 40(3), 226-229.</t>
  </si>
  <si>
    <t>Owusu-Edusei, K., Tao, G., Gift, T. L., Wang, A., Wang, L., Tun, Y., ... &amp; Bulterys, M. (2014). Cost-effectiveness of integrated routine offering of prenatal HIV and syphilis screening in China. Sexually Transmitted Diseases, 41(2), 103-110.</t>
  </si>
  <si>
    <t>Paintain, L., Hill, J., Ahmed, R., Landuwulang, C. U. R., Ansariadi, A., Poespoprodjo, J. R., ... &amp; Webster, J. (2020). Cost-effectiveness of intermittent preventive treatment with dihydroartemisinin-piperaquine versus single screening and treatment for the control of malaria in pregnancy in Papua, Indonesia: a provider perspective analysis from a cluster-randomised trial. The Lancet Global Health, 8(12), e1524-e1533.</t>
  </si>
  <si>
    <t>Park, M. S., Kim, S. J., Chung, C. Y., Kwon, D. G., Choi, I. H., &amp; Lee, K. M. (2011). Prevalence and lifetime healthcare cost of cerebral palsy in South Korea. Health policy, 100(2-3), 234-238.</t>
  </si>
  <si>
    <t>Ribeiro, A. D. D. C., Dan, C. D. S., Santos, A. D. S., Croda, J., &amp; Simionatto, S. (2020). Neurosyphilis in Brazilian newborns: a health problem that could be avoided. Revista do Instituto de Medicina Tropical de São Paulo, 62.</t>
  </si>
  <si>
    <t>Rydzak, C. E., &amp; Goldie, S. J. (2008). Cost-effectiveness of rapid point-of-care prenatal syphilis screening in sub-Saharan Africa. Sexually transmitted diseases, 775-784.</t>
  </si>
  <si>
    <t>Sicuri, E., Bardají, A., Sigauque, B., Maixenchs, M., Nhacolo, A., Nhalungo, D., ... &amp; Menéndez, C. (2011). Costs associated with low birth weight in a rural area of Southern Mozambique. PloS one, 6(12), e28744.</t>
  </si>
  <si>
    <t>Umapathi, K. K., Thavamani, A., &amp; Chotikanatis, K. (2019). Incidence trends, risk factors, mortality and healthcare utilization in congenital syphilis-related hospitalizations in the United States: a nationwide population analysis. The Pediatric Infectious Disease Journal, 38(11), 1126-1130.</t>
  </si>
  <si>
    <t>Veettil, S. K., Kategeaw, W., Hejazi, A. A., Workalemahu, T., Rothwell, E., Silver, R. M., &amp; Chaiyakunapruk, N. (2022). EE487 The Economic Burden Associated with Stillbirth: A Systematic Review. V</t>
  </si>
  <si>
    <t>Waitzman, N. J., Jalali, A., &amp; Grosse, S. D. (2021). Preterm birth lifetime costs in the United States in 2016: An update. In Seminars in perinatology (Vol. 45, No. 3, p. 151390). WB Saunders.</t>
  </si>
  <si>
    <t>Wikström, T., Kuusela, P., Jacobsson, B., Hagberg, H., Lindgren, P., Svensson, M., ... &amp; Valentin, L. (2022). Cost‐effectiveness of cervical length screening and progesterone treatment to prevent spontaneous preterm delivery in Sweden. Ultrasound in Obstetrics &amp; Gynecology, 59(6), 778-792.</t>
  </si>
  <si>
    <t>World Health Organization. (2017). Global costs of unaddressed hearing loss and cost-effectiveness of interventions: a WHO report, 2017. World Health Organization.</t>
  </si>
  <si>
    <t>Perspective</t>
  </si>
  <si>
    <t xml:space="preserve">UK healthcare system perspective. </t>
  </si>
  <si>
    <t>Healthcare system</t>
  </si>
  <si>
    <t>IOM = Institute of Medicine</t>
  </si>
  <si>
    <t>LBW = low birth weight</t>
  </si>
  <si>
    <t>Perinatal:  the time of preganancy up to the first year of life</t>
  </si>
  <si>
    <t>Abbreviations:</t>
  </si>
  <si>
    <t>Definitions</t>
  </si>
  <si>
    <t>Neonatal: first 28 days of life</t>
  </si>
  <si>
    <t>OOP = out-of-pocket</t>
  </si>
  <si>
    <t>exclude</t>
  </si>
  <si>
    <t>Acute: initial hospital stay</t>
  </si>
  <si>
    <t>health system and household</t>
  </si>
  <si>
    <t xml:space="preserve">Healthcare system perspective </t>
  </si>
  <si>
    <t>Still birth</t>
  </si>
  <si>
    <t xml:space="preserve">Table 4: Incremental cost per all preterm birth of delivery (322) </t>
  </si>
  <si>
    <t>Neonate: birth to one month</t>
  </si>
  <si>
    <t>Not Incremental</t>
  </si>
  <si>
    <t>Direct costs for initial hospitalization: Physician visit/consultation, surgery, medicines, diagnostic tests, nursing, emergency, medical devices, accomodations, hospital bed (see Figure 1). Infant cost only.</t>
  </si>
  <si>
    <t>Birth and neonatal admissions including admissions after the initial birth. Infants only.</t>
  </si>
  <si>
    <t>UK healthcare system perspective. Preterm delivery. Infant only.</t>
  </si>
  <si>
    <t>UK healthcare system costs of delivery. Infant only.</t>
  </si>
  <si>
    <t>UK healthcare system costs. Infant only.</t>
  </si>
  <si>
    <t>Hospital costs associated with prematurity during initial hospitalization (see Table 2 for detailed list of costs). Infant only.</t>
  </si>
  <si>
    <t>lookup</t>
  </si>
  <si>
    <t>acute_cost</t>
  </si>
  <si>
    <t>post_acute_cost</t>
  </si>
  <si>
    <t>post_acute_duration</t>
  </si>
  <si>
    <t>Discounted</t>
  </si>
  <si>
    <t>1_Still_birth_China_2010_USD</t>
  </si>
  <si>
    <t>2_Still_birth_SouthAfrica_2004_USD</t>
  </si>
  <si>
    <t>3_Still_birth_UK_2013_GBP</t>
  </si>
  <si>
    <t>4_Still_birth_UK_2013_GBP</t>
  </si>
  <si>
    <t>5_Still_birth_Australia_2018_AUS</t>
  </si>
  <si>
    <t>6_Still_birth_US_2020_USD</t>
  </si>
  <si>
    <t>7_Still_birth_UK_2010_GBP</t>
  </si>
  <si>
    <t>8_Still_birth_UK_2010_GBP</t>
  </si>
  <si>
    <t>1_LBW_preterm_China_2005_USD</t>
  </si>
  <si>
    <t>2_LBW_preterm_China_2010_USD</t>
  </si>
  <si>
    <t>3_LBW_preterm_UK_2018_GBP</t>
  </si>
  <si>
    <t>4_LBW_preterm_UK_2006_GBP</t>
  </si>
  <si>
    <t>5_LBW_preterm_UK_2006_GBP</t>
  </si>
  <si>
    <t>6_LBW_preterm_UK_2006_GBP</t>
  </si>
  <si>
    <t>7_LBW_preterm_SouthAfrica_2004_USD</t>
  </si>
  <si>
    <t>8_LBW_preterm_Indonesia_2016_USD</t>
  </si>
  <si>
    <t>9_LBW_preterm_US_2005_USD</t>
  </si>
  <si>
    <t>10_LBW_preterm_US_2005_USD</t>
  </si>
  <si>
    <t>11_LBW_preterm_US_2005_USD</t>
  </si>
  <si>
    <t>12_LBW_preterm_US_2005_USD</t>
  </si>
  <si>
    <t>13_LBW_preterm_US_2005_USD</t>
  </si>
  <si>
    <t>14_LBW_preterm_US_2005_USD</t>
  </si>
  <si>
    <t>15_LBW_preterm_US_2005_USD</t>
  </si>
  <si>
    <t>16_LBW_preterm_US_2005_USD</t>
  </si>
  <si>
    <t>17_LBW_preterm_US_2005_USD</t>
  </si>
  <si>
    <t>18_LBW_preterm_US_2005_USD</t>
  </si>
  <si>
    <t>19_LBW_preterm_US_2005_USD</t>
  </si>
  <si>
    <t>20_LBW_preterm_US_2005_USD</t>
  </si>
  <si>
    <t>21_LBW_preterm_US_2005_USD</t>
  </si>
  <si>
    <t>22_LBW_preterm_US_2005_USD</t>
  </si>
  <si>
    <t>23_LBW_preterm_US_2005_USD</t>
  </si>
  <si>
    <t>24_LBW_preterm_US_2005_USD</t>
  </si>
  <si>
    <t>25_LBW_preterm_US_2005_USD</t>
  </si>
  <si>
    <t>26_LBW_preterm_Sweden_2021_USD</t>
  </si>
  <si>
    <t>27_LBW_preterm_Sweden_2021_USD</t>
  </si>
  <si>
    <t>28_LBW_preterm_Sweden_2021_USD</t>
  </si>
  <si>
    <t>29_LBW_preterm_Sweden_2021_USD</t>
  </si>
  <si>
    <t>30_LBW_preterm_Sweden_2021_USD</t>
  </si>
  <si>
    <t>31_LBW_preterm_Sweden_2021_USD</t>
  </si>
  <si>
    <t>32_LBW_preterm_Sweden_2021_USD</t>
  </si>
  <si>
    <t>33_LBW_preterm_US_2016_USD</t>
  </si>
  <si>
    <t>34_LBW_preterm_US_2016_USD</t>
  </si>
  <si>
    <t>35_LBW_preterm_US_2016_USD</t>
  </si>
  <si>
    <t>36_LBW_preterm_US_2016_USD</t>
  </si>
  <si>
    <t>37_LBW_preterm_US_2016_USD</t>
  </si>
  <si>
    <t>38_LBW_preterm_Iran_2014_USD</t>
  </si>
  <si>
    <t>39_LBW_preterm_Iran_2014_USD</t>
  </si>
  <si>
    <t>40_LBW_preterm_Iran_2014_USD</t>
  </si>
  <si>
    <t>41_LBW_preterm_Iran_2014_USD</t>
  </si>
  <si>
    <t>42_LBW_preterm_Iran_2014_USD</t>
  </si>
  <si>
    <t>43_LBW_preterm_Iran_2014_USD</t>
  </si>
  <si>
    <t>44_LBW_preterm_Iran_2014_USD</t>
  </si>
  <si>
    <t>45_LBW_preterm_Iran_2014_USD</t>
  </si>
  <si>
    <t>46_LBW_preterm_Australia_2018_AUD</t>
  </si>
  <si>
    <t>47_LBW_preterm_Australia_2018_AUD</t>
  </si>
  <si>
    <t>48_LBW_preterm_Australia_2018_AUD</t>
  </si>
  <si>
    <t>49_LBW_preterm_Australia_2018_AUD</t>
  </si>
  <si>
    <t>50_LBW_preterm_Australia_2018_AUD</t>
  </si>
  <si>
    <t>51_LBW_preterm_Australia_2018_AUD</t>
  </si>
  <si>
    <t>52_LBW_preterm_Australia_2018_AUD</t>
  </si>
  <si>
    <t>53_LBW_preterm_Australia_2018_AUD</t>
  </si>
  <si>
    <t>54_LBW_preterm_Brazil_2018_BRL</t>
  </si>
  <si>
    <t>55_LBW_preterm_Brazil_2018_BRL</t>
  </si>
  <si>
    <t>56_LBW_preterm_Brazil_2018_BRL</t>
  </si>
  <si>
    <t>57_LBW_preterm_Brazil_2018_BRL</t>
  </si>
  <si>
    <t>58_LBW_preterm_Mozambique_2007_USD</t>
  </si>
  <si>
    <t>59_LBW_preterm_Mozambique_2007_USD</t>
  </si>
  <si>
    <t>60_LBW_preterm_Rwanda_2021_USD</t>
  </si>
  <si>
    <t>1_neonatal_death_China_2005_USD</t>
  </si>
  <si>
    <t>2_neonatal_death_China_2010_USD</t>
  </si>
  <si>
    <t>3_neonatal_death_UK_2018_GBP</t>
  </si>
  <si>
    <t>4_neonatal_death_SouthAfrica_2004_USD</t>
  </si>
  <si>
    <t>5_neonatal_death_US_2011_USD</t>
  </si>
  <si>
    <t>6_neonatal_death_Indonesia_2016_USD</t>
  </si>
  <si>
    <t>1_clinical_CS_US_2009_USD</t>
  </si>
  <si>
    <t>2_clinical_CS_China_2005_USD</t>
  </si>
  <si>
    <t>3_clinical_CS_China_2010_USD</t>
  </si>
  <si>
    <t>4_clinical_CS_SouthAfrica_2004_USD</t>
  </si>
  <si>
    <t>5_clinical_CS_UK_2018_GBP</t>
  </si>
  <si>
    <t>6_clinical_CS_Canada_2021_CAD</t>
  </si>
  <si>
    <t>7_clinical_CS_Brazil_2018_USD</t>
  </si>
  <si>
    <t>8_clinical_CS_US_2019_USD</t>
  </si>
  <si>
    <t>1_cerebral_palsy_Nigeria_2016_USD</t>
  </si>
  <si>
    <t>2_cerebral_palsy_Denmark_2000_EUR</t>
  </si>
  <si>
    <t>3_cerebral_palsy_Denmark_2000_EUR</t>
  </si>
  <si>
    <t>4_cerebral_palsy_Denmark_2000_EUR</t>
  </si>
  <si>
    <t>5_cerebral_palsy_Netherlands_2003_EUR</t>
  </si>
  <si>
    <t>6_cerebral_palsy_Australia_2007_AUD</t>
  </si>
  <si>
    <t>7_cerebral_palsy_US_2003_USD</t>
  </si>
  <si>
    <t>8_cerebral_palsy_US_2005_USD</t>
  </si>
  <si>
    <t>9_cerebral_palsy_SouthKorea_2008_USD</t>
  </si>
  <si>
    <t>country</t>
  </si>
  <si>
    <t>pcgdp_2019USD</t>
  </si>
  <si>
    <t>healthstate</t>
  </si>
  <si>
    <t>PCGDP 2019 USD</t>
  </si>
  <si>
    <t>Infancy: from age 0-1 year</t>
  </si>
  <si>
    <t xml:space="preserve">Average annual inpatient costs. Includes physician fees. </t>
  </si>
  <si>
    <t>61_LBW_preterm_US_2005_USD</t>
  </si>
  <si>
    <t>62_LBW_preterm_US_2005_USD</t>
  </si>
  <si>
    <t>63_LBW_preterm_US_2005_USD</t>
  </si>
  <si>
    <t>64_LBW_preterm_US_2005_USD</t>
  </si>
  <si>
    <t xml:space="preserve">Table 1: Cost of APOs-LBW, which is 0.25 times the inflation-adjusted cost in Hong 2010 to match a more low income area. Uses costs from Hong 2010 inflated from 2005 to 2010 USD, and then multiplied by a factor of 0.25 to represent costs that would be incurred in more low-income areas of China. </t>
  </si>
  <si>
    <t>65_LBW_preterm_US_2005_USD</t>
  </si>
  <si>
    <t>Institutional and private (includes personnel)</t>
  </si>
  <si>
    <t>Table 2: Average direct hospital costs of extremely preterm newborns.</t>
  </si>
  <si>
    <t>Table 2: Average direct hospital costs of moderate preterm newborns.</t>
  </si>
  <si>
    <t>Table 2: Average direct hospital costs of late preterm newborns.</t>
  </si>
  <si>
    <t>Mexico</t>
  </si>
  <si>
    <t>Pakistan</t>
  </si>
  <si>
    <t>Russia</t>
  </si>
  <si>
    <t>currency</t>
  </si>
  <si>
    <t>Italy</t>
  </si>
  <si>
    <t>Saudi Arabia</t>
  </si>
  <si>
    <t>Incremental (acute costs)</t>
  </si>
  <si>
    <t>Outpatient health care and physiotherapy for young children with CP (does not include OOPs). Mean age of children is 3.18 years +/1.9 years</t>
  </si>
  <si>
    <t>Tables 5-2: total annual health system cost per person with CP.</t>
  </si>
  <si>
    <t xml:space="preserve">Abstract: "The attributable lifetime medical cost of CP in South Korea was calculated to be 26,383 US dollars, which is 1.8 times the basic lifetime medical cost of the general population (14,579 US dollars)." Cohort of 5-year olds who used medical services between 2004-2008. Lifetime costs are calculated through age 70. </t>
  </si>
  <si>
    <t>control costs</t>
  </si>
  <si>
    <t>control cost description</t>
  </si>
  <si>
    <t>basic lifetime medical cost of the general population</t>
  </si>
  <si>
    <t>Table 4: Incremental inpatient (21,625) + incremental outpatient (553) costs per all preterm birth minus incremental initial hospitalization costs (322)</t>
  </si>
  <si>
    <t>Table 4: annual healthcare cost per individual age 0-19 years</t>
  </si>
  <si>
    <t>Table 4: annual healthcare cost per individual age 20-54 years</t>
  </si>
  <si>
    <t>Table 4: annual healthcare cost per individual &gt;54 years</t>
  </si>
  <si>
    <t>Table 12-5: average medical costs from birth to age 7 for gestational age &lt;28 wks</t>
  </si>
  <si>
    <t>Table 12-5: average medical costs from birth to age 7 for gestational age 28-31 wks</t>
  </si>
  <si>
    <t>Table 12-5: average medical costs from birth to age 7 for gestational age 32-36 wks</t>
  </si>
  <si>
    <t>Table 12-5: average medical costs from birth to age 7 for gestational age 37-40 wks (term)</t>
  </si>
  <si>
    <t xml:space="preserve">full term </t>
  </si>
  <si>
    <t>ages 0-7</t>
  </si>
  <si>
    <t xml:space="preserve">Newborn stage: usually defined as stage from birth to 2 months </t>
  </si>
  <si>
    <t>Table 1: incremental primary care + secondary care for extremely preterm</t>
  </si>
  <si>
    <t>Table 1: incremental primary care + secondary care for moderately preterm</t>
  </si>
  <si>
    <t>Table 1: incremental primary care + secondary care for late preterm</t>
  </si>
  <si>
    <t>Cost description</t>
  </si>
  <si>
    <t>Prematurity</t>
  </si>
  <si>
    <t xml:space="preserve">Mean cost </t>
  </si>
  <si>
    <t>Lower cost</t>
  </si>
  <si>
    <t>Upper cost</t>
  </si>
  <si>
    <t>Labour and Birth</t>
  </si>
  <si>
    <t>Extremely</t>
  </si>
  <si>
    <t xml:space="preserve">National Hospital Cost Data Collection: Financial Year 2015-2016.   </t>
  </si>
  <si>
    <t>Moderately</t>
  </si>
  <si>
    <t>Late</t>
  </si>
  <si>
    <t>Term</t>
  </si>
  <si>
    <t>Neonatal admission</t>
  </si>
  <si>
    <t xml:space="preserve">National Hospital Cost Data Collection: Financial Year 2015-2016.  </t>
  </si>
  <si>
    <t>Emergency perinatal transport</t>
  </si>
  <si>
    <t>All</t>
  </si>
  <si>
    <t>NSW Ambulance Service</t>
  </si>
  <si>
    <t>Hospitalisations (ages 1-5)</t>
  </si>
  <si>
    <r>
      <t xml:space="preserve">Srinivasjois </t>
    </r>
    <r>
      <rPr>
        <i/>
        <sz val="11"/>
        <color rgb="FF000000"/>
        <rFont val="Calibri"/>
        <family val="2"/>
        <scheme val="minor"/>
      </rPr>
      <t>et al.</t>
    </r>
    <r>
      <rPr>
        <sz val="11"/>
        <color rgb="FF000000"/>
        <rFont val="Calibri"/>
        <family val="2"/>
        <scheme val="minor"/>
      </rPr>
      <t xml:space="preserve"> 2015</t>
    </r>
  </si>
  <si>
    <t>Hospitalisations (ages 6-12)</t>
  </si>
  <si>
    <t>Hospitalisations (ages 13-18)</t>
  </si>
  <si>
    <t>MBS (ages 0-4)</t>
  </si>
  <si>
    <r>
      <t xml:space="preserve">Westrupp </t>
    </r>
    <r>
      <rPr>
        <i/>
        <sz val="11"/>
        <color rgb="FF000000"/>
        <rFont val="Calibri"/>
        <family val="2"/>
        <scheme val="minor"/>
      </rPr>
      <t>et al.</t>
    </r>
    <r>
      <rPr>
        <sz val="11"/>
        <color rgb="FF000000"/>
        <rFont val="Calibri"/>
        <family val="2"/>
        <scheme val="minor"/>
      </rPr>
      <t xml:space="preserve"> 2014 </t>
    </r>
  </si>
  <si>
    <t>MBS (ages 5-9)</t>
  </si>
  <si>
    <r>
      <t xml:space="preserve">Westrupp </t>
    </r>
    <r>
      <rPr>
        <i/>
        <sz val="11"/>
        <color rgb="FF000000"/>
        <rFont val="Calibri"/>
        <family val="2"/>
        <scheme val="minor"/>
      </rPr>
      <t>et al.</t>
    </r>
    <r>
      <rPr>
        <sz val="11"/>
        <color rgb="FF000000"/>
        <rFont val="Calibri"/>
        <family val="2"/>
        <scheme val="minor"/>
      </rPr>
      <t xml:space="preserve"> 2014</t>
    </r>
  </si>
  <si>
    <t>PBS (ages 0-4)</t>
  </si>
  <si>
    <t>PBS (ages 5-9)</t>
  </si>
  <si>
    <t>Primary school</t>
  </si>
  <si>
    <t xml:space="preserve">Department of Education, Skills and Employment </t>
  </si>
  <si>
    <t>High school</t>
  </si>
  <si>
    <t>Department of Education, Skills and Employment</t>
  </si>
  <si>
    <t>Stillbirth</t>
  </si>
  <si>
    <t>Australian Government Services</t>
  </si>
  <si>
    <t>Death (excl. stillbirth)</t>
  </si>
  <si>
    <t xml:space="preserve">Moorin and Holman 2008  </t>
  </si>
  <si>
    <t>total post-acute costs</t>
  </si>
  <si>
    <t>Total post-acute costs</t>
  </si>
  <si>
    <t xml:space="preserve">Table A4. Average costs modelled by state ($AUD): delivery costs, neonatal admissions and admission beyond neonatal discharge up to 18 years of age. </t>
  </si>
  <si>
    <t>National</t>
  </si>
  <si>
    <t>Birth cost</t>
  </si>
  <si>
    <t xml:space="preserve"> 20-27</t>
  </si>
  <si>
    <t xml:space="preserve"> 28-31</t>
  </si>
  <si>
    <t xml:space="preserve"> 32-36</t>
  </si>
  <si>
    <t xml:space="preserve"> 37+</t>
  </si>
  <si>
    <t>Hospitalisations 1-5 yrs</t>
  </si>
  <si>
    <t>Hospitalisations 6-12 yrs</t>
  </si>
  <si>
    <t>Hospitalisations 13-18 yrs</t>
  </si>
  <si>
    <t>Cost of death (excl. SB)</t>
  </si>
  <si>
    <t>total costs</t>
  </si>
  <si>
    <t>medical costs of children without cerebral palsy or intellectual disability</t>
  </si>
  <si>
    <t>prevalence</t>
  </si>
  <si>
    <t>cost_A</t>
  </si>
  <si>
    <t>high_income</t>
  </si>
  <si>
    <t>central_eastern_euro_central_asia</t>
  </si>
  <si>
    <t>sub_saharan_africa</t>
  </si>
  <si>
    <t>south_asia</t>
  </si>
  <si>
    <t>asia_pacific</t>
  </si>
  <si>
    <t>LAC</t>
  </si>
  <si>
    <t>east_asia</t>
  </si>
  <si>
    <t>location</t>
  </si>
  <si>
    <t>mid_east_north_africa</t>
  </si>
  <si>
    <t>cost_case_A</t>
  </si>
  <si>
    <t>cost_B</t>
  </si>
  <si>
    <t>cost_case_B</t>
  </si>
  <si>
    <t>age</t>
  </si>
  <si>
    <t>15+</t>
  </si>
  <si>
    <t>0-17</t>
  </si>
  <si>
    <t>Economic Costs: 2005 medical costs for children with CP (16,721); medical costs of children without cerebral palsy or intellectual disability (1,674).</t>
  </si>
  <si>
    <t>Table 12-1: Average lifetime medical care costs per case. "… the estimates provided in this chapter demonstrate that substantial incremental costsassociated with preterm birth extend after the initial hospitalization and among the majority of infants born even just afew weeks preterm."</t>
  </si>
  <si>
    <t>Table 12-5: Probability-weighted average using the percentages from Newnham et al 2021 computed in cells W57:W59</t>
  </si>
  <si>
    <t>Table 1: Probability-weighted average using the proportions of births across all categories of preterm births in Appendix Table A2</t>
  </si>
  <si>
    <t>location_type</t>
  </si>
  <si>
    <t>income group</t>
  </si>
  <si>
    <t xml:space="preserve">region </t>
  </si>
  <si>
    <t xml:space="preserve">country </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</si>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</sst>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rgb="FF000000"/>
      <name val="Calibri"/>
      <family val="2"/>
      <scheme val="minor"/>
    </font>
    <font>
      <sz val="11"/>
      <name val="Calibri"/>
      <family val="2"/>
    </font>
    <font>
      <sz val="8"/>
      <name val="Calibri"/>
      <family val="2"/>
      <scheme val="minor"/>
    </font>
    <font>
      <b/>
      <sz val="11"/>
      <color rgb="FF000000"/>
      <name val="Calibri"/>
      <family val="2"/>
      <scheme val="minor"/>
    </font>
    <font>
      <i/>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3">
    <xf numFmtId="0" fontId="0" fillId="0" borderId="0"/>
    <xf numFmtId="0" fontId="2" fillId="0" borderId="0" applyNumberFormat="0" applyFill="0" applyBorder="0" applyAlignment="0" applyProtection="0"/>
    <xf numFmtId="0" fontId="6" fillId="0" borderId="0"/>
  </cellStyleXfs>
  <cellXfs count="63">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horizontal="right"/>
    </xf>
    <xf numFmtId="0" fontId="0" fillId="0" borderId="0" xfId="0" applyAlignment="1">
      <alignment horizontal="left"/>
    </xf>
    <xf numFmtId="4" fontId="0" fillId="0" borderId="0" xfId="0" applyNumberFormat="1"/>
    <xf numFmtId="0" fontId="0" fillId="0" borderId="0" xfId="0" applyAlignment="1">
      <alignment horizontal="left" vertical="center" wrapText="1"/>
    </xf>
    <xf numFmtId="0" fontId="0" fillId="0" borderId="0" xfId="0" applyAlignment="1">
      <alignment horizontal="left" indent="2"/>
    </xf>
    <xf numFmtId="10" fontId="0" fillId="0" borderId="0" xfId="0" applyNumberFormat="1" applyAlignment="1">
      <alignment horizontal="center"/>
    </xf>
    <xf numFmtId="10" fontId="0" fillId="0" borderId="0" xfId="0" applyNumberFormat="1" applyAlignment="1">
      <alignment horizontal="left" wrapText="1"/>
    </xf>
    <xf numFmtId="0" fontId="0" fillId="0" borderId="0" xfId="0" applyAlignment="1">
      <alignment horizontal="left" wrapText="1"/>
    </xf>
    <xf numFmtId="0" fontId="3" fillId="0" borderId="0" xfId="1" applyFont="1" applyFill="1"/>
    <xf numFmtId="10" fontId="0" fillId="0" borderId="0" xfId="0" applyNumberFormat="1" applyAlignment="1">
      <alignment horizontal="left"/>
    </xf>
    <xf numFmtId="0" fontId="2" fillId="0" borderId="0" xfId="1" applyFill="1"/>
    <xf numFmtId="0" fontId="1" fillId="0" borderId="0" xfId="0" applyFont="1" applyAlignment="1">
      <alignment horizontal="left" wrapText="1"/>
    </xf>
    <xf numFmtId="164" fontId="0" fillId="0" borderId="0" xfId="0" applyNumberFormat="1"/>
    <xf numFmtId="0" fontId="2" fillId="0" borderId="0" xfId="1"/>
    <xf numFmtId="0" fontId="4" fillId="0" borderId="0" xfId="0" applyFont="1"/>
    <xf numFmtId="0" fontId="5" fillId="0" borderId="0" xfId="0" applyFont="1" applyAlignment="1">
      <alignment vertical="center"/>
    </xf>
    <xf numFmtId="1" fontId="6" fillId="0" borderId="0" xfId="2" applyNumberFormat="1"/>
    <xf numFmtId="1" fontId="0" fillId="0" borderId="0" xfId="0" applyNumberFormat="1"/>
    <xf numFmtId="0" fontId="1" fillId="0" borderId="0" xfId="0" applyFont="1" applyAlignment="1">
      <alignment wrapText="1"/>
    </xf>
    <xf numFmtId="0" fontId="0" fillId="0" borderId="1" xfId="0" applyBorder="1" applyAlignment="1">
      <alignment wrapText="1"/>
    </xf>
    <xf numFmtId="0" fontId="0" fillId="0" borderId="1" xfId="0" applyBorder="1"/>
    <xf numFmtId="4" fontId="0" fillId="0" borderId="1" xfId="0" applyNumberFormat="1" applyBorder="1"/>
    <xf numFmtId="0" fontId="0" fillId="0" borderId="1" xfId="0" applyBorder="1" applyAlignment="1">
      <alignment horizontal="center"/>
    </xf>
    <xf numFmtId="0" fontId="0" fillId="0" borderId="1" xfId="0" applyBorder="1" applyAlignment="1">
      <alignment horizontal="right"/>
    </xf>
    <xf numFmtId="0" fontId="0" fillId="0" borderId="1" xfId="0" applyBorder="1" applyAlignment="1">
      <alignment horizontal="left"/>
    </xf>
    <xf numFmtId="10" fontId="0" fillId="0" borderId="1" xfId="0" applyNumberFormat="1" applyBorder="1" applyAlignment="1">
      <alignment horizontal="center"/>
    </xf>
    <xf numFmtId="10" fontId="0" fillId="0" borderId="1" xfId="0" applyNumberFormat="1" applyBorder="1" applyAlignment="1">
      <alignment horizontal="left"/>
    </xf>
    <xf numFmtId="0" fontId="0" fillId="0" borderId="0" xfId="0"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1" fillId="0" borderId="0" xfId="0" applyFont="1" applyAlignment="1">
      <alignment horizontal="left"/>
    </xf>
    <xf numFmtId="4" fontId="0" fillId="2" borderId="0" xfId="0" applyNumberFormat="1" applyFill="1"/>
    <xf numFmtId="3" fontId="0" fillId="0" borderId="0" xfId="0" applyNumberFormat="1"/>
    <xf numFmtId="0" fontId="8" fillId="0" borderId="0" xfId="0" applyFont="1" applyAlignment="1">
      <alignment vertical="center"/>
    </xf>
    <xf numFmtId="3" fontId="5" fillId="0" borderId="0" xfId="0" applyNumberFormat="1" applyFont="1" applyAlignment="1">
      <alignment horizontal="right" vertical="center"/>
    </xf>
    <xf numFmtId="0" fontId="5" fillId="0" borderId="0" xfId="0" applyFont="1" applyAlignment="1">
      <alignment horizontal="right" vertical="center"/>
    </xf>
    <xf numFmtId="0" fontId="0" fillId="0" borderId="0" xfId="0" applyAlignment="1">
      <alignment vertical="center"/>
    </xf>
    <xf numFmtId="0" fontId="1" fillId="0" borderId="0" xfId="0" applyFont="1" applyAlignment="1">
      <alignment horizontal="center" vertical="center" wrapText="1"/>
    </xf>
    <xf numFmtId="0" fontId="5" fillId="0" borderId="0" xfId="0" applyFont="1" applyAlignment="1">
      <alignment horizontal="center" vertical="center" wrapText="1"/>
    </xf>
    <xf numFmtId="3" fontId="5" fillId="0" borderId="0" xfId="0" applyNumberFormat="1"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center" wrapText="1"/>
    </xf>
    <xf numFmtId="0" fontId="3" fillId="0" borderId="0" xfId="0" applyFont="1" applyAlignment="1">
      <alignment horizontal="left" indent="2"/>
    </xf>
    <xf numFmtId="4" fontId="0" fillId="0" borderId="0" xfId="0" applyNumberFormat="1" applyAlignment="1">
      <alignment horizontal="right"/>
    </xf>
    <xf numFmtId="0" fontId="0" fillId="0" borderId="1" xfId="0" applyBorder="1" applyAlignment="1">
      <alignment horizontal="left" indent="2"/>
    </xf>
    <xf numFmtId="0" fontId="0" fillId="0" borderId="1" xfId="0" applyBorder="1" applyAlignment="1">
      <alignment vertical="center" wrapText="1"/>
    </xf>
    <xf numFmtId="0" fontId="0" fillId="2" borderId="0" xfId="0" applyFill="1" applyAlignment="1">
      <alignment horizontal="left"/>
    </xf>
    <xf numFmtId="0" fontId="0" fillId="2" borderId="0" xfId="0" applyFill="1" applyAlignment="1">
      <alignment wrapText="1"/>
    </xf>
    <xf numFmtId="0" fontId="0" fillId="2" borderId="0" xfId="0" applyFill="1"/>
    <xf numFmtId="4" fontId="0" fillId="2" borderId="0" xfId="0" applyNumberFormat="1" applyFill="1" applyAlignment="1">
      <alignment horizontal="center"/>
    </xf>
    <xf numFmtId="0" fontId="0" fillId="2" borderId="1" xfId="0" applyFill="1" applyBorder="1"/>
    <xf numFmtId="4" fontId="0" fillId="2" borderId="1" xfId="0" applyNumberFormat="1" applyFill="1" applyBorder="1"/>
    <xf numFmtId="0" fontId="0" fillId="0" borderId="0" xfId="0" applyAlignment="1">
      <alignment vertical="center" wrapText="1"/>
    </xf>
    <xf numFmtId="0" fontId="0" fillId="0" borderId="0" xfId="0" applyAlignment="1">
      <alignment horizontal="left" vertical="center" wrapText="1"/>
    </xf>
    <xf numFmtId="0" fontId="0" fillId="0" borderId="1" xfId="0" applyBorder="1" applyAlignment="1">
      <alignment vertical="center" wrapText="1"/>
    </xf>
    <xf numFmtId="0" fontId="0" fillId="0" borderId="0" xfId="0" applyAlignment="1">
      <alignment horizontal="left" wrapText="1"/>
    </xf>
    <xf numFmtId="0" fontId="5" fillId="0" borderId="0" xfId="0" applyFont="1" applyAlignment="1">
      <alignment vertical="center"/>
    </xf>
  </cellXfs>
  <cellStyles count="3">
    <cellStyle name="Hyperlink" xfId="1" builtinId="8"/>
    <cellStyle name="Normal" xfId="0" builtinId="0"/>
    <cellStyle name="Normal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C5A50FF6-8F0F-4174-B95A-ADCF120F290F}"/>
</namedSheetView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dc.gov/ncbddd/cp/data.html" TargetMode="External"/><Relationship Id="rId2" Type="http://schemas.openxmlformats.org/officeDocument/2006/relationships/hyperlink" Target="https://www.cdc.gov/mmwr/preview/mmwrhtml/mm5303a4.htm" TargetMode="External"/><Relationship Id="rId1" Type="http://schemas.openxmlformats.org/officeDocument/2006/relationships/hyperlink" Target="https://www.sciencedirect.com/science/article/abs/pii/S016885101000271X?via%3Dihub" TargetMode="External"/><Relationship Id="rId5" Type="http://schemas.microsoft.com/office/2019/04/relationships/namedSheetView" Target="../namedSheetViews/namedSheetView1.xm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hyperlink" Target="http://dx.doi.org/10.1136/bmjopen-2020-038505" TargetMode="External"/><Relationship Id="rId13" Type="http://schemas.openxmlformats.org/officeDocument/2006/relationships/hyperlink" Target="https://doi.org/10.1111/j.1469-8749.2008.03190.x" TargetMode="External"/><Relationship Id="rId18" Type="http://schemas.openxmlformats.org/officeDocument/2006/relationships/hyperlink" Target="https://doi.org/10.11606/s1518-8787.2022056003657" TargetMode="External"/><Relationship Id="rId26" Type="http://schemas.openxmlformats.org/officeDocument/2006/relationships/hyperlink" Target="https://doi.org/10.1590/S1678-9946202062082" TargetMode="External"/><Relationship Id="rId3" Type="http://schemas.openxmlformats.org/officeDocument/2006/relationships/hyperlink" Target="https://doi.org/10.1016/j.semperi.2021.151390" TargetMode="External"/><Relationship Id="rId21" Type="http://schemas.openxmlformats.org/officeDocument/2006/relationships/hyperlink" Target="https://doi.org/10.1186/s12913-022-08283-w" TargetMode="External"/><Relationship Id="rId7" Type="http://schemas.openxmlformats.org/officeDocument/2006/relationships/hyperlink" Target="https://doi.org/10.1542/peds.2008-1827" TargetMode="External"/><Relationship Id="rId12" Type="http://schemas.openxmlformats.org/officeDocument/2006/relationships/hyperlink" Target="https://doi.org/10.1016/j.vhri.2019.07.003" TargetMode="External"/><Relationship Id="rId17" Type="http://schemas.openxmlformats.org/officeDocument/2006/relationships/hyperlink" Target="http://cpaustralia.com.au/media/20379/access_economics_report.pdf" TargetMode="External"/><Relationship Id="rId25" Type="http://schemas.openxmlformats.org/officeDocument/2006/relationships/hyperlink" Target="https://doi.org/10.1016/j.healthpol.2010.09.010" TargetMode="External"/><Relationship Id="rId2" Type="http://schemas.openxmlformats.org/officeDocument/2006/relationships/hyperlink" Target="https://doi.org/10.1111/1471-0528.14972" TargetMode="External"/><Relationship Id="rId16" Type="http://schemas.openxmlformats.org/officeDocument/2006/relationships/hyperlink" Target="https://www.cdc.gov/ncbddd/cp/data.html" TargetMode="External"/><Relationship Id="rId20" Type="http://schemas.openxmlformats.org/officeDocument/2006/relationships/hyperlink" Target="https://www.ncbi.nlm.nih.gov/books/NBK11358/" TargetMode="External"/><Relationship Id="rId29" Type="http://schemas.openxmlformats.org/officeDocument/2006/relationships/hyperlink" Target="https://doi.org/10.1016/j.jval.2022.04.734" TargetMode="External"/><Relationship Id="rId1" Type="http://schemas.openxmlformats.org/officeDocument/2006/relationships/hyperlink" Target="https://europepmc.org/article/NBK/nbk173954" TargetMode="External"/><Relationship Id="rId6" Type="http://schemas.openxmlformats.org/officeDocument/2006/relationships/hyperlink" Target="https://doi.org/10.1371/journal.pone.0028744" TargetMode="External"/><Relationship Id="rId11" Type="http://schemas.openxmlformats.org/officeDocument/2006/relationships/hyperlink" Target="https://doi.org/10.1097/INF.0000000000002445" TargetMode="External"/><Relationship Id="rId24" Type="http://schemas.openxmlformats.org/officeDocument/2006/relationships/hyperlink" Target="https://doi.org/10.1016/S2214-109X(20)30386-7" TargetMode="External"/><Relationship Id="rId5" Type="http://schemas.openxmlformats.org/officeDocument/2006/relationships/hyperlink" Target="https://doi.org/10.1111/ajo.13405" TargetMode="External"/><Relationship Id="rId15" Type="http://schemas.openxmlformats.org/officeDocument/2006/relationships/hyperlink" Target="https://www.cdc.gov/mmwr/preview/mmwrhtml/mm5303a4.htm" TargetMode="External"/><Relationship Id="rId23" Type="http://schemas.openxmlformats.org/officeDocument/2006/relationships/hyperlink" Target="https://www.jstor.org/stable/48511728" TargetMode="External"/><Relationship Id="rId28" Type="http://schemas.openxmlformats.org/officeDocument/2006/relationships/hyperlink" Target="https://doi.org/10.1002/uog.24884" TargetMode="External"/><Relationship Id="rId10" Type="http://schemas.openxmlformats.org/officeDocument/2006/relationships/hyperlink" Target="https://doi.org/10.17269/s41997-022-00682-0" TargetMode="External"/><Relationship Id="rId19" Type="http://schemas.openxmlformats.org/officeDocument/2006/relationships/hyperlink" Target="https://doi.org/10.1111/j.1469-8749.2008.02059.x" TargetMode="External"/><Relationship Id="rId31" Type="http://schemas.openxmlformats.org/officeDocument/2006/relationships/printerSettings" Target="../printerSettings/printerSettings3.bin"/><Relationship Id="rId4" Type="http://schemas.openxmlformats.org/officeDocument/2006/relationships/hyperlink" Target="https://doi.org/10.14196%2Fmjiri.31.78" TargetMode="External"/><Relationship Id="rId9" Type="http://schemas.openxmlformats.org/officeDocument/2006/relationships/hyperlink" Target="https://www.jstor.org/stable/44970010" TargetMode="External"/><Relationship Id="rId14" Type="http://schemas.openxmlformats.org/officeDocument/2006/relationships/hyperlink" Target="https://apps.who.int/iris/bitstream/handle/10665/254659/9789241512046-eng.pdf" TargetMode="External"/><Relationship Id="rId22" Type="http://schemas.openxmlformats.org/officeDocument/2006/relationships/hyperlink" Target="https://www.jstor.org/stable/48512410" TargetMode="External"/><Relationship Id="rId27" Type="http://schemas.openxmlformats.org/officeDocument/2006/relationships/hyperlink" Target="https://www.jstor.org/stable/44969387" TargetMode="External"/><Relationship Id="rId30" Type="http://schemas.openxmlformats.org/officeDocument/2006/relationships/hyperlink" Target="https://doi.org/10.1186/1471-2393-13-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998EA-E1F1-4A0C-A41F-FF44E4A258A2}">
  <dimension ref="A1:A11"/>
  <sheetViews>
    <sheetView tabSelected="1" workbookViewId="0"/>
  </sheetViews>
  <sheetFormatPr defaultRowHeight="15" x14ac:dyDescent="0.25"/>
  <cols>
    <col min="1" max="1" width="173.7109375" style="5" customWidth="1"/>
  </cols>
  <sheetData>
    <row r="1" spans="1:1" x14ac:dyDescent="0.25">
      <c r="A1" s="2" t="s">
        <v>201</v>
      </c>
    </row>
    <row r="2" spans="1:1" x14ac:dyDescent="0.25">
      <c r="A2" t="s">
        <v>199</v>
      </c>
    </row>
    <row r="3" spans="1:1" x14ac:dyDescent="0.25">
      <c r="A3" s="5" t="s">
        <v>318</v>
      </c>
    </row>
    <row r="4" spans="1:1" x14ac:dyDescent="0.25">
      <c r="A4" t="s">
        <v>202</v>
      </c>
    </row>
    <row r="5" spans="1:1" x14ac:dyDescent="0.25">
      <c r="A5" t="s">
        <v>210</v>
      </c>
    </row>
    <row r="6" spans="1:1" x14ac:dyDescent="0.25">
      <c r="A6" t="s">
        <v>205</v>
      </c>
    </row>
    <row r="7" spans="1:1" x14ac:dyDescent="0.25">
      <c r="A7" t="s">
        <v>353</v>
      </c>
    </row>
    <row r="8" spans="1:1" x14ac:dyDescent="0.25">
      <c r="A8" s="2" t="s">
        <v>200</v>
      </c>
    </row>
    <row r="9" spans="1:1" x14ac:dyDescent="0.25">
      <c r="A9" s="5" t="s">
        <v>197</v>
      </c>
    </row>
    <row r="10" spans="1:1" x14ac:dyDescent="0.25">
      <c r="A10" t="s">
        <v>198</v>
      </c>
    </row>
    <row r="11" spans="1:1" x14ac:dyDescent="0.25">
      <c r="A11" t="s">
        <v>203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FC01B-D953-4034-8A76-E4671AAB8450}">
  <dimension ref="A1:S77"/>
  <sheetViews>
    <sheetView topLeftCell="D1" zoomScale="120" zoomScaleNormal="120" workbookViewId="0">
      <selection activeCell="A2" sqref="A2"/>
    </sheetView>
  </sheetViews>
  <sheetFormatPr defaultRowHeight="15" x14ac:dyDescent="0.25"/>
  <cols>
    <col min="1" max="1" width="9.140625" style="3" customWidth="1"/>
    <col min="2" max="2" width="25.7109375" style="7" customWidth="1"/>
    <col min="3" max="5" width="17.5703125" customWidth="1"/>
    <col min="6" max="6" width="11.7109375" bestFit="1" customWidth="1"/>
    <col min="7" max="7" width="13.42578125" bestFit="1" customWidth="1"/>
    <col min="8" max="8" width="15" bestFit="1" customWidth="1"/>
    <col min="9" max="9" width="20" bestFit="1" customWidth="1"/>
    <col min="10" max="10" width="15.85546875" customWidth="1"/>
    <col min="11" max="11" width="22.140625" customWidth="1"/>
    <col min="12" max="12" width="48.7109375" style="6" bestFit="1" customWidth="1"/>
    <col min="13" max="13" width="16.7109375" style="3" bestFit="1" customWidth="1"/>
    <col min="14" max="14" width="14.42578125" style="3" bestFit="1" customWidth="1"/>
    <col min="15" max="15" width="59.42578125" style="3" customWidth="1"/>
    <col min="16" max="16" width="32.7109375" style="3" bestFit="1" customWidth="1"/>
    <col min="17" max="17" width="131.85546875" customWidth="1"/>
    <col min="18" max="18" width="24.140625" bestFit="1" customWidth="1"/>
    <col min="19" max="19" width="12.85546875" bestFit="1" customWidth="1"/>
  </cols>
  <sheetData>
    <row r="1" spans="1:19" x14ac:dyDescent="0.25">
      <c r="A1" s="1"/>
      <c r="B1" s="36"/>
      <c r="C1" s="2"/>
      <c r="E1" s="2"/>
      <c r="F1" s="1"/>
      <c r="G1" s="1"/>
      <c r="H1" s="1" t="s">
        <v>0</v>
      </c>
      <c r="I1" s="1" t="s">
        <v>1</v>
      </c>
      <c r="J1" s="1"/>
      <c r="K1" s="1"/>
      <c r="L1" s="1"/>
      <c r="M1" s="1"/>
    </row>
    <row r="2" spans="1:19" ht="45" customHeight="1" x14ac:dyDescent="0.25">
      <c r="A2" s="1" t="s">
        <v>204</v>
      </c>
      <c r="B2" s="36" t="s">
        <v>218</v>
      </c>
      <c r="C2" s="2" t="s">
        <v>2</v>
      </c>
      <c r="D2" s="1" t="s">
        <v>3</v>
      </c>
      <c r="E2" s="1" t="s">
        <v>4</v>
      </c>
      <c r="F2" s="4" t="s">
        <v>317</v>
      </c>
      <c r="G2" s="1" t="s">
        <v>5</v>
      </c>
      <c r="H2" s="1" t="s">
        <v>219</v>
      </c>
      <c r="I2" s="1" t="s">
        <v>220</v>
      </c>
      <c r="J2" s="4" t="s">
        <v>340</v>
      </c>
      <c r="K2" s="4" t="s">
        <v>341</v>
      </c>
      <c r="L2" s="4" t="s">
        <v>221</v>
      </c>
      <c r="M2" s="4" t="s">
        <v>336</v>
      </c>
      <c r="N2" s="4" t="s">
        <v>222</v>
      </c>
      <c r="O2" s="36" t="s">
        <v>6</v>
      </c>
      <c r="P2" s="17" t="s">
        <v>194</v>
      </c>
      <c r="Q2" s="2" t="s">
        <v>7</v>
      </c>
      <c r="R2" s="1" t="s">
        <v>8</v>
      </c>
      <c r="S2" s="4" t="s">
        <v>9</v>
      </c>
    </row>
    <row r="3" spans="1:19" ht="15" customHeight="1" x14ac:dyDescent="0.25">
      <c r="A3" s="34" t="s">
        <v>154</v>
      </c>
      <c r="B3" s="7" t="s">
        <v>231</v>
      </c>
      <c r="C3" s="5" t="s">
        <v>20</v>
      </c>
      <c r="D3" t="s">
        <v>21</v>
      </c>
      <c r="E3" t="s">
        <v>11</v>
      </c>
      <c r="F3" s="8">
        <f>VLOOKUP(B3,pcgdp_2019USD!$C$2:$D$92,2,FALSE)</f>
        <v>10143.838195559531</v>
      </c>
      <c r="G3" t="s">
        <v>22</v>
      </c>
      <c r="H3" s="18">
        <f>5135.06*(1-(0.0753 + 0.2947))</f>
        <v>3235.0878000000002</v>
      </c>
      <c r="I3" s="8"/>
      <c r="J3" s="8"/>
      <c r="K3" s="8"/>
      <c r="M3" s="3" t="s">
        <v>211</v>
      </c>
      <c r="O3" s="7" t="s">
        <v>326</v>
      </c>
      <c r="P3" s="7" t="s">
        <v>23</v>
      </c>
      <c r="Q3" t="s">
        <v>24</v>
      </c>
    </row>
    <row r="4" spans="1:19" ht="15" customHeight="1" x14ac:dyDescent="0.25">
      <c r="A4" s="34" t="s">
        <v>154</v>
      </c>
      <c r="B4" s="7" t="s">
        <v>232</v>
      </c>
      <c r="C4" s="5" t="s">
        <v>20</v>
      </c>
      <c r="D4" t="s">
        <v>10</v>
      </c>
      <c r="E4" t="s">
        <v>11</v>
      </c>
      <c r="F4" s="8">
        <f>VLOOKUP(B4,pcgdp_2019USD!$C$2:$D$92,2,FALSE)</f>
        <v>10143.838195559531</v>
      </c>
      <c r="G4" t="s">
        <v>12</v>
      </c>
      <c r="H4" s="8">
        <v>1525</v>
      </c>
      <c r="I4" s="8"/>
      <c r="J4" s="8"/>
      <c r="K4" s="8"/>
      <c r="M4" s="3" t="s">
        <v>211</v>
      </c>
      <c r="O4" s="7" t="s">
        <v>326</v>
      </c>
      <c r="P4" s="7" t="s">
        <v>23</v>
      </c>
      <c r="Q4" s="7" t="s">
        <v>324</v>
      </c>
    </row>
    <row r="5" spans="1:19" ht="15" customHeight="1" x14ac:dyDescent="0.25">
      <c r="A5" s="34"/>
      <c r="B5" s="7" t="s">
        <v>233</v>
      </c>
      <c r="C5" s="5" t="s">
        <v>20</v>
      </c>
      <c r="D5" t="s">
        <v>25</v>
      </c>
      <c r="E5" t="s">
        <v>17</v>
      </c>
      <c r="F5" s="8">
        <f>VLOOKUP(B5,pcgdp_2019USD!$C$2:$D$92,2,FALSE)</f>
        <v>43070.498359588782</v>
      </c>
      <c r="G5" t="s">
        <v>26</v>
      </c>
      <c r="H5" s="8">
        <f>7100.37-2034.62</f>
        <v>5065.75</v>
      </c>
      <c r="I5" s="8"/>
      <c r="J5" s="8"/>
      <c r="K5" s="8"/>
      <c r="M5" s="3" t="s">
        <v>13</v>
      </c>
      <c r="O5" s="7" t="s">
        <v>214</v>
      </c>
      <c r="P5" s="7" t="s">
        <v>195</v>
      </c>
      <c r="Q5" t="s">
        <v>27</v>
      </c>
    </row>
    <row r="6" spans="1:19" ht="15" customHeight="1" x14ac:dyDescent="0.25">
      <c r="A6" s="34"/>
      <c r="B6" s="7" t="s">
        <v>234</v>
      </c>
      <c r="C6" s="5" t="s">
        <v>20</v>
      </c>
      <c r="D6" t="s">
        <v>28</v>
      </c>
      <c r="E6" t="s">
        <v>19</v>
      </c>
      <c r="F6" s="8">
        <f>VLOOKUP(B6,pcgdp_2019USD!$C$2:$D$92,2,FALSE)</f>
        <v>43070.498359588782</v>
      </c>
      <c r="G6" t="s">
        <v>29</v>
      </c>
      <c r="H6" s="37">
        <v>322</v>
      </c>
      <c r="I6" s="8"/>
      <c r="J6" s="8"/>
      <c r="K6" s="8"/>
      <c r="M6" s="3" t="s">
        <v>13</v>
      </c>
      <c r="O6" s="7" t="s">
        <v>215</v>
      </c>
      <c r="P6" s="7" t="s">
        <v>195</v>
      </c>
      <c r="Q6" t="s">
        <v>209</v>
      </c>
    </row>
    <row r="7" spans="1:19" ht="15" customHeight="1" x14ac:dyDescent="0.25">
      <c r="A7" s="34"/>
      <c r="B7" s="7" t="s">
        <v>235</v>
      </c>
      <c r="C7" s="5" t="s">
        <v>20</v>
      </c>
      <c r="D7" t="s">
        <v>28</v>
      </c>
      <c r="E7" t="s">
        <v>19</v>
      </c>
      <c r="F7" s="8">
        <f>VLOOKUP(B7,pcgdp_2019USD!$C$2:$D$92,2,FALSE)</f>
        <v>43070.498359588782</v>
      </c>
      <c r="G7" t="s">
        <v>29</v>
      </c>
      <c r="H7" s="8">
        <f>322+21066</f>
        <v>21388</v>
      </c>
      <c r="I7" s="8"/>
      <c r="J7" s="8"/>
      <c r="K7" s="8"/>
      <c r="M7" s="3" t="s">
        <v>13</v>
      </c>
      <c r="O7" s="7" t="s">
        <v>216</v>
      </c>
      <c r="P7" s="7" t="s">
        <v>195</v>
      </c>
      <c r="Q7" t="s">
        <v>31</v>
      </c>
    </row>
    <row r="8" spans="1:19" ht="15" customHeight="1" x14ac:dyDescent="0.25">
      <c r="B8" s="52" t="s">
        <v>236</v>
      </c>
      <c r="C8" s="53" t="s">
        <v>20</v>
      </c>
      <c r="D8" t="s">
        <v>28</v>
      </c>
      <c r="E8" s="54" t="s">
        <v>19</v>
      </c>
      <c r="F8" s="37">
        <f>VLOOKUP(B8,pcgdp_2019USD!$C$2:$D$92,2,FALSE)</f>
        <v>43070.498359588782</v>
      </c>
      <c r="G8" s="54" t="s">
        <v>29</v>
      </c>
      <c r="H8" s="55"/>
      <c r="I8" s="37">
        <f>(21625+533)-H6</f>
        <v>21836</v>
      </c>
      <c r="J8" s="8"/>
      <c r="K8" s="8"/>
      <c r="L8" s="7" t="s">
        <v>32</v>
      </c>
      <c r="M8" s="3" t="s">
        <v>13</v>
      </c>
      <c r="N8" s="11">
        <v>3.5000000000000003E-2</v>
      </c>
      <c r="O8" s="7" t="s">
        <v>30</v>
      </c>
      <c r="P8" s="7"/>
      <c r="Q8" t="s">
        <v>343</v>
      </c>
    </row>
    <row r="9" spans="1:19" ht="30" customHeight="1" x14ac:dyDescent="0.25">
      <c r="A9" s="34"/>
      <c r="B9" s="7" t="s">
        <v>237</v>
      </c>
      <c r="C9" s="5" t="s">
        <v>20</v>
      </c>
      <c r="D9" t="s">
        <v>14</v>
      </c>
      <c r="E9" t="s">
        <v>15</v>
      </c>
      <c r="F9" s="8">
        <f>VLOOKUP(B9,pcgdp_2019USD!$C$2:$D$92,2,FALSE)</f>
        <v>6624.7618649330934</v>
      </c>
      <c r="G9" t="s">
        <v>16</v>
      </c>
      <c r="H9" s="8">
        <f>1214.63-58.43</f>
        <v>1156.2</v>
      </c>
      <c r="I9" s="8"/>
      <c r="J9" s="8"/>
      <c r="K9" s="8"/>
      <c r="M9" s="3" t="s">
        <v>13</v>
      </c>
      <c r="O9" s="7" t="s">
        <v>33</v>
      </c>
      <c r="P9" s="7"/>
      <c r="Q9" t="s">
        <v>34</v>
      </c>
    </row>
    <row r="10" spans="1:19" ht="15" customHeight="1" x14ac:dyDescent="0.25">
      <c r="A10" s="34" t="s">
        <v>154</v>
      </c>
      <c r="B10" s="7" t="s">
        <v>238</v>
      </c>
      <c r="C10" s="5" t="s">
        <v>20</v>
      </c>
      <c r="D10" t="s">
        <v>35</v>
      </c>
      <c r="E10" t="s">
        <v>36</v>
      </c>
      <c r="F10" s="8">
        <f>VLOOKUP(B10,pcgdp_2019USD!$C$2:$D$92,2,FALSE)</f>
        <v>4135.2333435120227</v>
      </c>
      <c r="G10" t="s">
        <v>37</v>
      </c>
      <c r="H10" s="8">
        <v>48.54</v>
      </c>
      <c r="I10" s="8"/>
      <c r="J10" s="8"/>
      <c r="K10" s="8"/>
      <c r="M10" s="3" t="s">
        <v>13</v>
      </c>
      <c r="O10" s="7" t="s">
        <v>38</v>
      </c>
      <c r="P10" s="7" t="s">
        <v>38</v>
      </c>
      <c r="Q10" t="s">
        <v>39</v>
      </c>
    </row>
    <row r="11" spans="1:19" ht="15" customHeight="1" x14ac:dyDescent="0.25">
      <c r="A11" s="34" t="s">
        <v>154</v>
      </c>
      <c r="B11" s="7" t="s">
        <v>239</v>
      </c>
      <c r="C11" s="5" t="s">
        <v>20</v>
      </c>
      <c r="D11" s="48" t="s">
        <v>42</v>
      </c>
      <c r="E11" t="s">
        <v>18</v>
      </c>
      <c r="F11" s="8">
        <f>VLOOKUP(B11,pcgdp_2019USD!$C$2:$D$92,2,FALSE)</f>
        <v>65094.799428792903</v>
      </c>
      <c r="G11" t="s">
        <v>22</v>
      </c>
      <c r="H11" s="8">
        <v>3812</v>
      </c>
      <c r="I11" s="8"/>
      <c r="J11" s="8"/>
      <c r="K11" s="8"/>
      <c r="M11" s="3" t="s">
        <v>13</v>
      </c>
      <c r="O11" s="58" t="s">
        <v>40</v>
      </c>
      <c r="P11" s="33"/>
      <c r="Q11" t="s">
        <v>41</v>
      </c>
    </row>
    <row r="12" spans="1:19" ht="15" customHeight="1" x14ac:dyDescent="0.25">
      <c r="A12" s="34" t="s">
        <v>154</v>
      </c>
      <c r="B12" s="7" t="s">
        <v>240</v>
      </c>
      <c r="C12" s="5" t="s">
        <v>20</v>
      </c>
      <c r="D12" s="48" t="s">
        <v>42</v>
      </c>
      <c r="E12" t="s">
        <v>18</v>
      </c>
      <c r="F12" s="8">
        <f>VLOOKUP(B12,pcgdp_2019USD!$C$2:$D$92,2,FALSE)</f>
        <v>65094.799428792903</v>
      </c>
      <c r="G12" t="s">
        <v>22</v>
      </c>
      <c r="H12" s="8">
        <v>11737</v>
      </c>
      <c r="I12" s="8"/>
      <c r="J12" s="8"/>
      <c r="K12" s="8"/>
      <c r="M12" s="3" t="s">
        <v>13</v>
      </c>
      <c r="O12" s="58"/>
      <c r="P12" s="33"/>
      <c r="Q12" t="s">
        <v>43</v>
      </c>
    </row>
    <row r="13" spans="1:19" ht="15" customHeight="1" x14ac:dyDescent="0.25">
      <c r="A13" s="34" t="s">
        <v>154</v>
      </c>
      <c r="B13" s="7" t="s">
        <v>241</v>
      </c>
      <c r="C13" s="5" t="s">
        <v>20</v>
      </c>
      <c r="D13" s="48" t="s">
        <v>42</v>
      </c>
      <c r="E13" t="s">
        <v>18</v>
      </c>
      <c r="F13" s="8">
        <f>VLOOKUP(B13,pcgdp_2019USD!$C$2:$D$92,2,FALSE)</f>
        <v>65094.799428792903</v>
      </c>
      <c r="G13" t="s">
        <v>22</v>
      </c>
      <c r="H13" s="8">
        <v>9153</v>
      </c>
      <c r="I13" s="8"/>
      <c r="J13" s="8"/>
      <c r="K13" s="8"/>
      <c r="M13" s="3" t="s">
        <v>13</v>
      </c>
      <c r="O13" s="58"/>
      <c r="P13" s="33"/>
      <c r="Q13" t="s">
        <v>44</v>
      </c>
    </row>
    <row r="14" spans="1:19" ht="15" customHeight="1" x14ac:dyDescent="0.25">
      <c r="A14" s="34" t="s">
        <v>154</v>
      </c>
      <c r="B14" s="7" t="s">
        <v>242</v>
      </c>
      <c r="C14" s="5" t="s">
        <v>20</v>
      </c>
      <c r="D14" s="48" t="s">
        <v>42</v>
      </c>
      <c r="E14" t="s">
        <v>18</v>
      </c>
      <c r="F14" s="8">
        <f>VLOOKUP(B14,pcgdp_2019USD!$C$2:$D$92,2,FALSE)</f>
        <v>65094.799428792903</v>
      </c>
      <c r="G14" t="s">
        <v>22</v>
      </c>
      <c r="H14" s="8">
        <v>2613</v>
      </c>
      <c r="I14" s="8"/>
      <c r="J14" s="8"/>
      <c r="K14" s="8"/>
      <c r="M14" s="3" t="s">
        <v>13</v>
      </c>
      <c r="O14" s="58"/>
      <c r="P14" s="33"/>
      <c r="Q14" t="s">
        <v>45</v>
      </c>
    </row>
    <row r="15" spans="1:19" ht="15" customHeight="1" x14ac:dyDescent="0.25">
      <c r="A15" s="34" t="s">
        <v>154</v>
      </c>
      <c r="B15" s="7" t="s">
        <v>243</v>
      </c>
      <c r="C15" s="5" t="s">
        <v>20</v>
      </c>
      <c r="D15" s="10" t="s">
        <v>42</v>
      </c>
      <c r="E15" t="s">
        <v>18</v>
      </c>
      <c r="F15" s="8">
        <f>VLOOKUP(B15,pcgdp_2019USD!$C$2:$D$92,2,FALSE)</f>
        <v>65094.799428792903</v>
      </c>
      <c r="G15" t="s">
        <v>22</v>
      </c>
      <c r="H15" s="8"/>
      <c r="I15" s="8">
        <f>190467-3325</f>
        <v>187142</v>
      </c>
      <c r="J15" s="8"/>
      <c r="K15" s="8"/>
      <c r="L15" s="6" t="s">
        <v>46</v>
      </c>
      <c r="M15" s="3" t="s">
        <v>13</v>
      </c>
      <c r="O15" s="59" t="s">
        <v>47</v>
      </c>
      <c r="P15" s="9"/>
      <c r="Q15" t="s">
        <v>48</v>
      </c>
    </row>
    <row r="16" spans="1:19" ht="15" customHeight="1" x14ac:dyDescent="0.25">
      <c r="A16" s="34" t="s">
        <v>154</v>
      </c>
      <c r="B16" s="7" t="s">
        <v>244</v>
      </c>
      <c r="C16" s="5" t="s">
        <v>20</v>
      </c>
      <c r="D16" s="10" t="s">
        <v>42</v>
      </c>
      <c r="E16" t="s">
        <v>18</v>
      </c>
      <c r="F16" s="8">
        <f>VLOOKUP(B16,pcgdp_2019USD!$C$2:$D$92,2,FALSE)</f>
        <v>65094.799428792903</v>
      </c>
      <c r="G16" t="s">
        <v>22</v>
      </c>
      <c r="H16" s="8"/>
      <c r="I16" s="8">
        <f>94785-3325</f>
        <v>91460</v>
      </c>
      <c r="J16" s="8"/>
      <c r="K16" s="8"/>
      <c r="L16" s="6" t="s">
        <v>46</v>
      </c>
      <c r="M16" s="3" t="s">
        <v>13</v>
      </c>
      <c r="O16" s="59"/>
      <c r="P16" s="9"/>
      <c r="Q16" t="s">
        <v>49</v>
      </c>
    </row>
    <row r="17" spans="1:19" ht="15" customHeight="1" x14ac:dyDescent="0.25">
      <c r="A17" s="34" t="s">
        <v>154</v>
      </c>
      <c r="B17" s="7" t="s">
        <v>245</v>
      </c>
      <c r="C17" s="5" t="s">
        <v>20</v>
      </c>
      <c r="D17" s="10" t="s">
        <v>42</v>
      </c>
      <c r="E17" t="s">
        <v>18</v>
      </c>
      <c r="F17" s="8">
        <f>VLOOKUP(B17,pcgdp_2019USD!$C$2:$D$92,2,FALSE)</f>
        <v>65094.799428792903</v>
      </c>
      <c r="G17" t="s">
        <v>22</v>
      </c>
      <c r="H17" s="8"/>
      <c r="I17" s="8">
        <f>13621-3325</f>
        <v>10296</v>
      </c>
      <c r="J17" s="8"/>
      <c r="K17" s="8"/>
      <c r="L17" s="6" t="s">
        <v>46</v>
      </c>
      <c r="M17" s="3" t="s">
        <v>13</v>
      </c>
      <c r="O17" s="59"/>
      <c r="P17" s="9"/>
      <c r="Q17" t="s">
        <v>50</v>
      </c>
    </row>
    <row r="18" spans="1:19" ht="15" customHeight="1" x14ac:dyDescent="0.25">
      <c r="A18" s="34" t="s">
        <v>154</v>
      </c>
      <c r="B18" s="7" t="s">
        <v>246</v>
      </c>
      <c r="C18" s="5" t="s">
        <v>20</v>
      </c>
      <c r="D18" s="10" t="s">
        <v>42</v>
      </c>
      <c r="E18" t="s">
        <v>18</v>
      </c>
      <c r="F18" s="8">
        <f>VLOOKUP(B18,pcgdp_2019USD!$C$2:$D$92,2,FALSE)</f>
        <v>65094.799428792903</v>
      </c>
      <c r="G18" t="s">
        <v>22</v>
      </c>
      <c r="H18" s="8"/>
      <c r="I18" s="8">
        <f>12172-1328</f>
        <v>10844</v>
      </c>
      <c r="J18" s="8"/>
      <c r="K18" s="8"/>
      <c r="L18" s="6" t="s">
        <v>51</v>
      </c>
      <c r="M18" s="3" t="s">
        <v>13</v>
      </c>
      <c r="O18" s="59"/>
      <c r="P18" s="9"/>
      <c r="Q18" t="s">
        <v>52</v>
      </c>
    </row>
    <row r="19" spans="1:19" ht="15" customHeight="1" x14ac:dyDescent="0.25">
      <c r="A19" s="34" t="s">
        <v>154</v>
      </c>
      <c r="B19" s="7" t="s">
        <v>247</v>
      </c>
      <c r="C19" s="5" t="s">
        <v>20</v>
      </c>
      <c r="D19" s="10" t="s">
        <v>42</v>
      </c>
      <c r="E19" t="s">
        <v>18</v>
      </c>
      <c r="F19" s="8">
        <f>VLOOKUP(B19,pcgdp_2019USD!$C$2:$D$92,2,FALSE)</f>
        <v>65094.799428792903</v>
      </c>
      <c r="G19" t="s">
        <v>22</v>
      </c>
      <c r="H19" s="8"/>
      <c r="I19" s="8">
        <f>7715-1328</f>
        <v>6387</v>
      </c>
      <c r="J19" s="8"/>
      <c r="K19" s="8"/>
      <c r="L19" s="6" t="s">
        <v>51</v>
      </c>
      <c r="M19" s="3" t="s">
        <v>13</v>
      </c>
      <c r="O19" s="59"/>
      <c r="P19" s="9"/>
      <c r="Q19" t="s">
        <v>53</v>
      </c>
    </row>
    <row r="20" spans="1:19" ht="15" customHeight="1" x14ac:dyDescent="0.25">
      <c r="A20" s="34" t="s">
        <v>154</v>
      </c>
      <c r="B20" s="7" t="s">
        <v>248</v>
      </c>
      <c r="C20" s="5" t="s">
        <v>20</v>
      </c>
      <c r="D20" s="10" t="s">
        <v>42</v>
      </c>
      <c r="E20" t="s">
        <v>18</v>
      </c>
      <c r="F20" s="8">
        <f>VLOOKUP(B20,pcgdp_2019USD!$C$2:$D$92,2,FALSE)</f>
        <v>65094.799428792903</v>
      </c>
      <c r="G20" t="s">
        <v>22</v>
      </c>
      <c r="H20" s="8"/>
      <c r="I20" s="8">
        <f>1736-1328</f>
        <v>408</v>
      </c>
      <c r="J20" s="8"/>
      <c r="K20" s="8"/>
      <c r="L20" s="6" t="s">
        <v>51</v>
      </c>
      <c r="M20" s="3" t="s">
        <v>13</v>
      </c>
      <c r="O20" s="59"/>
      <c r="P20" s="9"/>
      <c r="Q20" t="s">
        <v>54</v>
      </c>
    </row>
    <row r="21" spans="1:19" ht="15" customHeight="1" x14ac:dyDescent="0.25">
      <c r="A21" s="34" t="s">
        <v>154</v>
      </c>
      <c r="B21" s="7" t="s">
        <v>249</v>
      </c>
      <c r="C21" s="5" t="s">
        <v>20</v>
      </c>
      <c r="D21" s="10" t="s">
        <v>42</v>
      </c>
      <c r="E21" t="s">
        <v>18</v>
      </c>
      <c r="F21" s="8">
        <f>VLOOKUP(B21,pcgdp_2019USD!$C$2:$D$92,2,FALSE)</f>
        <v>65094.799428792903</v>
      </c>
      <c r="G21" t="s">
        <v>22</v>
      </c>
      <c r="H21" s="8"/>
      <c r="I21" s="8">
        <f>4944-661</f>
        <v>4283</v>
      </c>
      <c r="J21" s="8"/>
      <c r="K21" s="8"/>
      <c r="L21" s="6" t="s">
        <v>55</v>
      </c>
      <c r="M21" s="3" t="s">
        <v>13</v>
      </c>
      <c r="O21" s="59"/>
      <c r="P21" s="9"/>
      <c r="Q21" t="s">
        <v>56</v>
      </c>
    </row>
    <row r="22" spans="1:19" ht="15" customHeight="1" x14ac:dyDescent="0.25">
      <c r="A22" s="34" t="s">
        <v>154</v>
      </c>
      <c r="B22" s="7" t="s">
        <v>250</v>
      </c>
      <c r="C22" s="5" t="s">
        <v>20</v>
      </c>
      <c r="D22" s="10" t="s">
        <v>42</v>
      </c>
      <c r="E22" t="s">
        <v>18</v>
      </c>
      <c r="F22" s="8">
        <f>VLOOKUP(B22,pcgdp_2019USD!$C$2:$D$92,2,FALSE)</f>
        <v>65094.799428792903</v>
      </c>
      <c r="G22" t="s">
        <v>22</v>
      </c>
      <c r="H22" s="8"/>
      <c r="I22" s="8">
        <f>2534-661</f>
        <v>1873</v>
      </c>
      <c r="J22" s="8"/>
      <c r="K22" s="8"/>
      <c r="L22" s="6" t="s">
        <v>55</v>
      </c>
      <c r="M22" s="3" t="s">
        <v>13</v>
      </c>
      <c r="O22" s="59"/>
      <c r="P22" s="9"/>
      <c r="Q22" t="s">
        <v>57</v>
      </c>
    </row>
    <row r="23" spans="1:19" ht="15" customHeight="1" x14ac:dyDescent="0.25">
      <c r="A23" s="34" t="s">
        <v>154</v>
      </c>
      <c r="B23" s="7" t="s">
        <v>251</v>
      </c>
      <c r="C23" s="5" t="s">
        <v>20</v>
      </c>
      <c r="D23" s="10" t="s">
        <v>42</v>
      </c>
      <c r="E23" t="s">
        <v>18</v>
      </c>
      <c r="F23" s="8">
        <f>VLOOKUP(B23,pcgdp_2019USD!$C$2:$D$92,2,FALSE)</f>
        <v>65094.799428792903</v>
      </c>
      <c r="G23" t="s">
        <v>22</v>
      </c>
      <c r="H23" s="8"/>
      <c r="I23" s="8">
        <f>814-661</f>
        <v>153</v>
      </c>
      <c r="J23" s="8"/>
      <c r="K23" s="8"/>
      <c r="L23" s="6" t="s">
        <v>55</v>
      </c>
      <c r="M23" s="3" t="s">
        <v>13</v>
      </c>
      <c r="O23" s="59"/>
      <c r="P23" s="9"/>
      <c r="Q23" t="s">
        <v>58</v>
      </c>
    </row>
    <row r="24" spans="1:19" ht="15" customHeight="1" x14ac:dyDescent="0.25">
      <c r="A24" s="34" t="s">
        <v>154</v>
      </c>
      <c r="B24" s="7" t="s">
        <v>252</v>
      </c>
      <c r="C24" s="5" t="s">
        <v>20</v>
      </c>
      <c r="D24" s="10" t="s">
        <v>42</v>
      </c>
      <c r="E24" t="s">
        <v>18</v>
      </c>
      <c r="F24" s="8">
        <f>VLOOKUP(B24,pcgdp_2019USD!$C$2:$D$92,2,FALSE)</f>
        <v>65094.799428792903</v>
      </c>
      <c r="G24" t="s">
        <v>22</v>
      </c>
      <c r="H24" s="8"/>
      <c r="I24" s="8">
        <f>1119-471</f>
        <v>648</v>
      </c>
      <c r="J24" s="8"/>
      <c r="K24" s="8"/>
      <c r="L24" s="6" t="s">
        <v>59</v>
      </c>
      <c r="M24" s="3" t="s">
        <v>13</v>
      </c>
      <c r="O24" s="59"/>
      <c r="P24" s="9"/>
      <c r="Q24" t="s">
        <v>60</v>
      </c>
    </row>
    <row r="25" spans="1:19" ht="15" customHeight="1" x14ac:dyDescent="0.25">
      <c r="A25" s="34" t="s">
        <v>154</v>
      </c>
      <c r="B25" s="7" t="s">
        <v>253</v>
      </c>
      <c r="C25" s="5" t="s">
        <v>20</v>
      </c>
      <c r="D25" s="10" t="s">
        <v>42</v>
      </c>
      <c r="E25" t="s">
        <v>18</v>
      </c>
      <c r="F25" s="8">
        <f>VLOOKUP(B25,pcgdp_2019USD!$C$2:$D$92,2,FALSE)</f>
        <v>65094.799428792903</v>
      </c>
      <c r="G25" t="s">
        <v>22</v>
      </c>
      <c r="H25" s="8"/>
      <c r="I25" s="8">
        <f>490-471</f>
        <v>19</v>
      </c>
      <c r="J25" s="8"/>
      <c r="K25" s="8"/>
      <c r="L25" s="6" t="s">
        <v>59</v>
      </c>
      <c r="M25" s="3" t="s">
        <v>13</v>
      </c>
      <c r="O25" s="59"/>
      <c r="P25" s="9"/>
      <c r="Q25" t="s">
        <v>61</v>
      </c>
    </row>
    <row r="26" spans="1:19" ht="15" customHeight="1" x14ac:dyDescent="0.25">
      <c r="A26" s="34" t="s">
        <v>154</v>
      </c>
      <c r="B26" s="7" t="s">
        <v>254</v>
      </c>
      <c r="C26" s="5" t="s">
        <v>20</v>
      </c>
      <c r="D26" s="10" t="s">
        <v>42</v>
      </c>
      <c r="E26" t="s">
        <v>18</v>
      </c>
      <c r="F26" s="8">
        <f>VLOOKUP(B26,pcgdp_2019USD!$C$2:$D$92,2,FALSE)</f>
        <v>65094.799428792903</v>
      </c>
      <c r="G26" t="s">
        <v>22</v>
      </c>
      <c r="H26" s="8"/>
      <c r="I26" s="8">
        <f>643-471</f>
        <v>172</v>
      </c>
      <c r="J26" s="8"/>
      <c r="K26" s="8"/>
      <c r="L26" s="6" t="s">
        <v>59</v>
      </c>
      <c r="M26" s="3" t="s">
        <v>13</v>
      </c>
      <c r="O26" s="59"/>
      <c r="P26" s="9"/>
      <c r="Q26" t="s">
        <v>62</v>
      </c>
    </row>
    <row r="27" spans="1:19" ht="15" customHeight="1" x14ac:dyDescent="0.25">
      <c r="A27" s="34"/>
      <c r="B27" s="52" t="s">
        <v>255</v>
      </c>
      <c r="C27" s="53" t="s">
        <v>20</v>
      </c>
      <c r="D27" s="10" t="s">
        <v>42</v>
      </c>
      <c r="E27" s="54" t="s">
        <v>18</v>
      </c>
      <c r="F27" s="37">
        <f>VLOOKUP(B27,pcgdp_2019USD!$C$2:$D$92,2,FALSE)</f>
        <v>65094.799428792903</v>
      </c>
      <c r="G27" s="54" t="s">
        <v>22</v>
      </c>
      <c r="H27" s="37"/>
      <c r="I27" s="37">
        <v>33210</v>
      </c>
      <c r="J27" s="8"/>
      <c r="K27" s="8"/>
      <c r="L27" s="6" t="s">
        <v>63</v>
      </c>
      <c r="M27" s="3" t="s">
        <v>13</v>
      </c>
      <c r="N27" s="11">
        <v>0.03</v>
      </c>
      <c r="O27" s="15" t="s">
        <v>64</v>
      </c>
      <c r="P27" s="15" t="s">
        <v>196</v>
      </c>
      <c r="Q27" t="s">
        <v>424</v>
      </c>
    </row>
    <row r="28" spans="1:19" ht="15" customHeight="1" x14ac:dyDescent="0.25">
      <c r="A28" s="34"/>
      <c r="B28" s="7" t="s">
        <v>256</v>
      </c>
      <c r="C28" s="5" t="s">
        <v>20</v>
      </c>
      <c r="D28" t="s">
        <v>65</v>
      </c>
      <c r="E28" t="s">
        <v>66</v>
      </c>
      <c r="F28" s="8">
        <f>VLOOKUP(B28,pcgdp_2019USD!$C$2:$D$92,2,FALSE)</f>
        <v>51939.429744529123</v>
      </c>
      <c r="G28" t="s">
        <v>67</v>
      </c>
      <c r="H28" s="8">
        <f>6431-4289</f>
        <v>2142</v>
      </c>
      <c r="I28" s="8"/>
      <c r="J28" s="8"/>
      <c r="K28" s="8"/>
      <c r="M28" s="3" t="s">
        <v>13</v>
      </c>
      <c r="O28" s="59" t="s">
        <v>68</v>
      </c>
      <c r="P28" s="9"/>
      <c r="Q28" t="s">
        <v>69</v>
      </c>
      <c r="R28">
        <f>0.006+0.005</f>
        <v>1.0999999999999999E-2</v>
      </c>
      <c r="S28">
        <f>R28/(R28+R29)</f>
        <v>0.20754716981132071</v>
      </c>
    </row>
    <row r="29" spans="1:19" ht="15" customHeight="1" x14ac:dyDescent="0.25">
      <c r="A29" s="34"/>
      <c r="B29" s="7" t="s">
        <v>257</v>
      </c>
      <c r="C29" s="5" t="s">
        <v>20</v>
      </c>
      <c r="D29" t="s">
        <v>65</v>
      </c>
      <c r="E29" t="s">
        <v>66</v>
      </c>
      <c r="F29" s="8">
        <f>VLOOKUP(B29,pcgdp_2019USD!$C$2:$D$92,2,FALSE)</f>
        <v>51939.429744529123</v>
      </c>
      <c r="G29" t="s">
        <v>67</v>
      </c>
      <c r="H29" s="8">
        <f>5222-4289</f>
        <v>933</v>
      </c>
      <c r="I29" s="8"/>
      <c r="J29" s="8"/>
      <c r="K29" s="8"/>
      <c r="M29" s="3" t="s">
        <v>13</v>
      </c>
      <c r="O29" s="59"/>
      <c r="P29" s="9"/>
      <c r="Q29" t="s">
        <v>70</v>
      </c>
      <c r="R29">
        <f>0.032+0.01</f>
        <v>4.2000000000000003E-2</v>
      </c>
      <c r="S29">
        <f>R29/(R28+R29)</f>
        <v>0.79245283018867918</v>
      </c>
    </row>
    <row r="30" spans="1:19" ht="15" customHeight="1" x14ac:dyDescent="0.25">
      <c r="A30" s="34"/>
      <c r="B30" s="7" t="s">
        <v>258</v>
      </c>
      <c r="C30" s="5" t="s">
        <v>20</v>
      </c>
      <c r="D30" t="s">
        <v>65</v>
      </c>
      <c r="E30" t="s">
        <v>66</v>
      </c>
      <c r="F30" s="8">
        <f>VLOOKUP(B30,pcgdp_2019USD!$C$2:$D$92,2,FALSE)</f>
        <v>51939.429744529123</v>
      </c>
      <c r="G30" t="s">
        <v>67</v>
      </c>
      <c r="H30" s="8">
        <f>H28*S28+H29*S29</f>
        <v>1183.9245283018865</v>
      </c>
      <c r="I30" s="8"/>
      <c r="J30" s="8"/>
      <c r="K30" s="8"/>
      <c r="M30" s="3" t="s">
        <v>13</v>
      </c>
      <c r="O30" s="59"/>
      <c r="P30" s="9"/>
      <c r="Q30" t="s">
        <v>71</v>
      </c>
    </row>
    <row r="31" spans="1:19" ht="15" customHeight="1" x14ac:dyDescent="0.25">
      <c r="A31" s="34" t="s">
        <v>154</v>
      </c>
      <c r="B31" s="7" t="s">
        <v>259</v>
      </c>
      <c r="C31" s="5" t="s">
        <v>20</v>
      </c>
      <c r="D31" t="s">
        <v>65</v>
      </c>
      <c r="E31" t="s">
        <v>66</v>
      </c>
      <c r="F31" s="8">
        <f>VLOOKUP(B31,pcgdp_2019USD!$C$2:$D$92,2,FALSE)</f>
        <v>51939.429744529123</v>
      </c>
      <c r="G31" t="s">
        <v>67</v>
      </c>
      <c r="H31" s="8"/>
      <c r="I31" s="8">
        <v>6415</v>
      </c>
      <c r="J31" s="8"/>
      <c r="K31" s="8"/>
      <c r="L31" s="6" t="s">
        <v>137</v>
      </c>
      <c r="M31" s="3" t="s">
        <v>13</v>
      </c>
      <c r="O31" s="61"/>
      <c r="P31" s="13"/>
      <c r="Q31" t="s">
        <v>344</v>
      </c>
    </row>
    <row r="32" spans="1:19" ht="15" customHeight="1" x14ac:dyDescent="0.25">
      <c r="A32" s="34" t="s">
        <v>154</v>
      </c>
      <c r="B32" s="7" t="s">
        <v>260</v>
      </c>
      <c r="C32" s="5" t="s">
        <v>20</v>
      </c>
      <c r="D32" t="s">
        <v>65</v>
      </c>
      <c r="E32" t="s">
        <v>66</v>
      </c>
      <c r="F32" s="8">
        <f>VLOOKUP(B32,pcgdp_2019USD!$C$2:$D$92,2,FALSE)</f>
        <v>51939.429744529123</v>
      </c>
      <c r="G32" t="s">
        <v>67</v>
      </c>
      <c r="H32" s="8"/>
      <c r="I32" s="8">
        <v>2135</v>
      </c>
      <c r="J32" s="8"/>
      <c r="K32" s="8"/>
      <c r="L32" s="6" t="s">
        <v>137</v>
      </c>
      <c r="M32" s="3" t="s">
        <v>13</v>
      </c>
      <c r="O32" s="61"/>
      <c r="P32" s="13"/>
      <c r="Q32" t="s">
        <v>345</v>
      </c>
    </row>
    <row r="33" spans="1:19" ht="15" customHeight="1" x14ac:dyDescent="0.25">
      <c r="A33" s="34" t="s">
        <v>154</v>
      </c>
      <c r="B33" s="7" t="s">
        <v>261</v>
      </c>
      <c r="C33" s="5" t="s">
        <v>20</v>
      </c>
      <c r="D33" t="s">
        <v>65</v>
      </c>
      <c r="E33" t="s">
        <v>66</v>
      </c>
      <c r="F33" s="8">
        <f>VLOOKUP(B33,pcgdp_2019USD!$C$2:$D$92,2,FALSE)</f>
        <v>51939.429744529123</v>
      </c>
      <c r="G33" t="s">
        <v>67</v>
      </c>
      <c r="H33" s="8"/>
      <c r="I33" s="8">
        <v>976</v>
      </c>
      <c r="J33" s="8"/>
      <c r="K33" s="8"/>
      <c r="L33" s="6" t="s">
        <v>137</v>
      </c>
      <c r="M33" s="3" t="s">
        <v>13</v>
      </c>
      <c r="O33" s="61"/>
      <c r="P33" s="13"/>
      <c r="Q33" t="s">
        <v>346</v>
      </c>
    </row>
    <row r="34" spans="1:19" ht="15" customHeight="1" x14ac:dyDescent="0.25">
      <c r="A34" s="34" t="s">
        <v>154</v>
      </c>
      <c r="B34" s="7" t="s">
        <v>263</v>
      </c>
      <c r="C34" s="5" t="s">
        <v>20</v>
      </c>
      <c r="D34" t="s">
        <v>72</v>
      </c>
      <c r="E34" t="s">
        <v>18</v>
      </c>
      <c r="F34" s="8">
        <f>VLOOKUP(B34,pcgdp_2019USD!$C$2:$D$92,2,FALSE)</f>
        <v>65094.799428792903</v>
      </c>
      <c r="G34" t="s">
        <v>37</v>
      </c>
      <c r="H34" s="8">
        <v>5024</v>
      </c>
      <c r="I34" s="8"/>
      <c r="J34" s="8"/>
      <c r="K34" s="8"/>
      <c r="M34" s="3" t="s">
        <v>13</v>
      </c>
      <c r="O34" s="13" t="s">
        <v>73</v>
      </c>
      <c r="P34" s="7"/>
      <c r="Q34" t="s">
        <v>74</v>
      </c>
    </row>
    <row r="35" spans="1:19" ht="15" customHeight="1" x14ac:dyDescent="0.25">
      <c r="A35" s="34" t="s">
        <v>154</v>
      </c>
      <c r="B35" s="7" t="s">
        <v>264</v>
      </c>
      <c r="C35" s="5" t="s">
        <v>20</v>
      </c>
      <c r="D35" t="s">
        <v>72</v>
      </c>
      <c r="E35" t="s">
        <v>18</v>
      </c>
      <c r="F35" s="8">
        <f>VLOOKUP(B35,pcgdp_2019USD!$C$2:$D$92,2,FALSE)</f>
        <v>65094.799428792903</v>
      </c>
      <c r="G35" t="s">
        <v>37</v>
      </c>
      <c r="H35" s="8"/>
      <c r="I35" s="8">
        <v>44116</v>
      </c>
      <c r="J35" s="8"/>
      <c r="K35" s="8"/>
      <c r="L35" s="6" t="s">
        <v>63</v>
      </c>
      <c r="M35" s="3" t="s">
        <v>13</v>
      </c>
      <c r="N35" s="11">
        <v>0.03</v>
      </c>
      <c r="O35" s="59" t="s">
        <v>75</v>
      </c>
      <c r="P35" s="9"/>
      <c r="Q35" t="s">
        <v>76</v>
      </c>
    </row>
    <row r="36" spans="1:19" ht="15" customHeight="1" x14ac:dyDescent="0.25">
      <c r="A36" s="34" t="s">
        <v>154</v>
      </c>
      <c r="B36" s="7" t="s">
        <v>265</v>
      </c>
      <c r="C36" s="5" t="s">
        <v>20</v>
      </c>
      <c r="D36" s="14" t="s">
        <v>72</v>
      </c>
      <c r="E36" t="s">
        <v>18</v>
      </c>
      <c r="F36" s="8">
        <f>VLOOKUP(B36,pcgdp_2019USD!$C$2:$D$92,2,FALSE)</f>
        <v>65094.799428792903</v>
      </c>
      <c r="G36" s="8" t="s">
        <v>37</v>
      </c>
      <c r="H36" s="8"/>
      <c r="I36" s="8">
        <f>344355*0.82</f>
        <v>282371.09999999998</v>
      </c>
      <c r="J36" s="8"/>
      <c r="K36" s="8"/>
      <c r="L36" s="6" t="s">
        <v>63</v>
      </c>
      <c r="M36" s="3" t="s">
        <v>13</v>
      </c>
      <c r="N36" s="11">
        <v>0.03</v>
      </c>
      <c r="O36" s="59"/>
      <c r="P36" s="9"/>
      <c r="Q36" t="s">
        <v>77</v>
      </c>
    </row>
    <row r="37" spans="1:19" ht="15" customHeight="1" x14ac:dyDescent="0.25">
      <c r="A37" s="34" t="s">
        <v>154</v>
      </c>
      <c r="B37" s="7" t="s">
        <v>266</v>
      </c>
      <c r="C37" s="5" t="s">
        <v>20</v>
      </c>
      <c r="D37" s="14" t="s">
        <v>72</v>
      </c>
      <c r="E37" t="s">
        <v>18</v>
      </c>
      <c r="F37" s="8">
        <f>VLOOKUP(B37,pcgdp_2019USD!$C$2:$D$92,2,FALSE)</f>
        <v>65094.799428792903</v>
      </c>
      <c r="G37" s="8" t="s">
        <v>37</v>
      </c>
      <c r="H37" s="8"/>
      <c r="I37" s="8">
        <f>186731*0.79</f>
        <v>147517.49000000002</v>
      </c>
      <c r="J37" s="8"/>
      <c r="K37" s="8"/>
      <c r="L37" s="6" t="s">
        <v>63</v>
      </c>
      <c r="M37" s="3" t="s">
        <v>13</v>
      </c>
      <c r="N37" s="11">
        <v>0.03</v>
      </c>
      <c r="O37" s="59"/>
      <c r="P37" s="9"/>
      <c r="Q37" t="s">
        <v>78</v>
      </c>
    </row>
    <row r="38" spans="1:19" ht="15" customHeight="1" x14ac:dyDescent="0.25">
      <c r="A38" s="34" t="s">
        <v>154</v>
      </c>
      <c r="B38" s="7" t="s">
        <v>267</v>
      </c>
      <c r="C38" s="5" t="s">
        <v>20</v>
      </c>
      <c r="D38" s="14" t="s">
        <v>72</v>
      </c>
      <c r="E38" t="s">
        <v>18</v>
      </c>
      <c r="F38" s="8">
        <f>VLOOKUP(B38,pcgdp_2019USD!$C$2:$D$92,2,FALSE)</f>
        <v>65094.799428792903</v>
      </c>
      <c r="G38" s="8" t="s">
        <v>37</v>
      </c>
      <c r="H38" s="8"/>
      <c r="I38" s="8">
        <f>28367 * 0.67</f>
        <v>19005.89</v>
      </c>
      <c r="J38" s="8"/>
      <c r="K38" s="8"/>
      <c r="L38" s="6" t="s">
        <v>63</v>
      </c>
      <c r="M38" s="3" t="s">
        <v>13</v>
      </c>
      <c r="N38" s="11">
        <v>0.03</v>
      </c>
      <c r="O38" s="59"/>
      <c r="P38" s="9"/>
      <c r="Q38" t="s">
        <v>79</v>
      </c>
    </row>
    <row r="39" spans="1:19" ht="15" customHeight="1" x14ac:dyDescent="0.25">
      <c r="A39" s="34"/>
      <c r="B39" s="7" t="s">
        <v>268</v>
      </c>
      <c r="C39" s="5" t="s">
        <v>20</v>
      </c>
      <c r="D39" t="s">
        <v>80</v>
      </c>
      <c r="E39" t="s">
        <v>81</v>
      </c>
      <c r="F39" s="8">
        <f>VLOOKUP(B39,pcgdp_2019USD!$C$2:$D$92,2,FALSE)</f>
        <v>3514.0421682577962</v>
      </c>
      <c r="G39" t="s">
        <v>82</v>
      </c>
      <c r="H39" s="8">
        <v>8465.52</v>
      </c>
      <c r="I39" s="8"/>
      <c r="J39" s="8"/>
      <c r="K39" s="8"/>
      <c r="M39" s="3" t="s">
        <v>83</v>
      </c>
      <c r="O39" s="59" t="s">
        <v>212</v>
      </c>
      <c r="P39" s="9"/>
      <c r="Q39" t="s">
        <v>84</v>
      </c>
    </row>
    <row r="40" spans="1:19" ht="15" customHeight="1" x14ac:dyDescent="0.25">
      <c r="A40" s="34"/>
      <c r="B40" s="7" t="s">
        <v>269</v>
      </c>
      <c r="C40" s="5" t="s">
        <v>20</v>
      </c>
      <c r="D40" t="s">
        <v>80</v>
      </c>
      <c r="E40" t="s">
        <v>81</v>
      </c>
      <c r="F40" s="8">
        <f>VLOOKUP(B40,pcgdp_2019USD!$C$2:$D$92,2,FALSE)</f>
        <v>3514.0421682577962</v>
      </c>
      <c r="G40" t="s">
        <v>82</v>
      </c>
      <c r="H40" s="8">
        <v>4727.3500000000004</v>
      </c>
      <c r="I40" s="8"/>
      <c r="J40" s="8"/>
      <c r="K40" s="8"/>
      <c r="M40" s="3" t="s">
        <v>83</v>
      </c>
      <c r="O40" s="59"/>
      <c r="P40" s="59" t="s">
        <v>207</v>
      </c>
      <c r="Q40" t="s">
        <v>85</v>
      </c>
    </row>
    <row r="41" spans="1:19" ht="15" customHeight="1" x14ac:dyDescent="0.25">
      <c r="A41" s="34"/>
      <c r="B41" s="7" t="s">
        <v>270</v>
      </c>
      <c r="C41" s="5" t="s">
        <v>20</v>
      </c>
      <c r="D41" t="s">
        <v>80</v>
      </c>
      <c r="E41" t="s">
        <v>81</v>
      </c>
      <c r="F41" s="8">
        <f>VLOOKUP(B41,pcgdp_2019USD!$C$2:$D$92,2,FALSE)</f>
        <v>3514.0421682577962</v>
      </c>
      <c r="G41" t="s">
        <v>82</v>
      </c>
      <c r="H41" s="8">
        <v>2379.67</v>
      </c>
      <c r="I41" s="8"/>
      <c r="J41" s="8"/>
      <c r="K41" s="8"/>
      <c r="M41" s="3" t="s">
        <v>83</v>
      </c>
      <c r="O41" s="59"/>
      <c r="P41" s="59"/>
      <c r="Q41" t="s">
        <v>86</v>
      </c>
    </row>
    <row r="42" spans="1:19" ht="15" customHeight="1" x14ac:dyDescent="0.25">
      <c r="A42" s="34"/>
      <c r="B42" s="7" t="s">
        <v>271</v>
      </c>
      <c r="C42" s="5" t="s">
        <v>20</v>
      </c>
      <c r="D42" t="s">
        <v>80</v>
      </c>
      <c r="E42" t="s">
        <v>81</v>
      </c>
      <c r="F42" s="8">
        <f>VLOOKUP(B42,pcgdp_2019USD!$C$2:$D$92,2,FALSE)</f>
        <v>3514.0421682577962</v>
      </c>
      <c r="G42" t="s">
        <v>82</v>
      </c>
      <c r="H42" s="8">
        <v>19640.009999999998</v>
      </c>
      <c r="I42" s="8"/>
      <c r="J42" s="8"/>
      <c r="K42" s="8"/>
      <c r="M42" s="3" t="s">
        <v>83</v>
      </c>
      <c r="O42" s="59"/>
      <c r="P42" s="59"/>
      <c r="Q42" t="s">
        <v>87</v>
      </c>
    </row>
    <row r="43" spans="1:19" ht="15" customHeight="1" x14ac:dyDescent="0.25">
      <c r="A43" s="34"/>
      <c r="B43" s="7" t="s">
        <v>272</v>
      </c>
      <c r="C43" s="5" t="s">
        <v>20</v>
      </c>
      <c r="D43" t="s">
        <v>80</v>
      </c>
      <c r="E43" t="s">
        <v>81</v>
      </c>
      <c r="F43" s="8">
        <f>VLOOKUP(B43,pcgdp_2019USD!$C$2:$D$92,2,FALSE)</f>
        <v>3514.0421682577962</v>
      </c>
      <c r="G43" t="s">
        <v>82</v>
      </c>
      <c r="H43" s="8">
        <v>10967.45</v>
      </c>
      <c r="I43" s="8"/>
      <c r="J43" s="8"/>
      <c r="K43" s="8"/>
      <c r="M43" s="3" t="s">
        <v>83</v>
      </c>
      <c r="O43" s="59"/>
      <c r="P43" s="59"/>
      <c r="Q43" t="s">
        <v>88</v>
      </c>
    </row>
    <row r="44" spans="1:19" ht="15" customHeight="1" x14ac:dyDescent="0.25">
      <c r="A44" s="34"/>
      <c r="B44" s="7" t="s">
        <v>273</v>
      </c>
      <c r="C44" s="5" t="s">
        <v>20</v>
      </c>
      <c r="D44" t="s">
        <v>80</v>
      </c>
      <c r="E44" t="s">
        <v>81</v>
      </c>
      <c r="F44" s="8">
        <f>VLOOKUP(B44,pcgdp_2019USD!$C$2:$D$92,2,FALSE)</f>
        <v>3514.0421682577962</v>
      </c>
      <c r="G44" t="s">
        <v>82</v>
      </c>
      <c r="H44" s="8">
        <v>5520.85</v>
      </c>
      <c r="I44" s="8"/>
      <c r="J44" s="8"/>
      <c r="K44" s="8"/>
      <c r="M44" s="3" t="s">
        <v>83</v>
      </c>
      <c r="O44" s="59"/>
      <c r="P44" s="59"/>
      <c r="Q44" t="s">
        <v>89</v>
      </c>
    </row>
    <row r="45" spans="1:19" ht="15" customHeight="1" x14ac:dyDescent="0.25">
      <c r="A45" s="34"/>
      <c r="B45" s="7" t="s">
        <v>274</v>
      </c>
      <c r="C45" s="5" t="s">
        <v>20</v>
      </c>
      <c r="D45" t="s">
        <v>80</v>
      </c>
      <c r="E45" t="s">
        <v>81</v>
      </c>
      <c r="F45" s="8">
        <f>VLOOKUP(B45,pcgdp_2019USD!$C$2:$D$92,2,FALSE)</f>
        <v>3514.0421682577962</v>
      </c>
      <c r="G45" t="s">
        <v>82</v>
      </c>
      <c r="H45" s="8">
        <v>3515.53</v>
      </c>
      <c r="I45" s="8"/>
      <c r="J45" s="8"/>
      <c r="K45" s="8"/>
      <c r="M45" s="3" t="s">
        <v>83</v>
      </c>
      <c r="O45" s="59"/>
      <c r="P45" s="59"/>
      <c r="Q45" t="s">
        <v>90</v>
      </c>
    </row>
    <row r="46" spans="1:19" ht="15" customHeight="1" x14ac:dyDescent="0.25">
      <c r="A46" s="34"/>
      <c r="B46" s="7" t="s">
        <v>275</v>
      </c>
      <c r="C46" s="5" t="s">
        <v>20</v>
      </c>
      <c r="D46" t="s">
        <v>80</v>
      </c>
      <c r="E46" t="s">
        <v>81</v>
      </c>
      <c r="F46" s="8">
        <f>VLOOKUP(B46,pcgdp_2019USD!$C$2:$D$92,2,FALSE)</f>
        <v>3514.0421682577962</v>
      </c>
      <c r="G46" t="s">
        <v>82</v>
      </c>
      <c r="H46" s="8">
        <v>8156.04</v>
      </c>
      <c r="I46" s="8"/>
      <c r="J46" s="8"/>
      <c r="K46" s="8"/>
      <c r="M46" s="3" t="s">
        <v>83</v>
      </c>
      <c r="O46" s="59"/>
      <c r="P46" s="59"/>
      <c r="Q46" t="s">
        <v>91</v>
      </c>
    </row>
    <row r="47" spans="1:19" ht="15" customHeight="1" x14ac:dyDescent="0.25">
      <c r="A47" s="34"/>
      <c r="B47" s="7" t="s">
        <v>276</v>
      </c>
      <c r="C47" s="5" t="s">
        <v>20</v>
      </c>
      <c r="D47" t="s">
        <v>92</v>
      </c>
      <c r="E47" t="s">
        <v>93</v>
      </c>
      <c r="F47" s="8">
        <f>VLOOKUP(B47,pcgdp_2019USD!$C$2:$D$92,2,FALSE)</f>
        <v>54875.285956335058</v>
      </c>
      <c r="G47" t="s">
        <v>94</v>
      </c>
      <c r="H47" s="8">
        <f>146469-860</f>
        <v>145609</v>
      </c>
      <c r="I47" s="8"/>
      <c r="J47" s="8"/>
      <c r="K47" s="8"/>
      <c r="M47" s="3" t="s">
        <v>13</v>
      </c>
      <c r="O47" s="59" t="s">
        <v>213</v>
      </c>
      <c r="P47" s="9"/>
      <c r="Q47" t="s">
        <v>95</v>
      </c>
      <c r="R47">
        <v>2769</v>
      </c>
      <c r="S47">
        <f>R47/(R47+R48+R49)</f>
        <v>0.10326695010069367</v>
      </c>
    </row>
    <row r="48" spans="1:19" ht="15" customHeight="1" x14ac:dyDescent="0.25">
      <c r="A48" s="34"/>
      <c r="B48" s="7" t="s">
        <v>277</v>
      </c>
      <c r="C48" s="5" t="s">
        <v>20</v>
      </c>
      <c r="D48" t="s">
        <v>92</v>
      </c>
      <c r="E48" t="s">
        <v>93</v>
      </c>
      <c r="F48" s="8">
        <f>VLOOKUP(B48,pcgdp_2019USD!$C$2:$D$92,2,FALSE)</f>
        <v>54875.285956335058</v>
      </c>
      <c r="G48" t="s">
        <v>94</v>
      </c>
      <c r="H48" s="8">
        <f>60876+3657</f>
        <v>64533</v>
      </c>
      <c r="I48" s="8"/>
      <c r="J48" s="8"/>
      <c r="K48" s="8"/>
      <c r="M48" s="3" t="s">
        <v>13</v>
      </c>
      <c r="O48" s="59"/>
      <c r="P48" s="9"/>
      <c r="Q48" t="s">
        <v>96</v>
      </c>
      <c r="R48">
        <v>2302</v>
      </c>
      <c r="S48">
        <f>R48/(R47+R48+R49)</f>
        <v>8.5850675020511677E-2</v>
      </c>
    </row>
    <row r="49" spans="1:19" ht="15" customHeight="1" x14ac:dyDescent="0.25">
      <c r="A49" s="34"/>
      <c r="B49" s="7" t="s">
        <v>278</v>
      </c>
      <c r="C49" s="5" t="s">
        <v>20</v>
      </c>
      <c r="D49" t="s">
        <v>92</v>
      </c>
      <c r="E49" t="s">
        <v>93</v>
      </c>
      <c r="F49" s="8">
        <f>VLOOKUP(B49,pcgdp_2019USD!$C$2:$D$92,2,FALSE)</f>
        <v>54875.285956335058</v>
      </c>
      <c r="G49" t="s">
        <v>94</v>
      </c>
      <c r="H49" s="8">
        <f>15927+995</f>
        <v>16922</v>
      </c>
      <c r="I49" s="8"/>
      <c r="J49" s="8"/>
      <c r="K49" s="8"/>
      <c r="M49" s="3" t="s">
        <v>13</v>
      </c>
      <c r="O49" s="59"/>
      <c r="P49" s="9"/>
      <c r="Q49" t="s">
        <v>97</v>
      </c>
      <c r="R49">
        <v>21743</v>
      </c>
      <c r="S49">
        <f>R49/(R47+R48+R49)</f>
        <v>0.81088237487879467</v>
      </c>
    </row>
    <row r="50" spans="1:19" ht="15" customHeight="1" x14ac:dyDescent="0.25">
      <c r="A50" s="34"/>
      <c r="B50" s="7" t="s">
        <v>279</v>
      </c>
      <c r="C50" s="5" t="s">
        <v>20</v>
      </c>
      <c r="D50" t="s">
        <v>92</v>
      </c>
      <c r="E50" t="s">
        <v>93</v>
      </c>
      <c r="F50" s="8">
        <f>VLOOKUP(B50,pcgdp_2019USD!$C$2:$D$92,2,FALSE)</f>
        <v>54875.285956335058</v>
      </c>
      <c r="G50" t="s">
        <v>94</v>
      </c>
      <c r="H50" s="8">
        <f>H47*S47+H48*S48+H49*S49</f>
        <v>34298.55049600955</v>
      </c>
      <c r="I50" s="8"/>
      <c r="J50" s="8"/>
      <c r="K50" s="8"/>
      <c r="M50" s="3" t="s">
        <v>13</v>
      </c>
      <c r="O50" s="59"/>
      <c r="P50" s="9"/>
      <c r="Q50" t="s">
        <v>98</v>
      </c>
    </row>
    <row r="51" spans="1:19" ht="15" customHeight="1" x14ac:dyDescent="0.25">
      <c r="A51" s="34" t="s">
        <v>154</v>
      </c>
      <c r="B51" s="7" t="s">
        <v>280</v>
      </c>
      <c r="C51" s="5" t="s">
        <v>20</v>
      </c>
      <c r="D51" t="s">
        <v>92</v>
      </c>
      <c r="E51" t="s">
        <v>93</v>
      </c>
      <c r="F51" s="8">
        <f>VLOOKUP(B51,pcgdp_2019USD!$C$2:$D$92,2,FALSE)</f>
        <v>54875.285956335058</v>
      </c>
      <c r="G51" t="s">
        <v>94</v>
      </c>
      <c r="H51" s="8"/>
      <c r="I51" s="37">
        <f>15342+1151</f>
        <v>16493</v>
      </c>
      <c r="J51" s="8"/>
      <c r="K51" s="8"/>
      <c r="L51" s="6" t="s">
        <v>99</v>
      </c>
      <c r="M51" s="3" t="s">
        <v>13</v>
      </c>
      <c r="N51" s="11">
        <v>3.5000000000000003E-2</v>
      </c>
      <c r="O51" s="59" t="s">
        <v>100</v>
      </c>
      <c r="P51" s="9"/>
      <c r="Q51" t="s">
        <v>354</v>
      </c>
    </row>
    <row r="52" spans="1:19" ht="15" customHeight="1" x14ac:dyDescent="0.25">
      <c r="A52" s="34" t="s">
        <v>154</v>
      </c>
      <c r="B52" s="7" t="s">
        <v>281</v>
      </c>
      <c r="C52" s="5" t="s">
        <v>20</v>
      </c>
      <c r="D52" t="s">
        <v>92</v>
      </c>
      <c r="E52" t="s">
        <v>93</v>
      </c>
      <c r="F52" s="8">
        <f>VLOOKUP(B52,pcgdp_2019USD!$C$2:$D$92,2,FALSE)</f>
        <v>54875.285956335058</v>
      </c>
      <c r="G52" t="s">
        <v>94</v>
      </c>
      <c r="H52" s="8"/>
      <c r="I52" s="37">
        <f>3270+1108</f>
        <v>4378</v>
      </c>
      <c r="J52" s="8"/>
      <c r="K52" s="8"/>
      <c r="L52" s="6" t="s">
        <v>99</v>
      </c>
      <c r="M52" s="3" t="s">
        <v>13</v>
      </c>
      <c r="N52" s="11">
        <v>3.5000000000000003E-2</v>
      </c>
      <c r="O52" s="59"/>
      <c r="P52" s="9"/>
      <c r="Q52" t="s">
        <v>355</v>
      </c>
    </row>
    <row r="53" spans="1:19" ht="15" customHeight="1" x14ac:dyDescent="0.25">
      <c r="A53" s="34" t="s">
        <v>154</v>
      </c>
      <c r="B53" s="7" t="s">
        <v>282</v>
      </c>
      <c r="C53" s="5" t="s">
        <v>20</v>
      </c>
      <c r="D53" t="s">
        <v>92</v>
      </c>
      <c r="E53" t="s">
        <v>93</v>
      </c>
      <c r="F53" s="8">
        <f>VLOOKUP(B53,pcgdp_2019USD!$C$2:$D$92,2,FALSE)</f>
        <v>54875.285956335058</v>
      </c>
      <c r="G53" t="s">
        <v>94</v>
      </c>
      <c r="H53" s="8"/>
      <c r="I53" s="37">
        <f>992+829</f>
        <v>1821</v>
      </c>
      <c r="J53" s="8"/>
      <c r="K53" s="8"/>
      <c r="L53" s="6" t="s">
        <v>99</v>
      </c>
      <c r="M53" s="3" t="s">
        <v>13</v>
      </c>
      <c r="N53" s="11">
        <v>3.5000000000000003E-2</v>
      </c>
      <c r="O53" s="59"/>
      <c r="P53" s="9"/>
      <c r="Q53" t="s">
        <v>356</v>
      </c>
    </row>
    <row r="54" spans="1:19" ht="15" customHeight="1" x14ac:dyDescent="0.25">
      <c r="A54" s="34"/>
      <c r="B54" s="52" t="s">
        <v>283</v>
      </c>
      <c r="C54" s="53" t="s">
        <v>20</v>
      </c>
      <c r="D54" t="s">
        <v>92</v>
      </c>
      <c r="E54" s="54" t="s">
        <v>93</v>
      </c>
      <c r="F54" s="37">
        <f>VLOOKUP(B54,pcgdp_2019USD!$C$2:$D$92,2,FALSE)</f>
        <v>54875.285956335058</v>
      </c>
      <c r="G54" s="54" t="s">
        <v>94</v>
      </c>
      <c r="H54" s="37"/>
      <c r="I54" s="37">
        <f>I51*S47+I52*S48+I53*S49</f>
        <v>3555.6528679048261</v>
      </c>
      <c r="J54" s="8"/>
      <c r="K54" s="8"/>
      <c r="L54" s="6" t="s">
        <v>99</v>
      </c>
      <c r="M54" s="3" t="s">
        <v>13</v>
      </c>
      <c r="N54" s="11">
        <v>3.5000000000000003E-2</v>
      </c>
      <c r="O54" s="59"/>
      <c r="P54" s="9"/>
      <c r="Q54" t="s">
        <v>426</v>
      </c>
    </row>
    <row r="55" spans="1:19" ht="15" customHeight="1" x14ac:dyDescent="0.25">
      <c r="A55" s="34"/>
      <c r="B55" s="7" t="s">
        <v>284</v>
      </c>
      <c r="C55" s="5" t="s">
        <v>20</v>
      </c>
      <c r="D55" t="s">
        <v>101</v>
      </c>
      <c r="E55" t="s">
        <v>102</v>
      </c>
      <c r="F55" s="8">
        <f>VLOOKUP(B55,pcgdp_2019USD!$C$2:$D$92,2,FALSE)</f>
        <v>8876.0598358777934</v>
      </c>
      <c r="G55" t="s">
        <v>103</v>
      </c>
      <c r="H55" s="8">
        <v>17395</v>
      </c>
      <c r="I55" s="8"/>
      <c r="J55" s="8"/>
      <c r="K55" s="8"/>
      <c r="M55" s="3" t="s">
        <v>83</v>
      </c>
      <c r="O55" s="59" t="s">
        <v>104</v>
      </c>
      <c r="P55" s="9"/>
      <c r="Q55" t="s">
        <v>327</v>
      </c>
    </row>
    <row r="56" spans="1:19" ht="15" customHeight="1" x14ac:dyDescent="0.25">
      <c r="A56" s="34"/>
      <c r="B56" s="7" t="s">
        <v>285</v>
      </c>
      <c r="C56" s="5" t="s">
        <v>20</v>
      </c>
      <c r="D56" t="s">
        <v>101</v>
      </c>
      <c r="E56" t="s">
        <v>102</v>
      </c>
      <c r="F56" s="8">
        <f>VLOOKUP(B56,pcgdp_2019USD!$C$2:$D$92,2,FALSE)</f>
        <v>8876.0598358777934</v>
      </c>
      <c r="G56" t="s">
        <v>103</v>
      </c>
      <c r="H56" s="8">
        <v>6688</v>
      </c>
      <c r="I56" s="8"/>
      <c r="J56" s="8"/>
      <c r="K56" s="8"/>
      <c r="M56" s="3" t="s">
        <v>83</v>
      </c>
      <c r="O56" s="59"/>
      <c r="P56" s="9"/>
      <c r="Q56" t="s">
        <v>328</v>
      </c>
    </row>
    <row r="57" spans="1:19" ht="15" customHeight="1" x14ac:dyDescent="0.25">
      <c r="A57" s="34"/>
      <c r="B57" s="7" t="s">
        <v>286</v>
      </c>
      <c r="C57" s="5" t="s">
        <v>20</v>
      </c>
      <c r="D57" t="s">
        <v>101</v>
      </c>
      <c r="E57" t="s">
        <v>102</v>
      </c>
      <c r="F57" s="8">
        <f>VLOOKUP(B57,pcgdp_2019USD!$C$2:$D$92,2,FALSE)</f>
        <v>8876.0598358777934</v>
      </c>
      <c r="G57" t="s">
        <v>103</v>
      </c>
      <c r="H57" s="8">
        <v>1120</v>
      </c>
      <c r="I57" s="8"/>
      <c r="J57" s="8"/>
      <c r="K57" s="8"/>
      <c r="M57" s="3" t="s">
        <v>83</v>
      </c>
      <c r="O57" s="59"/>
      <c r="P57" s="9"/>
      <c r="Q57" t="s">
        <v>329</v>
      </c>
    </row>
    <row r="58" spans="1:19" ht="15" customHeight="1" x14ac:dyDescent="0.25">
      <c r="A58" s="34"/>
      <c r="B58" s="7" t="s">
        <v>287</v>
      </c>
      <c r="C58" s="5" t="s">
        <v>20</v>
      </c>
      <c r="D58" t="s">
        <v>101</v>
      </c>
      <c r="E58" t="s">
        <v>102</v>
      </c>
      <c r="F58" s="8">
        <f>VLOOKUP(B58,pcgdp_2019USD!$C$2:$D$92,2,FALSE)</f>
        <v>8876.0598358777934</v>
      </c>
      <c r="G58" t="s">
        <v>103</v>
      </c>
      <c r="H58" s="8">
        <f>0.027*H55+0.524*H56+0.449*H57</f>
        <v>4477.0569999999998</v>
      </c>
      <c r="I58" s="8"/>
      <c r="J58" s="8"/>
      <c r="K58" s="8"/>
      <c r="M58" s="3" t="s">
        <v>83</v>
      </c>
      <c r="O58" s="59"/>
      <c r="P58" s="9"/>
      <c r="Q58" t="s">
        <v>105</v>
      </c>
    </row>
    <row r="59" spans="1:19" ht="15" customHeight="1" x14ac:dyDescent="0.25">
      <c r="A59" s="34" t="s">
        <v>154</v>
      </c>
      <c r="B59" s="7" t="s">
        <v>288</v>
      </c>
      <c r="C59" s="5" t="s">
        <v>20</v>
      </c>
      <c r="D59" t="s">
        <v>106</v>
      </c>
      <c r="E59" t="s">
        <v>107</v>
      </c>
      <c r="F59" s="8">
        <f>VLOOKUP(B59,pcgdp_2019USD!$C$2:$D$92,2,FALSE)</f>
        <v>506.81713913122451</v>
      </c>
      <c r="G59" t="s">
        <v>108</v>
      </c>
      <c r="H59" s="8">
        <v>0</v>
      </c>
      <c r="I59" s="8"/>
      <c r="J59" s="8"/>
      <c r="K59" s="8"/>
      <c r="M59" s="3" t="s">
        <v>13</v>
      </c>
      <c r="O59" s="7" t="s">
        <v>109</v>
      </c>
      <c r="P59" s="7" t="s">
        <v>206</v>
      </c>
      <c r="Q59" t="s">
        <v>110</v>
      </c>
    </row>
    <row r="60" spans="1:19" ht="14.45" customHeight="1" x14ac:dyDescent="0.25">
      <c r="A60" s="34"/>
      <c r="B60" s="52" t="s">
        <v>289</v>
      </c>
      <c r="C60" s="53" t="s">
        <v>20</v>
      </c>
      <c r="D60" t="s">
        <v>106</v>
      </c>
      <c r="E60" s="54" t="s">
        <v>107</v>
      </c>
      <c r="F60" s="37">
        <f>VLOOKUP(B60,pcgdp_2019USD!$C$2:$D$92,2,FALSE)</f>
        <v>506.81713913122451</v>
      </c>
      <c r="G60" s="54" t="s">
        <v>108</v>
      </c>
      <c r="H60" s="37"/>
      <c r="I60" s="37">
        <f>(4145.43+29937.6+49.71+11612.16)/120</f>
        <v>381.20749999999992</v>
      </c>
      <c r="J60" s="37"/>
      <c r="K60" s="8"/>
      <c r="L60" s="6" t="s">
        <v>111</v>
      </c>
      <c r="M60" s="3" t="s">
        <v>13</v>
      </c>
      <c r="O60" s="7" t="s">
        <v>112</v>
      </c>
      <c r="P60" s="7"/>
      <c r="Q60" t="s">
        <v>113</v>
      </c>
    </row>
    <row r="61" spans="1:19" ht="15" customHeight="1" x14ac:dyDescent="0.25">
      <c r="A61" s="34"/>
      <c r="B61" s="7" t="s">
        <v>290</v>
      </c>
      <c r="C61" s="5" t="s">
        <v>20</v>
      </c>
      <c r="D61" t="s">
        <v>114</v>
      </c>
      <c r="E61" t="s">
        <v>115</v>
      </c>
      <c r="F61" s="8">
        <f>VLOOKUP(B61,pcgdp_2019USD!$C$2:$D$92,2,FALSE)</f>
        <v>820.17723928209421</v>
      </c>
      <c r="G61" t="s">
        <v>67</v>
      </c>
      <c r="H61" s="8">
        <v>237.7</v>
      </c>
      <c r="I61" s="8"/>
      <c r="J61" s="8"/>
      <c r="K61" s="8"/>
      <c r="M61" s="3" t="s">
        <v>83</v>
      </c>
      <c r="O61" s="7" t="s">
        <v>217</v>
      </c>
      <c r="P61" s="7"/>
      <c r="Q61" t="s">
        <v>116</v>
      </c>
    </row>
    <row r="62" spans="1:19" ht="15" customHeight="1" x14ac:dyDescent="0.25">
      <c r="A62" s="34" t="s">
        <v>154</v>
      </c>
      <c r="B62" s="7" t="s">
        <v>320</v>
      </c>
      <c r="C62" s="5" t="s">
        <v>20</v>
      </c>
      <c r="D62" s="10" t="s">
        <v>42</v>
      </c>
      <c r="E62" t="s">
        <v>18</v>
      </c>
      <c r="F62" s="8"/>
      <c r="G62" t="s">
        <v>22</v>
      </c>
      <c r="H62" s="8">
        <f>181111-1895</f>
        <v>179216</v>
      </c>
      <c r="I62" s="37">
        <f>190467+12172+4944+1119</f>
        <v>208702</v>
      </c>
      <c r="J62" s="8">
        <f>3325+1328+661+471</f>
        <v>5785</v>
      </c>
      <c r="K62" s="49" t="s">
        <v>351</v>
      </c>
      <c r="L62" s="6" t="s">
        <v>352</v>
      </c>
      <c r="M62" s="3" t="s">
        <v>83</v>
      </c>
      <c r="O62" s="58" t="s">
        <v>319</v>
      </c>
      <c r="P62" s="33"/>
      <c r="Q62" t="s">
        <v>347</v>
      </c>
    </row>
    <row r="63" spans="1:19" ht="15" customHeight="1" x14ac:dyDescent="0.25">
      <c r="A63" s="34" t="s">
        <v>154</v>
      </c>
      <c r="B63" s="7" t="s">
        <v>321</v>
      </c>
      <c r="C63" s="5" t="s">
        <v>20</v>
      </c>
      <c r="D63" s="10" t="s">
        <v>42</v>
      </c>
      <c r="E63" t="s">
        <v>18</v>
      </c>
      <c r="F63" s="8"/>
      <c r="G63" t="s">
        <v>22</v>
      </c>
      <c r="H63" s="8">
        <f>85171-1895</f>
        <v>83276</v>
      </c>
      <c r="I63" s="37">
        <f>94785+7715+2534+490</f>
        <v>105524</v>
      </c>
      <c r="J63" s="8">
        <f>3325+1328+661+471</f>
        <v>5785</v>
      </c>
      <c r="K63" s="49" t="s">
        <v>351</v>
      </c>
      <c r="L63" s="6" t="s">
        <v>352</v>
      </c>
      <c r="M63" s="3" t="s">
        <v>83</v>
      </c>
      <c r="O63" s="58"/>
      <c r="P63" s="33"/>
      <c r="Q63" t="s">
        <v>348</v>
      </c>
    </row>
    <row r="64" spans="1:19" ht="15" customHeight="1" x14ac:dyDescent="0.25">
      <c r="A64" s="34" t="s">
        <v>154</v>
      </c>
      <c r="B64" s="7" t="s">
        <v>322</v>
      </c>
      <c r="C64" s="5" t="s">
        <v>20</v>
      </c>
      <c r="D64" s="10" t="s">
        <v>42</v>
      </c>
      <c r="E64" t="s">
        <v>18</v>
      </c>
      <c r="F64" s="8"/>
      <c r="G64" t="s">
        <v>22</v>
      </c>
      <c r="H64" s="8">
        <f>10855-1895</f>
        <v>8960</v>
      </c>
      <c r="I64" s="37">
        <f>13621+1736+814+643</f>
        <v>16814</v>
      </c>
      <c r="J64" s="8">
        <f>3325+1328+661+471</f>
        <v>5785</v>
      </c>
      <c r="K64" s="49" t="s">
        <v>351</v>
      </c>
      <c r="L64" s="6" t="s">
        <v>352</v>
      </c>
      <c r="M64" s="3" t="s">
        <v>83</v>
      </c>
      <c r="O64" s="58"/>
      <c r="P64" s="33"/>
      <c r="Q64" t="s">
        <v>349</v>
      </c>
    </row>
    <row r="65" spans="1:19" ht="15" customHeight="1" thickBot="1" x14ac:dyDescent="0.3">
      <c r="A65" s="34"/>
      <c r="B65" s="52" t="s">
        <v>323</v>
      </c>
      <c r="C65" s="53" t="s">
        <v>20</v>
      </c>
      <c r="D65" s="10" t="s">
        <v>42</v>
      </c>
      <c r="E65" s="54" t="s">
        <v>18</v>
      </c>
      <c r="F65" s="37">
        <v>65094.799428792903</v>
      </c>
      <c r="G65" s="54" t="s">
        <v>22</v>
      </c>
      <c r="H65" s="37">
        <v>1895</v>
      </c>
      <c r="I65" s="37">
        <f>I62*S47+I63*S48+I64*S49</f>
        <v>44245.501901991498</v>
      </c>
      <c r="J65" s="37">
        <f>3325+1328+661+471</f>
        <v>5785</v>
      </c>
      <c r="K65" s="8"/>
      <c r="L65" s="6" t="s">
        <v>352</v>
      </c>
      <c r="M65" s="3" t="s">
        <v>83</v>
      </c>
      <c r="O65" s="58"/>
      <c r="P65" s="33"/>
      <c r="Q65" s="26" t="s">
        <v>425</v>
      </c>
    </row>
    <row r="66" spans="1:19" ht="15" customHeight="1" thickBot="1" x14ac:dyDescent="0.3">
      <c r="A66" s="35" t="s">
        <v>154</v>
      </c>
      <c r="B66" s="30" t="s">
        <v>325</v>
      </c>
      <c r="C66" s="25" t="s">
        <v>20</v>
      </c>
      <c r="D66" s="50" t="s">
        <v>42</v>
      </c>
      <c r="E66" s="26" t="s">
        <v>18</v>
      </c>
      <c r="F66" s="27">
        <v>65094.799428792903</v>
      </c>
      <c r="G66" s="26" t="s">
        <v>22</v>
      </c>
      <c r="H66" s="27">
        <f>H62*S47+H63*S48+H64*S49</f>
        <v>32921.896621168045</v>
      </c>
      <c r="I66" s="27">
        <f>3325+1328+661+471</f>
        <v>5785</v>
      </c>
      <c r="J66" s="27"/>
      <c r="K66" s="27"/>
      <c r="L66" s="29" t="s">
        <v>352</v>
      </c>
      <c r="M66" s="28" t="s">
        <v>83</v>
      </c>
      <c r="N66" s="28"/>
      <c r="O66" s="60"/>
      <c r="P66" s="51"/>
      <c r="Q66" s="26" t="s">
        <v>350</v>
      </c>
      <c r="R66" s="26"/>
      <c r="S66" s="26"/>
    </row>
    <row r="67" spans="1:19" ht="15" customHeight="1" x14ac:dyDescent="0.25">
      <c r="A67" s="4"/>
      <c r="B67" s="24"/>
      <c r="C67" s="24" t="s">
        <v>120</v>
      </c>
      <c r="F67" s="8"/>
      <c r="H67" s="8"/>
      <c r="I67" s="8"/>
      <c r="J67" s="8"/>
      <c r="K67" s="8"/>
      <c r="N67" s="11"/>
      <c r="O67" s="15"/>
      <c r="P67" s="15"/>
    </row>
    <row r="68" spans="1:19" ht="15" customHeight="1" x14ac:dyDescent="0.25">
      <c r="A68" s="34"/>
      <c r="B68" s="5"/>
      <c r="C68" s="5" t="s">
        <v>121</v>
      </c>
      <c r="F68" s="8"/>
      <c r="H68" s="8"/>
      <c r="I68" s="8"/>
      <c r="J68" s="8"/>
      <c r="K68" s="8"/>
      <c r="N68" s="11"/>
      <c r="O68" s="15"/>
      <c r="P68" s="15"/>
    </row>
    <row r="69" spans="1:19" ht="14.45" customHeight="1" x14ac:dyDescent="0.25">
      <c r="A69" s="34"/>
      <c r="B69" s="53" t="s">
        <v>305</v>
      </c>
      <c r="C69" s="54" t="s">
        <v>122</v>
      </c>
      <c r="D69" t="s">
        <v>123</v>
      </c>
      <c r="E69" s="54" t="s">
        <v>124</v>
      </c>
      <c r="F69" s="37">
        <f>VLOOKUP(B69,pcgdp_2019USD!$C$2:$D$92,2,FALSE)</f>
        <v>2229.8586518612992</v>
      </c>
      <c r="G69" s="54" t="s">
        <v>37</v>
      </c>
      <c r="H69" s="37"/>
      <c r="I69" s="37">
        <v>25.38</v>
      </c>
      <c r="J69" s="8"/>
      <c r="K69" s="8"/>
      <c r="L69" s="6" t="s">
        <v>125</v>
      </c>
      <c r="M69" s="3" t="s">
        <v>83</v>
      </c>
      <c r="N69" s="11"/>
      <c r="O69" s="12" t="s">
        <v>337</v>
      </c>
      <c r="P69" s="12"/>
      <c r="Q69" t="s">
        <v>126</v>
      </c>
    </row>
    <row r="70" spans="1:19" ht="14.45" customHeight="1" x14ac:dyDescent="0.25">
      <c r="A70" s="34" t="s">
        <v>154</v>
      </c>
      <c r="B70" s="5" t="s">
        <v>306</v>
      </c>
      <c r="C70" t="s">
        <v>122</v>
      </c>
      <c r="D70" t="s">
        <v>127</v>
      </c>
      <c r="E70" t="s">
        <v>128</v>
      </c>
      <c r="F70" s="8">
        <f>VLOOKUP(B70,pcgdp_2019USD!$C$2:$D$92,2,FALSE)</f>
        <v>59775.735096451463</v>
      </c>
      <c r="G70" t="s">
        <v>129</v>
      </c>
      <c r="H70" s="8"/>
      <c r="I70" s="37">
        <v>66155</v>
      </c>
      <c r="J70" s="8"/>
      <c r="K70" s="8"/>
      <c r="L70" s="6" t="s">
        <v>63</v>
      </c>
      <c r="M70" s="3" t="s">
        <v>13</v>
      </c>
      <c r="N70" s="11">
        <v>0.05</v>
      </c>
      <c r="O70" s="15" t="s">
        <v>130</v>
      </c>
      <c r="P70" s="15"/>
      <c r="Q70" s="5" t="s">
        <v>131</v>
      </c>
    </row>
    <row r="71" spans="1:19" ht="14.45" customHeight="1" x14ac:dyDescent="0.25">
      <c r="A71" s="34" t="s">
        <v>154</v>
      </c>
      <c r="B71" s="5" t="s">
        <v>307</v>
      </c>
      <c r="C71" s="5" t="s">
        <v>122</v>
      </c>
      <c r="D71" t="s">
        <v>127</v>
      </c>
      <c r="E71" t="s">
        <v>128</v>
      </c>
      <c r="F71" s="8">
        <f>VLOOKUP(B71,pcgdp_2019USD!$C$2:$D$92,2,FALSE)</f>
        <v>59775.735096451463</v>
      </c>
      <c r="G71" t="s">
        <v>129</v>
      </c>
      <c r="H71" s="8"/>
      <c r="I71" s="37">
        <v>65258</v>
      </c>
      <c r="J71" s="8"/>
      <c r="K71" s="8"/>
      <c r="L71" s="6" t="s">
        <v>63</v>
      </c>
      <c r="M71" s="3" t="s">
        <v>13</v>
      </c>
      <c r="N71" s="11">
        <v>0.05</v>
      </c>
      <c r="O71" s="15" t="s">
        <v>130</v>
      </c>
      <c r="P71" s="15"/>
      <c r="Q71" s="5" t="s">
        <v>132</v>
      </c>
    </row>
    <row r="72" spans="1:19" ht="14.45" customHeight="1" x14ac:dyDescent="0.25">
      <c r="A72" s="34"/>
      <c r="B72" s="53" t="s">
        <v>308</v>
      </c>
      <c r="C72" s="53" t="s">
        <v>122</v>
      </c>
      <c r="D72" t="s">
        <v>127</v>
      </c>
      <c r="E72" s="54" t="s">
        <v>128</v>
      </c>
      <c r="F72" s="37">
        <f>VLOOKUP(B72,pcgdp_2019USD!$C$2:$D$92,2,FALSE)</f>
        <v>59775.735096451463</v>
      </c>
      <c r="G72" s="54" t="s">
        <v>129</v>
      </c>
      <c r="H72" s="37"/>
      <c r="I72" s="37">
        <f>AVERAGE(I70:I71)</f>
        <v>65706.5</v>
      </c>
      <c r="J72" s="8"/>
      <c r="K72" s="8"/>
      <c r="L72" s="6" t="s">
        <v>63</v>
      </c>
      <c r="M72" s="3" t="s">
        <v>13</v>
      </c>
      <c r="N72" s="11">
        <v>0.05</v>
      </c>
      <c r="O72" s="15" t="s">
        <v>130</v>
      </c>
      <c r="P72" s="15"/>
      <c r="Q72" s="5" t="s">
        <v>133</v>
      </c>
    </row>
    <row r="73" spans="1:19" ht="14.45" customHeight="1" x14ac:dyDescent="0.25">
      <c r="A73" s="34"/>
      <c r="B73" s="53" t="s">
        <v>309</v>
      </c>
      <c r="C73" s="53" t="s">
        <v>122</v>
      </c>
      <c r="D73" t="s">
        <v>134</v>
      </c>
      <c r="E73" s="54" t="s">
        <v>135</v>
      </c>
      <c r="F73" s="37">
        <f>VLOOKUP(B73,pcgdp_2019USD!$C$2:$D$92,2,FALSE)</f>
        <v>52476.273253332707</v>
      </c>
      <c r="G73" s="54" t="s">
        <v>136</v>
      </c>
      <c r="H73" s="37"/>
      <c r="I73" s="37">
        <v>5296</v>
      </c>
      <c r="J73" s="8"/>
      <c r="K73" s="8"/>
      <c r="L73" s="6" t="s">
        <v>137</v>
      </c>
      <c r="M73" s="3" t="s">
        <v>83</v>
      </c>
      <c r="N73" s="11"/>
      <c r="O73" s="12" t="s">
        <v>138</v>
      </c>
      <c r="P73" s="12"/>
      <c r="Q73" t="s">
        <v>139</v>
      </c>
    </row>
    <row r="74" spans="1:19" ht="15" customHeight="1" x14ac:dyDescent="0.25">
      <c r="A74" s="34"/>
      <c r="B74" s="54" t="s">
        <v>310</v>
      </c>
      <c r="C74" s="54" t="s">
        <v>122</v>
      </c>
      <c r="D74" t="s">
        <v>140</v>
      </c>
      <c r="E74" s="54" t="s">
        <v>93</v>
      </c>
      <c r="F74" s="37">
        <f>VLOOKUP(B74,pcgdp_2019USD!$C$2:$D$92,2,FALSE)</f>
        <v>54875.285956335058</v>
      </c>
      <c r="G74" s="54" t="s">
        <v>141</v>
      </c>
      <c r="H74" s="37"/>
      <c r="I74" s="37">
        <v>1197</v>
      </c>
      <c r="J74" s="8"/>
      <c r="K74" s="8"/>
      <c r="L74" s="6" t="s">
        <v>137</v>
      </c>
      <c r="M74" s="3" t="s">
        <v>13</v>
      </c>
      <c r="N74" s="11"/>
      <c r="O74" s="15" t="s">
        <v>142</v>
      </c>
      <c r="P74" s="15"/>
      <c r="Q74" t="s">
        <v>338</v>
      </c>
    </row>
    <row r="75" spans="1:19" ht="15" customHeight="1" x14ac:dyDescent="0.25">
      <c r="A75" s="34"/>
      <c r="B75" s="54" t="s">
        <v>311</v>
      </c>
      <c r="C75" s="54" t="s">
        <v>122</v>
      </c>
      <c r="D75" s="16" t="s">
        <v>143</v>
      </c>
      <c r="E75" s="54" t="s">
        <v>18</v>
      </c>
      <c r="F75" s="37">
        <f>VLOOKUP(B75,pcgdp_2019USD!$C$2:$D$92,2,FALSE)</f>
        <v>65094.799428792903</v>
      </c>
      <c r="G75" s="54" t="s">
        <v>144</v>
      </c>
      <c r="H75" s="37"/>
      <c r="I75" s="37">
        <f>921000 * (1175/11470)</f>
        <v>94348.299912816045</v>
      </c>
      <c r="J75" s="8"/>
      <c r="L75" s="6" t="s">
        <v>63</v>
      </c>
      <c r="M75" s="3" t="s">
        <v>13</v>
      </c>
      <c r="N75" s="11">
        <v>0.03</v>
      </c>
      <c r="O75" s="12" t="s">
        <v>145</v>
      </c>
      <c r="P75" s="12"/>
      <c r="Q75" t="s">
        <v>146</v>
      </c>
      <c r="R75" s="5"/>
    </row>
    <row r="76" spans="1:19" ht="14.45" customHeight="1" x14ac:dyDescent="0.25">
      <c r="A76" s="34"/>
      <c r="B76" s="53" t="s">
        <v>312</v>
      </c>
      <c r="C76" s="53" t="s">
        <v>122</v>
      </c>
      <c r="D76" s="16" t="s">
        <v>147</v>
      </c>
      <c r="E76" s="54" t="s">
        <v>18</v>
      </c>
      <c r="F76" s="37">
        <f>VLOOKUP(B76,pcgdp_2019USD!$C$2:$D$92,2,FALSE)</f>
        <v>65094.799428792903</v>
      </c>
      <c r="G76" s="54" t="s">
        <v>22</v>
      </c>
      <c r="H76" s="37"/>
      <c r="I76" s="37">
        <f>16721</f>
        <v>16721</v>
      </c>
      <c r="J76" s="8">
        <v>1674</v>
      </c>
      <c r="K76" s="8" t="s">
        <v>405</v>
      </c>
      <c r="L76" s="6" t="s">
        <v>137</v>
      </c>
      <c r="M76" s="3" t="s">
        <v>83</v>
      </c>
      <c r="N76" s="11"/>
      <c r="O76" s="12" t="s">
        <v>148</v>
      </c>
      <c r="P76" s="12"/>
      <c r="Q76" t="s">
        <v>423</v>
      </c>
      <c r="R76" s="5"/>
    </row>
    <row r="77" spans="1:19" ht="15" customHeight="1" thickBot="1" x14ac:dyDescent="0.3">
      <c r="A77" s="35"/>
      <c r="B77" s="56" t="s">
        <v>313</v>
      </c>
      <c r="C77" s="56" t="s">
        <v>122</v>
      </c>
      <c r="D77" s="26" t="s">
        <v>149</v>
      </c>
      <c r="E77" s="56" t="s">
        <v>150</v>
      </c>
      <c r="F77" s="57">
        <f>VLOOKUP(B77,pcgdp_2019USD!$C$2:$D$92,2,FALSE)</f>
        <v>31902.41690481942</v>
      </c>
      <c r="G77" s="56" t="s">
        <v>151</v>
      </c>
      <c r="H77" s="57"/>
      <c r="I77" s="57">
        <f>26383+14579</f>
        <v>40962</v>
      </c>
      <c r="J77" s="27">
        <v>14579</v>
      </c>
      <c r="K77" s="27" t="s">
        <v>342</v>
      </c>
      <c r="L77" s="29" t="s">
        <v>63</v>
      </c>
      <c r="M77" s="28" t="s">
        <v>83</v>
      </c>
      <c r="N77" s="31">
        <v>0.03</v>
      </c>
      <c r="O77" s="32" t="s">
        <v>152</v>
      </c>
      <c r="P77" s="32"/>
      <c r="Q77" s="26" t="s">
        <v>339</v>
      </c>
      <c r="R77" s="26"/>
      <c r="S77" s="26"/>
    </row>
  </sheetData>
  <autoFilter ref="A2:S77" xr:uid="{09BFC01B-D953-4034-8A76-E4671AAB8450}"/>
  <mergeCells count="11">
    <mergeCell ref="O11:O14"/>
    <mergeCell ref="O15:O26"/>
    <mergeCell ref="O28:O30"/>
    <mergeCell ref="P40:P46"/>
    <mergeCell ref="O62:O66"/>
    <mergeCell ref="O47:O50"/>
    <mergeCell ref="O51:O54"/>
    <mergeCell ref="O55:O58"/>
    <mergeCell ref="O31:O33"/>
    <mergeCell ref="O35:O38"/>
    <mergeCell ref="O39:O46"/>
  </mergeCells>
  <phoneticPr fontId="7" type="noConversion"/>
  <hyperlinks>
    <hyperlink ref="D77" r:id="rId1" xr:uid="{00000000-0004-0000-0400-000000000000}"/>
    <hyperlink ref="D75" r:id="rId2" display="CDC" xr:uid="{00000000-0004-0000-0400-000001000000}"/>
    <hyperlink ref="D76" r:id="rId3" xr:uid="{00000000-0004-0000-0400-000002000000}"/>
  </hyperlinks>
  <pageMargins left="0.7" right="0.7" top="0.75" bottom="0.75" header="0.3" footer="0.3"/>
  <pageSetup orientation="landscape" horizontalDpi="4294967295" verticalDpi="4294967295"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86A3F-CC75-4A2F-9C7C-582EA5D834E8}">
  <dimension ref="A1:O29"/>
  <sheetViews>
    <sheetView zoomScale="130" zoomScaleNormal="130" workbookViewId="0"/>
  </sheetViews>
  <sheetFormatPr defaultRowHeight="15" x14ac:dyDescent="0.25"/>
  <cols>
    <col min="1" max="1" width="30.140625" bestFit="1" customWidth="1"/>
    <col min="2" max="2" width="14.42578125" style="7" bestFit="1" customWidth="1"/>
    <col min="3" max="3" width="8.28515625" customWidth="1"/>
    <col min="4" max="4" width="8.7109375" bestFit="1" customWidth="1"/>
    <col min="5" max="5" width="13.140625" bestFit="1" customWidth="1"/>
    <col min="6" max="6" width="9.85546875" bestFit="1" customWidth="1"/>
    <col min="7" max="7" width="12.5703125" bestFit="1" customWidth="1"/>
    <col min="8" max="9" width="10.85546875" bestFit="1" customWidth="1"/>
    <col min="10" max="10" width="8.7109375" customWidth="1"/>
    <col min="12" max="12" width="11.42578125" bestFit="1" customWidth="1"/>
    <col min="15" max="15" width="5.5703125" customWidth="1"/>
  </cols>
  <sheetData>
    <row r="1" spans="1:10" x14ac:dyDescent="0.25">
      <c r="A1" t="s">
        <v>415</v>
      </c>
      <c r="B1" s="7" t="s">
        <v>427</v>
      </c>
      <c r="C1" t="s">
        <v>420</v>
      </c>
      <c r="D1" t="s">
        <v>333</v>
      </c>
      <c r="E1" t="s">
        <v>406</v>
      </c>
      <c r="F1" t="s">
        <v>407</v>
      </c>
      <c r="G1" t="s">
        <v>417</v>
      </c>
      <c r="H1" t="s">
        <v>418</v>
      </c>
      <c r="I1" t="s">
        <v>419</v>
      </c>
      <c r="J1" t="s">
        <v>431</v>
      </c>
    </row>
    <row r="2" spans="1:10" x14ac:dyDescent="0.25">
      <c r="A2" t="s">
        <v>408</v>
      </c>
      <c r="B2" s="7" t="s">
        <v>428</v>
      </c>
      <c r="C2" t="s">
        <v>421</v>
      </c>
      <c r="D2" t="s">
        <v>153</v>
      </c>
      <c r="E2" s="38">
        <v>68898706</v>
      </c>
      <c r="F2" s="38">
        <v>9208295</v>
      </c>
      <c r="G2" s="8">
        <f>(F2*1000)/E2</f>
        <v>133.6497524351183</v>
      </c>
      <c r="H2" s="38">
        <v>35935014</v>
      </c>
      <c r="I2" s="38">
        <f>(H2*1000)/E2</f>
        <v>521.56297391129522</v>
      </c>
      <c r="J2">
        <v>1000</v>
      </c>
    </row>
    <row r="3" spans="1:10" x14ac:dyDescent="0.25">
      <c r="A3" t="s">
        <v>409</v>
      </c>
      <c r="B3" s="7" t="s">
        <v>429</v>
      </c>
      <c r="C3" t="s">
        <v>421</v>
      </c>
      <c r="D3" t="s">
        <v>153</v>
      </c>
      <c r="E3" s="38">
        <v>36764655</v>
      </c>
      <c r="F3" s="38">
        <v>2190543</v>
      </c>
      <c r="G3" s="8">
        <f t="shared" ref="G3:G29" si="0">(F3*1000)/E3</f>
        <v>59.582852062667257</v>
      </c>
      <c r="H3" s="38">
        <v>8548508</v>
      </c>
      <c r="I3" s="38">
        <f t="shared" ref="I3:I9" si="1">(H3*1000)/E3</f>
        <v>232.51973940731935</v>
      </c>
      <c r="J3">
        <v>1000</v>
      </c>
    </row>
    <row r="4" spans="1:10" x14ac:dyDescent="0.25">
      <c r="A4" t="s">
        <v>410</v>
      </c>
      <c r="B4" s="7" t="s">
        <v>429</v>
      </c>
      <c r="C4" t="s">
        <v>421</v>
      </c>
      <c r="D4" t="s">
        <v>153</v>
      </c>
      <c r="E4" s="38">
        <v>35539165</v>
      </c>
      <c r="F4" s="38">
        <v>415715</v>
      </c>
      <c r="G4" s="8">
        <f t="shared" si="0"/>
        <v>11.697376682879296</v>
      </c>
      <c r="H4" s="38">
        <v>1622312</v>
      </c>
      <c r="I4" s="38">
        <f t="shared" si="1"/>
        <v>45.648568276716688</v>
      </c>
      <c r="J4">
        <v>1000</v>
      </c>
    </row>
    <row r="5" spans="1:10" x14ac:dyDescent="0.25">
      <c r="A5" t="s">
        <v>416</v>
      </c>
      <c r="B5" s="7" t="s">
        <v>429</v>
      </c>
      <c r="C5" t="s">
        <v>421</v>
      </c>
      <c r="D5" t="s">
        <v>153</v>
      </c>
      <c r="E5" s="38">
        <v>15474150</v>
      </c>
      <c r="F5" s="38">
        <v>841129</v>
      </c>
      <c r="G5" s="8">
        <f t="shared" si="0"/>
        <v>54.357040612893115</v>
      </c>
      <c r="H5" s="38">
        <v>3282472</v>
      </c>
      <c r="I5" s="38">
        <f t="shared" si="1"/>
        <v>212.12615878739706</v>
      </c>
      <c r="J5">
        <v>1000</v>
      </c>
    </row>
    <row r="6" spans="1:10" x14ac:dyDescent="0.25">
      <c r="A6" t="s">
        <v>411</v>
      </c>
      <c r="B6" s="7" t="s">
        <v>429</v>
      </c>
      <c r="C6" t="s">
        <v>421</v>
      </c>
      <c r="D6" t="s">
        <v>153</v>
      </c>
      <c r="E6" s="38">
        <v>91389297</v>
      </c>
      <c r="F6" s="38">
        <v>1559616</v>
      </c>
      <c r="G6" s="8">
        <f t="shared" si="0"/>
        <v>17.065630781687705</v>
      </c>
      <c r="H6" s="38">
        <v>6086341</v>
      </c>
      <c r="I6" s="38">
        <f t="shared" si="1"/>
        <v>66.597962778945544</v>
      </c>
      <c r="J6">
        <v>1000</v>
      </c>
    </row>
    <row r="7" spans="1:10" x14ac:dyDescent="0.25">
      <c r="A7" t="s">
        <v>412</v>
      </c>
      <c r="B7" s="7" t="s">
        <v>429</v>
      </c>
      <c r="C7" t="s">
        <v>421</v>
      </c>
      <c r="D7" t="s">
        <v>153</v>
      </c>
      <c r="E7" s="38">
        <v>35044078</v>
      </c>
      <c r="F7" s="38">
        <v>1087243</v>
      </c>
      <c r="G7" s="8">
        <f t="shared" si="0"/>
        <v>31.025013698462832</v>
      </c>
      <c r="H7" s="38">
        <v>4242923</v>
      </c>
      <c r="I7" s="38">
        <f t="shared" si="1"/>
        <v>121.07389442518648</v>
      </c>
      <c r="J7">
        <v>1000</v>
      </c>
    </row>
    <row r="8" spans="1:10" x14ac:dyDescent="0.25">
      <c r="A8" t="s">
        <v>413</v>
      </c>
      <c r="B8" s="7" t="s">
        <v>429</v>
      </c>
      <c r="C8" t="s">
        <v>421</v>
      </c>
      <c r="D8" t="s">
        <v>153</v>
      </c>
      <c r="E8" s="38">
        <v>34026666</v>
      </c>
      <c r="F8" s="38">
        <v>1578553</v>
      </c>
      <c r="G8" s="8">
        <f t="shared" si="0"/>
        <v>46.391644717704636</v>
      </c>
      <c r="H8" s="38">
        <v>6160242</v>
      </c>
      <c r="I8" s="38">
        <f t="shared" si="1"/>
        <v>181.04159837463948</v>
      </c>
      <c r="J8">
        <v>1000</v>
      </c>
    </row>
    <row r="9" spans="1:10" x14ac:dyDescent="0.25">
      <c r="A9" t="s">
        <v>414</v>
      </c>
      <c r="B9" s="7" t="s">
        <v>429</v>
      </c>
      <c r="C9" t="s">
        <v>421</v>
      </c>
      <c r="D9" t="s">
        <v>153</v>
      </c>
      <c r="E9" s="38">
        <v>105086625</v>
      </c>
      <c r="F9" s="38">
        <v>4604395</v>
      </c>
      <c r="G9" s="8">
        <f t="shared" si="0"/>
        <v>43.815233384838457</v>
      </c>
      <c r="H9" s="38">
        <v>17968474</v>
      </c>
      <c r="I9" s="38">
        <f t="shared" si="1"/>
        <v>170.98725932058431</v>
      </c>
      <c r="J9">
        <v>1000</v>
      </c>
    </row>
    <row r="10" spans="1:10" x14ac:dyDescent="0.25">
      <c r="A10" t="s">
        <v>11</v>
      </c>
      <c r="B10" s="7" t="s">
        <v>430</v>
      </c>
      <c r="C10" t="s">
        <v>421</v>
      </c>
      <c r="D10" t="s">
        <v>153</v>
      </c>
      <c r="E10" s="38">
        <v>101506695</v>
      </c>
      <c r="F10" s="38">
        <v>4330031</v>
      </c>
      <c r="G10" s="8">
        <f t="shared" si="0"/>
        <v>42.657590221019412</v>
      </c>
      <c r="J10">
        <v>1000</v>
      </c>
    </row>
    <row r="11" spans="1:10" x14ac:dyDescent="0.25">
      <c r="A11" t="s">
        <v>11</v>
      </c>
      <c r="B11" s="7" t="s">
        <v>430</v>
      </c>
      <c r="C11" t="s">
        <v>422</v>
      </c>
      <c r="D11" t="s">
        <v>153</v>
      </c>
      <c r="E11" s="38">
        <v>2629638</v>
      </c>
      <c r="F11" s="38">
        <v>7860592</v>
      </c>
      <c r="G11" s="8">
        <f t="shared" si="0"/>
        <v>2989.2296962547698</v>
      </c>
      <c r="J11">
        <v>1000</v>
      </c>
    </row>
    <row r="12" spans="1:10" x14ac:dyDescent="0.25">
      <c r="A12" t="s">
        <v>160</v>
      </c>
      <c r="B12" s="7" t="s">
        <v>430</v>
      </c>
      <c r="C12" t="s">
        <v>421</v>
      </c>
      <c r="D12" t="s">
        <v>153</v>
      </c>
      <c r="E12" s="38">
        <v>21031484</v>
      </c>
      <c r="F12" s="38">
        <v>3483996</v>
      </c>
      <c r="G12" s="8">
        <f t="shared" si="0"/>
        <v>165.65621332284493</v>
      </c>
      <c r="J12">
        <v>1000</v>
      </c>
    </row>
    <row r="13" spans="1:10" x14ac:dyDescent="0.25">
      <c r="A13" t="s">
        <v>160</v>
      </c>
      <c r="B13" s="7" t="s">
        <v>430</v>
      </c>
      <c r="C13" t="s">
        <v>422</v>
      </c>
      <c r="D13" t="s">
        <v>153</v>
      </c>
      <c r="E13" s="38">
        <v>347840</v>
      </c>
      <c r="F13" s="38">
        <v>4037850</v>
      </c>
      <c r="G13" s="8">
        <f t="shared" si="0"/>
        <v>11608.354415823367</v>
      </c>
      <c r="J13">
        <v>1000</v>
      </c>
    </row>
    <row r="14" spans="1:10" x14ac:dyDescent="0.25">
      <c r="A14" t="s">
        <v>157</v>
      </c>
      <c r="B14" s="7" t="s">
        <v>430</v>
      </c>
      <c r="C14" t="s">
        <v>421</v>
      </c>
      <c r="D14" t="s">
        <v>153</v>
      </c>
      <c r="E14" s="38">
        <v>72345713</v>
      </c>
      <c r="F14" s="38">
        <v>1302906</v>
      </c>
      <c r="G14" s="8">
        <f t="shared" si="0"/>
        <v>18.009443075085873</v>
      </c>
      <c r="J14">
        <v>1000</v>
      </c>
    </row>
    <row r="15" spans="1:10" x14ac:dyDescent="0.25">
      <c r="A15" t="s">
        <v>157</v>
      </c>
      <c r="B15" s="7" t="s">
        <v>430</v>
      </c>
      <c r="C15" t="s">
        <v>422</v>
      </c>
      <c r="D15" t="s">
        <v>153</v>
      </c>
      <c r="E15" s="38">
        <v>5020742</v>
      </c>
      <c r="F15" s="38">
        <v>6336233</v>
      </c>
      <c r="G15" s="8">
        <f t="shared" si="0"/>
        <v>1262.0112724374205</v>
      </c>
      <c r="J15">
        <v>1000</v>
      </c>
    </row>
    <row r="16" spans="1:10" x14ac:dyDescent="0.25">
      <c r="A16" t="s">
        <v>158</v>
      </c>
      <c r="B16" s="7" t="s">
        <v>430</v>
      </c>
      <c r="C16" t="s">
        <v>421</v>
      </c>
      <c r="D16" t="s">
        <v>153</v>
      </c>
      <c r="E16" s="38">
        <v>11394023</v>
      </c>
      <c r="F16" s="38">
        <v>1255338</v>
      </c>
      <c r="G16" s="8">
        <f t="shared" si="0"/>
        <v>110.17513305002105</v>
      </c>
      <c r="J16">
        <v>1000</v>
      </c>
    </row>
    <row r="17" spans="1:15" x14ac:dyDescent="0.25">
      <c r="A17" t="s">
        <v>332</v>
      </c>
      <c r="B17" s="7" t="s">
        <v>430</v>
      </c>
      <c r="C17" t="s">
        <v>421</v>
      </c>
      <c r="D17" t="s">
        <v>153</v>
      </c>
      <c r="E17" s="38">
        <v>13889037</v>
      </c>
      <c r="F17" s="38">
        <v>1002533</v>
      </c>
      <c r="G17" s="8">
        <f t="shared" si="0"/>
        <v>72.1816062553509</v>
      </c>
      <c r="J17">
        <v>1000</v>
      </c>
    </row>
    <row r="18" spans="1:15" x14ac:dyDescent="0.25">
      <c r="A18" t="s">
        <v>332</v>
      </c>
      <c r="B18" s="7" t="s">
        <v>430</v>
      </c>
      <c r="C18" t="s">
        <v>422</v>
      </c>
      <c r="D18" t="s">
        <v>153</v>
      </c>
      <c r="E18" s="38">
        <v>247568</v>
      </c>
      <c r="F18" s="38">
        <v>1252230</v>
      </c>
      <c r="G18" s="8">
        <f t="shared" si="0"/>
        <v>5058.1254443223679</v>
      </c>
      <c r="J18">
        <v>1000</v>
      </c>
    </row>
    <row r="19" spans="1:15" x14ac:dyDescent="0.25">
      <c r="A19" t="s">
        <v>156</v>
      </c>
      <c r="B19" s="7" t="s">
        <v>430</v>
      </c>
      <c r="C19" t="s">
        <v>421</v>
      </c>
      <c r="D19" t="s">
        <v>153</v>
      </c>
      <c r="E19" s="38">
        <v>6303835</v>
      </c>
      <c r="F19" s="38">
        <v>881640</v>
      </c>
      <c r="G19" s="8">
        <f t="shared" si="0"/>
        <v>139.85772152983066</v>
      </c>
      <c r="J19">
        <v>1000</v>
      </c>
    </row>
    <row r="20" spans="1:15" x14ac:dyDescent="0.25">
      <c r="A20" t="s">
        <v>102</v>
      </c>
      <c r="B20" s="7" t="s">
        <v>430</v>
      </c>
      <c r="C20" t="s">
        <v>421</v>
      </c>
      <c r="D20" t="s">
        <v>153</v>
      </c>
      <c r="E20" s="38">
        <v>12264855</v>
      </c>
      <c r="F20" s="38">
        <v>557239</v>
      </c>
      <c r="G20" s="8">
        <f t="shared" si="0"/>
        <v>45.433802519475364</v>
      </c>
      <c r="J20">
        <v>1000</v>
      </c>
    </row>
    <row r="21" spans="1:15" x14ac:dyDescent="0.25">
      <c r="A21" t="s">
        <v>155</v>
      </c>
      <c r="B21" s="7" t="s">
        <v>430</v>
      </c>
      <c r="C21" t="s">
        <v>421</v>
      </c>
      <c r="D21" t="s">
        <v>153</v>
      </c>
      <c r="E21" s="38">
        <v>4263834</v>
      </c>
      <c r="F21" s="38">
        <v>498841</v>
      </c>
      <c r="G21" s="8">
        <f t="shared" si="0"/>
        <v>116.99353211217885</v>
      </c>
      <c r="J21">
        <v>1000</v>
      </c>
    </row>
    <row r="22" spans="1:15" x14ac:dyDescent="0.25">
      <c r="A22" t="s">
        <v>334</v>
      </c>
      <c r="B22" s="7" t="s">
        <v>430</v>
      </c>
      <c r="C22" t="s">
        <v>421</v>
      </c>
      <c r="D22" t="s">
        <v>153</v>
      </c>
      <c r="E22" s="38">
        <v>4653018</v>
      </c>
      <c r="F22" s="38">
        <v>494901</v>
      </c>
      <c r="G22" s="8">
        <f t="shared" si="0"/>
        <v>106.36129067198966</v>
      </c>
      <c r="J22">
        <v>1000</v>
      </c>
    </row>
    <row r="23" spans="1:15" x14ac:dyDescent="0.25">
      <c r="A23" t="s">
        <v>159</v>
      </c>
      <c r="B23" s="7" t="s">
        <v>430</v>
      </c>
      <c r="C23" t="s">
        <v>421</v>
      </c>
      <c r="D23" t="s">
        <v>153</v>
      </c>
      <c r="E23" s="38">
        <v>4024012</v>
      </c>
      <c r="F23" s="38">
        <v>492491</v>
      </c>
      <c r="G23" s="8">
        <f t="shared" si="0"/>
        <v>122.38805450878377</v>
      </c>
      <c r="J23">
        <v>1000</v>
      </c>
      <c r="L23" s="38"/>
      <c r="M23" s="38"/>
      <c r="N23" s="38"/>
      <c r="O23" s="23"/>
    </row>
    <row r="24" spans="1:15" x14ac:dyDescent="0.25">
      <c r="A24" t="s">
        <v>36</v>
      </c>
      <c r="B24" s="7" t="s">
        <v>430</v>
      </c>
      <c r="C24" t="s">
        <v>422</v>
      </c>
      <c r="D24" t="s">
        <v>153</v>
      </c>
      <c r="E24">
        <v>833843</v>
      </c>
      <c r="F24" s="38">
        <v>1907347</v>
      </c>
      <c r="G24" s="8">
        <f t="shared" si="0"/>
        <v>2287.4174155086748</v>
      </c>
      <c r="J24">
        <v>1000</v>
      </c>
    </row>
    <row r="25" spans="1:15" x14ac:dyDescent="0.25">
      <c r="A25" t="s">
        <v>124</v>
      </c>
      <c r="B25" s="7" t="s">
        <v>430</v>
      </c>
      <c r="C25" t="s">
        <v>422</v>
      </c>
      <c r="D25" t="s">
        <v>153</v>
      </c>
      <c r="E25" s="38">
        <v>1325525</v>
      </c>
      <c r="F25" s="38">
        <v>1646292</v>
      </c>
      <c r="G25" s="8">
        <f t="shared" si="0"/>
        <v>1241.9924180984892</v>
      </c>
      <c r="J25">
        <v>1000</v>
      </c>
    </row>
    <row r="26" spans="1:15" x14ac:dyDescent="0.25">
      <c r="A26" t="s">
        <v>102</v>
      </c>
      <c r="B26" s="7" t="s">
        <v>430</v>
      </c>
      <c r="C26" t="s">
        <v>422</v>
      </c>
      <c r="D26" t="s">
        <v>153</v>
      </c>
      <c r="E26" s="38">
        <v>514518</v>
      </c>
      <c r="F26" s="38">
        <v>1638106</v>
      </c>
      <c r="G26" s="8">
        <f t="shared" si="0"/>
        <v>3183.7681091817972</v>
      </c>
      <c r="J26">
        <v>1000</v>
      </c>
    </row>
    <row r="27" spans="1:15" x14ac:dyDescent="0.25">
      <c r="A27" t="s">
        <v>330</v>
      </c>
      <c r="B27" s="7" t="s">
        <v>430</v>
      </c>
      <c r="C27" t="s">
        <v>422</v>
      </c>
      <c r="D27" t="s">
        <v>153</v>
      </c>
      <c r="E27" s="38">
        <v>386279</v>
      </c>
      <c r="F27" s="38">
        <v>1379883</v>
      </c>
      <c r="G27" s="8">
        <f t="shared" si="0"/>
        <v>3572.244414011634</v>
      </c>
      <c r="J27">
        <v>1000</v>
      </c>
    </row>
    <row r="28" spans="1:15" x14ac:dyDescent="0.25">
      <c r="A28" t="s">
        <v>335</v>
      </c>
      <c r="B28" s="7" t="s">
        <v>430</v>
      </c>
      <c r="C28" t="s">
        <v>422</v>
      </c>
      <c r="D28" t="s">
        <v>153</v>
      </c>
      <c r="E28" s="38">
        <v>72295</v>
      </c>
      <c r="F28" s="38">
        <v>800688</v>
      </c>
      <c r="G28" s="8">
        <f t="shared" si="0"/>
        <v>11075.28874749291</v>
      </c>
      <c r="J28">
        <v>1000</v>
      </c>
    </row>
    <row r="29" spans="1:15" x14ac:dyDescent="0.25">
      <c r="A29" t="s">
        <v>331</v>
      </c>
      <c r="B29" s="7" t="s">
        <v>430</v>
      </c>
      <c r="C29" t="s">
        <v>422</v>
      </c>
      <c r="D29" t="s">
        <v>153</v>
      </c>
      <c r="E29" s="38">
        <v>771721</v>
      </c>
      <c r="F29" s="38">
        <v>799935</v>
      </c>
      <c r="G29" s="8">
        <f t="shared" si="0"/>
        <v>1036.5598448143824</v>
      </c>
      <c r="J29">
        <v>1000</v>
      </c>
    </row>
  </sheetData>
  <autoFilter ref="A1:P1" xr:uid="{58486A3F-CC75-4A2F-9C7C-582EA5D834E8}"/>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9C10-4041-4A45-AE6C-E20ADBCE13E8}">
  <sheetPr>
    <tabColor rgb="FF00B0F0"/>
  </sheetPr>
  <dimension ref="A1"/>
  <sheetViews>
    <sheetView workbookViewId="0">
      <selection activeCell="L29" sqref="L29"/>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09FE-3664-4A57-B41B-E4E90A80E7E1}">
  <dimension ref="A1:G52"/>
  <sheetViews>
    <sheetView workbookViewId="0">
      <pane ySplit="1" topLeftCell="A38" activePane="bottomLeft" state="frozen"/>
      <selection pane="bottomLeft"/>
    </sheetView>
  </sheetViews>
  <sheetFormatPr defaultRowHeight="15" x14ac:dyDescent="0.25"/>
  <cols>
    <col min="1" max="1" width="27" bestFit="1" customWidth="1"/>
    <col min="2" max="2" width="11" bestFit="1" customWidth="1"/>
    <col min="3" max="3" width="10.140625" bestFit="1" customWidth="1"/>
    <col min="4" max="4" width="9.85546875" bestFit="1" customWidth="1"/>
    <col min="5" max="5" width="11.140625" customWidth="1"/>
    <col min="6" max="6" width="19.140625" bestFit="1" customWidth="1"/>
    <col min="7" max="7" width="57.5703125" bestFit="1" customWidth="1"/>
  </cols>
  <sheetData>
    <row r="1" spans="1:7" x14ac:dyDescent="0.25">
      <c r="A1" s="39" t="s">
        <v>357</v>
      </c>
      <c r="B1" s="39" t="s">
        <v>358</v>
      </c>
      <c r="C1" s="39" t="s">
        <v>359</v>
      </c>
      <c r="D1" s="39" t="s">
        <v>360</v>
      </c>
      <c r="E1" s="39" t="s">
        <v>361</v>
      </c>
      <c r="F1" s="39" t="s">
        <v>391</v>
      </c>
      <c r="G1" s="39" t="s">
        <v>3</v>
      </c>
    </row>
    <row r="2" spans="1:7" x14ac:dyDescent="0.25">
      <c r="A2" s="62" t="s">
        <v>362</v>
      </c>
      <c r="B2" s="21" t="s">
        <v>363</v>
      </c>
      <c r="C2" s="40">
        <v>6459</v>
      </c>
      <c r="D2" s="40">
        <v>5128</v>
      </c>
      <c r="E2" s="40">
        <v>7678</v>
      </c>
      <c r="F2" s="40"/>
      <c r="G2" s="62" t="s">
        <v>364</v>
      </c>
    </row>
    <row r="3" spans="1:7" x14ac:dyDescent="0.25">
      <c r="A3" s="62"/>
      <c r="B3" s="21" t="s">
        <v>365</v>
      </c>
      <c r="C3" s="40">
        <v>11301</v>
      </c>
      <c r="D3" s="40">
        <v>8936</v>
      </c>
      <c r="E3" s="40">
        <v>13556</v>
      </c>
      <c r="F3" s="40"/>
      <c r="G3" s="62"/>
    </row>
    <row r="4" spans="1:7" x14ac:dyDescent="0.25">
      <c r="A4" s="62"/>
      <c r="B4" s="21" t="s">
        <v>366</v>
      </c>
      <c r="C4" s="40">
        <v>8628</v>
      </c>
      <c r="D4" s="40">
        <v>6972</v>
      </c>
      <c r="E4" s="40">
        <v>10222</v>
      </c>
      <c r="F4" s="40"/>
      <c r="G4" s="62"/>
    </row>
    <row r="5" spans="1:7" x14ac:dyDescent="0.25">
      <c r="A5" s="62"/>
      <c r="B5" s="21" t="s">
        <v>367</v>
      </c>
      <c r="C5" s="40">
        <v>7555</v>
      </c>
      <c r="D5" s="40">
        <v>6125</v>
      </c>
      <c r="E5" s="40">
        <v>8996</v>
      </c>
      <c r="F5" s="40"/>
      <c r="G5" s="62"/>
    </row>
    <row r="6" spans="1:7" x14ac:dyDescent="0.25">
      <c r="A6" s="62" t="s">
        <v>368</v>
      </c>
      <c r="B6" s="21" t="s">
        <v>363</v>
      </c>
      <c r="C6" s="40">
        <v>154174</v>
      </c>
      <c r="D6" s="40">
        <v>126007</v>
      </c>
      <c r="E6" s="40">
        <v>183608</v>
      </c>
      <c r="F6" s="40"/>
      <c r="G6" s="62" t="s">
        <v>369</v>
      </c>
    </row>
    <row r="7" spans="1:7" x14ac:dyDescent="0.25">
      <c r="A7" s="62"/>
      <c r="B7" s="21" t="s">
        <v>365</v>
      </c>
      <c r="C7" s="40">
        <v>63894</v>
      </c>
      <c r="D7" s="40">
        <v>50887</v>
      </c>
      <c r="E7" s="40">
        <v>76266</v>
      </c>
      <c r="F7" s="40"/>
      <c r="G7" s="62"/>
    </row>
    <row r="8" spans="1:7" x14ac:dyDescent="0.25">
      <c r="A8" s="62"/>
      <c r="B8" s="21" t="s">
        <v>366</v>
      </c>
      <c r="C8" s="40">
        <v>21630</v>
      </c>
      <c r="D8" s="40">
        <v>17452</v>
      </c>
      <c r="E8" s="40">
        <v>25805</v>
      </c>
      <c r="F8" s="40"/>
      <c r="G8" s="62"/>
    </row>
    <row r="9" spans="1:7" x14ac:dyDescent="0.25">
      <c r="A9" s="62"/>
      <c r="B9" s="21" t="s">
        <v>367</v>
      </c>
      <c r="C9" s="40">
        <v>8553</v>
      </c>
      <c r="D9" s="40">
        <v>6846</v>
      </c>
      <c r="E9" s="40">
        <v>10175</v>
      </c>
      <c r="F9" s="40"/>
      <c r="G9" s="62"/>
    </row>
    <row r="10" spans="1:7" x14ac:dyDescent="0.25">
      <c r="A10" s="21" t="s">
        <v>370</v>
      </c>
      <c r="B10" s="21" t="s">
        <v>371</v>
      </c>
      <c r="C10" s="40">
        <v>1242</v>
      </c>
      <c r="D10" s="41">
        <v>554</v>
      </c>
      <c r="E10" s="40">
        <v>1930</v>
      </c>
      <c r="F10" s="40"/>
      <c r="G10" s="21" t="s">
        <v>372</v>
      </c>
    </row>
    <row r="11" spans="1:7" x14ac:dyDescent="0.25">
      <c r="A11" s="62" t="s">
        <v>373</v>
      </c>
      <c r="B11" s="21" t="s">
        <v>363</v>
      </c>
      <c r="C11" s="40">
        <v>3184</v>
      </c>
      <c r="D11" s="40">
        <v>2535</v>
      </c>
      <c r="E11" s="40">
        <v>3832</v>
      </c>
      <c r="F11" s="40"/>
      <c r="G11" s="21" t="s">
        <v>369</v>
      </c>
    </row>
    <row r="12" spans="1:7" x14ac:dyDescent="0.25">
      <c r="A12" s="62"/>
      <c r="B12" s="21" t="s">
        <v>365</v>
      </c>
      <c r="C12" s="40">
        <v>3168</v>
      </c>
      <c r="D12" s="40">
        <v>2543</v>
      </c>
      <c r="E12" s="40">
        <v>3787</v>
      </c>
      <c r="F12" s="40"/>
      <c r="G12" s="21" t="s">
        <v>374</v>
      </c>
    </row>
    <row r="13" spans="1:7" x14ac:dyDescent="0.25">
      <c r="A13" s="62"/>
      <c r="B13" s="21" t="s">
        <v>366</v>
      </c>
      <c r="C13" s="40">
        <v>3146</v>
      </c>
      <c r="D13" s="40">
        <v>2507</v>
      </c>
      <c r="E13" s="40">
        <v>3762</v>
      </c>
      <c r="F13" s="40"/>
      <c r="G13" s="42"/>
    </row>
    <row r="14" spans="1:7" x14ac:dyDescent="0.25">
      <c r="A14" s="62"/>
      <c r="B14" s="21" t="s">
        <v>367</v>
      </c>
      <c r="C14" s="40">
        <v>3176</v>
      </c>
      <c r="D14" s="40">
        <v>2561</v>
      </c>
      <c r="E14" s="40">
        <v>3805</v>
      </c>
      <c r="F14" s="40"/>
      <c r="G14" s="42"/>
    </row>
    <row r="15" spans="1:7" x14ac:dyDescent="0.25">
      <c r="A15" s="62" t="s">
        <v>375</v>
      </c>
      <c r="B15" s="21" t="s">
        <v>363</v>
      </c>
      <c r="C15" s="40">
        <v>3234</v>
      </c>
      <c r="D15" s="40">
        <v>2645</v>
      </c>
      <c r="E15" s="40">
        <v>3845</v>
      </c>
      <c r="F15" s="40"/>
      <c r="G15" s="21" t="s">
        <v>364</v>
      </c>
    </row>
    <row r="16" spans="1:7" x14ac:dyDescent="0.25">
      <c r="A16" s="62"/>
      <c r="B16" s="21" t="s">
        <v>365</v>
      </c>
      <c r="C16" s="40">
        <v>3250</v>
      </c>
      <c r="D16" s="40">
        <v>2596</v>
      </c>
      <c r="E16" s="40">
        <v>3899</v>
      </c>
      <c r="F16" s="40"/>
      <c r="G16" s="21" t="s">
        <v>374</v>
      </c>
    </row>
    <row r="17" spans="1:7" x14ac:dyDescent="0.25">
      <c r="A17" s="62"/>
      <c r="B17" s="21" t="s">
        <v>366</v>
      </c>
      <c r="C17" s="40">
        <v>3175</v>
      </c>
      <c r="D17" s="40">
        <v>2585</v>
      </c>
      <c r="E17" s="40">
        <v>3795</v>
      </c>
      <c r="F17" s="40"/>
      <c r="G17" s="42"/>
    </row>
    <row r="18" spans="1:7" x14ac:dyDescent="0.25">
      <c r="A18" s="62"/>
      <c r="B18" s="21" t="s">
        <v>367</v>
      </c>
      <c r="C18" s="40">
        <v>3161</v>
      </c>
      <c r="D18" s="40">
        <v>2548</v>
      </c>
      <c r="E18" s="40">
        <v>3809</v>
      </c>
      <c r="F18" s="40"/>
      <c r="G18" s="42"/>
    </row>
    <row r="19" spans="1:7" x14ac:dyDescent="0.25">
      <c r="A19" s="62" t="s">
        <v>376</v>
      </c>
      <c r="B19" s="21" t="s">
        <v>363</v>
      </c>
      <c r="C19" s="40">
        <v>3232</v>
      </c>
      <c r="D19" s="40">
        <v>2639</v>
      </c>
      <c r="E19" s="40">
        <v>3850</v>
      </c>
      <c r="F19" s="40"/>
      <c r="G19" s="21" t="s">
        <v>364</v>
      </c>
    </row>
    <row r="20" spans="1:7" x14ac:dyDescent="0.25">
      <c r="A20" s="62"/>
      <c r="B20" s="21" t="s">
        <v>365</v>
      </c>
      <c r="C20" s="40">
        <v>3223</v>
      </c>
      <c r="D20" s="40">
        <v>2543</v>
      </c>
      <c r="E20" s="40">
        <v>3884</v>
      </c>
      <c r="F20" s="40"/>
      <c r="G20" s="21" t="s">
        <v>374</v>
      </c>
    </row>
    <row r="21" spans="1:7" x14ac:dyDescent="0.25">
      <c r="A21" s="62"/>
      <c r="B21" s="21" t="s">
        <v>366</v>
      </c>
      <c r="C21" s="40">
        <v>3147</v>
      </c>
      <c r="D21" s="40">
        <v>2500</v>
      </c>
      <c r="E21" s="40">
        <v>3832</v>
      </c>
      <c r="F21" s="40"/>
      <c r="G21" s="42"/>
    </row>
    <row r="22" spans="1:7" x14ac:dyDescent="0.25">
      <c r="A22" s="62"/>
      <c r="B22" s="21" t="s">
        <v>367</v>
      </c>
      <c r="C22" s="40">
        <v>3138</v>
      </c>
      <c r="D22" s="40">
        <v>2527</v>
      </c>
      <c r="E22" s="40">
        <v>3717</v>
      </c>
      <c r="F22" s="40"/>
      <c r="G22" s="42"/>
    </row>
    <row r="23" spans="1:7" x14ac:dyDescent="0.25">
      <c r="A23" s="62" t="s">
        <v>377</v>
      </c>
      <c r="B23" s="21" t="s">
        <v>363</v>
      </c>
      <c r="C23" s="41">
        <v>516</v>
      </c>
      <c r="D23" s="41">
        <v>459</v>
      </c>
      <c r="E23" s="41">
        <v>572</v>
      </c>
      <c r="F23" s="41"/>
      <c r="G23" s="62" t="s">
        <v>378</v>
      </c>
    </row>
    <row r="24" spans="1:7" x14ac:dyDescent="0.25">
      <c r="A24" s="62"/>
      <c r="B24" s="21" t="s">
        <v>365</v>
      </c>
      <c r="C24" s="41">
        <v>516</v>
      </c>
      <c r="D24" s="41">
        <v>459</v>
      </c>
      <c r="E24" s="41">
        <v>571</v>
      </c>
      <c r="F24" s="41"/>
      <c r="G24" s="62"/>
    </row>
    <row r="25" spans="1:7" x14ac:dyDescent="0.25">
      <c r="A25" s="62"/>
      <c r="B25" s="21" t="s">
        <v>366</v>
      </c>
      <c r="C25" s="41">
        <v>526</v>
      </c>
      <c r="D25" s="41">
        <v>482</v>
      </c>
      <c r="E25" s="41">
        <v>569</v>
      </c>
      <c r="F25" s="41"/>
      <c r="G25" s="62"/>
    </row>
    <row r="26" spans="1:7" x14ac:dyDescent="0.25">
      <c r="A26" s="62"/>
      <c r="B26" s="21" t="s">
        <v>367</v>
      </c>
      <c r="C26" s="41">
        <v>455</v>
      </c>
      <c r="D26" s="41">
        <v>441</v>
      </c>
      <c r="E26" s="41">
        <v>468</v>
      </c>
      <c r="F26" s="41"/>
      <c r="G26" s="62"/>
    </row>
    <row r="27" spans="1:7" x14ac:dyDescent="0.25">
      <c r="A27" s="62" t="s">
        <v>379</v>
      </c>
      <c r="B27" s="21" t="s">
        <v>363</v>
      </c>
      <c r="C27" s="41">
        <v>338</v>
      </c>
      <c r="D27" s="41">
        <v>296</v>
      </c>
      <c r="E27" s="41">
        <v>380</v>
      </c>
      <c r="F27" s="41"/>
      <c r="G27" s="62" t="s">
        <v>380</v>
      </c>
    </row>
    <row r="28" spans="1:7" x14ac:dyDescent="0.25">
      <c r="A28" s="62"/>
      <c r="B28" s="21" t="s">
        <v>365</v>
      </c>
      <c r="C28" s="41">
        <v>338</v>
      </c>
      <c r="D28" s="41">
        <v>298</v>
      </c>
      <c r="E28" s="41">
        <v>379</v>
      </c>
      <c r="F28" s="41"/>
      <c r="G28" s="62"/>
    </row>
    <row r="29" spans="1:7" x14ac:dyDescent="0.25">
      <c r="A29" s="62"/>
      <c r="B29" s="21" t="s">
        <v>366</v>
      </c>
      <c r="C29" s="41">
        <v>314</v>
      </c>
      <c r="D29" s="41">
        <v>285</v>
      </c>
      <c r="E29" s="41">
        <v>346</v>
      </c>
      <c r="F29" s="41"/>
      <c r="G29" s="62"/>
    </row>
    <row r="30" spans="1:7" x14ac:dyDescent="0.25">
      <c r="A30" s="62"/>
      <c r="B30" s="21" t="s">
        <v>367</v>
      </c>
      <c r="C30" s="41">
        <v>278</v>
      </c>
      <c r="D30" s="41">
        <v>269</v>
      </c>
      <c r="E30" s="41">
        <v>286</v>
      </c>
      <c r="F30" s="41"/>
      <c r="G30" s="62"/>
    </row>
    <row r="31" spans="1:7" x14ac:dyDescent="0.25">
      <c r="A31" s="62" t="s">
        <v>381</v>
      </c>
      <c r="B31" s="21" t="s">
        <v>363</v>
      </c>
      <c r="C31" s="41">
        <v>37</v>
      </c>
      <c r="D31" s="41">
        <v>1</v>
      </c>
      <c r="E31" s="41">
        <v>62</v>
      </c>
      <c r="F31" s="41"/>
      <c r="G31" s="62" t="s">
        <v>380</v>
      </c>
    </row>
    <row r="32" spans="1:7" x14ac:dyDescent="0.25">
      <c r="A32" s="62"/>
      <c r="B32" s="21" t="s">
        <v>365</v>
      </c>
      <c r="C32" s="41">
        <v>37</v>
      </c>
      <c r="D32" s="41">
        <v>12</v>
      </c>
      <c r="E32" s="41">
        <v>62</v>
      </c>
      <c r="F32" s="41"/>
      <c r="G32" s="62"/>
    </row>
    <row r="33" spans="1:7" x14ac:dyDescent="0.25">
      <c r="A33" s="62"/>
      <c r="B33" s="21" t="s">
        <v>366</v>
      </c>
      <c r="C33" s="41">
        <v>45</v>
      </c>
      <c r="D33" s="41">
        <v>22</v>
      </c>
      <c r="E33" s="41">
        <v>67</v>
      </c>
      <c r="F33" s="41"/>
      <c r="G33" s="62"/>
    </row>
    <row r="34" spans="1:7" x14ac:dyDescent="0.25">
      <c r="A34" s="62"/>
      <c r="B34" s="21" t="s">
        <v>367</v>
      </c>
      <c r="C34" s="41">
        <v>26</v>
      </c>
      <c r="D34" s="41">
        <v>22</v>
      </c>
      <c r="E34" s="41">
        <v>30</v>
      </c>
      <c r="F34" s="41"/>
      <c r="G34" s="62"/>
    </row>
    <row r="35" spans="1:7" x14ac:dyDescent="0.25">
      <c r="A35" s="62" t="s">
        <v>382</v>
      </c>
      <c r="B35" s="21" t="s">
        <v>363</v>
      </c>
      <c r="C35" s="41">
        <v>60</v>
      </c>
      <c r="D35" s="41">
        <v>24</v>
      </c>
      <c r="E35" s="41">
        <v>96</v>
      </c>
      <c r="F35" s="41"/>
      <c r="G35" s="62" t="s">
        <v>380</v>
      </c>
    </row>
    <row r="36" spans="1:7" x14ac:dyDescent="0.25">
      <c r="A36" s="62"/>
      <c r="B36" s="21" t="s">
        <v>365</v>
      </c>
      <c r="C36" s="41">
        <v>60</v>
      </c>
      <c r="D36" s="41">
        <v>21</v>
      </c>
      <c r="E36" s="41">
        <v>100</v>
      </c>
      <c r="F36" s="41"/>
      <c r="G36" s="62"/>
    </row>
    <row r="37" spans="1:7" x14ac:dyDescent="0.25">
      <c r="A37" s="62"/>
      <c r="B37" s="21" t="s">
        <v>366</v>
      </c>
      <c r="C37" s="41">
        <v>41</v>
      </c>
      <c r="D37" s="41">
        <v>25</v>
      </c>
      <c r="E37" s="41">
        <v>55</v>
      </c>
      <c r="F37" s="41"/>
      <c r="G37" s="62"/>
    </row>
    <row r="38" spans="1:7" x14ac:dyDescent="0.25">
      <c r="A38" s="62"/>
      <c r="B38" s="21" t="s">
        <v>367</v>
      </c>
      <c r="C38" s="41">
        <v>26</v>
      </c>
      <c r="D38" s="41">
        <v>22</v>
      </c>
      <c r="E38" s="41">
        <v>29</v>
      </c>
      <c r="F38" s="41"/>
      <c r="G38" s="62"/>
    </row>
    <row r="39" spans="1:7" x14ac:dyDescent="0.25">
      <c r="A39" s="62" t="s">
        <v>383</v>
      </c>
      <c r="B39" s="21" t="s">
        <v>363</v>
      </c>
      <c r="C39" s="40">
        <v>20536</v>
      </c>
      <c r="D39" s="40">
        <v>16675</v>
      </c>
      <c r="E39" s="40">
        <v>24728</v>
      </c>
      <c r="F39" s="40"/>
      <c r="G39" s="62" t="s">
        <v>384</v>
      </c>
    </row>
    <row r="40" spans="1:7" x14ac:dyDescent="0.25">
      <c r="A40" s="62"/>
      <c r="B40" s="21" t="s">
        <v>365</v>
      </c>
      <c r="C40" s="40">
        <v>14895</v>
      </c>
      <c r="D40" s="40">
        <v>12039</v>
      </c>
      <c r="E40" s="40">
        <v>17813</v>
      </c>
      <c r="F40" s="40"/>
      <c r="G40" s="62"/>
    </row>
    <row r="41" spans="1:7" x14ac:dyDescent="0.25">
      <c r="A41" s="62"/>
      <c r="B41" s="21" t="s">
        <v>366</v>
      </c>
      <c r="C41" s="40">
        <v>13388</v>
      </c>
      <c r="D41" s="40">
        <v>10643</v>
      </c>
      <c r="E41" s="40">
        <v>15964</v>
      </c>
      <c r="F41" s="40"/>
      <c r="G41" s="62"/>
    </row>
    <row r="42" spans="1:7" x14ac:dyDescent="0.25">
      <c r="A42" s="62"/>
      <c r="B42" s="21" t="s">
        <v>367</v>
      </c>
      <c r="C42" s="40">
        <v>12663</v>
      </c>
      <c r="D42" s="40">
        <v>10369</v>
      </c>
      <c r="E42" s="40">
        <v>15051</v>
      </c>
      <c r="F42" s="40"/>
      <c r="G42" s="62"/>
    </row>
    <row r="43" spans="1:7" x14ac:dyDescent="0.25">
      <c r="A43" s="62" t="s">
        <v>385</v>
      </c>
      <c r="B43" s="21" t="s">
        <v>363</v>
      </c>
      <c r="C43" s="40">
        <v>23355</v>
      </c>
      <c r="D43" s="40">
        <v>18869</v>
      </c>
      <c r="E43" s="40">
        <v>28152</v>
      </c>
      <c r="F43" s="40"/>
      <c r="G43" s="62" t="s">
        <v>386</v>
      </c>
    </row>
    <row r="44" spans="1:7" x14ac:dyDescent="0.25">
      <c r="A44" s="62"/>
      <c r="B44" s="21" t="s">
        <v>365</v>
      </c>
      <c r="C44" s="40">
        <v>17801</v>
      </c>
      <c r="D44" s="40">
        <v>14271</v>
      </c>
      <c r="E44" s="40">
        <v>21405</v>
      </c>
      <c r="F44" s="40"/>
      <c r="G44" s="62"/>
    </row>
    <row r="45" spans="1:7" x14ac:dyDescent="0.25">
      <c r="A45" s="62"/>
      <c r="B45" s="21" t="s">
        <v>366</v>
      </c>
      <c r="C45" s="40">
        <v>16163</v>
      </c>
      <c r="D45" s="40">
        <v>12753</v>
      </c>
      <c r="E45" s="40">
        <v>19410</v>
      </c>
      <c r="F45" s="40"/>
      <c r="G45" s="62"/>
    </row>
    <row r="46" spans="1:7" x14ac:dyDescent="0.25">
      <c r="A46" s="62"/>
      <c r="B46" s="21" t="s">
        <v>367</v>
      </c>
      <c r="C46" s="40">
        <v>15617</v>
      </c>
      <c r="D46" s="40">
        <v>12479</v>
      </c>
      <c r="E46" s="40">
        <v>18521</v>
      </c>
      <c r="F46" s="40"/>
      <c r="G46" s="62"/>
    </row>
    <row r="47" spans="1:7" x14ac:dyDescent="0.25">
      <c r="A47" s="21" t="s">
        <v>387</v>
      </c>
      <c r="B47" s="21" t="s">
        <v>371</v>
      </c>
      <c r="C47" s="41">
        <v>474</v>
      </c>
      <c r="D47" s="41">
        <v>285</v>
      </c>
      <c r="E47" s="41">
        <v>657</v>
      </c>
      <c r="F47" s="41"/>
      <c r="G47" s="21" t="s">
        <v>388</v>
      </c>
    </row>
    <row r="48" spans="1:7" x14ac:dyDescent="0.25">
      <c r="A48" s="21" t="s">
        <v>389</v>
      </c>
      <c r="B48" s="21" t="s">
        <v>371</v>
      </c>
      <c r="C48" s="40">
        <v>21765</v>
      </c>
      <c r="D48" s="40">
        <v>13371</v>
      </c>
      <c r="E48" s="40">
        <v>30352</v>
      </c>
      <c r="F48" s="40"/>
      <c r="G48" s="21" t="s">
        <v>390</v>
      </c>
    </row>
    <row r="49" spans="1:3" x14ac:dyDescent="0.25">
      <c r="A49" s="2" t="s">
        <v>392</v>
      </c>
      <c r="B49" s="21" t="s">
        <v>363</v>
      </c>
      <c r="C49" s="38">
        <f>C10+C11+C15+C19+C23+C27+C31+C35</f>
        <v>11843</v>
      </c>
    </row>
    <row r="50" spans="1:3" x14ac:dyDescent="0.25">
      <c r="B50" s="21" t="s">
        <v>365</v>
      </c>
      <c r="C50" s="38">
        <f>C10+C12+C16+C20+C24+C28+C32+C36</f>
        <v>11834</v>
      </c>
    </row>
    <row r="51" spans="1:3" x14ac:dyDescent="0.25">
      <c r="B51" s="21" t="s">
        <v>366</v>
      </c>
      <c r="C51" s="38">
        <f>C10+C13+C17+C21+C25+C29+C33+C37</f>
        <v>11636</v>
      </c>
    </row>
    <row r="52" spans="1:3" x14ac:dyDescent="0.25">
      <c r="B52" s="21" t="s">
        <v>367</v>
      </c>
      <c r="C52" s="38">
        <f>C14+C18+C22+C26+C30+C34+C38</f>
        <v>10260</v>
      </c>
    </row>
  </sheetData>
  <autoFilter ref="A1:G52" xr:uid="{2E3C09FE-3664-4A57-B41B-E4E90A80E7E1}"/>
  <mergeCells count="19">
    <mergeCell ref="A11:A14"/>
    <mergeCell ref="A15:A18"/>
    <mergeCell ref="A19:A22"/>
    <mergeCell ref="A2:A5"/>
    <mergeCell ref="G2:G5"/>
    <mergeCell ref="A6:A9"/>
    <mergeCell ref="G6:G9"/>
    <mergeCell ref="A23:A26"/>
    <mergeCell ref="G23:G26"/>
    <mergeCell ref="A27:A30"/>
    <mergeCell ref="G27:G30"/>
    <mergeCell ref="A31:A34"/>
    <mergeCell ref="G31:G34"/>
    <mergeCell ref="A43:A46"/>
    <mergeCell ref="G43:G46"/>
    <mergeCell ref="A35:A38"/>
    <mergeCell ref="G35:G38"/>
    <mergeCell ref="A39:A42"/>
    <mergeCell ref="G39:G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16F97-0645-4B1D-A6D4-BB1BCD07B144}">
  <dimension ref="A1:B34"/>
  <sheetViews>
    <sheetView workbookViewId="0"/>
  </sheetViews>
  <sheetFormatPr defaultRowHeight="15" x14ac:dyDescent="0.25"/>
  <cols>
    <col min="1" max="1" width="28.85546875" customWidth="1"/>
    <col min="2" max="2" width="8.140625" bestFit="1" customWidth="1"/>
  </cols>
  <sheetData>
    <row r="1" spans="1:2" x14ac:dyDescent="0.25">
      <c r="A1" s="42" t="s">
        <v>393</v>
      </c>
    </row>
    <row r="2" spans="1:2" ht="30" x14ac:dyDescent="0.25">
      <c r="A2" s="33"/>
      <c r="B2" s="43" t="s">
        <v>394</v>
      </c>
    </row>
    <row r="3" spans="1:2" x14ac:dyDescent="0.25">
      <c r="A3" s="33" t="s">
        <v>395</v>
      </c>
      <c r="B3" s="44"/>
    </row>
    <row r="4" spans="1:2" x14ac:dyDescent="0.25">
      <c r="A4" s="33" t="s">
        <v>396</v>
      </c>
      <c r="B4" s="45">
        <v>6480</v>
      </c>
    </row>
    <row r="5" spans="1:2" x14ac:dyDescent="0.25">
      <c r="A5" s="33" t="s">
        <v>397</v>
      </c>
      <c r="B5" s="45">
        <v>11330</v>
      </c>
    </row>
    <row r="6" spans="1:2" x14ac:dyDescent="0.25">
      <c r="A6" s="33" t="s">
        <v>398</v>
      </c>
      <c r="B6" s="45">
        <v>8611</v>
      </c>
    </row>
    <row r="7" spans="1:2" x14ac:dyDescent="0.25">
      <c r="A7" s="33" t="s">
        <v>399</v>
      </c>
      <c r="B7" s="45">
        <v>7527</v>
      </c>
    </row>
    <row r="8" spans="1:2" x14ac:dyDescent="0.25">
      <c r="A8" s="33" t="s">
        <v>368</v>
      </c>
      <c r="B8" s="44"/>
    </row>
    <row r="9" spans="1:2" x14ac:dyDescent="0.25">
      <c r="A9" s="33" t="s">
        <v>396</v>
      </c>
      <c r="B9" s="45">
        <v>154366</v>
      </c>
    </row>
    <row r="10" spans="1:2" x14ac:dyDescent="0.25">
      <c r="A10" s="33" t="s">
        <v>397</v>
      </c>
      <c r="B10" s="45">
        <v>63883</v>
      </c>
    </row>
    <row r="11" spans="1:2" x14ac:dyDescent="0.25">
      <c r="A11" s="33" t="s">
        <v>398</v>
      </c>
      <c r="B11" s="45">
        <v>21601</v>
      </c>
    </row>
    <row r="12" spans="1:2" x14ac:dyDescent="0.25">
      <c r="A12" s="33" t="s">
        <v>399</v>
      </c>
      <c r="B12" s="45">
        <v>8544</v>
      </c>
    </row>
    <row r="13" spans="1:2" x14ac:dyDescent="0.25">
      <c r="A13" s="33" t="s">
        <v>400</v>
      </c>
      <c r="B13" s="46"/>
    </row>
    <row r="14" spans="1:2" x14ac:dyDescent="0.25">
      <c r="A14" s="33" t="s">
        <v>396</v>
      </c>
      <c r="B14" s="45">
        <v>3166</v>
      </c>
    </row>
    <row r="15" spans="1:2" x14ac:dyDescent="0.25">
      <c r="A15" s="33" t="s">
        <v>397</v>
      </c>
      <c r="B15" s="45">
        <v>3166</v>
      </c>
    </row>
    <row r="16" spans="1:2" x14ac:dyDescent="0.25">
      <c r="A16" s="33" t="s">
        <v>398</v>
      </c>
      <c r="B16" s="45">
        <v>3155</v>
      </c>
    </row>
    <row r="17" spans="1:2" x14ac:dyDescent="0.25">
      <c r="A17" s="33" t="s">
        <v>399</v>
      </c>
      <c r="B17" s="45">
        <v>3172</v>
      </c>
    </row>
    <row r="18" spans="1:2" x14ac:dyDescent="0.25">
      <c r="A18" s="33" t="s">
        <v>401</v>
      </c>
      <c r="B18" s="46"/>
    </row>
    <row r="19" spans="1:2" x14ac:dyDescent="0.25">
      <c r="A19" s="33" t="s">
        <v>396</v>
      </c>
      <c r="B19" s="45">
        <v>3243</v>
      </c>
    </row>
    <row r="20" spans="1:2" x14ac:dyDescent="0.25">
      <c r="A20" s="33" t="s">
        <v>397</v>
      </c>
      <c r="B20" s="45">
        <v>3243</v>
      </c>
    </row>
    <row r="21" spans="1:2" x14ac:dyDescent="0.25">
      <c r="A21" s="33" t="s">
        <v>398</v>
      </c>
      <c r="B21" s="45">
        <v>3180</v>
      </c>
    </row>
    <row r="22" spans="1:2" x14ac:dyDescent="0.25">
      <c r="A22" s="33" t="s">
        <v>399</v>
      </c>
      <c r="B22" s="45">
        <v>3169</v>
      </c>
    </row>
    <row r="23" spans="1:2" x14ac:dyDescent="0.25">
      <c r="A23" s="33" t="s">
        <v>402</v>
      </c>
      <c r="B23" s="46"/>
    </row>
    <row r="24" spans="1:2" x14ac:dyDescent="0.25">
      <c r="A24" s="33" t="s">
        <v>396</v>
      </c>
      <c r="B24" s="45">
        <v>3234</v>
      </c>
    </row>
    <row r="25" spans="1:2" x14ac:dyDescent="0.25">
      <c r="A25" s="33" t="s">
        <v>397</v>
      </c>
      <c r="B25" s="45">
        <v>3234</v>
      </c>
    </row>
    <row r="26" spans="1:2" x14ac:dyDescent="0.25">
      <c r="A26" s="33" t="s">
        <v>398</v>
      </c>
      <c r="B26" s="45">
        <v>3149</v>
      </c>
    </row>
    <row r="27" spans="1:2" x14ac:dyDescent="0.25">
      <c r="A27" s="33" t="s">
        <v>399</v>
      </c>
      <c r="B27" s="45">
        <v>3124</v>
      </c>
    </row>
    <row r="28" spans="1:2" x14ac:dyDescent="0.25">
      <c r="A28" s="33"/>
      <c r="B28" s="46"/>
    </row>
    <row r="29" spans="1:2" x14ac:dyDescent="0.25">
      <c r="A29" s="33" t="s">
        <v>403</v>
      </c>
      <c r="B29" s="45">
        <v>21840</v>
      </c>
    </row>
    <row r="30" spans="1:2" x14ac:dyDescent="0.25">
      <c r="A30" s="47" t="s">
        <v>404</v>
      </c>
      <c r="B30" s="46"/>
    </row>
    <row r="31" spans="1:2" x14ac:dyDescent="0.25">
      <c r="A31" s="33" t="s">
        <v>396</v>
      </c>
      <c r="B31" s="38">
        <f>B14+B19+B24+B29</f>
        <v>31483</v>
      </c>
    </row>
    <row r="32" spans="1:2" x14ac:dyDescent="0.25">
      <c r="A32" s="33" t="s">
        <v>397</v>
      </c>
    </row>
    <row r="33" spans="1:2" x14ac:dyDescent="0.25">
      <c r="A33" s="33" t="s">
        <v>398</v>
      </c>
    </row>
    <row r="34" spans="1:2" x14ac:dyDescent="0.25">
      <c r="A34" s="33" t="s">
        <v>399</v>
      </c>
      <c r="B34" s="38">
        <f>B17+B22+B27+B29</f>
        <v>31305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2"/>
  <sheetViews>
    <sheetView workbookViewId="0"/>
  </sheetViews>
  <sheetFormatPr defaultRowHeight="15" x14ac:dyDescent="0.25"/>
  <cols>
    <col min="1" max="1" width="14.7109375" bestFit="1" customWidth="1"/>
    <col min="2" max="2" width="21.85546875" bestFit="1" customWidth="1"/>
    <col min="3" max="3" width="37.42578125" bestFit="1" customWidth="1"/>
    <col min="4" max="4" width="14.42578125" bestFit="1" customWidth="1"/>
  </cols>
  <sheetData>
    <row r="1" spans="1:4" x14ac:dyDescent="0.25">
      <c r="A1" t="s">
        <v>314</v>
      </c>
      <c r="B1" t="s">
        <v>316</v>
      </c>
      <c r="C1" t="s">
        <v>218</v>
      </c>
      <c r="D1" t="s">
        <v>315</v>
      </c>
    </row>
    <row r="2" spans="1:4" x14ac:dyDescent="0.25">
      <c r="A2" t="s">
        <v>93</v>
      </c>
      <c r="B2" t="s">
        <v>20</v>
      </c>
      <c r="C2" t="s">
        <v>276</v>
      </c>
      <c r="D2" s="22">
        <v>54875.285956335058</v>
      </c>
    </row>
    <row r="3" spans="1:4" x14ac:dyDescent="0.25">
      <c r="A3" t="s">
        <v>102</v>
      </c>
      <c r="B3" t="s">
        <v>20</v>
      </c>
      <c r="C3" t="s">
        <v>284</v>
      </c>
      <c r="D3" s="22">
        <v>8876.0598358777934</v>
      </c>
    </row>
    <row r="4" spans="1:4" x14ac:dyDescent="0.25">
      <c r="A4" t="s">
        <v>119</v>
      </c>
      <c r="B4" t="s">
        <v>118</v>
      </c>
      <c r="C4" t="s">
        <v>302</v>
      </c>
      <c r="D4" s="22">
        <v>46328.671840849704</v>
      </c>
    </row>
    <row r="5" spans="1:4" x14ac:dyDescent="0.25">
      <c r="A5" t="s">
        <v>11</v>
      </c>
      <c r="B5" t="s">
        <v>20</v>
      </c>
      <c r="C5" t="s">
        <v>231</v>
      </c>
      <c r="D5" s="22">
        <v>10143.838195559531</v>
      </c>
    </row>
    <row r="6" spans="1:4" x14ac:dyDescent="0.25">
      <c r="A6" t="s">
        <v>128</v>
      </c>
      <c r="B6" t="s">
        <v>122</v>
      </c>
      <c r="C6" t="s">
        <v>306</v>
      </c>
      <c r="D6" s="22">
        <v>59775.735096451463</v>
      </c>
    </row>
    <row r="7" spans="1:4" x14ac:dyDescent="0.25">
      <c r="A7" t="s">
        <v>36</v>
      </c>
      <c r="B7" t="s">
        <v>117</v>
      </c>
      <c r="C7" t="s">
        <v>296</v>
      </c>
      <c r="D7" s="22">
        <v>4135.2333435120227</v>
      </c>
    </row>
    <row r="8" spans="1:4" x14ac:dyDescent="0.25">
      <c r="A8" t="s">
        <v>81</v>
      </c>
      <c r="B8" t="s">
        <v>20</v>
      </c>
      <c r="C8" t="s">
        <v>268</v>
      </c>
      <c r="D8" s="22">
        <v>3514.0421682577962</v>
      </c>
    </row>
    <row r="9" spans="1:4" x14ac:dyDescent="0.25">
      <c r="A9" t="s">
        <v>107</v>
      </c>
      <c r="B9" t="s">
        <v>20</v>
      </c>
      <c r="C9" t="s">
        <v>288</v>
      </c>
      <c r="D9" s="22">
        <v>506.81713913122451</v>
      </c>
    </row>
    <row r="10" spans="1:4" x14ac:dyDescent="0.25">
      <c r="A10" t="s">
        <v>135</v>
      </c>
      <c r="B10" t="s">
        <v>122</v>
      </c>
      <c r="C10" t="s">
        <v>309</v>
      </c>
      <c r="D10" s="22">
        <v>52476.273253332707</v>
      </c>
    </row>
    <row r="11" spans="1:4" x14ac:dyDescent="0.25">
      <c r="A11" t="s">
        <v>124</v>
      </c>
      <c r="B11" t="s">
        <v>122</v>
      </c>
      <c r="C11" t="s">
        <v>305</v>
      </c>
      <c r="D11" s="22">
        <v>2229.8586518612992</v>
      </c>
    </row>
    <row r="12" spans="1:4" x14ac:dyDescent="0.25">
      <c r="A12" t="s">
        <v>115</v>
      </c>
      <c r="B12" t="s">
        <v>20</v>
      </c>
      <c r="C12" t="s">
        <v>290</v>
      </c>
      <c r="D12" s="22">
        <v>820.17723928209421</v>
      </c>
    </row>
    <row r="13" spans="1:4" x14ac:dyDescent="0.25">
      <c r="A13" t="s">
        <v>15</v>
      </c>
      <c r="B13" t="s">
        <v>208</v>
      </c>
      <c r="C13" t="s">
        <v>224</v>
      </c>
      <c r="D13" s="22">
        <v>6624.7618649330934</v>
      </c>
    </row>
    <row r="14" spans="1:4" x14ac:dyDescent="0.25">
      <c r="A14" t="s">
        <v>150</v>
      </c>
      <c r="B14" t="s">
        <v>122</v>
      </c>
      <c r="C14" t="s">
        <v>313</v>
      </c>
      <c r="D14" s="22">
        <v>31902.41690481942</v>
      </c>
    </row>
    <row r="15" spans="1:4" x14ac:dyDescent="0.25">
      <c r="A15" t="s">
        <v>66</v>
      </c>
      <c r="B15" t="s">
        <v>20</v>
      </c>
      <c r="C15" t="s">
        <v>256</v>
      </c>
      <c r="D15" s="22">
        <v>51939.429744529123</v>
      </c>
    </row>
    <row r="16" spans="1:4" x14ac:dyDescent="0.25">
      <c r="A16" t="s">
        <v>159</v>
      </c>
      <c r="B16" t="s">
        <v>20</v>
      </c>
      <c r="C16" t="s">
        <v>233</v>
      </c>
      <c r="D16" s="22">
        <v>43070.498359588782</v>
      </c>
    </row>
    <row r="17" spans="1:4" x14ac:dyDescent="0.25">
      <c r="A17" t="s">
        <v>160</v>
      </c>
      <c r="B17" t="s">
        <v>20</v>
      </c>
      <c r="C17" t="s">
        <v>240</v>
      </c>
      <c r="D17" s="22">
        <v>65094.799428792903</v>
      </c>
    </row>
    <row r="18" spans="1:4" x14ac:dyDescent="0.25">
      <c r="A18" t="s">
        <v>93</v>
      </c>
      <c r="B18" t="s">
        <v>20</v>
      </c>
      <c r="C18" t="s">
        <v>277</v>
      </c>
      <c r="D18" s="22">
        <v>54875.285956335058</v>
      </c>
    </row>
    <row r="19" spans="1:4" x14ac:dyDescent="0.25">
      <c r="A19" t="s">
        <v>93</v>
      </c>
      <c r="B19" t="s">
        <v>20</v>
      </c>
      <c r="C19" t="s">
        <v>278</v>
      </c>
      <c r="D19" s="22">
        <v>54875.285956335058</v>
      </c>
    </row>
    <row r="20" spans="1:4" x14ac:dyDescent="0.25">
      <c r="A20" t="s">
        <v>93</v>
      </c>
      <c r="B20" t="s">
        <v>20</v>
      </c>
      <c r="C20" t="s">
        <v>279</v>
      </c>
      <c r="D20" s="22">
        <v>54875.285956335058</v>
      </c>
    </row>
    <row r="21" spans="1:4" x14ac:dyDescent="0.25">
      <c r="A21" t="s">
        <v>93</v>
      </c>
      <c r="B21" t="s">
        <v>20</v>
      </c>
      <c r="C21" t="s">
        <v>280</v>
      </c>
      <c r="D21" s="22">
        <v>54875.285956335058</v>
      </c>
    </row>
    <row r="22" spans="1:4" x14ac:dyDescent="0.25">
      <c r="A22" t="s">
        <v>93</v>
      </c>
      <c r="B22" t="s">
        <v>20</v>
      </c>
      <c r="C22" t="s">
        <v>281</v>
      </c>
      <c r="D22" s="22">
        <v>54875.285956335058</v>
      </c>
    </row>
    <row r="23" spans="1:4" x14ac:dyDescent="0.25">
      <c r="A23" t="s">
        <v>93</v>
      </c>
      <c r="B23" t="s">
        <v>20</v>
      </c>
      <c r="C23" t="s">
        <v>282</v>
      </c>
      <c r="D23" s="22">
        <v>54875.285956335058</v>
      </c>
    </row>
    <row r="24" spans="1:4" x14ac:dyDescent="0.25">
      <c r="A24" t="s">
        <v>93</v>
      </c>
      <c r="B24" t="s">
        <v>20</v>
      </c>
      <c r="C24" t="s">
        <v>283</v>
      </c>
      <c r="D24" s="22">
        <v>54875.285956335058</v>
      </c>
    </row>
    <row r="25" spans="1:4" x14ac:dyDescent="0.25">
      <c r="A25" t="s">
        <v>93</v>
      </c>
      <c r="B25" t="s">
        <v>208</v>
      </c>
      <c r="C25" t="s">
        <v>227</v>
      </c>
      <c r="D25" s="22">
        <v>54875.285956335058</v>
      </c>
    </row>
    <row r="26" spans="1:4" x14ac:dyDescent="0.25">
      <c r="A26" t="s">
        <v>93</v>
      </c>
      <c r="B26" t="s">
        <v>122</v>
      </c>
      <c r="C26" t="s">
        <v>310</v>
      </c>
      <c r="D26" s="22">
        <v>54875.285956335058</v>
      </c>
    </row>
    <row r="27" spans="1:4" x14ac:dyDescent="0.25">
      <c r="A27" t="s">
        <v>102</v>
      </c>
      <c r="B27" t="s">
        <v>20</v>
      </c>
      <c r="C27" t="s">
        <v>285</v>
      </c>
      <c r="D27" s="22">
        <v>8876.0598358777934</v>
      </c>
    </row>
    <row r="28" spans="1:4" x14ac:dyDescent="0.25">
      <c r="A28" t="s">
        <v>102</v>
      </c>
      <c r="B28" t="s">
        <v>20</v>
      </c>
      <c r="C28" t="s">
        <v>286</v>
      </c>
      <c r="D28" s="22">
        <v>8876.0598358777934</v>
      </c>
    </row>
    <row r="29" spans="1:4" x14ac:dyDescent="0.25">
      <c r="A29" t="s">
        <v>102</v>
      </c>
      <c r="B29" t="s">
        <v>20</v>
      </c>
      <c r="C29" t="s">
        <v>287</v>
      </c>
      <c r="D29" s="22">
        <v>8876.0598358777934</v>
      </c>
    </row>
    <row r="30" spans="1:4" x14ac:dyDescent="0.25">
      <c r="A30" t="s">
        <v>102</v>
      </c>
      <c r="B30" t="s">
        <v>118</v>
      </c>
      <c r="C30" t="s">
        <v>303</v>
      </c>
      <c r="D30" s="22">
        <v>8876.0598358777934</v>
      </c>
    </row>
    <row r="31" spans="1:4" x14ac:dyDescent="0.25">
      <c r="A31" t="s">
        <v>11</v>
      </c>
      <c r="B31" t="s">
        <v>208</v>
      </c>
      <c r="C31" t="s">
        <v>223</v>
      </c>
      <c r="D31" s="22">
        <v>10143.838195559531</v>
      </c>
    </row>
    <row r="32" spans="1:4" x14ac:dyDescent="0.25">
      <c r="A32" t="s">
        <v>11</v>
      </c>
      <c r="B32" t="s">
        <v>117</v>
      </c>
      <c r="C32" t="s">
        <v>291</v>
      </c>
      <c r="D32" s="22">
        <v>10143.838195559531</v>
      </c>
    </row>
    <row r="33" spans="1:4" x14ac:dyDescent="0.25">
      <c r="A33" t="s">
        <v>11</v>
      </c>
      <c r="B33" t="s">
        <v>20</v>
      </c>
      <c r="C33" t="s">
        <v>232</v>
      </c>
      <c r="D33" s="22">
        <v>10143.838195559531</v>
      </c>
    </row>
    <row r="34" spans="1:4" x14ac:dyDescent="0.25">
      <c r="A34" t="s">
        <v>11</v>
      </c>
      <c r="B34" t="s">
        <v>118</v>
      </c>
      <c r="C34" t="s">
        <v>298</v>
      </c>
      <c r="D34" s="22">
        <v>10143.838195559531</v>
      </c>
    </row>
    <row r="35" spans="1:4" x14ac:dyDescent="0.25">
      <c r="A35" t="s">
        <v>11</v>
      </c>
      <c r="B35" t="s">
        <v>117</v>
      </c>
      <c r="C35" t="s">
        <v>292</v>
      </c>
      <c r="D35" s="22">
        <v>10143.838195559531</v>
      </c>
    </row>
    <row r="36" spans="1:4" x14ac:dyDescent="0.25">
      <c r="A36" t="s">
        <v>11</v>
      </c>
      <c r="B36" t="s">
        <v>118</v>
      </c>
      <c r="C36" t="s">
        <v>299</v>
      </c>
      <c r="D36" s="22">
        <v>10143.838195559531</v>
      </c>
    </row>
    <row r="37" spans="1:4" x14ac:dyDescent="0.25">
      <c r="A37" t="s">
        <v>128</v>
      </c>
      <c r="B37" t="s">
        <v>122</v>
      </c>
      <c r="C37" t="s">
        <v>307</v>
      </c>
      <c r="D37" s="22">
        <v>59775.735096451463</v>
      </c>
    </row>
    <row r="38" spans="1:4" x14ac:dyDescent="0.25">
      <c r="A38" t="s">
        <v>128</v>
      </c>
      <c r="B38" t="s">
        <v>122</v>
      </c>
      <c r="C38" t="s">
        <v>308</v>
      </c>
      <c r="D38" s="22">
        <v>59775.735096451463</v>
      </c>
    </row>
    <row r="39" spans="1:4" x14ac:dyDescent="0.25">
      <c r="A39" t="s">
        <v>36</v>
      </c>
      <c r="B39" t="s">
        <v>20</v>
      </c>
      <c r="C39" t="s">
        <v>238</v>
      </c>
      <c r="D39" s="22">
        <v>4135.2333435120227</v>
      </c>
    </row>
    <row r="40" spans="1:4" x14ac:dyDescent="0.25">
      <c r="A40" t="s">
        <v>81</v>
      </c>
      <c r="B40" t="s">
        <v>20</v>
      </c>
      <c r="C40" t="s">
        <v>269</v>
      </c>
      <c r="D40" s="22">
        <v>3514.0421682577962</v>
      </c>
    </row>
    <row r="41" spans="1:4" x14ac:dyDescent="0.25">
      <c r="A41" t="s">
        <v>81</v>
      </c>
      <c r="B41" t="s">
        <v>20</v>
      </c>
      <c r="C41" t="s">
        <v>270</v>
      </c>
      <c r="D41" s="22">
        <v>3514.0421682577962</v>
      </c>
    </row>
    <row r="42" spans="1:4" x14ac:dyDescent="0.25">
      <c r="A42" t="s">
        <v>81</v>
      </c>
      <c r="B42" t="s">
        <v>20</v>
      </c>
      <c r="C42" t="s">
        <v>271</v>
      </c>
      <c r="D42" s="22">
        <v>3514.0421682577962</v>
      </c>
    </row>
    <row r="43" spans="1:4" x14ac:dyDescent="0.25">
      <c r="A43" t="s">
        <v>81</v>
      </c>
      <c r="B43" t="s">
        <v>20</v>
      </c>
      <c r="C43" t="s">
        <v>272</v>
      </c>
      <c r="D43" s="22">
        <v>3514.0421682577962</v>
      </c>
    </row>
    <row r="44" spans="1:4" x14ac:dyDescent="0.25">
      <c r="A44" t="s">
        <v>81</v>
      </c>
      <c r="B44" t="s">
        <v>20</v>
      </c>
      <c r="C44" t="s">
        <v>273</v>
      </c>
      <c r="D44" s="22">
        <v>3514.0421682577962</v>
      </c>
    </row>
    <row r="45" spans="1:4" x14ac:dyDescent="0.25">
      <c r="A45" t="s">
        <v>81</v>
      </c>
      <c r="B45" t="s">
        <v>20</v>
      </c>
      <c r="C45" t="s">
        <v>274</v>
      </c>
      <c r="D45" s="22">
        <v>3514.0421682577962</v>
      </c>
    </row>
    <row r="46" spans="1:4" x14ac:dyDescent="0.25">
      <c r="A46" t="s">
        <v>81</v>
      </c>
      <c r="B46" t="s">
        <v>20</v>
      </c>
      <c r="C46" t="s">
        <v>275</v>
      </c>
      <c r="D46" s="22">
        <v>3514.0421682577962</v>
      </c>
    </row>
    <row r="47" spans="1:4" x14ac:dyDescent="0.25">
      <c r="A47" t="s">
        <v>107</v>
      </c>
      <c r="B47" t="s">
        <v>20</v>
      </c>
      <c r="C47" t="s">
        <v>289</v>
      </c>
      <c r="D47" s="22">
        <v>506.81713913122451</v>
      </c>
    </row>
    <row r="48" spans="1:4" x14ac:dyDescent="0.25">
      <c r="A48" t="s">
        <v>15</v>
      </c>
      <c r="B48" t="s">
        <v>118</v>
      </c>
      <c r="C48" t="s">
        <v>300</v>
      </c>
      <c r="D48" s="22">
        <v>6624.7618649330934</v>
      </c>
    </row>
    <row r="49" spans="1:4" x14ac:dyDescent="0.25">
      <c r="A49" t="s">
        <v>15</v>
      </c>
      <c r="B49" t="s">
        <v>117</v>
      </c>
      <c r="C49" t="s">
        <v>294</v>
      </c>
      <c r="D49" s="22">
        <v>6624.7618649330934</v>
      </c>
    </row>
    <row r="50" spans="1:4" x14ac:dyDescent="0.25">
      <c r="A50" t="s">
        <v>15</v>
      </c>
      <c r="B50" t="s">
        <v>20</v>
      </c>
      <c r="C50" t="s">
        <v>237</v>
      </c>
      <c r="D50" s="22">
        <v>6624.7618649330934</v>
      </c>
    </row>
    <row r="51" spans="1:4" x14ac:dyDescent="0.25">
      <c r="A51" t="s">
        <v>66</v>
      </c>
      <c r="B51" t="s">
        <v>20</v>
      </c>
      <c r="C51" t="s">
        <v>257</v>
      </c>
      <c r="D51" s="22">
        <v>51939.429744529123</v>
      </c>
    </row>
    <row r="52" spans="1:4" x14ac:dyDescent="0.25">
      <c r="A52" t="s">
        <v>66</v>
      </c>
      <c r="B52" t="s">
        <v>20</v>
      </c>
      <c r="C52" t="s">
        <v>258</v>
      </c>
      <c r="D52" s="22">
        <v>51939.429744529123</v>
      </c>
    </row>
    <row r="53" spans="1:4" x14ac:dyDescent="0.25">
      <c r="A53" t="s">
        <v>66</v>
      </c>
      <c r="B53" t="s">
        <v>20</v>
      </c>
      <c r="C53" t="s">
        <v>259</v>
      </c>
      <c r="D53" s="22">
        <v>51939.429744529123</v>
      </c>
    </row>
    <row r="54" spans="1:4" x14ac:dyDescent="0.25">
      <c r="A54" t="s">
        <v>66</v>
      </c>
      <c r="B54" t="s">
        <v>20</v>
      </c>
      <c r="C54" t="s">
        <v>260</v>
      </c>
      <c r="D54" s="22">
        <v>51939.429744529123</v>
      </c>
    </row>
    <row r="55" spans="1:4" x14ac:dyDescent="0.25">
      <c r="A55" t="s">
        <v>66</v>
      </c>
      <c r="B55" t="s">
        <v>20</v>
      </c>
      <c r="C55" t="s">
        <v>261</v>
      </c>
      <c r="D55" s="22">
        <v>51939.429744529123</v>
      </c>
    </row>
    <row r="56" spans="1:4" x14ac:dyDescent="0.25">
      <c r="A56" t="s">
        <v>66</v>
      </c>
      <c r="B56" t="s">
        <v>20</v>
      </c>
      <c r="C56" t="s">
        <v>262</v>
      </c>
      <c r="D56" s="22">
        <v>51939.429744529123</v>
      </c>
    </row>
    <row r="57" spans="1:4" x14ac:dyDescent="0.25">
      <c r="A57" t="s">
        <v>159</v>
      </c>
      <c r="B57" t="s">
        <v>208</v>
      </c>
      <c r="C57" t="s">
        <v>225</v>
      </c>
      <c r="D57" s="22">
        <v>43070.498359588782</v>
      </c>
    </row>
    <row r="58" spans="1:4" x14ac:dyDescent="0.25">
      <c r="A58" t="s">
        <v>159</v>
      </c>
      <c r="B58" t="s">
        <v>117</v>
      </c>
      <c r="C58" t="s">
        <v>293</v>
      </c>
      <c r="D58" s="22">
        <v>43070.498359588782</v>
      </c>
    </row>
    <row r="59" spans="1:4" x14ac:dyDescent="0.25">
      <c r="A59" t="s">
        <v>159</v>
      </c>
      <c r="B59" t="s">
        <v>20</v>
      </c>
      <c r="C59" t="s">
        <v>234</v>
      </c>
      <c r="D59" s="22">
        <v>43070.498359588782</v>
      </c>
    </row>
    <row r="60" spans="1:4" x14ac:dyDescent="0.25">
      <c r="A60" t="s">
        <v>159</v>
      </c>
      <c r="B60" t="s">
        <v>208</v>
      </c>
      <c r="C60" t="s">
        <v>226</v>
      </c>
      <c r="D60" s="22">
        <v>43070.498359588782</v>
      </c>
    </row>
    <row r="61" spans="1:4" x14ac:dyDescent="0.25">
      <c r="A61" t="s">
        <v>159</v>
      </c>
      <c r="B61" t="s">
        <v>20</v>
      </c>
      <c r="C61" t="s">
        <v>235</v>
      </c>
      <c r="D61" s="22">
        <v>43070.498359588782</v>
      </c>
    </row>
    <row r="62" spans="1:4" x14ac:dyDescent="0.25">
      <c r="A62" t="s">
        <v>159</v>
      </c>
      <c r="B62" t="s">
        <v>118</v>
      </c>
      <c r="C62" t="s">
        <v>301</v>
      </c>
      <c r="D62" s="22">
        <v>43070.498359588782</v>
      </c>
    </row>
    <row r="63" spans="1:4" x14ac:dyDescent="0.25">
      <c r="A63" t="s">
        <v>159</v>
      </c>
      <c r="B63" t="s">
        <v>20</v>
      </c>
      <c r="C63" t="s">
        <v>236</v>
      </c>
      <c r="D63" s="22">
        <v>43070.498359588782</v>
      </c>
    </row>
    <row r="64" spans="1:4" x14ac:dyDescent="0.25">
      <c r="A64" t="s">
        <v>159</v>
      </c>
      <c r="B64" t="s">
        <v>208</v>
      </c>
      <c r="C64" t="s">
        <v>229</v>
      </c>
      <c r="D64" s="22">
        <v>43070.498359588782</v>
      </c>
    </row>
    <row r="65" spans="1:4" x14ac:dyDescent="0.25">
      <c r="A65" t="s">
        <v>159</v>
      </c>
      <c r="B65" t="s">
        <v>208</v>
      </c>
      <c r="C65" t="s">
        <v>230</v>
      </c>
      <c r="D65" s="22">
        <v>43070.498359588782</v>
      </c>
    </row>
    <row r="66" spans="1:4" x14ac:dyDescent="0.25">
      <c r="A66" t="s">
        <v>160</v>
      </c>
      <c r="B66" t="s">
        <v>20</v>
      </c>
      <c r="C66" t="s">
        <v>241</v>
      </c>
      <c r="D66" s="22">
        <v>65094.799428792903</v>
      </c>
    </row>
    <row r="67" spans="1:4" x14ac:dyDescent="0.25">
      <c r="A67" t="s">
        <v>160</v>
      </c>
      <c r="B67" t="s">
        <v>20</v>
      </c>
      <c r="C67" t="s">
        <v>242</v>
      </c>
      <c r="D67" s="22">
        <v>65094.799428792903</v>
      </c>
    </row>
    <row r="68" spans="1:4" x14ac:dyDescent="0.25">
      <c r="A68" t="s">
        <v>160</v>
      </c>
      <c r="B68" t="s">
        <v>20</v>
      </c>
      <c r="C68" t="s">
        <v>243</v>
      </c>
      <c r="D68" s="22">
        <v>65094.799428792903</v>
      </c>
    </row>
    <row r="69" spans="1:4" x14ac:dyDescent="0.25">
      <c r="A69" t="s">
        <v>160</v>
      </c>
      <c r="B69" t="s">
        <v>20</v>
      </c>
      <c r="C69" t="s">
        <v>244</v>
      </c>
      <c r="D69" s="22">
        <v>65094.799428792903</v>
      </c>
    </row>
    <row r="70" spans="1:4" x14ac:dyDescent="0.25">
      <c r="A70" t="s">
        <v>160</v>
      </c>
      <c r="B70" t="s">
        <v>20</v>
      </c>
      <c r="C70" t="s">
        <v>245</v>
      </c>
      <c r="D70" s="22">
        <v>65094.799428792903</v>
      </c>
    </row>
    <row r="71" spans="1:4" x14ac:dyDescent="0.25">
      <c r="A71" t="s">
        <v>160</v>
      </c>
      <c r="B71" t="s">
        <v>20</v>
      </c>
      <c r="C71" t="s">
        <v>246</v>
      </c>
      <c r="D71" s="22">
        <v>65094.799428792903</v>
      </c>
    </row>
    <row r="72" spans="1:4" x14ac:dyDescent="0.25">
      <c r="A72" t="s">
        <v>160</v>
      </c>
      <c r="B72" t="s">
        <v>20</v>
      </c>
      <c r="C72" t="s">
        <v>247</v>
      </c>
      <c r="D72" s="22">
        <v>65094.799428792903</v>
      </c>
    </row>
    <row r="73" spans="1:4" x14ac:dyDescent="0.25">
      <c r="A73" t="s">
        <v>160</v>
      </c>
      <c r="B73" t="s">
        <v>20</v>
      </c>
      <c r="C73" t="s">
        <v>248</v>
      </c>
      <c r="D73" s="22">
        <v>65094.799428792903</v>
      </c>
    </row>
    <row r="74" spans="1:4" x14ac:dyDescent="0.25">
      <c r="A74" t="s">
        <v>160</v>
      </c>
      <c r="B74" t="s">
        <v>20</v>
      </c>
      <c r="C74" t="s">
        <v>249</v>
      </c>
      <c r="D74" s="22">
        <v>65094.799428792903</v>
      </c>
    </row>
    <row r="75" spans="1:4" x14ac:dyDescent="0.25">
      <c r="A75" t="s">
        <v>160</v>
      </c>
      <c r="B75" t="s">
        <v>118</v>
      </c>
      <c r="C75" t="s">
        <v>297</v>
      </c>
      <c r="D75" s="22">
        <v>65094.799428792903</v>
      </c>
    </row>
    <row r="76" spans="1:4" x14ac:dyDescent="0.25">
      <c r="A76" t="s">
        <v>160</v>
      </c>
      <c r="B76" t="s">
        <v>20</v>
      </c>
      <c r="C76" t="s">
        <v>250</v>
      </c>
      <c r="D76" s="22">
        <v>65094.799428792903</v>
      </c>
    </row>
    <row r="77" spans="1:4" x14ac:dyDescent="0.25">
      <c r="A77" t="s">
        <v>160</v>
      </c>
      <c r="B77" t="s">
        <v>20</v>
      </c>
      <c r="C77" t="s">
        <v>251</v>
      </c>
      <c r="D77" s="22">
        <v>65094.799428792903</v>
      </c>
    </row>
    <row r="78" spans="1:4" x14ac:dyDescent="0.25">
      <c r="A78" t="s">
        <v>160</v>
      </c>
      <c r="B78" t="s">
        <v>20</v>
      </c>
      <c r="C78" t="s">
        <v>252</v>
      </c>
      <c r="D78" s="22">
        <v>65094.799428792903</v>
      </c>
    </row>
    <row r="79" spans="1:4" x14ac:dyDescent="0.25">
      <c r="A79" t="s">
        <v>160</v>
      </c>
      <c r="B79" t="s">
        <v>20</v>
      </c>
      <c r="C79" t="s">
        <v>253</v>
      </c>
      <c r="D79" s="22">
        <v>65094.799428792903</v>
      </c>
    </row>
    <row r="80" spans="1:4" x14ac:dyDescent="0.25">
      <c r="A80" t="s">
        <v>160</v>
      </c>
      <c r="B80" t="s">
        <v>20</v>
      </c>
      <c r="C80" t="s">
        <v>254</v>
      </c>
      <c r="D80" s="22">
        <v>65094.799428792903</v>
      </c>
    </row>
    <row r="81" spans="1:4" x14ac:dyDescent="0.25">
      <c r="A81" t="s">
        <v>160</v>
      </c>
      <c r="B81" t="s">
        <v>20</v>
      </c>
      <c r="C81" t="s">
        <v>255</v>
      </c>
      <c r="D81" s="22">
        <v>65094.799428792903</v>
      </c>
    </row>
    <row r="82" spans="1:4" x14ac:dyDescent="0.25">
      <c r="A82" t="s">
        <v>160</v>
      </c>
      <c r="B82" t="s">
        <v>20</v>
      </c>
      <c r="C82" t="s">
        <v>263</v>
      </c>
      <c r="D82" s="22">
        <v>65094.799428792903</v>
      </c>
    </row>
    <row r="83" spans="1:4" x14ac:dyDescent="0.25">
      <c r="A83" t="s">
        <v>160</v>
      </c>
      <c r="B83" t="s">
        <v>20</v>
      </c>
      <c r="C83" t="s">
        <v>264</v>
      </c>
      <c r="D83" s="22">
        <v>65094.799428792903</v>
      </c>
    </row>
    <row r="84" spans="1:4" x14ac:dyDescent="0.25">
      <c r="A84" t="s">
        <v>160</v>
      </c>
      <c r="B84" t="s">
        <v>20</v>
      </c>
      <c r="C84" t="s">
        <v>265</v>
      </c>
      <c r="D84" s="22">
        <v>65094.799428792903</v>
      </c>
    </row>
    <row r="85" spans="1:4" x14ac:dyDescent="0.25">
      <c r="A85" t="s">
        <v>160</v>
      </c>
      <c r="B85" t="s">
        <v>20</v>
      </c>
      <c r="C85" t="s">
        <v>266</v>
      </c>
      <c r="D85" s="22">
        <v>65094.799428792903</v>
      </c>
    </row>
    <row r="86" spans="1:4" x14ac:dyDescent="0.25">
      <c r="A86" t="s">
        <v>160</v>
      </c>
      <c r="B86" t="s">
        <v>20</v>
      </c>
      <c r="C86" t="s">
        <v>267</v>
      </c>
      <c r="D86" s="22">
        <v>65094.799428792903</v>
      </c>
    </row>
    <row r="87" spans="1:4" x14ac:dyDescent="0.25">
      <c r="A87" t="s">
        <v>160</v>
      </c>
      <c r="B87" t="s">
        <v>117</v>
      </c>
      <c r="C87" t="s">
        <v>295</v>
      </c>
      <c r="D87" s="22">
        <v>65094.799428792903</v>
      </c>
    </row>
    <row r="88" spans="1:4" x14ac:dyDescent="0.25">
      <c r="A88" t="s">
        <v>160</v>
      </c>
      <c r="B88" t="s">
        <v>208</v>
      </c>
      <c r="C88" t="s">
        <v>228</v>
      </c>
      <c r="D88" s="22">
        <v>65094.799428792903</v>
      </c>
    </row>
    <row r="89" spans="1:4" x14ac:dyDescent="0.25">
      <c r="A89" t="s">
        <v>160</v>
      </c>
      <c r="B89" t="s">
        <v>122</v>
      </c>
      <c r="C89" t="s">
        <v>311</v>
      </c>
      <c r="D89" s="22">
        <v>65094.799428792903</v>
      </c>
    </row>
    <row r="90" spans="1:4" x14ac:dyDescent="0.25">
      <c r="A90" t="s">
        <v>160</v>
      </c>
      <c r="B90" t="s">
        <v>122</v>
      </c>
      <c r="C90" t="s">
        <v>312</v>
      </c>
      <c r="D90" s="22">
        <v>65094.799428792903</v>
      </c>
    </row>
    <row r="91" spans="1:4" x14ac:dyDescent="0.25">
      <c r="A91" t="s">
        <v>160</v>
      </c>
      <c r="B91" t="s">
        <v>118</v>
      </c>
      <c r="C91" t="s">
        <v>304</v>
      </c>
      <c r="D91" s="22">
        <v>65094.799428792903</v>
      </c>
    </row>
    <row r="92" spans="1:4" x14ac:dyDescent="0.25">
      <c r="A92" t="s">
        <v>160</v>
      </c>
      <c r="B92" t="s">
        <v>20</v>
      </c>
      <c r="C92" t="s">
        <v>239</v>
      </c>
      <c r="D92" s="22">
        <v>65094.799428792903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47BF3-592F-4913-B88C-4555BA1F28D2}">
  <dimension ref="A1:B33"/>
  <sheetViews>
    <sheetView workbookViewId="0"/>
  </sheetViews>
  <sheetFormatPr defaultRowHeight="15" x14ac:dyDescent="0.25"/>
  <cols>
    <col min="1" max="1" width="8.7109375" style="3"/>
    <col min="2" max="2" width="255.5703125" bestFit="1" customWidth="1"/>
  </cols>
  <sheetData>
    <row r="1" spans="1:2" x14ac:dyDescent="0.25">
      <c r="A1" s="1" t="s">
        <v>161</v>
      </c>
      <c r="B1" s="2" t="s">
        <v>162</v>
      </c>
    </row>
    <row r="2" spans="1:2" x14ac:dyDescent="0.25">
      <c r="A2" s="3" t="s">
        <v>163</v>
      </c>
      <c r="B2" s="19" t="s">
        <v>164</v>
      </c>
    </row>
    <row r="3" spans="1:2" x14ac:dyDescent="0.25">
      <c r="A3" s="3" t="s">
        <v>163</v>
      </c>
      <c r="B3" s="19" t="s">
        <v>165</v>
      </c>
    </row>
    <row r="4" spans="1:2" x14ac:dyDescent="0.25">
      <c r="A4" s="3" t="s">
        <v>163</v>
      </c>
      <c r="B4" s="19" t="s">
        <v>166</v>
      </c>
    </row>
    <row r="5" spans="1:2" x14ac:dyDescent="0.25">
      <c r="A5" s="3" t="s">
        <v>163</v>
      </c>
      <c r="B5" s="19" t="s">
        <v>167</v>
      </c>
    </row>
    <row r="6" spans="1:2" x14ac:dyDescent="0.25">
      <c r="A6" s="3" t="s">
        <v>163</v>
      </c>
      <c r="B6" s="19" t="s">
        <v>168</v>
      </c>
    </row>
    <row r="7" spans="1:2" x14ac:dyDescent="0.25">
      <c r="A7" s="3" t="s">
        <v>163</v>
      </c>
      <c r="B7" s="19" t="s">
        <v>169</v>
      </c>
    </row>
    <row r="8" spans="1:2" x14ac:dyDescent="0.25">
      <c r="A8" s="3" t="s">
        <v>163</v>
      </c>
      <c r="B8" s="19" t="s">
        <v>170</v>
      </c>
    </row>
    <row r="9" spans="1:2" x14ac:dyDescent="0.25">
      <c r="A9" s="3" t="s">
        <v>163</v>
      </c>
      <c r="B9" s="19" t="s">
        <v>171</v>
      </c>
    </row>
    <row r="10" spans="1:2" x14ac:dyDescent="0.25">
      <c r="A10" s="3" t="s">
        <v>163</v>
      </c>
      <c r="B10" s="19" t="s">
        <v>172</v>
      </c>
    </row>
    <row r="11" spans="1:2" x14ac:dyDescent="0.25">
      <c r="A11" s="3" t="s">
        <v>163</v>
      </c>
      <c r="B11" s="19" t="s">
        <v>173</v>
      </c>
    </row>
    <row r="12" spans="1:2" x14ac:dyDescent="0.25">
      <c r="A12" s="3" t="s">
        <v>163</v>
      </c>
      <c r="B12" s="19" t="s">
        <v>174</v>
      </c>
    </row>
    <row r="13" spans="1:2" x14ac:dyDescent="0.25">
      <c r="A13" s="3" t="s">
        <v>163</v>
      </c>
      <c r="B13" s="19" t="s">
        <v>175</v>
      </c>
    </row>
    <row r="14" spans="1:2" x14ac:dyDescent="0.25">
      <c r="A14" s="3" t="s">
        <v>163</v>
      </c>
      <c r="B14" s="19" t="s">
        <v>176</v>
      </c>
    </row>
    <row r="15" spans="1:2" x14ac:dyDescent="0.25">
      <c r="A15" s="3" t="s">
        <v>163</v>
      </c>
      <c r="B15" s="19" t="s">
        <v>177</v>
      </c>
    </row>
    <row r="16" spans="1:2" x14ac:dyDescent="0.25">
      <c r="A16" s="3" t="s">
        <v>163</v>
      </c>
      <c r="B16" s="19" t="s">
        <v>178</v>
      </c>
    </row>
    <row r="17" spans="1:2" x14ac:dyDescent="0.25">
      <c r="A17" s="3" t="s">
        <v>163</v>
      </c>
      <c r="B17" s="19" t="s">
        <v>179</v>
      </c>
    </row>
    <row r="18" spans="1:2" x14ac:dyDescent="0.25">
      <c r="A18" s="3" t="s">
        <v>163</v>
      </c>
      <c r="B18" s="19" t="s">
        <v>180</v>
      </c>
    </row>
    <row r="19" spans="1:2" x14ac:dyDescent="0.25">
      <c r="A19" s="3" t="s">
        <v>163</v>
      </c>
      <c r="B19" s="19" t="s">
        <v>181</v>
      </c>
    </row>
    <row r="20" spans="1:2" x14ac:dyDescent="0.25">
      <c r="A20" s="3" t="s">
        <v>163</v>
      </c>
      <c r="B20" s="19" t="s">
        <v>182</v>
      </c>
    </row>
    <row r="21" spans="1:2" x14ac:dyDescent="0.25">
      <c r="A21" s="3" t="s">
        <v>163</v>
      </c>
      <c r="B21" s="19" t="s">
        <v>183</v>
      </c>
    </row>
    <row r="22" spans="1:2" x14ac:dyDescent="0.25">
      <c r="A22" s="3" t="s">
        <v>163</v>
      </c>
      <c r="B22" s="19" t="s">
        <v>184</v>
      </c>
    </row>
    <row r="23" spans="1:2" x14ac:dyDescent="0.25">
      <c r="A23" s="3" t="s">
        <v>163</v>
      </c>
      <c r="B23" s="19" t="s">
        <v>185</v>
      </c>
    </row>
    <row r="24" spans="1:2" x14ac:dyDescent="0.25">
      <c r="A24" s="3" t="s">
        <v>163</v>
      </c>
      <c r="B24" s="19" t="s">
        <v>186</v>
      </c>
    </row>
    <row r="25" spans="1:2" x14ac:dyDescent="0.25">
      <c r="A25" s="3" t="s">
        <v>163</v>
      </c>
      <c r="B25" s="19" t="s">
        <v>187</v>
      </c>
    </row>
    <row r="26" spans="1:2" x14ac:dyDescent="0.25">
      <c r="A26" s="3" t="s">
        <v>163</v>
      </c>
      <c r="B26" s="19" t="s">
        <v>188</v>
      </c>
    </row>
    <row r="27" spans="1:2" x14ac:dyDescent="0.25">
      <c r="A27" s="3" t="s">
        <v>163</v>
      </c>
      <c r="B27" s="19" t="s">
        <v>189</v>
      </c>
    </row>
    <row r="28" spans="1:2" x14ac:dyDescent="0.25">
      <c r="A28" s="3" t="s">
        <v>163</v>
      </c>
      <c r="B28" s="19" t="s">
        <v>190</v>
      </c>
    </row>
    <row r="29" spans="1:2" x14ac:dyDescent="0.25">
      <c r="A29" s="3" t="s">
        <v>163</v>
      </c>
      <c r="B29" s="19" t="s">
        <v>191</v>
      </c>
    </row>
    <row r="30" spans="1:2" x14ac:dyDescent="0.25">
      <c r="A30" s="3" t="s">
        <v>163</v>
      </c>
      <c r="B30" s="19" t="s">
        <v>192</v>
      </c>
    </row>
    <row r="31" spans="1:2" x14ac:dyDescent="0.25">
      <c r="A31" s="3" t="s">
        <v>163</v>
      </c>
      <c r="B31" s="19" t="s">
        <v>193</v>
      </c>
    </row>
    <row r="32" spans="1:2" x14ac:dyDescent="0.25">
      <c r="B32" s="20"/>
    </row>
    <row r="33" spans="2:2" x14ac:dyDescent="0.25">
      <c r="B33" s="20"/>
    </row>
  </sheetData>
  <autoFilter ref="A1:B31" xr:uid="{C0F47BF3-592F-4913-B88C-4555BA1F28D2}"/>
  <sortState xmlns:xlrd2="http://schemas.microsoft.com/office/spreadsheetml/2017/richdata2" ref="B2:B1048573">
    <sortCondition ref="B2:B1048573"/>
  </sortState>
  <hyperlinks>
    <hyperlink ref="B14" r:id="rId1" xr:uid="{00000000-0004-0000-0900-000000000000}"/>
    <hyperlink ref="B6" r:id="rId2" display="Campbell, H. E., Kurinczuk, J. J., Heazell, A. E. P., Leal, J., &amp; Rivero‐Arias, O. (2018). Healthcare and wider societal implications of stillbirth: a population‐based cost‐of‐illness study. BJOG: An International Journal of Obstetrics &amp; Gynaecology, 125(2), 108-117." xr:uid="{00000000-0004-0000-0900-000001000000}"/>
    <hyperlink ref="B29" r:id="rId3" display="Waitzman, N. J., Jalali, A., &amp; Grosse, S. D. (2021, April). Preterm birth lifetime costs in the United States in 2016: An update. In Seminars in perinatology (Vol. 45, No. 3, p. 151390). WB Saunders." xr:uid="{00000000-0004-0000-0900-000003000000}"/>
    <hyperlink ref="B2" r:id="rId4" xr:uid="{00000000-0004-0000-0900-000004000000}"/>
    <hyperlink ref="B18" r:id="rId5" display="Newnham, J. P., Schilling, C., Petrou, S., Morris, J. M., Wallace, E. M., Brown, K., ... &amp; Doherty, D. A. (2022). The health and educational costs of preterm birth to 18 years of age in Australia. Australian and New Zealand Journal of Obstetrics and Gynaecology, 62(1), 55-61." xr:uid="{00000000-0004-0000-0900-000005000000}"/>
    <hyperlink ref="B26" r:id="rId6" xr:uid="{00000000-0004-0000-0900-000006000000}"/>
    <hyperlink ref="B16" r:id="rId7" xr:uid="{00000000-0004-0000-0900-000007000000}"/>
    <hyperlink ref="B12" r:id="rId8" xr:uid="{00000000-0004-0000-0900-000008000000}"/>
    <hyperlink ref="B10" r:id="rId9" xr:uid="{00000000-0004-0000-0900-00000A000000}"/>
    <hyperlink ref="B5" r:id="rId10" display="Boodman, C., Bullard, J., Stein, D. R., Lee, S., Poliquin, V., &amp; Van Caeseele, P. (2023). Expanded prenatal syphilis screening in Manitoba, Canada: a direct short-term cost-avoidance analysis in an outbreak context. Canadian Journal of Public Health, 114(2), 287-294." xr:uid="{00000000-0004-0000-0900-00000B000000}"/>
    <hyperlink ref="B27" r:id="rId11" display="Umapathi, K. K., Thavamani, A., &amp; Chotikanatis, K. (2019). Incidence trends, risk factors, mortality and healthcare utilization in congenital syphilis-related hospitalizations in the United States: a nationwide population analysis. The Pediatric Infectious Disease Journal, 38(11), 1126-1130." xr:uid="{00000000-0004-0000-0900-00000C000000}"/>
    <hyperlink ref="B4" r:id="rId12" xr:uid="{00000000-0004-0000-0900-00000D000000}"/>
    <hyperlink ref="B15" r:id="rId13" xr:uid="{00000000-0004-0000-0900-00000F000000}"/>
    <hyperlink ref="B31" r:id="rId14" xr:uid="{00000000-0004-0000-0900-000010000000}"/>
    <hyperlink ref="B7" r:id="rId15" xr:uid="{00000000-0004-0000-0900-000011000000}"/>
    <hyperlink ref="B8" r:id="rId16" xr:uid="{00000000-0004-0000-0900-000012000000}"/>
    <hyperlink ref="B3" r:id="rId17" xr:uid="{00000000-0004-0000-0900-000013000000}"/>
    <hyperlink ref="B9" r:id="rId18" xr:uid="{00000000-0004-0000-0900-000014000000}"/>
    <hyperlink ref="B11" r:id="rId19" display="Hoving, M. A., Evers, S. M. A. A., Ament, A. J. H. A., Van Raak, E. P. M., Vles, J. S. H., &amp; Dutch Study Group on Child Spasticity. (2008). Intrathecal baclofen therapy in children with intractable spastic cerebral palsy: a cost‐effectiveness analysis. Developmental Medicine &amp; Child Neurology, 50(6), 450-455." xr:uid="{00000000-0004-0000-0900-000015000000}"/>
    <hyperlink ref="B13" r:id="rId20" xr:uid="{00000000-0004-0000-0900-000016000000}"/>
    <hyperlink ref="B19" r:id="rId21" display="Ngabonzima, A., Asingizwe, D., Cechetto, D., Mukunde, G., Nyalihama, A., Gakwerere, M., &amp; Epstein, D. M. (2022). Evaluating the medical direct costs associated with prematurity during the initial hospitalization in Rwanda: a prevalence based cost of illness study. BMC Health Services Research, 22(1), 1-11." xr:uid="{00000000-0004-0000-0900-000017000000}"/>
    <hyperlink ref="B20" r:id="rId22" xr:uid="{00000000-0004-0000-0900-000018000000}"/>
    <hyperlink ref="B21" r:id="rId23" xr:uid="{00000000-0004-0000-0900-000019000000}"/>
    <hyperlink ref="B22" r:id="rId24" display="Paintain, L., Hill, J., Ahmed, R., Landuwulang, C. U. R., Ansariadi, A., Poespoprodjo, J. R., ... &amp; Webster, J. (2020). Cost-effectiveness of intermittent preventive treatment with dihydroartemisinin-piperaquine versus single screening and treatment for the control of malaria in pregnancy in Papua, Indonesia: a provider perspective analysis from a cluster-randomised trial. The Lancet Global Health, 8(12), e1524-e1533." xr:uid="{00000000-0004-0000-0900-00001A000000}"/>
    <hyperlink ref="B23" r:id="rId25" xr:uid="{00000000-0004-0000-0900-00001B000000}"/>
    <hyperlink ref="B24" r:id="rId26" xr:uid="{00000000-0004-0000-0900-00001C000000}"/>
    <hyperlink ref="B25" r:id="rId27" xr:uid="{00000000-0004-0000-0900-00001D000000}"/>
    <hyperlink ref="B30" r:id="rId28" display="Wikström, T., Kuusela, P., Jacobsson, B., Hagberg, H., Lindgren, P., Svensson, M., ... &amp; Valentin, L. (2022). Cost‐effectiveness of cervical length screening and progesterone treatment to prevent spontaneous preterm delivery in Sweden. Ultrasound in Obstetrics &amp; Gynecology, 59(6), 778-792." xr:uid="{00000000-0004-0000-0900-00001E000000}"/>
    <hyperlink ref="B28" r:id="rId29" xr:uid="{00000000-0004-0000-0900-00001F000000}"/>
    <hyperlink ref="B17" r:id="rId30" xr:uid="{00000000-0004-0000-0900-000020000000}"/>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README</vt:lpstr>
      <vt:lpstr>POST-ACUTE COSTS</vt:lpstr>
      <vt:lpstr>WHO hearing loss Tables 5&amp;6</vt:lpstr>
      <vt:lpstr>work-&gt;</vt:lpstr>
      <vt:lpstr>Newnham Table A3</vt:lpstr>
      <vt:lpstr>Newnham Table A4</vt:lpstr>
      <vt:lpstr>pcgdp_2019USD</vt:lpstr>
      <vt:lpstr>REFERENCES</vt:lpstr>
      <vt:lpstr>'POST-ACUTE COSTS'!Print_Area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Daria Burnes</dc:creator>
  <cp:keywords/>
  <dc:description/>
  <cp:lastModifiedBy>Daria Burnes</cp:lastModifiedBy>
  <cp:revision/>
  <dcterms:created xsi:type="dcterms:W3CDTF">2023-06-23T14:37:53Z</dcterms:created>
  <dcterms:modified xsi:type="dcterms:W3CDTF">2024-10-10T02:46:27Z</dcterms:modified>
  <cp:category/>
  <cp:contentStatus/>
</cp:coreProperties>
</file>