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att/Documents/Data_for_Progress/IRA_Climate/Work/"/>
    </mc:Choice>
  </mc:AlternateContent>
  <xr:revisionPtr revIDLastSave="0" documentId="13_ncr:1_{6843FF46-8032-314F-955E-FC8FE4B61A1F}" xr6:coauthVersionLast="47" xr6:coauthVersionMax="47" xr10:uidLastSave="{00000000-0000-0000-0000-000000000000}"/>
  <bookViews>
    <workbookView xWindow="40" yWindow="500" windowWidth="23620" windowHeight="14760" xr2:uid="{6447D1B0-7656-844A-B4DB-4DD6B0B355B7}"/>
  </bookViews>
  <sheets>
    <sheet name="Sheet1" sheetId="3"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147" i="3" l="1"/>
  <c r="F108" i="3" l="1"/>
  <c r="F107" i="3"/>
  <c r="F106" i="3"/>
  <c r="G177" i="3"/>
  <c r="G176" i="3"/>
  <c r="G175" i="3"/>
  <c r="G174" i="3"/>
  <c r="G173" i="3"/>
  <c r="S165" i="3"/>
  <c r="S164" i="3"/>
  <c r="S56" i="3" l="1"/>
  <c r="S55" i="3"/>
  <c r="S49" i="3"/>
  <c r="S50" i="3"/>
  <c r="G54" i="3"/>
  <c r="G53" i="3"/>
  <c r="G52" i="3"/>
  <c r="S52" i="3"/>
  <c r="S53" i="3"/>
  <c r="G50" i="3"/>
  <c r="G51" i="3"/>
  <c r="G49" i="3"/>
  <c r="G55" i="3"/>
  <c r="G56" i="3"/>
  <c r="G57" i="3"/>
  <c r="S51" i="3"/>
  <c r="S54" i="3"/>
  <c r="S7" i="3"/>
  <c r="S8" i="3"/>
  <c r="S9" i="3"/>
  <c r="S10" i="3"/>
  <c r="S14" i="3"/>
  <c r="S15" i="3"/>
  <c r="S16" i="3"/>
  <c r="S23" i="3"/>
  <c r="S3" i="3"/>
  <c r="S4" i="3"/>
  <c r="S5" i="3"/>
  <c r="S6" i="3"/>
  <c r="S12" i="3"/>
  <c r="S17" i="3"/>
  <c r="S19" i="3"/>
  <c r="S20" i="3"/>
  <c r="S22" i="3"/>
  <c r="S21" i="3"/>
  <c r="F27" i="3"/>
  <c r="F28" i="3"/>
  <c r="F29" i="3"/>
  <c r="F30" i="3"/>
  <c r="F31" i="3"/>
  <c r="G31" i="3"/>
  <c r="G30" i="3"/>
  <c r="G28" i="3"/>
  <c r="G27" i="3"/>
  <c r="G29" i="3"/>
  <c r="S27" i="3"/>
  <c r="S28" i="3"/>
  <c r="S29" i="3"/>
  <c r="S30" i="3"/>
  <c r="S31" i="3"/>
  <c r="G61" i="3"/>
  <c r="G64" i="3"/>
  <c r="G63" i="3"/>
  <c r="G62" i="3"/>
  <c r="G60" i="3"/>
  <c r="S61" i="3"/>
  <c r="S60" i="3"/>
  <c r="S62" i="3"/>
  <c r="S63" i="3"/>
  <c r="G71" i="3"/>
  <c r="G70" i="3"/>
  <c r="S70" i="3"/>
  <c r="S72" i="3"/>
  <c r="S71" i="3"/>
  <c r="S81" i="3"/>
  <c r="S82" i="3"/>
  <c r="G77" i="3"/>
  <c r="G76" i="3"/>
  <c r="S76" i="3"/>
  <c r="S77" i="3"/>
  <c r="S78" i="3"/>
  <c r="S79" i="3"/>
  <c r="S73" i="3"/>
  <c r="S65" i="3"/>
  <c r="G92" i="3"/>
  <c r="G93" i="3"/>
  <c r="G91" i="3"/>
  <c r="G88" i="3"/>
  <c r="G89" i="3"/>
  <c r="G87" i="3"/>
  <c r="G85" i="3"/>
  <c r="G86" i="3"/>
  <c r="G84" i="3"/>
  <c r="S84" i="3"/>
  <c r="S85" i="3"/>
  <c r="S86" i="3"/>
  <c r="S87" i="3"/>
  <c r="S88" i="3"/>
  <c r="S89" i="3"/>
  <c r="S90" i="3"/>
  <c r="S91" i="3"/>
  <c r="S92" i="3"/>
  <c r="G96" i="3"/>
  <c r="G95" i="3"/>
  <c r="G94" i="3"/>
  <c r="S94" i="3"/>
  <c r="S95" i="3"/>
  <c r="S96" i="3"/>
  <c r="G43" i="3"/>
  <c r="G42" i="3"/>
  <c r="G41" i="3"/>
  <c r="S41" i="3"/>
  <c r="S42" i="3"/>
  <c r="S25" i="3"/>
  <c r="S101" i="3"/>
  <c r="S100" i="3"/>
  <c r="S99" i="3"/>
  <c r="S98" i="3"/>
  <c r="S102" i="3"/>
  <c r="S103" i="3"/>
  <c r="S108" i="3"/>
  <c r="S107" i="3"/>
  <c r="S106" i="3"/>
  <c r="S120" i="3"/>
  <c r="G127" i="3"/>
  <c r="S127" i="3"/>
  <c r="G126" i="3"/>
  <c r="G125" i="3"/>
  <c r="S125" i="3"/>
  <c r="G131" i="3"/>
  <c r="G130" i="3"/>
  <c r="G129" i="3"/>
  <c r="G132" i="3"/>
  <c r="S129" i="3"/>
  <c r="S130" i="3"/>
  <c r="S131" i="3"/>
  <c r="G138" i="3"/>
  <c r="G137" i="3"/>
  <c r="G136" i="3"/>
  <c r="S136" i="3"/>
  <c r="S137" i="3"/>
  <c r="G141" i="3"/>
  <c r="G142" i="3"/>
  <c r="G140" i="3"/>
  <c r="G139" i="3"/>
  <c r="S139" i="3"/>
  <c r="S140" i="3"/>
  <c r="S141" i="3"/>
  <c r="S209" i="3"/>
  <c r="S210" i="3"/>
  <c r="S211" i="3"/>
  <c r="G169" i="3"/>
  <c r="G168" i="3"/>
  <c r="S168" i="3"/>
  <c r="S161" i="3"/>
  <c r="S160" i="3"/>
  <c r="S159" i="3"/>
  <c r="G162" i="3"/>
  <c r="G161" i="3"/>
  <c r="G160" i="3"/>
  <c r="G159" i="3"/>
  <c r="S162" i="3"/>
  <c r="G167" i="3"/>
  <c r="G166" i="3"/>
  <c r="S166" i="3"/>
  <c r="G164" i="3"/>
  <c r="G163" i="3"/>
  <c r="G165" i="3"/>
  <c r="G158" i="3"/>
  <c r="G157" i="3"/>
  <c r="G156" i="3"/>
  <c r="S158" i="3"/>
  <c r="S157" i="3"/>
  <c r="S178" i="3"/>
  <c r="S176" i="3" l="1"/>
  <c r="S173" i="3"/>
  <c r="S174" i="3"/>
  <c r="S175" i="3"/>
  <c r="G181" i="3"/>
  <c r="G180" i="3"/>
  <c r="S180" i="3"/>
  <c r="S182" i="3"/>
  <c r="S183" i="3"/>
  <c r="S184" i="3"/>
  <c r="G185" i="3"/>
  <c r="G184" i="3"/>
  <c r="G183" i="3"/>
  <c r="G182" i="3"/>
  <c r="K189" i="3"/>
  <c r="L189" i="3"/>
  <c r="M189" i="3"/>
  <c r="N189" i="3"/>
  <c r="O189" i="3"/>
  <c r="P189" i="3"/>
  <c r="Q189" i="3"/>
  <c r="R189" i="3"/>
  <c r="J189" i="3"/>
  <c r="I189" i="3"/>
  <c r="G115" i="3"/>
  <c r="G114" i="3"/>
  <c r="G113" i="3"/>
  <c r="G112" i="3"/>
  <c r="S112" i="3"/>
  <c r="S113" i="3"/>
  <c r="S114" i="3"/>
  <c r="G116" i="3"/>
  <c r="S115" i="3"/>
  <c r="G149" i="3"/>
  <c r="G148" i="3"/>
  <c r="G147" i="3"/>
  <c r="G144" i="3"/>
  <c r="G143" i="3"/>
  <c r="S143" i="3"/>
  <c r="G145" i="3"/>
  <c r="S144" i="3"/>
  <c r="G146" i="3"/>
  <c r="S145" i="3"/>
  <c r="S148" i="3"/>
  <c r="G153" i="3"/>
  <c r="G152" i="3"/>
  <c r="G151" i="3"/>
  <c r="G150" i="3"/>
  <c r="S150" i="3"/>
  <c r="S151" i="3"/>
  <c r="S152" i="3"/>
  <c r="S155" i="3"/>
  <c r="S214" i="3"/>
  <c r="G200" i="3"/>
  <c r="G199" i="3"/>
  <c r="S199" i="3"/>
  <c r="S196" i="3"/>
  <c r="S195" i="3"/>
  <c r="S193" i="3"/>
  <c r="G190" i="3"/>
  <c r="G191" i="3"/>
  <c r="S190" i="3"/>
  <c r="S204" i="3"/>
  <c r="S203" i="3"/>
  <c r="S202" i="3"/>
  <c r="G59" i="3"/>
  <c r="G58" i="3"/>
  <c r="S59" i="3"/>
  <c r="G40" i="3"/>
  <c r="G47" i="3"/>
  <c r="G48" i="3"/>
  <c r="G46" i="3"/>
  <c r="G45" i="3"/>
  <c r="G44" i="3"/>
  <c r="S47" i="3"/>
  <c r="S46" i="3"/>
  <c r="S45" i="3"/>
  <c r="S44" i="3"/>
  <c r="S40" i="3"/>
  <c r="S39" i="3"/>
  <c r="S11" i="3"/>
  <c r="S13" i="3"/>
  <c r="S18" i="3"/>
  <c r="S24" i="3"/>
  <c r="S26" i="3"/>
  <c r="S32" i="3"/>
  <c r="S33" i="3"/>
  <c r="S34" i="3"/>
  <c r="S35" i="3"/>
  <c r="S36" i="3"/>
  <c r="S37" i="3"/>
  <c r="S38" i="3"/>
  <c r="S43" i="3"/>
  <c r="S48" i="3"/>
  <c r="S57" i="3"/>
  <c r="S58" i="3"/>
  <c r="S64" i="3"/>
  <c r="S66" i="3"/>
  <c r="S67" i="3"/>
  <c r="S68" i="3"/>
  <c r="S69" i="3"/>
  <c r="S74" i="3"/>
  <c r="S75" i="3"/>
  <c r="S80" i="3"/>
  <c r="S83" i="3"/>
  <c r="S93" i="3"/>
  <c r="S97" i="3"/>
  <c r="S104" i="3"/>
  <c r="S105" i="3"/>
  <c r="S109" i="3"/>
  <c r="S110" i="3"/>
  <c r="S111" i="3"/>
  <c r="S116" i="3"/>
  <c r="S117" i="3"/>
  <c r="S118" i="3"/>
  <c r="S119" i="3"/>
  <c r="S121" i="3"/>
  <c r="S122" i="3"/>
  <c r="S123" i="3"/>
  <c r="S124" i="3"/>
  <c r="S126" i="3"/>
  <c r="S128" i="3"/>
  <c r="S132" i="3"/>
  <c r="S133" i="3"/>
  <c r="S134" i="3"/>
  <c r="S135" i="3"/>
  <c r="S138" i="3"/>
  <c r="S142" i="3"/>
  <c r="S146" i="3"/>
  <c r="S149" i="3"/>
  <c r="S153" i="3"/>
  <c r="S154" i="3"/>
  <c r="S156" i="3"/>
  <c r="S163" i="3"/>
  <c r="S167" i="3"/>
  <c r="S169" i="3"/>
  <c r="S170" i="3"/>
  <c r="S171" i="3"/>
  <c r="S172" i="3"/>
  <c r="S177" i="3"/>
  <c r="S179" i="3"/>
  <c r="S181" i="3"/>
  <c r="S185" i="3"/>
  <c r="S186" i="3"/>
  <c r="S187" i="3"/>
  <c r="S188" i="3"/>
  <c r="S191" i="3"/>
  <c r="S192" i="3"/>
  <c r="S194" i="3"/>
  <c r="S197" i="3"/>
  <c r="S198" i="3"/>
  <c r="S200" i="3"/>
  <c r="S201" i="3"/>
  <c r="S205" i="3"/>
  <c r="S206" i="3"/>
  <c r="S207" i="3"/>
  <c r="S208" i="3"/>
  <c r="S212" i="3"/>
  <c r="S213" i="3"/>
  <c r="S2" i="3"/>
  <c r="S189" i="3" l="1"/>
</calcChain>
</file>

<file path=xl/sharedStrings.xml><?xml version="1.0" encoding="utf-8"?>
<sst xmlns="http://schemas.openxmlformats.org/spreadsheetml/2006/main" count="774" uniqueCount="209">
  <si>
    <t>Clean Electricity and Transmission</t>
  </si>
  <si>
    <t>Program</t>
  </si>
  <si>
    <t>Section</t>
  </si>
  <si>
    <t>Clean Transportation</t>
  </si>
  <si>
    <t>Renewable Energy Production Tax Credit</t>
  </si>
  <si>
    <t>Investment Tax Credit</t>
  </si>
  <si>
    <t>Low-Income Solar and Wind Investment Tax Credit</t>
  </si>
  <si>
    <t>Carbon Capture Tax Credit</t>
  </si>
  <si>
    <t>Nuclear Production Tax Credit</t>
  </si>
  <si>
    <t>Clean Electricity Production Credit</t>
  </si>
  <si>
    <t>Clean Electricity Investment Credit</t>
  </si>
  <si>
    <t>Cost recovery for qualified facilities, qualified property, and energy storage technology</t>
  </si>
  <si>
    <t>Rural Electric Cooperative Loans</t>
  </si>
  <si>
    <t>DOE Clean Energy Loan Guarantee Program</t>
  </si>
  <si>
    <t>Transmission Facility Loans</t>
  </si>
  <si>
    <t>Interstate Transmission Line Grants</t>
  </si>
  <si>
    <t>Rural Renewable Energy Loans</t>
  </si>
  <si>
    <t>Interregional Transmission Planning Investments</t>
  </si>
  <si>
    <t>Tribal Energy Loan Guarantee Program</t>
  </si>
  <si>
    <t>Buildings and Energy Efficiency</t>
  </si>
  <si>
    <t>Manufacturing</t>
  </si>
  <si>
    <t>Environmental Justice</t>
  </si>
  <si>
    <t>Conservation and Agriculture</t>
  </si>
  <si>
    <t>Fossil Fuels</t>
  </si>
  <si>
    <t>60113(c)</t>
  </si>
  <si>
    <t>EV Tax Credit</t>
  </si>
  <si>
    <t>Used EV Tax Credit</t>
  </si>
  <si>
    <t>Commercial EV Tax Credit</t>
  </si>
  <si>
    <t>EV Charging/Alternative Fuels Tax Credit</t>
  </si>
  <si>
    <t>Biodiesel Tax Credit</t>
  </si>
  <si>
    <t>Aviation Fuel Tax Credit</t>
  </si>
  <si>
    <t>Alternative and Clean Fuels Production Tax Credit</t>
  </si>
  <si>
    <t>USPS Electric Vehicles</t>
  </si>
  <si>
    <t>Clean Ports</t>
  </si>
  <si>
    <t>Zero-emissions trucks and buses</t>
  </si>
  <si>
    <t>Neighborhood Access and Equity Grants Program</t>
  </si>
  <si>
    <t>National Laboratory System</t>
  </si>
  <si>
    <t>Rural Energy for America Program</t>
  </si>
  <si>
    <t>Residential Energy Efficiency Tax Credit</t>
  </si>
  <si>
    <t>Residential Clean Electricity Tax Credit</t>
  </si>
  <si>
    <t>Commercial Energy Efficiency Tax Deduction</t>
  </si>
  <si>
    <t>New Energy Efficient Home Tax Credit</t>
  </si>
  <si>
    <t>Home Electrification and Energy Efficiency Rebates</t>
  </si>
  <si>
    <t>GSA Federal Building Investments</t>
  </si>
  <si>
    <t>High-efficiency electric home rebate program</t>
  </si>
  <si>
    <t>State-based home energy efficiency contractor training grants</t>
  </si>
  <si>
    <t>Affordable Housing Resilience and Efficiency Investments</t>
  </si>
  <si>
    <t>Efficient Building Code Adoption Grants</t>
  </si>
  <si>
    <t>Clean Manufacturing Investment Tax Credit</t>
  </si>
  <si>
    <t>Wind, Solar, and Battery Manufacturing Production Tax Credit</t>
  </si>
  <si>
    <t>Clean Hydrogen Tax Credit</t>
  </si>
  <si>
    <t>Industrial Emissions Reduction Investments</t>
  </si>
  <si>
    <t>Defense Production Act</t>
  </si>
  <si>
    <t>EV Manufacturing Loans</t>
  </si>
  <si>
    <t>EV Manufacturing Grants</t>
  </si>
  <si>
    <t>Clean Energy Fund</t>
  </si>
  <si>
    <t>Black Lung Disability Trust Fund Extension</t>
  </si>
  <si>
    <t>Climate Pollution Reduction Grants</t>
  </si>
  <si>
    <t>Environmental and Climate Justice Block Grants</t>
  </si>
  <si>
    <t>Environmental Quality Incentives Program (EQIP)</t>
  </si>
  <si>
    <t>Conservation Stewardship Program (CSP)</t>
  </si>
  <si>
    <t>Regional Conservation Partnership Program (RCPP)</t>
  </si>
  <si>
    <t>Agriculture Conservation Easement Program</t>
  </si>
  <si>
    <t>Coastal Climate Resilience</t>
  </si>
  <si>
    <t>Non-Federal Forest Conservation Grants</t>
  </si>
  <si>
    <t>Federal Forest Restoration Investments</t>
  </si>
  <si>
    <t>Public Lands Conservation</t>
  </si>
  <si>
    <t>Agricultural Conservation Technical Assistance</t>
  </si>
  <si>
    <t>Biofuel Production Grants</t>
  </si>
  <si>
    <t>Drought Response</t>
  </si>
  <si>
    <t>Fish and Wildlife Service</t>
  </si>
  <si>
    <t>National Oceanic and Atmospheric Administration (NOAA)</t>
  </si>
  <si>
    <t>Methane Emissions Reduction Program</t>
  </si>
  <si>
    <t>-</t>
  </si>
  <si>
    <t>50261; 50262; 50264</t>
  </si>
  <si>
    <t>Weight</t>
  </si>
  <si>
    <t>IndustryCode</t>
  </si>
  <si>
    <t>Category</t>
  </si>
  <si>
    <t>CategoryNum</t>
  </si>
  <si>
    <t>FederalShare</t>
  </si>
  <si>
    <t>Notes</t>
  </si>
  <si>
    <t>$1.29B (43%) for electric vehicles; $1.71B (57%) for infrastructure</t>
  </si>
  <si>
    <t>3361MV</t>
  </si>
  <si>
    <t>3364OT</t>
  </si>
  <si>
    <t>60% for general use (and 3% of that for administration); 40% for use in nonattainment areas</t>
  </si>
  <si>
    <t>GFGN</t>
  </si>
  <si>
    <t>5412OP</t>
  </si>
  <si>
    <t>$133.24M for "science laboratory infrastructure projects"; $303.656M for "high energy physics construction and major items of equipment projects"; $280M for "fusion energy science construction and major items of equipment projects"; $217M for "nuclear physics construction and major items of equipment projects"; $163.791M for "advanced scientific computing research facilities"; $294.5M for "basic energy sciences projects"; $157.813M for "isotope research and development facilities"; $450M for "infrastructure and general plant projects" for three offices (construction); SUMMARY: $133.24 + 0.5*303.656 + 0.5*280 + 0.5*217 + 163.791 + 157.813 + 450 = $1305.172M for construction (23), $0.5*303.656 + 0.5*280 + 0.5*217 + 294.5 = $694.828M for electrical equipment (335)</t>
  </si>
  <si>
    <t>Aircraft</t>
  </si>
  <si>
    <t>Construction</t>
  </si>
  <si>
    <t>Efficient and effective reviews</t>
  </si>
  <si>
    <t>Research and forecasting</t>
  </si>
  <si>
    <t>Computing capacity</t>
  </si>
  <si>
    <t>GFGD</t>
  </si>
  <si>
    <t>Design and construction of water projects</t>
  </si>
  <si>
    <t>Solar</t>
  </si>
  <si>
    <t>Canal improvement projects</t>
  </si>
  <si>
    <t>Endangered Species Act Recovery Plans</t>
  </si>
  <si>
    <t>Addressing weather events</t>
  </si>
  <si>
    <t>Emergency drought relief for tribes</t>
  </si>
  <si>
    <t>50% social assistance; 50% other services (environmental mitigation)</t>
  </si>
  <si>
    <t>Tribal Electrification Program</t>
  </si>
  <si>
    <t>$145.5M for program (1/3 to renewables, 1/3 to electrical equipment, 1/3 to construction); $4.5M for administration</t>
  </si>
  <si>
    <t>Renewables</t>
  </si>
  <si>
    <t>Native Hawaiian Climate Resilience</t>
  </si>
  <si>
    <t>Tribal Climate Resilience</t>
  </si>
  <si>
    <t>$220M for climate resilience; $10M for fish hatchery operations and maintenance; $5M for administration</t>
  </si>
  <si>
    <t>113FF</t>
  </si>
  <si>
    <t>$23.5M for climate resilience; $1.5M for administration</t>
  </si>
  <si>
    <t>$5.182B for purchase and installation of advanced industrial technology; retrofits to install or implement that technology; and engineering studies or other work</t>
  </si>
  <si>
    <t>Reinstatement of Superfund</t>
  </si>
  <si>
    <t>Revenue</t>
  </si>
  <si>
    <t>Environmental remediation</t>
  </si>
  <si>
    <t>Employees</t>
  </si>
  <si>
    <t>Conservation and resilience</t>
  </si>
  <si>
    <t>Conservation and ecosystem restoration</t>
  </si>
  <si>
    <t>Deferred maintenance (omitted by CBO, so we take the spending path for 50221/50222 and multiply by 200/250 = 4/5)</t>
  </si>
  <si>
    <t>Hazardous fuels reduction projects</t>
  </si>
  <si>
    <t>Vegetation management projects (forestry)</t>
  </si>
  <si>
    <t>Environmental reviews</t>
  </si>
  <si>
    <t>Protection of old-growth forests (forestry)</t>
  </si>
  <si>
    <t>$700M for land acquisition (NAICS code is 237, "subdivision of land," which falls under construction); $1.5B for forestry</t>
  </si>
  <si>
    <t>111CA</t>
  </si>
  <si>
    <t>50% technical services, 50% other services (conservation); allocate direct jobs to coastal states only</t>
  </si>
  <si>
    <t>Diesel Emissions Reductions</t>
  </si>
  <si>
    <t>2% for administration, half of the rest to "goods movement facilities" (warehousing) and the other half to "vehicles servicing goods movement facilities" (truck transportation)</t>
  </si>
  <si>
    <t>Funding to Address Air Pollution</t>
  </si>
  <si>
    <t>Funding to Address Air Pollution at Schools</t>
  </si>
  <si>
    <t>$37.5M for monitoring and reducing emissions (50% to electronics, 50% to other services) and $12.5M for technical assistance (professional services)</t>
  </si>
  <si>
    <t>$5M for R&amp;D of new testing and standards, $10M for biofuels</t>
  </si>
  <si>
    <t>Funding for Section 211(O) of the Clean Air Act</t>
  </si>
  <si>
    <t>Seems to be a discrepancy here: bill total is $235.5M but CBO total is $281M?; In any event, sections (a)-(e) allocate $205.5M to monitoring; section (f) gives $25M for unrestricted CAA Section 103 and 105 grants (60% federal share in most cases, 95% in some, so say 65% on average; 50% to studies and 50% to other services), and section (g) gives $5M for states to issue standards (GSLG)</t>
  </si>
  <si>
    <t>GSLG</t>
  </si>
  <si>
    <t>Funding for Implementation of the American Innovation and Manufacturing Act</t>
  </si>
  <si>
    <t>Funding for Enforcement Technology and Public Information</t>
  </si>
  <si>
    <t>Greenhouse Gas Corporate Reporting</t>
  </si>
  <si>
    <t>Management of companies</t>
  </si>
  <si>
    <t>Data collection</t>
  </si>
  <si>
    <t>Environmental and Climate Data Collection</t>
  </si>
  <si>
    <t>Compliance software and IT systems</t>
  </si>
  <si>
    <t>* Base credit is $12 per ton of carbon oxide captured and utilized, or $17 per ton captured and sequestered
* Bonus credit is $60 per ton of carbon oxide captured and utilized, or $85 per ton captured and sequestered
* Assume 50/50 split between utilization/sequestration and 50/50 split between base/bonus
* If we also assume the cost of capturing a ton of carbon is $600 (see: https://www.science.org/content/article/cost-plunges-capturing-carbon-dioxide-air), then we get a credit amount of ((12+17+60+85)/4)/600 = 43.5 / 600 = 7.25%</t>
  </si>
  <si>
    <t>Nuclear</t>
  </si>
  <si>
    <t>25% each to technical assistance; monitoring; methane mitigation; data collection</t>
  </si>
  <si>
    <t>$250M for planning; 97% of $4.75B for implementation; 3% of $4.75B for administration</t>
  </si>
  <si>
    <t>$7B for technical assistance and implementation of zero-emissions technologies to reduce emissions in disadvantaged communities (80% renewables, 20% technical assistance); $11.97B for general assistance for qualified projects are those that reduce emissions or that assist communities in doing so (60% renewables, 20% mitigation, 20% technical assistance); $8B for general assistance in disadvantaged communities (60% renewables, 20% mitigation, 20% technical assistance); and $30M for administrative costs</t>
  </si>
  <si>
    <t>$3B - $25M for manufacturing advanced zero-emission vehicles; $25M for administration</t>
  </si>
  <si>
    <t>97% of $2B for manufacturing zero-emission vehicles; 3% of $2B for administration</t>
  </si>
  <si>
    <t>Low-Embodied Carbon Labeling for Construction Materials</t>
  </si>
  <si>
    <t>Use of Low-Carbon Materials</t>
  </si>
  <si>
    <t>General Services Administration Emerging Technologies</t>
  </si>
  <si>
    <t>$975M for "emerging and sustainable technologies"; 50% "miscellaneous manufacturing", 50% "other services"</t>
  </si>
  <si>
    <t>Environmental Review Implementation Funds</t>
  </si>
  <si>
    <t>Low-Carbon Transportation Materials Grants</t>
  </si>
  <si>
    <t>FEMA Building Materials Program</t>
  </si>
  <si>
    <t>Offers either a 2% "incentive" payment or a reimbursement equal to the "incremental cost" of low-carbon materials as compared with the conventional alternative</t>
  </si>
  <si>
    <t>45V</t>
  </si>
  <si>
    <t xml:space="preserve">Convening relevant stakeholders; doing studies and planning </t>
  </si>
  <si>
    <t>487OS</t>
  </si>
  <si>
    <t>95% goes to grants to states for adoption of new building codes; training, enforcement, and monitoring (50% GSLG, 25% 514, 25% 61); 5% goes to administration</t>
  </si>
  <si>
    <t>$837.5M for "projects that improve energy or water efficiency, enhance indoor air quality or sustainability, implement the use of zero-emission electricity generation, low-emission building materials or processes, energy storage, or building electrification strategies, or address climate resilience, of an eligible property" (1/3 Renewables, 1/3 23, 1/3 81); $60M for "information technology, research and evaluation, and administering and overseeing the implementation of this section" (1/3 5415, 1/3 5412OP, and 1/3 GFGN); $60M for "expenses of contracts or cooperative agreements administered by the Secretary" (GFGN); and $42.5M for "energy and water benchmarking of properties eligible to receive grants or loans under this section, regardless of whether they actually received such grants or loans, along with associated data analysis and evaluation at the property and portfolio level, and the development of information technology systems necessary for the collection, evaluation, and analysis of such data" (1/3 5412OP; 1/3 514; 1/3 5415)</t>
  </si>
  <si>
    <t>25C; 30% credit for home energy and appliance upgrades (50% construction, 50% electrical appliances and components)</t>
  </si>
  <si>
    <t>25D; 30% credit for installation of home solar systems, now allows battery storage as well</t>
  </si>
  <si>
    <t>Credit of up to $5 per square foot for commercial energy efficiency upgrades; according to Forbes (https://www.forbes.com/home-improvement/hvac/new-hvac-system-cost/), HVAC systems cost $15-$18 per square foot, so let's be conservative and call this a 30% credit</t>
  </si>
  <si>
    <t>Homebuilder credit with a base amount of $2500 and a bonus amount of $5000; let's say it's $3750 on average; according to Forbes (https://www.forbes.com/home-improvement/contractor/cost-to-build-a-house/), the average cost of building a new home is $300,000, so we'll call this a 1.25% credit</t>
  </si>
  <si>
    <t>Credit is $1.25 per gallon; according to one aviation source (https://simpleflying.com/saf-cost-competitive-jet-fuel/), the cost of "sustainable aviation fuel" (SAF) in 2020 was $1.1 per liter in 2020; this is equivalent to just over $4 per gallon, so we approximate this as a 30% credit</t>
  </si>
  <si>
    <t>BioenergyP</t>
  </si>
  <si>
    <t>Credit is $1 per gallon; in late 2021, biodiesel was over $5 per gallon (see: https://www.biofuelsdigest.com/bdigest/2022/02/10/biodiesel-prices-seen-soaring-further-in-2022/), so we can approximate this as a 20% credit</t>
  </si>
  <si>
    <t>77% to rebates (100% for low-income and 50% for moderate-income); assume 50/50 split so average rebate is 75%; allocate 50% to construction and 50% to appliances; 1.5% for administration; 1.5% for technical assistance; 20% to state administration ("Rewiring America estimates the increased electrification of residences created by HEEHRA will create 462,430 installation jobs in the United States, generate 80,000 manufacturing jobs, and support 800,000 indirect and induced jobs related to the manufacture and installation of all those new high efficiency electric appliances." Source: https://cleantechnica.com/2022/09/02/understanding-the-high-efficiency-electric-home-rebate-act-heehra/); allocate 95% of jobs to states and 5% to tribes</t>
  </si>
  <si>
    <t>10% for state administration; 45% to developing plans (technical services); 45% to training (education)</t>
  </si>
  <si>
    <t>77% for program (home energy retrofits - 50% for some and 80% for others; assume 50/50 split so average is 65%; allocate 50% to construction and 50% for appliances) ; 3% for administration; 20% for state administration</t>
  </si>
  <si>
    <t>Some grants have a 25% share and others have a 75% share, so assume a 50% share; can go either to big business or small business, but small business must be in a rural area (allocate 50% of direct jobs in proportion to state's share of U.S. rural population); for main appropriation, assume 40% renewables, 20% appliances, 20% electrical equipment, 20% technical assistance; Underutilized Renewable Energy Technologies section is 15% of the total ((144750 + 5*31813.5) / (820250 + 5*180276.5 + 144750 + 5*31813.5)), and we assume this is 80% renewables, 20% technical assistance</t>
  </si>
  <si>
    <t>Some grants have a 25% share and others have a 75% share, so assume a 50% share; can go either to big business or small business, but small business must be in a rural area (allocate 50% of direct jobs in proportion to state's share of U.S. rural population); for main appropriation, assume 40% renewables, 40% appliances and electrical equipment, 20% technical assistance; Underutilized Renewable Energy Technologies section is 15% of the total ((144750 + 5*31813.5) / (820250 + 5*180276.5 + 144750 + 5*31813.5)), and we assume this is 80% renewables, 20% technical assistance</t>
  </si>
  <si>
    <t>45Z; Base credit is 20 cents per gallon for most clean fuels, 35 cents per gallon for aviation fuel
* Bonus credit is $1 per gallon for most clean fuels, $1.75 for aviation fuel
* Don't know the mix for non-aviation/aviation so say 50/50 and call the base credit 27.5 cents on average for base and $1.375 for bonus; say 50/50 mix for base/bonus and call the credit 82.5 cents
* In late 2021, biodiesel was over $5 per gallon (see: https://www.biofuelsdigest.com/bdigest/2022/02/10/biodiesel-prices-seen-soaring-further-in-2022/)
* Hence, credit is approximately 0.825 / 5 = 16.5% (round to 15%)</t>
  </si>
  <si>
    <t>98% of $2.25B for general assistance and 98% of $750M for nonattainment areas (model as 50% other transportation equipment and 50% other transportation and support activities); 2% of total for administration; allocate direct jobs in proportion to miles of coast</t>
  </si>
  <si>
    <t>SmartGrid</t>
  </si>
  <si>
    <t>"[P]urchase of renewable energy, renewable energy systems, zero-emission systems, and carbon capture and storage systems, to deploy such systems, or to make energy efficiency improvements to electric generation and transmission systems of the eligible entity"; allocate 50% to utilities, 50% to renewables</t>
  </si>
  <si>
    <t>45W; 15% base credit increased to 30% for certain vehicles; assume 50/50 split and treat as a 22.5% credit</t>
  </si>
  <si>
    <t>30% credit; assign NAICS code for "used car dealers" rather than for "motor vehicles"</t>
  </si>
  <si>
    <t>Credit is either $3750 or $7500; assume 50/50 split so average credit of $5625; assume average EV cost of $56,250, so credit is 10%</t>
  </si>
  <si>
    <t>OilGasP</t>
  </si>
  <si>
    <t>CoalP</t>
  </si>
  <si>
    <t>"The following non-exclusive list of potential types of Eligible Projects is provided for illustrative purposes only:
    Electricity generation, transmission and/or distribution facilities, utilizing renewable or conventional energy sources
    Energy storage facilities, whether or not integrated with any of the above
    Energy resource extraction, refining or processing facilities
    Energy transportation facilities, including pipelines
    District heating and cooling facilities
    Cogeneration facilities
    Distributed energy project portfolios, including portfolios of smaller distributed generation and storage facilities employed pursuant to a unified business plan" (Source: https://www.energy.gov/lpo/tribal-energy-loan-guarantee-program); Model as OilGasP CoalP Renewables Utilities Pipeline Transportation; $75 million appropriation and $20 billion commitment authority</t>
  </si>
  <si>
    <t>"Studies and analyses of the impacts of the covered transmission project"; "Participation by the siting authority in regulatory proceedings or negotiation" both at the state level and before the FERC; "economic development activities for communities that may be affected by the construction and operation of a covered transmission project"; 50% share for the participation in regulatory proceedings sections</t>
  </si>
  <si>
    <t>NOT IN CPC DOC: Energy Infrastructure Reinvestment Financing</t>
  </si>
  <si>
    <t>$3.6 billion appropriation (3% for administrative expenses) and $40 billion commitment authority; share is 0.97*3.6/40 = 0.0873</t>
  </si>
  <si>
    <t>* Base credit for businesses is 6%, bonus credit of 30%; base credit for individuals is 30% 
* Don't know the mix for businesses so say 50/50 and call the credit 18% on average; don't know the business/individual mix so say 50/50 and call the credit 24% on average
* Assign to SmartGrid
* Allocate direct jobs in proportion to non-MSA population</t>
  </si>
  <si>
    <t>* Basically a new, "technology-neutral" version of the PTC
* Base credit of 0.3 cents per kWh, bonus credit of 1.5 cents per kWh, extra bonuses of 10% (0.15 cents) for domestic content requirements and building in an energy community
* Assume 25/25/25/25 split so credit amount is (0.3+1.5+1.65+1.8)/4 = 1.3125 cents per kWh
* Cost of renewable generation is now 3 cents per kWh or less (see: https://www.irena.org/newsroom/pressreleases/2021/Jun/Majority-of-New-Renewables-Undercut-Cheapest-Fossil-Fuel-on-Cost) so we can suppose the credit is 1.3125/3 = 43.75%</t>
  </si>
  <si>
    <t>Change in depreciation rules for storage systems - treat as smart grid; according to NREL, this should reduce capital costs by about 25%, so we assume this is the federal share (source: https://www.buildnative.com/wp-content/uploads/2017/12/67558.pdf)</t>
  </si>
  <si>
    <t>$5B appropriation, $250B in commitment authority; split evenly among utilities, renewables, nonrenewables, remediation</t>
  </si>
  <si>
    <t>Nonrenewables</t>
  </si>
  <si>
    <t>* Base credit of 0.3 cents per kWh, bonus credit of 1.5 cents per kWh, extra bonuses of 10% (0.15 cents) for domestic content requirements and building in an energy community
* Assume 25/25/25/25 split so credit amount is (0.3+1.5+1.65+1.8)/4 = 1.3125 cents per kWh
* Cost of renewable generation is now 3 cents per kWh or less (see: https://www.irena.org/newsroom/pressreleases/2021/Jun/Majority-of-New-Renewables-Undercut-Cheapest-Fossil-Fuel-on-Cost) so we can suppose the credit is 1.3125/3 = 43.75%</t>
  </si>
  <si>
    <t xml:space="preserve">* Base credit of 6%, bonus credit of 30%, extra bonuses of 10% for domestic content requirements and building in an energy community
* Assume 25/25/25/25 split so credit amount is (6+30+40+50)/4 = 31.5%
</t>
  </si>
  <si>
    <t xml:space="preserve">* Basically a new, "technology-neutral" version of the ITC
* Base credit of 6%, bonus credit of 30%, extra bonuses of 10% for domestic content requirements and building in an energy community
* Assume 25/25/25/25 split so credit amount is (6+30+40+50)/4 = 31.5%
</t>
  </si>
  <si>
    <t>$1.893 billion for "[I]mprove walkability, safety, and affordable transportation access through projects that are context-sensitive", "remove, remediate, or reuse a facility"; "mitigate or remediate negative impacts on the human or natural environment resulting from a facility", "planning and capacity building activities in disadvantaged or underserved communities"; $1.262B for the same in "economically disadvantaged areas"; $50M for technical assistance, subgrants to local government, and Federal Highway Administration Operations; 80% cost share for basic grants, 100% for those in disadvantaged areas</t>
  </si>
  <si>
    <t>60113(c).1</t>
  </si>
  <si>
    <t>$8.45 billion; agriculture</t>
  </si>
  <si>
    <t>$3.25 billion; agriculture</t>
  </si>
  <si>
    <t>$1.4 billion; 50% agriculture, 50% land acquisition (NAICS code is 237, "subdivision of land, which falls under construction)</t>
  </si>
  <si>
    <t>$4.95 billion; agriculture</t>
  </si>
  <si>
    <t>48C; * Base credit of 6%, bonus credit of 30% 
* Don't know the mix so say 50/50 and call the credit 18% on average
* Use industrial mix from earlier memo:
* - 62.6% allocated to Electrical Equipment, Appliances, and Components
* - 20.5% allocated to Machinery Manufacturing (Industrial machinery for plant floors)
* - 2.8% allocated to Motor Vehicles
* - 10.0% allocated to Other Transportation Equipment
* - 1.8% allocated to Chemical Products
* - 2.1% allocated to Utilities (Smart grid - should use Heidi's definition here)
* - 0.3% allocated to Pipeline Transportation*
* Allocate 60% of direct jobs in proportion to Census tracts "(I) in which—
(aa) after December 31, 1999, a coal mine has closed, or
(bb) after December 31, 2009, a coal-fired electric generating unit has been retired, or
(II) which is directly adjoining to any census tract described in subclause (I)."</t>
  </si>
  <si>
    <t>* Base credit is 0.3 cents per kWh, bonus credit is 1.5 cents
* Assume 50/50 split so credit amount is 0.9 cents
* Average cost of nuclear power is $50 - $100 per MWh (see: https://www.mr-sustainability.com/stories/2020/nuclear-power-2); this means credit is 900 cents = $9 per MWh, so if we assume cost of nuclear power is $50 per MWh then credit amount is 9%
* Ignore how the credit is reduced in response to price increases</t>
  </si>
  <si>
    <t>Index</t>
  </si>
  <si>
    <t>Total</t>
  </si>
  <si>
    <t>45X; very similar to 45AA in BBB that seems to have disappeared in IRA; use Clean Manufacturing Investment Tax Credit as a benchmark and approximate as an 18% credit; because of phaseout, it becomes a 13.5% credit in 2030; a 9% credit in 2031; and a 4.5% credit in 2032</t>
  </si>
  <si>
    <t>45X; very similar to 45AA in BBB that seems to have disappeared in IRA; use Clean Manufacturing Investment Tax Credit as a benchmark and approximate as an 18% credit; because of phaseout, it becomes a 13.5% credit in 2030; a 9% credit in 2031; and a 4.5% credit in 2033</t>
  </si>
  <si>
    <t>45X; very similar to 45AA in BBB that seems to have disappeared in IRA; use Clean Manufacturing Investment Tax Credit as a benchmark and approximate as an 18% credit; because of phaseout, it becomes a 13.5% credit in 2030; a 9% credit in 2031; and a 4.5% credit in 2034</t>
  </si>
  <si>
    <t>45X; very similar to 45AA in BBB that seems to have disappeared in IRA; use Clean Manufacturing Investment Tax Credit as a benchmark and approximate as an 18% credit; because of phaseout, it becomes a 13.5% credit in 2030; a 9% credit in 2031; and a 4.5% credit in 2035</t>
  </si>
  <si>
    <t>93% of $200M for technical assistance; 93% of $2.8B for air pollution monitoring, prevention, and remediation; climate resiliency and adaptation; reducing indoor toxics and indoor air pollution; facilitating engagement of disadvantaged communities (model as 25% monitoring (electronics), 25% 50% remediation/mitigation (other services) and 25% facilitating engagement (administration); 7% of $3B for administration -- in total, 0.93*200M for technical assistance, 0.93*0.25*2.8B for monitoring, 0.93*0.5*2.8B for remediation/mitigation, and 0.07*3B + 0.93*0.25*2.8B for administration</t>
  </si>
  <si>
    <t>$20M + 97% of $15M in a(1) and a(3) for miscellaneous manufacturing; $3.5M for implementation and compliance; 5% of $15M for administration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</si>
</sst>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2"/>
      <color theme="1"/>
      <name val="Calibri"/>
      <family val="2"/>
      <scheme val="minor"/>
    </font>
    <font>
      <b/>
      <sz val="12"/>
      <color theme="1"/>
      <name val="Calibri"/>
      <family val="2"/>
      <scheme val="minor"/>
    </font>
    <font>
      <sz val="12"/>
      <color theme="1"/>
      <name val="Arial"/>
      <family val="2"/>
    </font>
    <font>
      <sz val="12"/>
      <color theme="1"/>
      <name val="Helvetica"/>
      <family val="2"/>
    </font>
    <font>
      <sz val="12"/>
      <color theme="1"/>
      <name val="Calibri"/>
      <family val="2"/>
    </font>
    <font>
      <b/>
      <sz val="12"/>
      <color theme="1"/>
      <name val="Arial"/>
      <family val="2"/>
    </font>
    <font>
      <b/>
      <sz val="12"/>
      <color theme="1"/>
      <name val="Calibri"/>
      <family val="2"/>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5" fillId="0" borderId="0" xfId="0" applyFont="1"/>
    <xf numFmtId="0" fontId="6" fillId="0" borderId="0" xfId="0" applyFont="1" applyAlignment="1">
      <alignment horizontal="left"/>
    </xf>
    <xf numFmtId="0" fontId="5" fillId="0" borderId="0" xfId="0" applyFont="1" applyAlignment="1">
      <alignment horizontal="left"/>
    </xf>
    <xf numFmtId="0" fontId="2" fillId="0" borderId="0" xfId="0" applyFont="1"/>
    <xf numFmtId="0" fontId="4" fillId="0" borderId="0" xfId="0" applyFont="1" applyAlignment="1">
      <alignment horizontal="left" wrapText="1"/>
    </xf>
    <xf numFmtId="0" fontId="0" fillId="0" borderId="0" xfId="0" applyAlignment="1">
      <alignment wrapText="1"/>
    </xf>
    <xf numFmtId="0" fontId="2" fillId="0" borderId="0" xfId="0" applyFont="1" applyAlignment="1">
      <alignment horizontal="right"/>
    </xf>
    <xf numFmtId="3" fontId="2" fillId="0" borderId="0" xfId="0" applyNumberFormat="1" applyFont="1"/>
    <xf numFmtId="0" fontId="2" fillId="0" borderId="0" xfId="0" applyFont="1" applyAlignment="1">
      <alignment wrapText="1"/>
    </xf>
    <xf numFmtId="0" fontId="2" fillId="0" borderId="0" xfId="0" applyFont="1" applyAlignment="1">
      <alignment horizontal="right" wrapText="1"/>
    </xf>
    <xf numFmtId="0" fontId="4" fillId="0" borderId="0" xfId="0" applyFont="1"/>
    <xf numFmtId="0" fontId="3" fillId="0" borderId="0" xfId="0" applyFont="1"/>
    <xf numFmtId="164" fontId="2" fillId="0" borderId="0" xfId="0" applyNumberFormat="1" applyFont="1" applyAlignment="1">
      <alignment wrapText="1"/>
    </xf>
    <xf numFmtId="0" fontId="4" fillId="0" borderId="0" xfId="0" applyFont="1" applyAlignment="1">
      <alignment horizontal="left"/>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F29FD-4669-734A-9C0E-5EA85AF6EB1E}">
  <dimension ref="A1:T214"/>
  <sheetViews>
    <sheetView tabSelected="1" workbookViewId="0">
      <pane ySplit="1" topLeftCell="A161" activePane="bottomLeft" state="frozen"/>
      <selection pane="bottomLeft" activeCell="E170" sqref="E170"/>
    </sheetView>
  </sheetViews>
  <sheetFormatPr baseColWidth="10" defaultRowHeight="30" customHeight="1" x14ac:dyDescent="0.2"/>
  <cols>
    <col min="1" max="1" width="12.83203125" customWidth="1"/>
    <col min="2" max="2" width="30.83203125" customWidth="1"/>
    <col min="4" max="4" width="25.83203125" style="15" customWidth="1"/>
    <col min="5" max="6" width="25.83203125" customWidth="1"/>
    <col min="7" max="7" width="13.33203125" bestFit="1" customWidth="1"/>
    <col min="8" max="8" width="20.83203125" style="16" customWidth="1"/>
  </cols>
  <sheetData>
    <row r="1" spans="1:20" ht="30" customHeight="1" x14ac:dyDescent="0.2">
      <c r="A1" s="1" t="s">
        <v>78</v>
      </c>
      <c r="B1" s="1" t="s">
        <v>77</v>
      </c>
      <c r="C1" s="2" t="s">
        <v>2</v>
      </c>
      <c r="D1" s="3" t="s">
        <v>1</v>
      </c>
      <c r="E1" s="2" t="s">
        <v>80</v>
      </c>
      <c r="F1" s="2" t="s">
        <v>79</v>
      </c>
      <c r="G1" s="2" t="s">
        <v>75</v>
      </c>
      <c r="H1" s="4" t="s">
        <v>76</v>
      </c>
      <c r="I1" s="2">
        <v>2023</v>
      </c>
      <c r="J1" s="2">
        <v>2024</v>
      </c>
      <c r="K1" s="2">
        <v>2025</v>
      </c>
      <c r="L1" s="2">
        <v>2026</v>
      </c>
      <c r="M1" s="2">
        <v>2027</v>
      </c>
      <c r="N1" s="2">
        <v>2028</v>
      </c>
      <c r="O1" s="2">
        <v>2029</v>
      </c>
      <c r="P1" s="2">
        <v>2030</v>
      </c>
      <c r="Q1" s="2">
        <v>2031</v>
      </c>
      <c r="R1" s="2">
        <v>2032</v>
      </c>
      <c r="S1" s="1" t="s">
        <v>202</v>
      </c>
      <c r="T1" s="1" t="s">
        <v>201</v>
      </c>
    </row>
    <row r="2" spans="1:20" ht="30" customHeight="1" x14ac:dyDescent="0.2">
      <c r="A2">
        <v>1</v>
      </c>
      <c r="B2" t="s">
        <v>0</v>
      </c>
      <c r="C2" s="5">
        <v>13101</v>
      </c>
      <c r="D2" s="6" t="s">
        <v>4</v>
      </c>
      <c r="E2" s="7" t="s">
        <v>190</v>
      </c>
      <c r="F2" s="7">
        <v>0.4375</v>
      </c>
      <c r="G2" s="5">
        <v>1</v>
      </c>
      <c r="H2" s="8" t="s">
        <v>103</v>
      </c>
      <c r="I2" s="5">
        <v>0</v>
      </c>
      <c r="J2" s="9">
        <v>1562</v>
      </c>
      <c r="K2" s="9">
        <v>2183</v>
      </c>
      <c r="L2" s="9">
        <v>3317</v>
      </c>
      <c r="M2" s="9">
        <v>4822</v>
      </c>
      <c r="N2" s="9">
        <v>6428</v>
      </c>
      <c r="O2" s="9">
        <v>7677</v>
      </c>
      <c r="P2" s="9">
        <v>8232</v>
      </c>
      <c r="Q2" s="9">
        <v>8329</v>
      </c>
      <c r="R2" s="9">
        <v>8511</v>
      </c>
      <c r="S2">
        <f t="shared" ref="S2:S33" si="0">SUM(I2:R2)</f>
        <v>51061</v>
      </c>
      <c r="T2" s="9">
        <v>1</v>
      </c>
    </row>
    <row r="3" spans="1:20" ht="30" customHeight="1" x14ac:dyDescent="0.2">
      <c r="A3">
        <v>1</v>
      </c>
      <c r="B3" t="s">
        <v>0</v>
      </c>
      <c r="C3" s="5">
        <v>13102</v>
      </c>
      <c r="D3" s="6" t="s">
        <v>5</v>
      </c>
      <c r="E3" s="7" t="s">
        <v>191</v>
      </c>
      <c r="F3" s="7">
        <v>0.315</v>
      </c>
      <c r="G3" s="5">
        <v>1</v>
      </c>
      <c r="H3" s="8" t="s">
        <v>103</v>
      </c>
      <c r="I3" s="5">
        <v>0</v>
      </c>
      <c r="J3" s="9">
        <v>2140</v>
      </c>
      <c r="K3" s="9">
        <v>1559</v>
      </c>
      <c r="L3" s="9">
        <v>2458</v>
      </c>
      <c r="M3" s="9">
        <v>5367</v>
      </c>
      <c r="N3" s="9">
        <v>2359</v>
      </c>
      <c r="O3" s="5">
        <v>48</v>
      </c>
      <c r="P3" s="5">
        <v>38</v>
      </c>
      <c r="Q3" s="5">
        <v>9</v>
      </c>
      <c r="R3" s="5">
        <v>-15</v>
      </c>
      <c r="S3">
        <f t="shared" si="0"/>
        <v>13963</v>
      </c>
      <c r="T3" s="5">
        <v>2</v>
      </c>
    </row>
    <row r="4" spans="1:20" ht="30" customHeight="1" x14ac:dyDescent="0.2">
      <c r="A4">
        <v>1</v>
      </c>
      <c r="B4" t="s">
        <v>0</v>
      </c>
      <c r="C4" s="10">
        <v>13103</v>
      </c>
      <c r="D4" s="6" t="s">
        <v>6</v>
      </c>
      <c r="E4" s="7"/>
      <c r="F4" s="7">
        <v>0</v>
      </c>
      <c r="G4" s="10">
        <v>0</v>
      </c>
      <c r="H4" s="11" t="s">
        <v>73</v>
      </c>
      <c r="I4" s="5" t="s">
        <v>73</v>
      </c>
      <c r="J4" s="5" t="s">
        <v>73</v>
      </c>
      <c r="K4" s="5" t="s">
        <v>73</v>
      </c>
      <c r="L4" s="5" t="s">
        <v>73</v>
      </c>
      <c r="M4" s="5" t="s">
        <v>73</v>
      </c>
      <c r="N4" s="5" t="s">
        <v>73</v>
      </c>
      <c r="O4" s="5" t="s">
        <v>73</v>
      </c>
      <c r="P4" s="5" t="s">
        <v>73</v>
      </c>
      <c r="Q4" s="5" t="s">
        <v>73</v>
      </c>
      <c r="R4" s="5" t="s">
        <v>73</v>
      </c>
      <c r="S4">
        <f t="shared" si="0"/>
        <v>0</v>
      </c>
      <c r="T4" s="9">
        <v>3</v>
      </c>
    </row>
    <row r="5" spans="1:20" ht="30" customHeight="1" x14ac:dyDescent="0.2">
      <c r="A5">
        <v>1</v>
      </c>
      <c r="B5" t="s">
        <v>0</v>
      </c>
      <c r="C5" s="10">
        <v>13104</v>
      </c>
      <c r="D5" s="6" t="s">
        <v>7</v>
      </c>
      <c r="E5" s="7" t="s">
        <v>140</v>
      </c>
      <c r="F5" s="7">
        <v>7.2499999999999995E-2</v>
      </c>
      <c r="G5" s="10">
        <v>1</v>
      </c>
      <c r="H5" s="11" t="s">
        <v>103</v>
      </c>
      <c r="I5" s="5">
        <v>0</v>
      </c>
      <c r="J5" s="5">
        <v>42</v>
      </c>
      <c r="K5" s="5">
        <v>303</v>
      </c>
      <c r="L5" s="5">
        <v>469</v>
      </c>
      <c r="M5" s="5">
        <v>495</v>
      </c>
      <c r="N5" s="5">
        <v>463</v>
      </c>
      <c r="O5" s="5">
        <v>429</v>
      </c>
      <c r="P5" s="5">
        <v>388</v>
      </c>
      <c r="Q5" s="5">
        <v>343</v>
      </c>
      <c r="R5" s="5">
        <v>296</v>
      </c>
      <c r="S5">
        <f t="shared" si="0"/>
        <v>3228</v>
      </c>
      <c r="T5" s="5">
        <v>4</v>
      </c>
    </row>
    <row r="6" spans="1:20" ht="30" customHeight="1" x14ac:dyDescent="0.2">
      <c r="A6">
        <v>1</v>
      </c>
      <c r="B6" t="s">
        <v>0</v>
      </c>
      <c r="C6" s="10">
        <v>13105</v>
      </c>
      <c r="D6" s="6" t="s">
        <v>8</v>
      </c>
      <c r="E6" s="7" t="s">
        <v>200</v>
      </c>
      <c r="F6" s="7">
        <v>0.18</v>
      </c>
      <c r="G6" s="10">
        <v>1</v>
      </c>
      <c r="H6" s="11" t="s">
        <v>141</v>
      </c>
      <c r="I6" s="5">
        <v>0</v>
      </c>
      <c r="J6" s="5">
        <v>0</v>
      </c>
      <c r="K6" s="9">
        <v>2188</v>
      </c>
      <c r="L6" s="9">
        <v>3524</v>
      </c>
      <c r="M6" s="9">
        <v>3710</v>
      </c>
      <c r="N6" s="9">
        <v>3838</v>
      </c>
      <c r="O6" s="9">
        <v>3960</v>
      </c>
      <c r="P6" s="9">
        <v>4050</v>
      </c>
      <c r="Q6" s="9">
        <v>4279</v>
      </c>
      <c r="R6" s="9">
        <v>4452</v>
      </c>
      <c r="S6">
        <f t="shared" si="0"/>
        <v>30001</v>
      </c>
      <c r="T6" s="9">
        <v>5</v>
      </c>
    </row>
    <row r="7" spans="1:20" ht="30" customHeight="1" x14ac:dyDescent="0.2">
      <c r="A7">
        <v>1</v>
      </c>
      <c r="B7" t="s">
        <v>0</v>
      </c>
      <c r="C7" s="10">
        <v>13701</v>
      </c>
      <c r="D7" s="6" t="s">
        <v>9</v>
      </c>
      <c r="E7" s="7" t="s">
        <v>186</v>
      </c>
      <c r="F7" s="7">
        <v>0.4375</v>
      </c>
      <c r="G7" s="10">
        <v>1</v>
      </c>
      <c r="H7" s="11" t="s">
        <v>103</v>
      </c>
      <c r="I7" s="5">
        <v>0</v>
      </c>
      <c r="J7" s="5">
        <v>0</v>
      </c>
      <c r="K7" s="5">
        <v>0</v>
      </c>
      <c r="L7" s="5">
        <v>0</v>
      </c>
      <c r="M7" s="5">
        <v>12</v>
      </c>
      <c r="N7" s="5">
        <v>45</v>
      </c>
      <c r="O7" s="5">
        <v>571</v>
      </c>
      <c r="P7" s="9">
        <v>1864</v>
      </c>
      <c r="Q7" s="9">
        <v>3497</v>
      </c>
      <c r="R7" s="9">
        <v>5215</v>
      </c>
      <c r="S7">
        <f t="shared" si="0"/>
        <v>11204</v>
      </c>
      <c r="T7" s="5">
        <v>6</v>
      </c>
    </row>
    <row r="8" spans="1:20" ht="30" customHeight="1" x14ac:dyDescent="0.2">
      <c r="A8">
        <v>1</v>
      </c>
      <c r="B8" t="s">
        <v>0</v>
      </c>
      <c r="C8" s="10">
        <v>13702</v>
      </c>
      <c r="D8" s="6" t="s">
        <v>10</v>
      </c>
      <c r="E8" s="7" t="s">
        <v>192</v>
      </c>
      <c r="F8" s="7">
        <v>0.315</v>
      </c>
      <c r="G8" s="10">
        <v>1</v>
      </c>
      <c r="H8" s="11" t="s">
        <v>103</v>
      </c>
      <c r="I8" s="5">
        <v>0</v>
      </c>
      <c r="J8" s="5">
        <v>0</v>
      </c>
      <c r="K8" s="5">
        <v>0</v>
      </c>
      <c r="L8" s="5">
        <v>39</v>
      </c>
      <c r="M8" s="5">
        <v>57</v>
      </c>
      <c r="N8" s="9">
        <v>6575</v>
      </c>
      <c r="O8" s="9">
        <v>10315</v>
      </c>
      <c r="P8" s="9">
        <v>10742</v>
      </c>
      <c r="Q8" s="9">
        <v>11264</v>
      </c>
      <c r="R8" s="9">
        <v>11865</v>
      </c>
      <c r="S8">
        <f t="shared" si="0"/>
        <v>50857</v>
      </c>
      <c r="T8" s="9">
        <v>7</v>
      </c>
    </row>
    <row r="9" spans="1:20" ht="30" customHeight="1" x14ac:dyDescent="0.2">
      <c r="A9">
        <v>1</v>
      </c>
      <c r="B9" t="s">
        <v>0</v>
      </c>
      <c r="C9" s="10">
        <v>13703</v>
      </c>
      <c r="D9" s="6" t="s">
        <v>11</v>
      </c>
      <c r="E9" s="7" t="s">
        <v>187</v>
      </c>
      <c r="F9" s="7">
        <v>0.25</v>
      </c>
      <c r="G9" s="10">
        <v>1</v>
      </c>
      <c r="H9" s="11" t="s">
        <v>174</v>
      </c>
      <c r="I9" s="5">
        <v>0</v>
      </c>
      <c r="J9" s="5">
        <v>0</v>
      </c>
      <c r="K9" s="5">
        <v>0</v>
      </c>
      <c r="L9" s="5">
        <v>0</v>
      </c>
      <c r="M9" s="5">
        <v>0</v>
      </c>
      <c r="N9" s="5">
        <v>26</v>
      </c>
      <c r="O9" s="5">
        <v>83</v>
      </c>
      <c r="P9" s="5">
        <v>134</v>
      </c>
      <c r="Q9" s="5">
        <v>171</v>
      </c>
      <c r="R9" s="5">
        <v>211</v>
      </c>
      <c r="S9">
        <f t="shared" si="0"/>
        <v>625</v>
      </c>
      <c r="T9" s="5">
        <v>8</v>
      </c>
    </row>
    <row r="10" spans="1:20" ht="30" customHeight="1" x14ac:dyDescent="0.2">
      <c r="A10">
        <v>1</v>
      </c>
      <c r="B10" t="s">
        <v>0</v>
      </c>
      <c r="C10" s="10">
        <v>22004</v>
      </c>
      <c r="D10" s="6" t="s">
        <v>12</v>
      </c>
      <c r="E10" s="10" t="s">
        <v>175</v>
      </c>
      <c r="F10" s="7">
        <v>1</v>
      </c>
      <c r="G10" s="10">
        <v>0.5</v>
      </c>
      <c r="H10" s="11">
        <v>22</v>
      </c>
      <c r="I10" s="5">
        <v>0</v>
      </c>
      <c r="J10" s="5">
        <v>50</v>
      </c>
      <c r="K10" s="5">
        <v>500</v>
      </c>
      <c r="L10" s="5">
        <v>920</v>
      </c>
      <c r="M10" s="9">
        <v>1310</v>
      </c>
      <c r="N10" s="9">
        <v>1680</v>
      </c>
      <c r="O10" s="9">
        <v>1780</v>
      </c>
      <c r="P10" s="9">
        <v>1640</v>
      </c>
      <c r="Q10" s="9">
        <v>1090</v>
      </c>
      <c r="R10" s="5">
        <v>630</v>
      </c>
      <c r="S10">
        <f t="shared" si="0"/>
        <v>9600</v>
      </c>
      <c r="T10" s="9">
        <v>9</v>
      </c>
    </row>
    <row r="11" spans="1:20" ht="30" customHeight="1" x14ac:dyDescent="0.2">
      <c r="A11">
        <v>1</v>
      </c>
      <c r="B11" t="s">
        <v>0</v>
      </c>
      <c r="C11" s="10">
        <v>22004</v>
      </c>
      <c r="D11" s="6" t="s">
        <v>12</v>
      </c>
      <c r="E11" s="10" t="s">
        <v>175</v>
      </c>
      <c r="F11" s="7">
        <v>1</v>
      </c>
      <c r="G11" s="10">
        <v>0.5</v>
      </c>
      <c r="H11" s="11" t="s">
        <v>103</v>
      </c>
      <c r="I11" s="5">
        <v>0</v>
      </c>
      <c r="J11" s="5">
        <v>50</v>
      </c>
      <c r="K11" s="5">
        <v>500</v>
      </c>
      <c r="L11" s="5">
        <v>920</v>
      </c>
      <c r="M11" s="9">
        <v>1310</v>
      </c>
      <c r="N11" s="9">
        <v>1680</v>
      </c>
      <c r="O11" s="9">
        <v>1780</v>
      </c>
      <c r="P11" s="9">
        <v>1640</v>
      </c>
      <c r="Q11" s="9">
        <v>1090</v>
      </c>
      <c r="R11" s="5">
        <v>630</v>
      </c>
      <c r="S11">
        <f t="shared" si="0"/>
        <v>9600</v>
      </c>
      <c r="T11" s="5">
        <v>10</v>
      </c>
    </row>
    <row r="12" spans="1:20" ht="30" customHeight="1" x14ac:dyDescent="0.2">
      <c r="A12">
        <v>1</v>
      </c>
      <c r="B12" t="s">
        <v>0</v>
      </c>
      <c r="C12" s="10">
        <v>50141</v>
      </c>
      <c r="D12" s="6" t="s">
        <v>13</v>
      </c>
      <c r="E12" s="7" t="s">
        <v>184</v>
      </c>
      <c r="F12" s="10">
        <v>8.7300000000000003E-2</v>
      </c>
      <c r="G12" s="10">
        <v>0.97</v>
      </c>
      <c r="H12" s="11" t="s">
        <v>103</v>
      </c>
      <c r="I12" s="5">
        <v>0</v>
      </c>
      <c r="J12" s="5">
        <v>5</v>
      </c>
      <c r="K12" s="5">
        <v>75</v>
      </c>
      <c r="L12" s="5">
        <v>280</v>
      </c>
      <c r="M12" s="5">
        <v>570</v>
      </c>
      <c r="N12" s="5">
        <v>840</v>
      </c>
      <c r="O12" s="5">
        <v>785</v>
      </c>
      <c r="P12" s="5">
        <v>515</v>
      </c>
      <c r="Q12" s="5">
        <v>195</v>
      </c>
      <c r="R12" s="5">
        <v>75</v>
      </c>
      <c r="S12">
        <f t="shared" si="0"/>
        <v>3340</v>
      </c>
      <c r="T12" s="9">
        <v>11</v>
      </c>
    </row>
    <row r="13" spans="1:20" ht="30" customHeight="1" x14ac:dyDescent="0.2">
      <c r="A13">
        <v>1</v>
      </c>
      <c r="B13" t="s">
        <v>0</v>
      </c>
      <c r="C13" s="10">
        <v>50141</v>
      </c>
      <c r="D13" s="6" t="s">
        <v>13</v>
      </c>
      <c r="E13" s="7" t="s">
        <v>184</v>
      </c>
      <c r="F13" s="10">
        <v>1</v>
      </c>
      <c r="G13" s="10">
        <v>0.03</v>
      </c>
      <c r="H13" s="11" t="s">
        <v>85</v>
      </c>
      <c r="I13" s="5">
        <v>0</v>
      </c>
      <c r="J13" s="5">
        <v>5</v>
      </c>
      <c r="K13" s="5">
        <v>75</v>
      </c>
      <c r="L13" s="5">
        <v>280</v>
      </c>
      <c r="M13" s="5">
        <v>570</v>
      </c>
      <c r="N13" s="5">
        <v>840</v>
      </c>
      <c r="O13" s="5">
        <v>785</v>
      </c>
      <c r="P13" s="5">
        <v>515</v>
      </c>
      <c r="Q13" s="5">
        <v>195</v>
      </c>
      <c r="R13" s="5">
        <v>75</v>
      </c>
      <c r="S13">
        <f t="shared" si="0"/>
        <v>3340</v>
      </c>
      <c r="T13" s="5">
        <v>12</v>
      </c>
    </row>
    <row r="14" spans="1:20" ht="30" customHeight="1" x14ac:dyDescent="0.2">
      <c r="A14">
        <v>1</v>
      </c>
      <c r="B14" t="s">
        <v>0</v>
      </c>
      <c r="C14" s="10">
        <v>50144</v>
      </c>
      <c r="D14" s="7" t="s">
        <v>183</v>
      </c>
      <c r="E14" s="7" t="s">
        <v>188</v>
      </c>
      <c r="F14" s="10">
        <v>0.02</v>
      </c>
      <c r="G14" s="10">
        <v>0.25</v>
      </c>
      <c r="H14" s="12">
        <v>22</v>
      </c>
      <c r="I14" s="13">
        <v>0</v>
      </c>
      <c r="J14" s="5">
        <v>0</v>
      </c>
      <c r="K14" s="5">
        <v>50</v>
      </c>
      <c r="L14" s="5">
        <v>270</v>
      </c>
      <c r="M14" s="5">
        <v>680</v>
      </c>
      <c r="N14" s="5">
        <v>850</v>
      </c>
      <c r="O14" s="5">
        <v>730</v>
      </c>
      <c r="P14" s="5">
        <v>485</v>
      </c>
      <c r="Q14" s="5">
        <v>285</v>
      </c>
      <c r="R14" s="5">
        <v>145</v>
      </c>
      <c r="S14">
        <f t="shared" si="0"/>
        <v>3495</v>
      </c>
      <c r="T14" s="9">
        <v>13</v>
      </c>
    </row>
    <row r="15" spans="1:20" ht="30" customHeight="1" x14ac:dyDescent="0.2">
      <c r="A15">
        <v>1</v>
      </c>
      <c r="B15" t="s">
        <v>0</v>
      </c>
      <c r="C15" s="10">
        <v>50144</v>
      </c>
      <c r="D15" s="7" t="s">
        <v>183</v>
      </c>
      <c r="E15" s="7" t="s">
        <v>188</v>
      </c>
      <c r="F15" s="10">
        <v>0.02</v>
      </c>
      <c r="G15" s="10">
        <v>0.25</v>
      </c>
      <c r="H15" s="11" t="s">
        <v>103</v>
      </c>
      <c r="I15" s="13">
        <v>0</v>
      </c>
      <c r="J15" s="5">
        <v>0</v>
      </c>
      <c r="K15" s="5">
        <v>50</v>
      </c>
      <c r="L15" s="5">
        <v>270</v>
      </c>
      <c r="M15" s="5">
        <v>680</v>
      </c>
      <c r="N15" s="5">
        <v>850</v>
      </c>
      <c r="O15" s="5">
        <v>730</v>
      </c>
      <c r="P15" s="5">
        <v>485</v>
      </c>
      <c r="Q15" s="5">
        <v>285</v>
      </c>
      <c r="R15" s="5">
        <v>145</v>
      </c>
      <c r="S15">
        <f t="shared" si="0"/>
        <v>3495</v>
      </c>
      <c r="T15" s="5">
        <v>14</v>
      </c>
    </row>
    <row r="16" spans="1:20" ht="30" customHeight="1" x14ac:dyDescent="0.2">
      <c r="A16">
        <v>1</v>
      </c>
      <c r="B16" t="s">
        <v>0</v>
      </c>
      <c r="C16" s="10">
        <v>50144</v>
      </c>
      <c r="D16" s="7" t="s">
        <v>183</v>
      </c>
      <c r="E16" s="7" t="s">
        <v>188</v>
      </c>
      <c r="F16" s="10">
        <v>0.02</v>
      </c>
      <c r="G16" s="10">
        <v>0.25</v>
      </c>
      <c r="H16" s="11" t="s">
        <v>189</v>
      </c>
      <c r="I16" s="13">
        <v>0</v>
      </c>
      <c r="J16" s="5">
        <v>0</v>
      </c>
      <c r="K16" s="5">
        <v>50</v>
      </c>
      <c r="L16" s="5">
        <v>270</v>
      </c>
      <c r="M16" s="5">
        <v>680</v>
      </c>
      <c r="N16" s="5">
        <v>850</v>
      </c>
      <c r="O16" s="5">
        <v>730</v>
      </c>
      <c r="P16" s="5">
        <v>485</v>
      </c>
      <c r="Q16" s="5">
        <v>285</v>
      </c>
      <c r="R16" s="5">
        <v>145</v>
      </c>
      <c r="S16">
        <f t="shared" si="0"/>
        <v>3495</v>
      </c>
      <c r="T16" s="9">
        <v>15</v>
      </c>
    </row>
    <row r="17" spans="1:20" ht="30" customHeight="1" x14ac:dyDescent="0.2">
      <c r="A17">
        <v>1</v>
      </c>
      <c r="B17" t="s">
        <v>0</v>
      </c>
      <c r="C17" s="10">
        <v>50144</v>
      </c>
      <c r="D17" s="7" t="s">
        <v>183</v>
      </c>
      <c r="E17" s="7" t="s">
        <v>188</v>
      </c>
      <c r="F17" s="10">
        <v>0.02</v>
      </c>
      <c r="G17" s="10">
        <v>0.25</v>
      </c>
      <c r="H17" s="10">
        <v>562</v>
      </c>
      <c r="I17" s="13">
        <v>0</v>
      </c>
      <c r="J17" s="5">
        <v>0</v>
      </c>
      <c r="K17" s="5">
        <v>50</v>
      </c>
      <c r="L17" s="5">
        <v>270</v>
      </c>
      <c r="M17" s="5">
        <v>680</v>
      </c>
      <c r="N17" s="5">
        <v>850</v>
      </c>
      <c r="O17" s="5">
        <v>730</v>
      </c>
      <c r="P17" s="5">
        <v>485</v>
      </c>
      <c r="Q17" s="5">
        <v>285</v>
      </c>
      <c r="R17" s="5">
        <v>145</v>
      </c>
      <c r="S17">
        <f t="shared" si="0"/>
        <v>3495</v>
      </c>
      <c r="T17" s="5">
        <v>16</v>
      </c>
    </row>
    <row r="18" spans="1:20" ht="30" customHeight="1" x14ac:dyDescent="0.2">
      <c r="A18">
        <v>1</v>
      </c>
      <c r="B18" t="s">
        <v>0</v>
      </c>
      <c r="C18" s="10">
        <v>50151</v>
      </c>
      <c r="D18" s="6" t="s">
        <v>14</v>
      </c>
      <c r="E18" s="7"/>
      <c r="F18" s="10">
        <v>1</v>
      </c>
      <c r="G18" s="10">
        <v>1</v>
      </c>
      <c r="H18" s="11">
        <v>22</v>
      </c>
      <c r="I18" s="5">
        <v>0</v>
      </c>
      <c r="J18" s="5">
        <v>5</v>
      </c>
      <c r="K18" s="5">
        <v>5</v>
      </c>
      <c r="L18" s="5">
        <v>10</v>
      </c>
      <c r="M18" s="5">
        <v>25</v>
      </c>
      <c r="N18" s="5">
        <v>70</v>
      </c>
      <c r="O18" s="5">
        <v>175</v>
      </c>
      <c r="P18" s="5">
        <v>385</v>
      </c>
      <c r="Q18" s="5">
        <v>460</v>
      </c>
      <c r="R18" s="5">
        <v>325</v>
      </c>
      <c r="S18">
        <f t="shared" si="0"/>
        <v>1460</v>
      </c>
      <c r="T18" s="9">
        <v>17</v>
      </c>
    </row>
    <row r="19" spans="1:20" ht="30" customHeight="1" x14ac:dyDescent="0.2">
      <c r="A19">
        <v>1</v>
      </c>
      <c r="B19" t="s">
        <v>0</v>
      </c>
      <c r="C19" s="10">
        <v>50152</v>
      </c>
      <c r="D19" s="6" t="s">
        <v>15</v>
      </c>
      <c r="E19" s="7" t="s">
        <v>182</v>
      </c>
      <c r="F19" s="10">
        <v>1</v>
      </c>
      <c r="G19" s="10">
        <v>0.25</v>
      </c>
      <c r="H19" s="11" t="s">
        <v>86</v>
      </c>
      <c r="I19" s="5">
        <v>0</v>
      </c>
      <c r="J19" s="5">
        <v>10</v>
      </c>
      <c r="K19" s="5">
        <v>45</v>
      </c>
      <c r="L19" s="5">
        <v>70</v>
      </c>
      <c r="M19" s="5">
        <v>100</v>
      </c>
      <c r="N19" s="5">
        <v>100</v>
      </c>
      <c r="O19" s="5">
        <v>100</v>
      </c>
      <c r="P19" s="5">
        <v>100</v>
      </c>
      <c r="Q19" s="5">
        <v>100</v>
      </c>
      <c r="R19" s="5">
        <v>100</v>
      </c>
      <c r="S19">
        <f t="shared" si="0"/>
        <v>725</v>
      </c>
      <c r="T19" s="5">
        <v>18</v>
      </c>
    </row>
    <row r="20" spans="1:20" ht="30" customHeight="1" x14ac:dyDescent="0.2">
      <c r="A20">
        <v>1</v>
      </c>
      <c r="B20" t="s">
        <v>0</v>
      </c>
      <c r="C20" s="10">
        <v>50152</v>
      </c>
      <c r="D20" s="6" t="s">
        <v>15</v>
      </c>
      <c r="E20" s="7" t="s">
        <v>182</v>
      </c>
      <c r="F20" s="10">
        <v>0.5</v>
      </c>
      <c r="G20" s="10">
        <v>0.25</v>
      </c>
      <c r="H20" s="11" t="s">
        <v>132</v>
      </c>
      <c r="I20" s="5">
        <v>0</v>
      </c>
      <c r="J20" s="5">
        <v>10</v>
      </c>
      <c r="K20" s="5">
        <v>45</v>
      </c>
      <c r="L20" s="5">
        <v>70</v>
      </c>
      <c r="M20" s="5">
        <v>100</v>
      </c>
      <c r="N20" s="5">
        <v>100</v>
      </c>
      <c r="O20" s="5">
        <v>100</v>
      </c>
      <c r="P20" s="5">
        <v>100</v>
      </c>
      <c r="Q20" s="5">
        <v>100</v>
      </c>
      <c r="R20" s="5">
        <v>100</v>
      </c>
      <c r="S20">
        <f t="shared" si="0"/>
        <v>725</v>
      </c>
      <c r="T20" s="9">
        <v>19</v>
      </c>
    </row>
    <row r="21" spans="1:20" ht="30" customHeight="1" x14ac:dyDescent="0.2">
      <c r="A21">
        <v>1</v>
      </c>
      <c r="B21" t="s">
        <v>0</v>
      </c>
      <c r="C21" s="10">
        <v>50152</v>
      </c>
      <c r="D21" s="6" t="s">
        <v>15</v>
      </c>
      <c r="E21" s="7" t="s">
        <v>182</v>
      </c>
      <c r="F21" s="10">
        <v>0.5</v>
      </c>
      <c r="G21" s="10">
        <v>0.25</v>
      </c>
      <c r="H21" s="11" t="s">
        <v>85</v>
      </c>
      <c r="I21" s="5">
        <v>0</v>
      </c>
      <c r="J21" s="5">
        <v>10</v>
      </c>
      <c r="K21" s="5">
        <v>45</v>
      </c>
      <c r="L21" s="5">
        <v>70</v>
      </c>
      <c r="M21" s="5">
        <v>100</v>
      </c>
      <c r="N21" s="5">
        <v>100</v>
      </c>
      <c r="O21" s="5">
        <v>100</v>
      </c>
      <c r="P21" s="5">
        <v>100</v>
      </c>
      <c r="Q21" s="5">
        <v>100</v>
      </c>
      <c r="R21" s="5">
        <v>100</v>
      </c>
      <c r="S21">
        <f t="shared" si="0"/>
        <v>725</v>
      </c>
      <c r="T21" s="5">
        <v>20</v>
      </c>
    </row>
    <row r="22" spans="1:20" ht="30" customHeight="1" x14ac:dyDescent="0.2">
      <c r="A22">
        <v>1</v>
      </c>
      <c r="B22" t="s">
        <v>0</v>
      </c>
      <c r="C22" s="10">
        <v>50152</v>
      </c>
      <c r="D22" s="6" t="s">
        <v>15</v>
      </c>
      <c r="E22" s="7" t="s">
        <v>182</v>
      </c>
      <c r="F22" s="10">
        <v>1</v>
      </c>
      <c r="G22" s="10">
        <v>0.25</v>
      </c>
      <c r="H22" s="11">
        <v>81</v>
      </c>
      <c r="I22" s="5">
        <v>0</v>
      </c>
      <c r="J22" s="5">
        <v>10</v>
      </c>
      <c r="K22" s="5">
        <v>45</v>
      </c>
      <c r="L22" s="5">
        <v>70</v>
      </c>
      <c r="M22" s="5">
        <v>100</v>
      </c>
      <c r="N22" s="5">
        <v>100</v>
      </c>
      <c r="O22" s="5">
        <v>100</v>
      </c>
      <c r="P22" s="5">
        <v>100</v>
      </c>
      <c r="Q22" s="5">
        <v>100</v>
      </c>
      <c r="R22" s="5">
        <v>100</v>
      </c>
      <c r="S22">
        <f t="shared" si="0"/>
        <v>725</v>
      </c>
      <c r="T22" s="9">
        <v>21</v>
      </c>
    </row>
    <row r="23" spans="1:20" ht="30" customHeight="1" x14ac:dyDescent="0.2">
      <c r="A23">
        <v>1</v>
      </c>
      <c r="B23" t="s">
        <v>0</v>
      </c>
      <c r="C23" s="10">
        <v>22001</v>
      </c>
      <c r="D23" s="6" t="s">
        <v>16</v>
      </c>
      <c r="E23" s="7"/>
      <c r="F23" s="7">
        <v>1</v>
      </c>
      <c r="G23" s="10">
        <v>0.5</v>
      </c>
      <c r="H23" s="11">
        <v>22</v>
      </c>
      <c r="I23" s="5">
        <v>0</v>
      </c>
      <c r="J23" s="5">
        <v>5</v>
      </c>
      <c r="K23" s="5">
        <v>60</v>
      </c>
      <c r="L23" s="5">
        <v>215</v>
      </c>
      <c r="M23" s="5">
        <v>280</v>
      </c>
      <c r="N23" s="5">
        <v>210</v>
      </c>
      <c r="O23" s="5">
        <v>130</v>
      </c>
      <c r="P23" s="5">
        <v>70</v>
      </c>
      <c r="Q23" s="5">
        <v>25</v>
      </c>
      <c r="R23" s="5">
        <v>5</v>
      </c>
      <c r="S23">
        <f t="shared" si="0"/>
        <v>1000</v>
      </c>
      <c r="T23" s="5">
        <v>22</v>
      </c>
    </row>
    <row r="24" spans="1:20" ht="30" customHeight="1" x14ac:dyDescent="0.2">
      <c r="A24">
        <v>1</v>
      </c>
      <c r="B24" t="s">
        <v>0</v>
      </c>
      <c r="C24" s="10">
        <v>22001</v>
      </c>
      <c r="D24" s="6" t="s">
        <v>16</v>
      </c>
      <c r="E24" s="7"/>
      <c r="F24" s="7">
        <v>1</v>
      </c>
      <c r="G24" s="10">
        <v>0.5</v>
      </c>
      <c r="H24" s="11" t="s">
        <v>103</v>
      </c>
      <c r="I24" s="5">
        <v>0</v>
      </c>
      <c r="J24" s="5">
        <v>5</v>
      </c>
      <c r="K24" s="5">
        <v>60</v>
      </c>
      <c r="L24" s="5">
        <v>215</v>
      </c>
      <c r="M24" s="5">
        <v>280</v>
      </c>
      <c r="N24" s="5">
        <v>210</v>
      </c>
      <c r="O24" s="5">
        <v>130</v>
      </c>
      <c r="P24" s="5">
        <v>70</v>
      </c>
      <c r="Q24" s="5">
        <v>25</v>
      </c>
      <c r="R24" s="5">
        <v>5</v>
      </c>
      <c r="S24">
        <f t="shared" si="0"/>
        <v>1000</v>
      </c>
      <c r="T24" s="9">
        <v>23</v>
      </c>
    </row>
    <row r="25" spans="1:20" ht="30" customHeight="1" x14ac:dyDescent="0.2">
      <c r="A25">
        <v>1</v>
      </c>
      <c r="B25" t="s">
        <v>0</v>
      </c>
      <c r="C25" s="10">
        <v>50153</v>
      </c>
      <c r="D25" s="6" t="s">
        <v>17</v>
      </c>
      <c r="E25" s="7" t="s">
        <v>156</v>
      </c>
      <c r="F25" s="10">
        <v>1</v>
      </c>
      <c r="G25" s="10">
        <v>0.5</v>
      </c>
      <c r="H25" s="11" t="s">
        <v>86</v>
      </c>
      <c r="I25" s="5">
        <v>0</v>
      </c>
      <c r="J25" s="5">
        <v>2</v>
      </c>
      <c r="K25" s="5">
        <v>10</v>
      </c>
      <c r="L25" s="5">
        <v>25</v>
      </c>
      <c r="M25" s="5">
        <v>28</v>
      </c>
      <c r="N25" s="5">
        <v>17</v>
      </c>
      <c r="O25" s="5">
        <v>11</v>
      </c>
      <c r="P25" s="5">
        <v>4</v>
      </c>
      <c r="Q25" s="5">
        <v>2</v>
      </c>
      <c r="R25" s="5">
        <v>1</v>
      </c>
      <c r="S25">
        <f t="shared" si="0"/>
        <v>100</v>
      </c>
      <c r="T25" s="5">
        <v>24</v>
      </c>
    </row>
    <row r="26" spans="1:20" ht="30" customHeight="1" x14ac:dyDescent="0.2">
      <c r="A26">
        <v>1</v>
      </c>
      <c r="B26" t="s">
        <v>0</v>
      </c>
      <c r="C26" s="10">
        <v>50153</v>
      </c>
      <c r="D26" s="6" t="s">
        <v>17</v>
      </c>
      <c r="E26" s="7" t="s">
        <v>156</v>
      </c>
      <c r="F26" s="10">
        <v>1</v>
      </c>
      <c r="G26" s="10">
        <v>0.5</v>
      </c>
      <c r="H26" s="11" t="s">
        <v>85</v>
      </c>
      <c r="I26" s="5">
        <v>0</v>
      </c>
      <c r="J26" s="5">
        <v>2</v>
      </c>
      <c r="K26" s="5">
        <v>10</v>
      </c>
      <c r="L26" s="5">
        <v>25</v>
      </c>
      <c r="M26" s="5">
        <v>28</v>
      </c>
      <c r="N26" s="5">
        <v>17</v>
      </c>
      <c r="O26" s="5">
        <v>11</v>
      </c>
      <c r="P26" s="5">
        <v>4</v>
      </c>
      <c r="Q26" s="5">
        <v>2</v>
      </c>
      <c r="R26" s="5">
        <v>1</v>
      </c>
      <c r="S26">
        <f t="shared" si="0"/>
        <v>100</v>
      </c>
      <c r="T26" s="9">
        <v>25</v>
      </c>
    </row>
    <row r="27" spans="1:20" ht="30" customHeight="1" x14ac:dyDescent="0.2">
      <c r="A27">
        <v>1</v>
      </c>
      <c r="B27" t="s">
        <v>0</v>
      </c>
      <c r="C27" s="10">
        <v>50145</v>
      </c>
      <c r="D27" s="6" t="s">
        <v>18</v>
      </c>
      <c r="E27" s="7" t="s">
        <v>181</v>
      </c>
      <c r="F27" s="10">
        <f>75000000/20000000000</f>
        <v>3.7499999999999999E-3</v>
      </c>
      <c r="G27" s="14">
        <f>(1/6)</f>
        <v>0.16666666666666666</v>
      </c>
      <c r="H27" s="11" t="s">
        <v>179</v>
      </c>
      <c r="I27" s="5">
        <v>0</v>
      </c>
      <c r="J27" s="5">
        <v>2</v>
      </c>
      <c r="K27" s="5">
        <v>4</v>
      </c>
      <c r="L27" s="5">
        <v>8</v>
      </c>
      <c r="M27" s="5">
        <v>13</v>
      </c>
      <c r="N27" s="5">
        <v>18</v>
      </c>
      <c r="O27" s="5">
        <v>15</v>
      </c>
      <c r="P27" s="5">
        <v>10</v>
      </c>
      <c r="Q27" s="5">
        <v>5</v>
      </c>
      <c r="R27" s="5">
        <v>0</v>
      </c>
      <c r="S27">
        <f t="shared" si="0"/>
        <v>75</v>
      </c>
      <c r="T27" s="5">
        <v>26</v>
      </c>
    </row>
    <row r="28" spans="1:20" ht="30" customHeight="1" x14ac:dyDescent="0.2">
      <c r="A28">
        <v>1</v>
      </c>
      <c r="B28" t="s">
        <v>0</v>
      </c>
      <c r="C28" s="10">
        <v>50145</v>
      </c>
      <c r="D28" s="6" t="s">
        <v>18</v>
      </c>
      <c r="E28" s="7" t="s">
        <v>181</v>
      </c>
      <c r="F28" s="10">
        <f>75000000/20000000000</f>
        <v>3.7499999999999999E-3</v>
      </c>
      <c r="G28" s="14">
        <f>(1/6)</f>
        <v>0.16666666666666666</v>
      </c>
      <c r="H28" s="11" t="s">
        <v>180</v>
      </c>
      <c r="I28" s="5">
        <v>0</v>
      </c>
      <c r="J28" s="5">
        <v>2</v>
      </c>
      <c r="K28" s="5">
        <v>4</v>
      </c>
      <c r="L28" s="5">
        <v>8</v>
      </c>
      <c r="M28" s="5">
        <v>13</v>
      </c>
      <c r="N28" s="5">
        <v>18</v>
      </c>
      <c r="O28" s="5">
        <v>15</v>
      </c>
      <c r="P28" s="5">
        <v>10</v>
      </c>
      <c r="Q28" s="5">
        <v>5</v>
      </c>
      <c r="R28" s="5">
        <v>0</v>
      </c>
      <c r="S28">
        <f t="shared" si="0"/>
        <v>75</v>
      </c>
      <c r="T28" s="9">
        <v>27</v>
      </c>
    </row>
    <row r="29" spans="1:20" ht="30" customHeight="1" x14ac:dyDescent="0.2">
      <c r="A29">
        <v>1</v>
      </c>
      <c r="B29" t="s">
        <v>0</v>
      </c>
      <c r="C29" s="10">
        <v>50145</v>
      </c>
      <c r="D29" s="6" t="s">
        <v>18</v>
      </c>
      <c r="E29" s="7" t="s">
        <v>181</v>
      </c>
      <c r="F29" s="10">
        <f>75000000/20000000000</f>
        <v>3.7499999999999999E-3</v>
      </c>
      <c r="G29" s="14">
        <f>(1/3)</f>
        <v>0.33333333333333331</v>
      </c>
      <c r="H29" s="11" t="s">
        <v>103</v>
      </c>
      <c r="I29" s="5">
        <v>0</v>
      </c>
      <c r="J29" s="5">
        <v>2</v>
      </c>
      <c r="K29" s="5">
        <v>4</v>
      </c>
      <c r="L29" s="5">
        <v>8</v>
      </c>
      <c r="M29" s="5">
        <v>13</v>
      </c>
      <c r="N29" s="5">
        <v>18</v>
      </c>
      <c r="O29" s="5">
        <v>15</v>
      </c>
      <c r="P29" s="5">
        <v>10</v>
      </c>
      <c r="Q29" s="5">
        <v>5</v>
      </c>
      <c r="R29" s="5">
        <v>0</v>
      </c>
      <c r="S29">
        <f t="shared" si="0"/>
        <v>75</v>
      </c>
      <c r="T29" s="5">
        <v>28</v>
      </c>
    </row>
    <row r="30" spans="1:20" ht="30" customHeight="1" x14ac:dyDescent="0.2">
      <c r="A30">
        <v>1</v>
      </c>
      <c r="B30" t="s">
        <v>0</v>
      </c>
      <c r="C30" s="10">
        <v>50145</v>
      </c>
      <c r="D30" s="6" t="s">
        <v>18</v>
      </c>
      <c r="E30" s="7" t="s">
        <v>181</v>
      </c>
      <c r="F30" s="10">
        <f>75000000/20000000000</f>
        <v>3.7499999999999999E-3</v>
      </c>
      <c r="G30" s="14">
        <f>(1/6)</f>
        <v>0.16666666666666666</v>
      </c>
      <c r="H30" s="11">
        <v>22</v>
      </c>
      <c r="I30" s="5">
        <v>0</v>
      </c>
      <c r="J30" s="5">
        <v>2</v>
      </c>
      <c r="K30" s="5">
        <v>4</v>
      </c>
      <c r="L30" s="5">
        <v>8</v>
      </c>
      <c r="M30" s="5">
        <v>13</v>
      </c>
      <c r="N30" s="5">
        <v>18</v>
      </c>
      <c r="O30" s="5">
        <v>15</v>
      </c>
      <c r="P30" s="5">
        <v>10</v>
      </c>
      <c r="Q30" s="5">
        <v>5</v>
      </c>
      <c r="R30" s="5">
        <v>0</v>
      </c>
      <c r="S30">
        <f t="shared" si="0"/>
        <v>75</v>
      </c>
      <c r="T30" s="9">
        <v>29</v>
      </c>
    </row>
    <row r="31" spans="1:20" ht="30" customHeight="1" x14ac:dyDescent="0.2">
      <c r="A31">
        <v>1</v>
      </c>
      <c r="B31" t="s">
        <v>0</v>
      </c>
      <c r="C31" s="10">
        <v>50145</v>
      </c>
      <c r="D31" s="6" t="s">
        <v>18</v>
      </c>
      <c r="E31" s="7" t="s">
        <v>181</v>
      </c>
      <c r="F31" s="10">
        <f>75000000/20000000000</f>
        <v>3.7499999999999999E-3</v>
      </c>
      <c r="G31" s="14">
        <f>(1/6)</f>
        <v>0.16666666666666666</v>
      </c>
      <c r="H31" s="11">
        <v>486</v>
      </c>
      <c r="I31" s="5">
        <v>0</v>
      </c>
      <c r="J31" s="5">
        <v>2</v>
      </c>
      <c r="K31" s="5">
        <v>4</v>
      </c>
      <c r="L31" s="5">
        <v>8</v>
      </c>
      <c r="M31" s="5">
        <v>13</v>
      </c>
      <c r="N31" s="5">
        <v>18</v>
      </c>
      <c r="O31" s="5">
        <v>15</v>
      </c>
      <c r="P31" s="5">
        <v>10</v>
      </c>
      <c r="Q31" s="5">
        <v>5</v>
      </c>
      <c r="R31" s="5">
        <v>0</v>
      </c>
      <c r="S31">
        <f t="shared" si="0"/>
        <v>75</v>
      </c>
      <c r="T31" s="5">
        <v>30</v>
      </c>
    </row>
    <row r="32" spans="1:20" ht="30" customHeight="1" x14ac:dyDescent="0.2">
      <c r="A32">
        <v>2</v>
      </c>
      <c r="B32" t="s">
        <v>3</v>
      </c>
      <c r="C32" s="10">
        <v>13401</v>
      </c>
      <c r="D32" s="6" t="s">
        <v>25</v>
      </c>
      <c r="E32" s="7" t="s">
        <v>178</v>
      </c>
      <c r="F32" s="10">
        <v>0.1</v>
      </c>
      <c r="G32" s="10">
        <v>1</v>
      </c>
      <c r="H32" s="11" t="s">
        <v>82</v>
      </c>
      <c r="I32" s="5">
        <v>0</v>
      </c>
      <c r="J32" s="5">
        <v>85</v>
      </c>
      <c r="K32" s="5">
        <v>451</v>
      </c>
      <c r="L32" s="5">
        <v>557</v>
      </c>
      <c r="M32" s="5">
        <v>681</v>
      </c>
      <c r="N32" s="5">
        <v>854</v>
      </c>
      <c r="O32" s="9">
        <v>1024</v>
      </c>
      <c r="P32" s="9">
        <v>1155</v>
      </c>
      <c r="Q32" s="9">
        <v>1303</v>
      </c>
      <c r="R32" s="9">
        <v>1429</v>
      </c>
      <c r="S32">
        <f t="shared" si="0"/>
        <v>7539</v>
      </c>
      <c r="T32" s="9">
        <v>31</v>
      </c>
    </row>
    <row r="33" spans="1:20" ht="30" customHeight="1" x14ac:dyDescent="0.2">
      <c r="A33">
        <v>2</v>
      </c>
      <c r="B33" t="s">
        <v>3</v>
      </c>
      <c r="C33" s="10">
        <v>13402</v>
      </c>
      <c r="D33" s="6" t="s">
        <v>26</v>
      </c>
      <c r="E33" s="7" t="s">
        <v>177</v>
      </c>
      <c r="F33" s="10">
        <v>0.3</v>
      </c>
      <c r="G33" s="10">
        <v>1</v>
      </c>
      <c r="H33" s="11">
        <v>441</v>
      </c>
      <c r="I33" s="5">
        <v>0</v>
      </c>
      <c r="J33" s="5">
        <v>99</v>
      </c>
      <c r="K33" s="5">
        <v>96</v>
      </c>
      <c r="L33" s="5">
        <v>120</v>
      </c>
      <c r="M33" s="5">
        <v>132</v>
      </c>
      <c r="N33" s="5">
        <v>146</v>
      </c>
      <c r="O33" s="5">
        <v>162</v>
      </c>
      <c r="P33" s="5">
        <v>179</v>
      </c>
      <c r="Q33" s="5">
        <v>197</v>
      </c>
      <c r="R33" s="5">
        <v>215</v>
      </c>
      <c r="S33">
        <f t="shared" si="0"/>
        <v>1346</v>
      </c>
      <c r="T33" s="5">
        <v>32</v>
      </c>
    </row>
    <row r="34" spans="1:20" ht="30" customHeight="1" x14ac:dyDescent="0.2">
      <c r="A34">
        <v>2</v>
      </c>
      <c r="B34" t="s">
        <v>3</v>
      </c>
      <c r="C34" s="10">
        <v>13403</v>
      </c>
      <c r="D34" s="6" t="s">
        <v>27</v>
      </c>
      <c r="E34" s="7" t="s">
        <v>176</v>
      </c>
      <c r="F34" s="10">
        <v>0.22500000000000001</v>
      </c>
      <c r="G34" s="10">
        <v>1</v>
      </c>
      <c r="H34" s="11" t="s">
        <v>82</v>
      </c>
      <c r="I34" s="5">
        <v>0</v>
      </c>
      <c r="J34" s="5">
        <v>189</v>
      </c>
      <c r="K34" s="5">
        <v>177</v>
      </c>
      <c r="L34" s="5">
        <v>228</v>
      </c>
      <c r="M34" s="5">
        <v>298</v>
      </c>
      <c r="N34" s="5">
        <v>388</v>
      </c>
      <c r="O34" s="5">
        <v>469</v>
      </c>
      <c r="P34" s="5">
        <v>539</v>
      </c>
      <c r="Q34" s="5">
        <v>607</v>
      </c>
      <c r="R34" s="5">
        <v>687</v>
      </c>
      <c r="S34">
        <f t="shared" ref="S34:S65" si="1">SUM(I34:R34)</f>
        <v>3582</v>
      </c>
      <c r="T34" s="9">
        <v>33</v>
      </c>
    </row>
    <row r="35" spans="1:20" ht="30" customHeight="1" x14ac:dyDescent="0.2">
      <c r="A35">
        <v>2</v>
      </c>
      <c r="B35" t="s">
        <v>3</v>
      </c>
      <c r="C35" s="10">
        <v>13404</v>
      </c>
      <c r="D35" s="6" t="s">
        <v>28</v>
      </c>
      <c r="E35" s="7" t="s">
        <v>185</v>
      </c>
      <c r="F35" s="10">
        <v>0.24</v>
      </c>
      <c r="G35" s="10">
        <v>1</v>
      </c>
      <c r="H35" s="11" t="s">
        <v>174</v>
      </c>
      <c r="I35" s="5">
        <v>0</v>
      </c>
      <c r="J35" s="5">
        <v>138</v>
      </c>
      <c r="K35" s="5">
        <v>128</v>
      </c>
      <c r="L35" s="5">
        <v>145</v>
      </c>
      <c r="M35" s="5">
        <v>164</v>
      </c>
      <c r="N35" s="5">
        <v>184</v>
      </c>
      <c r="O35" s="5">
        <v>207</v>
      </c>
      <c r="P35" s="5">
        <v>231</v>
      </c>
      <c r="Q35" s="5">
        <v>257</v>
      </c>
      <c r="R35" s="5">
        <v>284</v>
      </c>
      <c r="S35">
        <f t="shared" si="1"/>
        <v>1738</v>
      </c>
      <c r="T35" s="5">
        <v>34</v>
      </c>
    </row>
    <row r="36" spans="1:20" ht="30" customHeight="1" x14ac:dyDescent="0.2">
      <c r="A36">
        <v>2</v>
      </c>
      <c r="B36" t="s">
        <v>3</v>
      </c>
      <c r="C36" s="10">
        <v>13201</v>
      </c>
      <c r="D36" s="6" t="s">
        <v>29</v>
      </c>
      <c r="E36" s="7" t="s">
        <v>166</v>
      </c>
      <c r="F36" s="10">
        <v>0.2</v>
      </c>
      <c r="G36" s="10">
        <v>1</v>
      </c>
      <c r="H36" s="11" t="s">
        <v>165</v>
      </c>
      <c r="I36" s="5">
        <v>104</v>
      </c>
      <c r="J36" s="9">
        <v>2672</v>
      </c>
      <c r="K36" s="9">
        <v>1780</v>
      </c>
      <c r="L36" s="9">
        <v>1015</v>
      </c>
      <c r="M36" s="5">
        <v>0</v>
      </c>
      <c r="N36" s="5">
        <v>0</v>
      </c>
      <c r="O36" s="5">
        <v>0</v>
      </c>
      <c r="P36" s="5">
        <v>0</v>
      </c>
      <c r="Q36" s="5">
        <v>0</v>
      </c>
      <c r="R36" s="5">
        <v>0</v>
      </c>
      <c r="S36">
        <f t="shared" si="1"/>
        <v>5571</v>
      </c>
      <c r="T36" s="9">
        <v>35</v>
      </c>
    </row>
    <row r="37" spans="1:20" ht="30" customHeight="1" x14ac:dyDescent="0.2">
      <c r="A37">
        <v>2</v>
      </c>
      <c r="B37" t="s">
        <v>3</v>
      </c>
      <c r="C37" s="10">
        <v>13203</v>
      </c>
      <c r="D37" s="6" t="s">
        <v>30</v>
      </c>
      <c r="E37" s="7" t="s">
        <v>164</v>
      </c>
      <c r="F37" s="10">
        <v>0.3</v>
      </c>
      <c r="G37" s="10">
        <v>1</v>
      </c>
      <c r="H37" s="11" t="s">
        <v>165</v>
      </c>
      <c r="I37" s="5">
        <v>0</v>
      </c>
      <c r="J37" s="5">
        <v>10</v>
      </c>
      <c r="K37" s="5">
        <v>25</v>
      </c>
      <c r="L37" s="5">
        <v>14</v>
      </c>
      <c r="M37" s="5">
        <v>0</v>
      </c>
      <c r="N37" s="5">
        <v>0</v>
      </c>
      <c r="O37" s="5">
        <v>0</v>
      </c>
      <c r="P37" s="5">
        <v>0</v>
      </c>
      <c r="Q37" s="5">
        <v>0</v>
      </c>
      <c r="R37" s="5">
        <v>0</v>
      </c>
      <c r="S37">
        <f t="shared" si="1"/>
        <v>49</v>
      </c>
      <c r="T37" s="5">
        <v>36</v>
      </c>
    </row>
    <row r="38" spans="1:20" ht="30" customHeight="1" x14ac:dyDescent="0.2">
      <c r="A38">
        <v>2</v>
      </c>
      <c r="B38" t="s">
        <v>3</v>
      </c>
      <c r="C38" s="10">
        <v>13704</v>
      </c>
      <c r="D38" s="6" t="s">
        <v>31</v>
      </c>
      <c r="E38" s="7" t="s">
        <v>172</v>
      </c>
      <c r="F38" s="10">
        <v>0.15</v>
      </c>
      <c r="G38" s="10">
        <v>1</v>
      </c>
      <c r="H38" s="11" t="s">
        <v>165</v>
      </c>
      <c r="I38" s="5">
        <v>0</v>
      </c>
      <c r="J38" s="5">
        <v>0</v>
      </c>
      <c r="K38" s="5">
        <v>0</v>
      </c>
      <c r="L38" s="5">
        <v>641</v>
      </c>
      <c r="M38" s="5">
        <v>791</v>
      </c>
      <c r="N38" s="9">
        <v>1177</v>
      </c>
      <c r="O38" s="5">
        <v>337</v>
      </c>
      <c r="P38" s="5">
        <v>0</v>
      </c>
      <c r="Q38" s="5">
        <v>0</v>
      </c>
      <c r="R38" s="5">
        <v>0</v>
      </c>
      <c r="S38">
        <f t="shared" si="1"/>
        <v>2946</v>
      </c>
      <c r="T38" s="9">
        <v>37</v>
      </c>
    </row>
    <row r="39" spans="1:20" ht="30" customHeight="1" x14ac:dyDescent="0.2">
      <c r="A39">
        <v>2</v>
      </c>
      <c r="B39" t="s">
        <v>3</v>
      </c>
      <c r="C39" s="10">
        <v>70002</v>
      </c>
      <c r="D39" s="6" t="s">
        <v>32</v>
      </c>
      <c r="E39" s="7" t="s">
        <v>81</v>
      </c>
      <c r="F39" s="10">
        <v>1</v>
      </c>
      <c r="G39" s="10">
        <v>0.43</v>
      </c>
      <c r="H39" s="11" t="s">
        <v>82</v>
      </c>
      <c r="I39" s="5">
        <v>0</v>
      </c>
      <c r="J39" s="5">
        <v>120</v>
      </c>
      <c r="K39" s="5">
        <v>300</v>
      </c>
      <c r="L39" s="5">
        <v>435</v>
      </c>
      <c r="M39" s="5">
        <v>480</v>
      </c>
      <c r="N39" s="5">
        <v>540</v>
      </c>
      <c r="O39" s="5">
        <v>450</v>
      </c>
      <c r="P39" s="5">
        <v>375</v>
      </c>
      <c r="Q39" s="5">
        <v>300</v>
      </c>
      <c r="R39" s="5">
        <v>0</v>
      </c>
      <c r="S39">
        <f t="shared" si="1"/>
        <v>3000</v>
      </c>
      <c r="T39" s="5">
        <v>38</v>
      </c>
    </row>
    <row r="40" spans="1:20" ht="30" customHeight="1" x14ac:dyDescent="0.2">
      <c r="A40">
        <v>2</v>
      </c>
      <c r="B40" t="s">
        <v>3</v>
      </c>
      <c r="C40" s="10">
        <v>70002</v>
      </c>
      <c r="D40" s="6" t="s">
        <v>32</v>
      </c>
      <c r="E40" s="7" t="s">
        <v>81</v>
      </c>
      <c r="F40" s="10">
        <v>1</v>
      </c>
      <c r="G40" s="10">
        <f>0.57</f>
        <v>0.56999999999999995</v>
      </c>
      <c r="H40" s="11">
        <v>335</v>
      </c>
      <c r="I40" s="5">
        <v>0</v>
      </c>
      <c r="J40" s="5">
        <v>120</v>
      </c>
      <c r="K40" s="5">
        <v>300</v>
      </c>
      <c r="L40" s="5">
        <v>435</v>
      </c>
      <c r="M40" s="5">
        <v>480</v>
      </c>
      <c r="N40" s="5">
        <v>540</v>
      </c>
      <c r="O40" s="5">
        <v>450</v>
      </c>
      <c r="P40" s="5">
        <v>375</v>
      </c>
      <c r="Q40" s="5">
        <v>300</v>
      </c>
      <c r="R40" s="5">
        <v>0</v>
      </c>
      <c r="S40">
        <f t="shared" si="1"/>
        <v>3000</v>
      </c>
      <c r="T40" s="9">
        <v>39</v>
      </c>
    </row>
    <row r="41" spans="1:20" ht="30" customHeight="1" x14ac:dyDescent="0.2">
      <c r="A41">
        <v>2</v>
      </c>
      <c r="B41" t="s">
        <v>3</v>
      </c>
      <c r="C41" s="10">
        <v>60102</v>
      </c>
      <c r="D41" s="6" t="s">
        <v>33</v>
      </c>
      <c r="E41" s="7" t="s">
        <v>173</v>
      </c>
      <c r="F41" s="10">
        <v>1</v>
      </c>
      <c r="G41" s="10">
        <f>0.98*0.5</f>
        <v>0.49</v>
      </c>
      <c r="H41" s="11" t="s">
        <v>83</v>
      </c>
      <c r="I41" s="5">
        <v>0</v>
      </c>
      <c r="J41" s="5">
        <v>49</v>
      </c>
      <c r="K41" s="5">
        <v>190</v>
      </c>
      <c r="L41" s="5">
        <v>379</v>
      </c>
      <c r="M41" s="5">
        <v>531</v>
      </c>
      <c r="N41" s="5">
        <v>619</v>
      </c>
      <c r="O41" s="5">
        <v>580</v>
      </c>
      <c r="P41" s="5">
        <v>387</v>
      </c>
      <c r="Q41" s="5">
        <v>196</v>
      </c>
      <c r="R41" s="5">
        <v>69</v>
      </c>
      <c r="S41">
        <f t="shared" si="1"/>
        <v>3000</v>
      </c>
      <c r="T41" s="5">
        <v>40</v>
      </c>
    </row>
    <row r="42" spans="1:20" ht="30" customHeight="1" x14ac:dyDescent="0.2">
      <c r="A42">
        <v>2</v>
      </c>
      <c r="B42" t="s">
        <v>3</v>
      </c>
      <c r="C42" s="10">
        <v>60102</v>
      </c>
      <c r="D42" s="6" t="s">
        <v>33</v>
      </c>
      <c r="E42" s="7" t="s">
        <v>173</v>
      </c>
      <c r="F42" s="10">
        <v>1</v>
      </c>
      <c r="G42" s="10">
        <f>0.98*0.5</f>
        <v>0.49</v>
      </c>
      <c r="H42" s="11" t="s">
        <v>157</v>
      </c>
      <c r="I42" s="5">
        <v>0</v>
      </c>
      <c r="J42" s="5">
        <v>49</v>
      </c>
      <c r="K42" s="5">
        <v>190</v>
      </c>
      <c r="L42" s="5">
        <v>379</v>
      </c>
      <c r="M42" s="5">
        <v>531</v>
      </c>
      <c r="N42" s="5">
        <v>619</v>
      </c>
      <c r="O42" s="5">
        <v>580</v>
      </c>
      <c r="P42" s="5">
        <v>387</v>
      </c>
      <c r="Q42" s="5">
        <v>196</v>
      </c>
      <c r="R42" s="5">
        <v>69</v>
      </c>
      <c r="S42">
        <f t="shared" si="1"/>
        <v>3000</v>
      </c>
      <c r="T42" s="9">
        <v>41</v>
      </c>
    </row>
    <row r="43" spans="1:20" ht="30" customHeight="1" x14ac:dyDescent="0.2">
      <c r="A43">
        <v>2</v>
      </c>
      <c r="B43" t="s">
        <v>3</v>
      </c>
      <c r="C43" s="10">
        <v>60102</v>
      </c>
      <c r="D43" s="6" t="s">
        <v>33</v>
      </c>
      <c r="E43" s="7" t="s">
        <v>173</v>
      </c>
      <c r="F43" s="10">
        <v>1</v>
      </c>
      <c r="G43" s="10">
        <f>0.02</f>
        <v>0.02</v>
      </c>
      <c r="H43" s="11" t="s">
        <v>85</v>
      </c>
      <c r="I43" s="5">
        <v>0</v>
      </c>
      <c r="J43" s="5">
        <v>49</v>
      </c>
      <c r="K43" s="5">
        <v>190</v>
      </c>
      <c r="L43" s="5">
        <v>379</v>
      </c>
      <c r="M43" s="5">
        <v>531</v>
      </c>
      <c r="N43" s="5">
        <v>619</v>
      </c>
      <c r="O43" s="5">
        <v>580</v>
      </c>
      <c r="P43" s="5">
        <v>387</v>
      </c>
      <c r="Q43" s="5">
        <v>196</v>
      </c>
      <c r="R43" s="5">
        <v>69</v>
      </c>
      <c r="S43">
        <f t="shared" si="1"/>
        <v>3000</v>
      </c>
      <c r="T43" s="5">
        <v>42</v>
      </c>
    </row>
    <row r="44" spans="1:20" ht="30" customHeight="1" x14ac:dyDescent="0.2">
      <c r="A44">
        <v>2</v>
      </c>
      <c r="B44" t="s">
        <v>3</v>
      </c>
      <c r="C44" s="10">
        <v>60101</v>
      </c>
      <c r="D44" s="6" t="s">
        <v>34</v>
      </c>
      <c r="E44" s="7" t="s">
        <v>84</v>
      </c>
      <c r="F44" s="10">
        <v>1</v>
      </c>
      <c r="G44" s="10">
        <f>0.03*0.6</f>
        <v>1.7999999999999999E-2</v>
      </c>
      <c r="H44" s="11" t="s">
        <v>85</v>
      </c>
      <c r="I44" s="5">
        <v>0</v>
      </c>
      <c r="J44" s="5">
        <v>20</v>
      </c>
      <c r="K44" s="5">
        <v>57</v>
      </c>
      <c r="L44" s="5">
        <v>96</v>
      </c>
      <c r="M44" s="5">
        <v>150</v>
      </c>
      <c r="N44" s="5">
        <v>200</v>
      </c>
      <c r="O44" s="5">
        <v>185</v>
      </c>
      <c r="P44" s="5">
        <v>147</v>
      </c>
      <c r="Q44" s="5">
        <v>106</v>
      </c>
      <c r="R44" s="5">
        <v>39</v>
      </c>
      <c r="S44">
        <f t="shared" si="1"/>
        <v>1000</v>
      </c>
      <c r="T44" s="9">
        <v>43</v>
      </c>
    </row>
    <row r="45" spans="1:20" ht="30" customHeight="1" x14ac:dyDescent="0.2">
      <c r="A45">
        <v>2</v>
      </c>
      <c r="B45" t="s">
        <v>3</v>
      </c>
      <c r="C45" s="10">
        <v>60101</v>
      </c>
      <c r="D45" s="6" t="s">
        <v>34</v>
      </c>
      <c r="E45" s="7" t="s">
        <v>84</v>
      </c>
      <c r="F45" s="10">
        <v>1</v>
      </c>
      <c r="G45" s="10">
        <f>(1-0.03*0.6)*0.25</f>
        <v>0.2455</v>
      </c>
      <c r="H45" s="11" t="s">
        <v>82</v>
      </c>
      <c r="I45" s="5">
        <v>0</v>
      </c>
      <c r="J45" s="5">
        <v>20</v>
      </c>
      <c r="K45" s="5">
        <v>57</v>
      </c>
      <c r="L45" s="5">
        <v>96</v>
      </c>
      <c r="M45" s="5">
        <v>150</v>
      </c>
      <c r="N45" s="5">
        <v>200</v>
      </c>
      <c r="O45" s="5">
        <v>185</v>
      </c>
      <c r="P45" s="5">
        <v>147</v>
      </c>
      <c r="Q45" s="5">
        <v>106</v>
      </c>
      <c r="R45" s="5">
        <v>39</v>
      </c>
      <c r="S45">
        <f t="shared" si="1"/>
        <v>1000</v>
      </c>
      <c r="T45" s="5">
        <v>44</v>
      </c>
    </row>
    <row r="46" spans="1:20" ht="30" customHeight="1" x14ac:dyDescent="0.2">
      <c r="A46">
        <v>2</v>
      </c>
      <c r="B46" t="s">
        <v>3</v>
      </c>
      <c r="C46" s="10">
        <v>60101</v>
      </c>
      <c r="D46" s="6" t="s">
        <v>34</v>
      </c>
      <c r="E46" s="7" t="s">
        <v>84</v>
      </c>
      <c r="F46" s="10">
        <v>1</v>
      </c>
      <c r="G46" s="10">
        <f>(1-0.03*0.6)*0.25</f>
        <v>0.2455</v>
      </c>
      <c r="H46" s="11">
        <v>335</v>
      </c>
      <c r="I46" s="5">
        <v>0</v>
      </c>
      <c r="J46" s="5">
        <v>20</v>
      </c>
      <c r="K46" s="5">
        <v>57</v>
      </c>
      <c r="L46" s="5">
        <v>96</v>
      </c>
      <c r="M46" s="5">
        <v>150</v>
      </c>
      <c r="N46" s="5">
        <v>200</v>
      </c>
      <c r="O46" s="5">
        <v>185</v>
      </c>
      <c r="P46" s="5">
        <v>147</v>
      </c>
      <c r="Q46" s="5">
        <v>106</v>
      </c>
      <c r="R46" s="5">
        <v>39</v>
      </c>
      <c r="S46">
        <f t="shared" si="1"/>
        <v>1000</v>
      </c>
      <c r="T46" s="9">
        <v>45</v>
      </c>
    </row>
    <row r="47" spans="1:20" ht="30" customHeight="1" x14ac:dyDescent="0.2">
      <c r="A47">
        <v>2</v>
      </c>
      <c r="B47" t="s">
        <v>3</v>
      </c>
      <c r="C47" s="10">
        <v>60101</v>
      </c>
      <c r="D47" s="6" t="s">
        <v>34</v>
      </c>
      <c r="E47" s="7" t="s">
        <v>84</v>
      </c>
      <c r="F47" s="10">
        <v>1</v>
      </c>
      <c r="G47" s="10">
        <f>(1-0.03*0.6)*0.25</f>
        <v>0.2455</v>
      </c>
      <c r="H47" s="11">
        <v>61</v>
      </c>
      <c r="I47" s="5">
        <v>0</v>
      </c>
      <c r="J47" s="5">
        <v>20</v>
      </c>
      <c r="K47" s="5">
        <v>57</v>
      </c>
      <c r="L47" s="5">
        <v>96</v>
      </c>
      <c r="M47" s="5">
        <v>150</v>
      </c>
      <c r="N47" s="5">
        <v>200</v>
      </c>
      <c r="O47" s="5">
        <v>185</v>
      </c>
      <c r="P47" s="5">
        <v>147</v>
      </c>
      <c r="Q47" s="5">
        <v>106</v>
      </c>
      <c r="R47" s="5">
        <v>39</v>
      </c>
      <c r="S47">
        <f t="shared" si="1"/>
        <v>1000</v>
      </c>
      <c r="T47" s="5">
        <v>46</v>
      </c>
    </row>
    <row r="48" spans="1:20" ht="30" customHeight="1" x14ac:dyDescent="0.2">
      <c r="A48">
        <v>2</v>
      </c>
      <c r="B48" t="s">
        <v>3</v>
      </c>
      <c r="C48" s="10">
        <v>60101</v>
      </c>
      <c r="D48" s="6" t="s">
        <v>34</v>
      </c>
      <c r="E48" s="7" t="s">
        <v>84</v>
      </c>
      <c r="F48" s="10">
        <v>1</v>
      </c>
      <c r="G48" s="10">
        <f>(1-0.03*0.6)*0.25</f>
        <v>0.2455</v>
      </c>
      <c r="H48" s="11" t="s">
        <v>86</v>
      </c>
      <c r="I48" s="5">
        <v>0</v>
      </c>
      <c r="J48" s="5">
        <v>20</v>
      </c>
      <c r="K48" s="5">
        <v>57</v>
      </c>
      <c r="L48" s="5">
        <v>96</v>
      </c>
      <c r="M48" s="5">
        <v>150</v>
      </c>
      <c r="N48" s="5">
        <v>200</v>
      </c>
      <c r="O48" s="5">
        <v>185</v>
      </c>
      <c r="P48" s="5">
        <v>147</v>
      </c>
      <c r="Q48" s="5">
        <v>106</v>
      </c>
      <c r="R48" s="5">
        <v>39</v>
      </c>
      <c r="S48">
        <f t="shared" si="1"/>
        <v>1000</v>
      </c>
      <c r="T48" s="9">
        <v>47</v>
      </c>
    </row>
    <row r="49" spans="1:20" ht="30" customHeight="1" x14ac:dyDescent="0.2">
      <c r="A49">
        <v>2</v>
      </c>
      <c r="B49" t="s">
        <v>3</v>
      </c>
      <c r="C49" s="10">
        <v>60501</v>
      </c>
      <c r="D49" s="6" t="s">
        <v>35</v>
      </c>
      <c r="E49" s="7" t="s">
        <v>193</v>
      </c>
      <c r="F49" s="10">
        <v>0.8</v>
      </c>
      <c r="G49" s="10">
        <f>(1/3)*1.893/(1.893+1.262+0.05)</f>
        <v>0.1968798751950078</v>
      </c>
      <c r="H49" s="11">
        <v>23</v>
      </c>
      <c r="I49" s="5">
        <v>0</v>
      </c>
      <c r="J49" s="5">
        <v>40</v>
      </c>
      <c r="K49" s="5">
        <v>200</v>
      </c>
      <c r="L49" s="5">
        <v>400</v>
      </c>
      <c r="M49" s="5">
        <v>660</v>
      </c>
      <c r="N49" s="5">
        <v>640</v>
      </c>
      <c r="O49" s="5">
        <v>515</v>
      </c>
      <c r="P49" s="5">
        <v>240</v>
      </c>
      <c r="Q49" s="5">
        <v>105</v>
      </c>
      <c r="R49" s="5">
        <v>0</v>
      </c>
      <c r="S49">
        <f t="shared" si="1"/>
        <v>2800</v>
      </c>
      <c r="T49" s="5">
        <v>48</v>
      </c>
    </row>
    <row r="50" spans="1:20" ht="30" customHeight="1" x14ac:dyDescent="0.2">
      <c r="A50">
        <v>2</v>
      </c>
      <c r="B50" t="s">
        <v>3</v>
      </c>
      <c r="C50" s="10">
        <v>60501</v>
      </c>
      <c r="D50" s="6" t="s">
        <v>35</v>
      </c>
      <c r="E50" s="7" t="s">
        <v>193</v>
      </c>
      <c r="F50" s="10">
        <v>0.8</v>
      </c>
      <c r="G50" s="10">
        <f>(1/3)*1.893/(1.893+1.262+0.05)</f>
        <v>0.1968798751950078</v>
      </c>
      <c r="H50" s="11">
        <v>562</v>
      </c>
      <c r="I50" s="5">
        <v>0</v>
      </c>
      <c r="J50" s="5">
        <v>40</v>
      </c>
      <c r="K50" s="5">
        <v>200</v>
      </c>
      <c r="L50" s="5">
        <v>400</v>
      </c>
      <c r="M50" s="5">
        <v>660</v>
      </c>
      <c r="N50" s="5">
        <v>640</v>
      </c>
      <c r="O50" s="5">
        <v>515</v>
      </c>
      <c r="P50" s="5">
        <v>240</v>
      </c>
      <c r="Q50" s="5">
        <v>105</v>
      </c>
      <c r="R50" s="5">
        <v>0</v>
      </c>
      <c r="S50">
        <f t="shared" si="1"/>
        <v>2800</v>
      </c>
      <c r="T50" s="9">
        <v>49</v>
      </c>
    </row>
    <row r="51" spans="1:20" ht="30" customHeight="1" x14ac:dyDescent="0.2">
      <c r="A51">
        <v>2</v>
      </c>
      <c r="B51" t="s">
        <v>3</v>
      </c>
      <c r="C51" s="10">
        <v>60501</v>
      </c>
      <c r="D51" s="6" t="s">
        <v>35</v>
      </c>
      <c r="E51" s="7" t="s">
        <v>193</v>
      </c>
      <c r="F51" s="10">
        <v>0.8</v>
      </c>
      <c r="G51" s="10">
        <f>(1/3)*1.893/(1.893+1.262+0.05)</f>
        <v>0.1968798751950078</v>
      </c>
      <c r="H51" s="11" t="s">
        <v>86</v>
      </c>
      <c r="I51" s="5">
        <v>0</v>
      </c>
      <c r="J51" s="5">
        <v>40</v>
      </c>
      <c r="K51" s="5">
        <v>200</v>
      </c>
      <c r="L51" s="5">
        <v>400</v>
      </c>
      <c r="M51" s="5">
        <v>660</v>
      </c>
      <c r="N51" s="5">
        <v>640</v>
      </c>
      <c r="O51" s="5">
        <v>515</v>
      </c>
      <c r="P51" s="5">
        <v>240</v>
      </c>
      <c r="Q51" s="5">
        <v>105</v>
      </c>
      <c r="R51" s="5">
        <v>0</v>
      </c>
      <c r="S51">
        <f t="shared" si="1"/>
        <v>2800</v>
      </c>
      <c r="T51" s="5">
        <v>50</v>
      </c>
    </row>
    <row r="52" spans="1:20" ht="30" customHeight="1" x14ac:dyDescent="0.2">
      <c r="A52">
        <v>2</v>
      </c>
      <c r="B52" t="s">
        <v>3</v>
      </c>
      <c r="C52" s="10">
        <v>60501</v>
      </c>
      <c r="D52" s="6" t="s">
        <v>35</v>
      </c>
      <c r="E52" s="7" t="s">
        <v>193</v>
      </c>
      <c r="F52" s="10">
        <v>1</v>
      </c>
      <c r="G52" s="10">
        <f>(1/3)*1.262/(1.893+1.262+0.05)</f>
        <v>0.13125325013000519</v>
      </c>
      <c r="H52" s="11">
        <v>23</v>
      </c>
      <c r="I52" s="5">
        <v>0</v>
      </c>
      <c r="J52" s="5">
        <v>40</v>
      </c>
      <c r="K52" s="5">
        <v>200</v>
      </c>
      <c r="L52" s="5">
        <v>400</v>
      </c>
      <c r="M52" s="5">
        <v>660</v>
      </c>
      <c r="N52" s="5">
        <v>640</v>
      </c>
      <c r="O52" s="5">
        <v>515</v>
      </c>
      <c r="P52" s="5">
        <v>240</v>
      </c>
      <c r="Q52" s="5">
        <v>105</v>
      </c>
      <c r="R52" s="5">
        <v>0</v>
      </c>
      <c r="S52">
        <f t="shared" si="1"/>
        <v>2800</v>
      </c>
      <c r="T52" s="9">
        <v>51</v>
      </c>
    </row>
    <row r="53" spans="1:20" ht="30" customHeight="1" x14ac:dyDescent="0.2">
      <c r="A53">
        <v>2</v>
      </c>
      <c r="B53" t="s">
        <v>3</v>
      </c>
      <c r="C53" s="10">
        <v>60501</v>
      </c>
      <c r="D53" s="6" t="s">
        <v>35</v>
      </c>
      <c r="E53" s="7" t="s">
        <v>193</v>
      </c>
      <c r="F53" s="10">
        <v>1</v>
      </c>
      <c r="G53" s="10">
        <f>(1/3)*1.262/(1.893+1.262+0.05)</f>
        <v>0.13125325013000519</v>
      </c>
      <c r="H53" s="11">
        <v>562</v>
      </c>
      <c r="I53" s="5">
        <v>0</v>
      </c>
      <c r="J53" s="5">
        <v>40</v>
      </c>
      <c r="K53" s="5">
        <v>200</v>
      </c>
      <c r="L53" s="5">
        <v>400</v>
      </c>
      <c r="M53" s="5">
        <v>660</v>
      </c>
      <c r="N53" s="5">
        <v>640</v>
      </c>
      <c r="O53" s="5">
        <v>515</v>
      </c>
      <c r="P53" s="5">
        <v>240</v>
      </c>
      <c r="Q53" s="5">
        <v>105</v>
      </c>
      <c r="R53" s="5">
        <v>0</v>
      </c>
      <c r="S53">
        <f t="shared" si="1"/>
        <v>2800</v>
      </c>
      <c r="T53" s="5">
        <v>52</v>
      </c>
    </row>
    <row r="54" spans="1:20" ht="30" customHeight="1" x14ac:dyDescent="0.2">
      <c r="A54">
        <v>2</v>
      </c>
      <c r="B54" t="s">
        <v>3</v>
      </c>
      <c r="C54" s="10">
        <v>60501</v>
      </c>
      <c r="D54" s="6" t="s">
        <v>35</v>
      </c>
      <c r="E54" s="7" t="s">
        <v>193</v>
      </c>
      <c r="F54" s="10">
        <v>1</v>
      </c>
      <c r="G54" s="10">
        <f>(1/3)*1.262/(1.893+1.262+0.05)</f>
        <v>0.13125325013000519</v>
      </c>
      <c r="H54" s="11" t="s">
        <v>86</v>
      </c>
      <c r="I54" s="5">
        <v>0</v>
      </c>
      <c r="J54" s="5">
        <v>40</v>
      </c>
      <c r="K54" s="5">
        <v>200</v>
      </c>
      <c r="L54" s="5">
        <v>400</v>
      </c>
      <c r="M54" s="5">
        <v>660</v>
      </c>
      <c r="N54" s="5">
        <v>640</v>
      </c>
      <c r="O54" s="5">
        <v>515</v>
      </c>
      <c r="P54" s="5">
        <v>240</v>
      </c>
      <c r="Q54" s="5">
        <v>105</v>
      </c>
      <c r="R54" s="5">
        <v>0</v>
      </c>
      <c r="S54">
        <f t="shared" si="1"/>
        <v>2800</v>
      </c>
      <c r="T54" s="9">
        <v>53</v>
      </c>
    </row>
    <row r="55" spans="1:20" ht="30" customHeight="1" x14ac:dyDescent="0.2">
      <c r="A55">
        <v>2</v>
      </c>
      <c r="B55" t="s">
        <v>3</v>
      </c>
      <c r="C55" s="10">
        <v>60501</v>
      </c>
      <c r="D55" s="6" t="s">
        <v>35</v>
      </c>
      <c r="E55" s="7" t="s">
        <v>193</v>
      </c>
      <c r="F55" s="10">
        <v>1</v>
      </c>
      <c r="G55" s="10">
        <f>(1/3)*0.05/(1.893+1.262+0.05)</f>
        <v>5.2002080083203327E-3</v>
      </c>
      <c r="H55" s="11" t="s">
        <v>86</v>
      </c>
      <c r="I55" s="5">
        <v>0</v>
      </c>
      <c r="J55" s="5">
        <v>40</v>
      </c>
      <c r="K55" s="5">
        <v>200</v>
      </c>
      <c r="L55" s="5">
        <v>400</v>
      </c>
      <c r="M55" s="5">
        <v>660</v>
      </c>
      <c r="N55" s="5">
        <v>640</v>
      </c>
      <c r="O55" s="5">
        <v>515</v>
      </c>
      <c r="P55" s="5">
        <v>240</v>
      </c>
      <c r="Q55" s="5">
        <v>105</v>
      </c>
      <c r="R55" s="5">
        <v>0</v>
      </c>
      <c r="S55">
        <f t="shared" si="1"/>
        <v>2800</v>
      </c>
      <c r="T55" s="5">
        <v>54</v>
      </c>
    </row>
    <row r="56" spans="1:20" ht="30" customHeight="1" x14ac:dyDescent="0.2">
      <c r="A56">
        <v>2</v>
      </c>
      <c r="B56" t="s">
        <v>3</v>
      </c>
      <c r="C56" s="10">
        <v>60501</v>
      </c>
      <c r="D56" s="6" t="s">
        <v>35</v>
      </c>
      <c r="E56" s="7" t="s">
        <v>193</v>
      </c>
      <c r="F56" s="10">
        <v>1</v>
      </c>
      <c r="G56" s="10">
        <f>(1/3)*0.05/(1.893+1.262+0.05)</f>
        <v>5.2002080083203327E-3</v>
      </c>
      <c r="H56" s="11" t="s">
        <v>132</v>
      </c>
      <c r="I56" s="5">
        <v>0</v>
      </c>
      <c r="J56" s="5">
        <v>40</v>
      </c>
      <c r="K56" s="5">
        <v>200</v>
      </c>
      <c r="L56" s="5">
        <v>400</v>
      </c>
      <c r="M56" s="5">
        <v>660</v>
      </c>
      <c r="N56" s="5">
        <v>640</v>
      </c>
      <c r="O56" s="5">
        <v>515</v>
      </c>
      <c r="P56" s="5">
        <v>240</v>
      </c>
      <c r="Q56" s="5">
        <v>105</v>
      </c>
      <c r="R56" s="5">
        <v>0</v>
      </c>
      <c r="S56">
        <f t="shared" si="1"/>
        <v>2800</v>
      </c>
      <c r="T56" s="9">
        <v>55</v>
      </c>
    </row>
    <row r="57" spans="1:20" ht="30" customHeight="1" x14ac:dyDescent="0.2">
      <c r="A57">
        <v>2</v>
      </c>
      <c r="B57" t="s">
        <v>3</v>
      </c>
      <c r="C57" s="10">
        <v>60501</v>
      </c>
      <c r="D57" s="6" t="s">
        <v>35</v>
      </c>
      <c r="E57" s="7" t="s">
        <v>193</v>
      </c>
      <c r="F57" s="10">
        <v>1</v>
      </c>
      <c r="G57" s="10">
        <f>(1/3)*0.05/(1.893+1.262+0.05)</f>
        <v>5.2002080083203327E-3</v>
      </c>
      <c r="H57" s="11" t="s">
        <v>85</v>
      </c>
      <c r="I57" s="5">
        <v>0</v>
      </c>
      <c r="J57" s="5">
        <v>40</v>
      </c>
      <c r="K57" s="5">
        <v>200</v>
      </c>
      <c r="L57" s="5">
        <v>400</v>
      </c>
      <c r="M57" s="5">
        <v>660</v>
      </c>
      <c r="N57" s="5">
        <v>640</v>
      </c>
      <c r="O57" s="5">
        <v>515</v>
      </c>
      <c r="P57" s="5">
        <v>240</v>
      </c>
      <c r="Q57" s="5">
        <v>105</v>
      </c>
      <c r="R57" s="5">
        <v>0</v>
      </c>
      <c r="S57">
        <f t="shared" si="1"/>
        <v>2800</v>
      </c>
      <c r="T57" s="5">
        <v>56</v>
      </c>
    </row>
    <row r="58" spans="1:20" ht="30" customHeight="1" x14ac:dyDescent="0.2">
      <c r="A58">
        <v>2</v>
      </c>
      <c r="B58" t="s">
        <v>3</v>
      </c>
      <c r="C58" s="10">
        <v>50172</v>
      </c>
      <c r="D58" s="6" t="s">
        <v>36</v>
      </c>
      <c r="E58" s="7" t="s">
        <v>87</v>
      </c>
      <c r="F58" s="10">
        <v>1</v>
      </c>
      <c r="G58" s="10">
        <f>1305.172/2000</f>
        <v>0.652586</v>
      </c>
      <c r="H58" s="11">
        <v>23</v>
      </c>
      <c r="I58" s="5">
        <v>0</v>
      </c>
      <c r="J58" s="5">
        <v>40</v>
      </c>
      <c r="K58" s="5">
        <v>170</v>
      </c>
      <c r="L58" s="5">
        <v>310</v>
      </c>
      <c r="M58" s="5">
        <v>400</v>
      </c>
      <c r="N58" s="5">
        <v>400</v>
      </c>
      <c r="O58" s="5">
        <v>370</v>
      </c>
      <c r="P58" s="5">
        <v>155</v>
      </c>
      <c r="Q58" s="5">
        <v>105</v>
      </c>
      <c r="R58" s="5">
        <v>50</v>
      </c>
      <c r="S58">
        <f t="shared" si="1"/>
        <v>2000</v>
      </c>
      <c r="T58" s="9">
        <v>57</v>
      </c>
    </row>
    <row r="59" spans="1:20" ht="30" customHeight="1" x14ac:dyDescent="0.2">
      <c r="A59">
        <v>2</v>
      </c>
      <c r="B59" t="s">
        <v>3</v>
      </c>
      <c r="C59" s="10">
        <v>50172</v>
      </c>
      <c r="D59" s="6" t="s">
        <v>36</v>
      </c>
      <c r="E59" s="7" t="s">
        <v>87</v>
      </c>
      <c r="F59" s="10">
        <v>1</v>
      </c>
      <c r="G59" s="10">
        <f>694.828/2000</f>
        <v>0.347414</v>
      </c>
      <c r="H59" s="11">
        <v>335</v>
      </c>
      <c r="I59" s="5">
        <v>0</v>
      </c>
      <c r="J59" s="5">
        <v>40</v>
      </c>
      <c r="K59" s="5">
        <v>170</v>
      </c>
      <c r="L59" s="5">
        <v>310</v>
      </c>
      <c r="M59" s="5">
        <v>400</v>
      </c>
      <c r="N59" s="5">
        <v>400</v>
      </c>
      <c r="O59" s="5">
        <v>370</v>
      </c>
      <c r="P59" s="5">
        <v>155</v>
      </c>
      <c r="Q59" s="5">
        <v>105</v>
      </c>
      <c r="R59" s="5">
        <v>50</v>
      </c>
      <c r="S59">
        <f t="shared" si="1"/>
        <v>2000</v>
      </c>
      <c r="T59" s="5">
        <v>58</v>
      </c>
    </row>
    <row r="60" spans="1:20" ht="30" customHeight="1" x14ac:dyDescent="0.2">
      <c r="A60">
        <v>2</v>
      </c>
      <c r="B60" t="s">
        <v>3</v>
      </c>
      <c r="C60" s="10">
        <v>22002</v>
      </c>
      <c r="D60" s="6" t="s">
        <v>37</v>
      </c>
      <c r="E60" s="10" t="s">
        <v>170</v>
      </c>
      <c r="F60" s="10">
        <v>0.5</v>
      </c>
      <c r="G60" s="10">
        <f>0.85*0.4</f>
        <v>0.34</v>
      </c>
      <c r="H60" s="11" t="s">
        <v>103</v>
      </c>
      <c r="I60" s="5">
        <v>0</v>
      </c>
      <c r="J60" s="5">
        <v>5</v>
      </c>
      <c r="K60" s="5">
        <v>41</v>
      </c>
      <c r="L60" s="5">
        <v>116</v>
      </c>
      <c r="M60" s="5">
        <v>284</v>
      </c>
      <c r="N60" s="5">
        <v>417</v>
      </c>
      <c r="O60" s="5">
        <v>459</v>
      </c>
      <c r="P60" s="5">
        <v>355</v>
      </c>
      <c r="Q60" s="5">
        <v>210</v>
      </c>
      <c r="R60" s="5">
        <v>90</v>
      </c>
      <c r="S60">
        <f t="shared" si="1"/>
        <v>1977</v>
      </c>
      <c r="T60" s="9">
        <v>59</v>
      </c>
    </row>
    <row r="61" spans="1:20" ht="30" customHeight="1" x14ac:dyDescent="0.2">
      <c r="A61">
        <v>2</v>
      </c>
      <c r="B61" t="s">
        <v>3</v>
      </c>
      <c r="C61" s="10">
        <v>22002</v>
      </c>
      <c r="D61" s="6" t="s">
        <v>37</v>
      </c>
      <c r="E61" s="10" t="s">
        <v>171</v>
      </c>
      <c r="F61" s="10">
        <v>0.5</v>
      </c>
      <c r="G61" s="10">
        <f>0.85*0.4</f>
        <v>0.34</v>
      </c>
      <c r="H61" s="11">
        <v>335</v>
      </c>
      <c r="I61" s="5">
        <v>0</v>
      </c>
      <c r="J61" s="5">
        <v>5</v>
      </c>
      <c r="K61" s="5">
        <v>41</v>
      </c>
      <c r="L61" s="5">
        <v>116</v>
      </c>
      <c r="M61" s="5">
        <v>284</v>
      </c>
      <c r="N61" s="5">
        <v>417</v>
      </c>
      <c r="O61" s="5">
        <v>459</v>
      </c>
      <c r="P61" s="5">
        <v>355</v>
      </c>
      <c r="Q61" s="5">
        <v>210</v>
      </c>
      <c r="R61" s="5">
        <v>90</v>
      </c>
      <c r="S61">
        <f t="shared" si="1"/>
        <v>1977</v>
      </c>
      <c r="T61" s="5">
        <v>60</v>
      </c>
    </row>
    <row r="62" spans="1:20" ht="30" customHeight="1" x14ac:dyDescent="0.2">
      <c r="A62">
        <v>2</v>
      </c>
      <c r="B62" t="s">
        <v>3</v>
      </c>
      <c r="C62" s="10">
        <v>22002</v>
      </c>
      <c r="D62" s="6" t="s">
        <v>37</v>
      </c>
      <c r="E62" s="10" t="s">
        <v>170</v>
      </c>
      <c r="F62" s="10">
        <v>0.5</v>
      </c>
      <c r="G62" s="10">
        <f>0.85*0.2</f>
        <v>0.17</v>
      </c>
      <c r="H62" s="11" t="s">
        <v>86</v>
      </c>
      <c r="I62" s="5">
        <v>0</v>
      </c>
      <c r="J62" s="5">
        <v>5</v>
      </c>
      <c r="K62" s="5">
        <v>41</v>
      </c>
      <c r="L62" s="5">
        <v>116</v>
      </c>
      <c r="M62" s="5">
        <v>284</v>
      </c>
      <c r="N62" s="5">
        <v>417</v>
      </c>
      <c r="O62" s="5">
        <v>459</v>
      </c>
      <c r="P62" s="5">
        <v>355</v>
      </c>
      <c r="Q62" s="5">
        <v>210</v>
      </c>
      <c r="R62" s="5">
        <v>90</v>
      </c>
      <c r="S62">
        <f t="shared" si="1"/>
        <v>1977</v>
      </c>
      <c r="T62" s="9">
        <v>61</v>
      </c>
    </row>
    <row r="63" spans="1:20" ht="30" customHeight="1" x14ac:dyDescent="0.2">
      <c r="A63">
        <v>2</v>
      </c>
      <c r="B63" t="s">
        <v>3</v>
      </c>
      <c r="C63" s="10">
        <v>22002</v>
      </c>
      <c r="D63" s="6" t="s">
        <v>37</v>
      </c>
      <c r="E63" s="10" t="s">
        <v>170</v>
      </c>
      <c r="F63" s="10">
        <v>0.5</v>
      </c>
      <c r="G63" s="10">
        <f>0.15*0.8</f>
        <v>0.12</v>
      </c>
      <c r="H63" s="11" t="s">
        <v>103</v>
      </c>
      <c r="I63" s="5">
        <v>0</v>
      </c>
      <c r="J63" s="5">
        <v>5</v>
      </c>
      <c r="K63" s="5">
        <v>41</v>
      </c>
      <c r="L63" s="5">
        <v>116</v>
      </c>
      <c r="M63" s="5">
        <v>284</v>
      </c>
      <c r="N63" s="5">
        <v>417</v>
      </c>
      <c r="O63" s="5">
        <v>459</v>
      </c>
      <c r="P63" s="5">
        <v>355</v>
      </c>
      <c r="Q63" s="5">
        <v>210</v>
      </c>
      <c r="R63" s="5">
        <v>90</v>
      </c>
      <c r="S63">
        <f t="shared" si="1"/>
        <v>1977</v>
      </c>
      <c r="T63" s="5">
        <v>62</v>
      </c>
    </row>
    <row r="64" spans="1:20" ht="30" customHeight="1" x14ac:dyDescent="0.2">
      <c r="A64">
        <v>2</v>
      </c>
      <c r="B64" t="s">
        <v>3</v>
      </c>
      <c r="C64" s="10">
        <v>22002</v>
      </c>
      <c r="D64" s="6" t="s">
        <v>37</v>
      </c>
      <c r="E64" s="10" t="s">
        <v>170</v>
      </c>
      <c r="F64" s="10">
        <v>0.5</v>
      </c>
      <c r="G64" s="10">
        <f>0.15*0.2</f>
        <v>0.03</v>
      </c>
      <c r="H64" s="11" t="s">
        <v>86</v>
      </c>
      <c r="I64" s="5">
        <v>0</v>
      </c>
      <c r="J64" s="5">
        <v>5</v>
      </c>
      <c r="K64" s="5">
        <v>41</v>
      </c>
      <c r="L64" s="5">
        <v>116</v>
      </c>
      <c r="M64" s="5">
        <v>284</v>
      </c>
      <c r="N64" s="5">
        <v>417</v>
      </c>
      <c r="O64" s="5">
        <v>459</v>
      </c>
      <c r="P64" s="5">
        <v>355</v>
      </c>
      <c r="Q64" s="5">
        <v>210</v>
      </c>
      <c r="R64" s="5">
        <v>90</v>
      </c>
      <c r="S64">
        <f t="shared" si="1"/>
        <v>1977</v>
      </c>
      <c r="T64" s="9">
        <v>63</v>
      </c>
    </row>
    <row r="65" spans="1:20" ht="30" customHeight="1" x14ac:dyDescent="0.2">
      <c r="A65">
        <v>3</v>
      </c>
      <c r="B65" t="s">
        <v>19</v>
      </c>
      <c r="C65" s="10">
        <v>13301</v>
      </c>
      <c r="D65" s="6" t="s">
        <v>38</v>
      </c>
      <c r="E65" s="7" t="s">
        <v>160</v>
      </c>
      <c r="F65" s="10">
        <v>0.3</v>
      </c>
      <c r="G65" s="10">
        <v>0.5</v>
      </c>
      <c r="H65" s="11">
        <v>23</v>
      </c>
      <c r="I65" s="5">
        <v>253</v>
      </c>
      <c r="J65" s="9">
        <v>1634</v>
      </c>
      <c r="K65" s="9">
        <v>1348</v>
      </c>
      <c r="L65" s="9">
        <v>1324</v>
      </c>
      <c r="M65" s="9">
        <v>1345</v>
      </c>
      <c r="N65" s="9">
        <v>1327</v>
      </c>
      <c r="O65" s="9">
        <v>1277</v>
      </c>
      <c r="P65" s="9">
        <v>1301</v>
      </c>
      <c r="Q65" s="9">
        <v>1314</v>
      </c>
      <c r="R65" s="9">
        <v>1327</v>
      </c>
      <c r="S65">
        <f t="shared" si="1"/>
        <v>12450</v>
      </c>
      <c r="T65" s="5">
        <v>64</v>
      </c>
    </row>
    <row r="66" spans="1:20" ht="30" customHeight="1" x14ac:dyDescent="0.2">
      <c r="A66">
        <v>3</v>
      </c>
      <c r="B66" t="s">
        <v>19</v>
      </c>
      <c r="C66" s="10">
        <v>13301</v>
      </c>
      <c r="D66" s="6" t="s">
        <v>38</v>
      </c>
      <c r="E66" s="7" t="s">
        <v>160</v>
      </c>
      <c r="F66" s="10">
        <v>0.3</v>
      </c>
      <c r="G66" s="10">
        <v>0.5</v>
      </c>
      <c r="H66" s="11">
        <v>335</v>
      </c>
      <c r="I66" s="5">
        <v>253</v>
      </c>
      <c r="J66" s="9">
        <v>1634</v>
      </c>
      <c r="K66" s="9">
        <v>1348</v>
      </c>
      <c r="L66" s="9">
        <v>1324</v>
      </c>
      <c r="M66" s="9">
        <v>1345</v>
      </c>
      <c r="N66" s="9">
        <v>1327</v>
      </c>
      <c r="O66" s="9">
        <v>1277</v>
      </c>
      <c r="P66" s="9">
        <v>1301</v>
      </c>
      <c r="Q66" s="9">
        <v>1314</v>
      </c>
      <c r="R66" s="9">
        <v>1327</v>
      </c>
      <c r="S66">
        <f t="shared" ref="S66:S97" si="2">SUM(I66:R66)</f>
        <v>12450</v>
      </c>
      <c r="T66" s="9">
        <v>65</v>
      </c>
    </row>
    <row r="67" spans="1:20" ht="30" customHeight="1" x14ac:dyDescent="0.2">
      <c r="A67">
        <v>3</v>
      </c>
      <c r="B67" t="s">
        <v>19</v>
      </c>
      <c r="C67" s="10">
        <v>13302</v>
      </c>
      <c r="D67" s="6" t="s">
        <v>39</v>
      </c>
      <c r="E67" s="7" t="s">
        <v>161</v>
      </c>
      <c r="F67" s="10">
        <v>1</v>
      </c>
      <c r="G67" s="10">
        <v>1</v>
      </c>
      <c r="H67" s="11" t="s">
        <v>95</v>
      </c>
      <c r="I67" s="5">
        <v>52</v>
      </c>
      <c r="J67" s="5">
        <v>407</v>
      </c>
      <c r="K67" s="9">
        <v>1021</v>
      </c>
      <c r="L67" s="9">
        <v>2692</v>
      </c>
      <c r="M67" s="9">
        <v>2770</v>
      </c>
      <c r="N67" s="9">
        <v>2850</v>
      </c>
      <c r="O67" s="9">
        <v>2935</v>
      </c>
      <c r="P67" s="9">
        <v>3019</v>
      </c>
      <c r="Q67" s="9">
        <v>3092</v>
      </c>
      <c r="R67" s="9">
        <v>3185</v>
      </c>
      <c r="S67">
        <f t="shared" si="2"/>
        <v>22023</v>
      </c>
      <c r="T67" s="5">
        <v>66</v>
      </c>
    </row>
    <row r="68" spans="1:20" ht="30" customHeight="1" x14ac:dyDescent="0.2">
      <c r="A68">
        <v>3</v>
      </c>
      <c r="B68" t="s">
        <v>19</v>
      </c>
      <c r="C68" s="10">
        <v>13303</v>
      </c>
      <c r="D68" s="6" t="s">
        <v>40</v>
      </c>
      <c r="E68" s="7" t="s">
        <v>162</v>
      </c>
      <c r="F68" s="10">
        <v>0.3</v>
      </c>
      <c r="G68" s="10">
        <v>1</v>
      </c>
      <c r="H68" s="11">
        <v>23</v>
      </c>
      <c r="I68" s="5">
        <v>0</v>
      </c>
      <c r="J68" s="5">
        <v>62</v>
      </c>
      <c r="K68" s="5">
        <v>50</v>
      </c>
      <c r="L68" s="5">
        <v>46</v>
      </c>
      <c r="M68" s="5">
        <v>42</v>
      </c>
      <c r="N68" s="5">
        <v>38</v>
      </c>
      <c r="O68" s="5">
        <v>35</v>
      </c>
      <c r="P68" s="5">
        <v>32</v>
      </c>
      <c r="Q68" s="5">
        <v>30</v>
      </c>
      <c r="R68" s="5">
        <v>28</v>
      </c>
      <c r="S68">
        <f t="shared" si="2"/>
        <v>363</v>
      </c>
      <c r="T68" s="9">
        <v>67</v>
      </c>
    </row>
    <row r="69" spans="1:20" ht="30" customHeight="1" x14ac:dyDescent="0.2">
      <c r="A69">
        <v>3</v>
      </c>
      <c r="B69" t="s">
        <v>19</v>
      </c>
      <c r="C69" s="10">
        <v>13304</v>
      </c>
      <c r="D69" s="6" t="s">
        <v>41</v>
      </c>
      <c r="E69" s="7" t="s">
        <v>163</v>
      </c>
      <c r="F69" s="10">
        <v>1.2500000000000001E-2</v>
      </c>
      <c r="G69" s="10">
        <v>1</v>
      </c>
      <c r="H69" s="11">
        <v>23</v>
      </c>
      <c r="I69" s="5">
        <v>0</v>
      </c>
      <c r="J69" s="5">
        <v>273</v>
      </c>
      <c r="K69" s="5">
        <v>193</v>
      </c>
      <c r="L69" s="5">
        <v>203</v>
      </c>
      <c r="M69" s="5">
        <v>216</v>
      </c>
      <c r="N69" s="5">
        <v>230</v>
      </c>
      <c r="O69" s="5">
        <v>241</v>
      </c>
      <c r="P69" s="5">
        <v>240</v>
      </c>
      <c r="Q69" s="5">
        <v>229</v>
      </c>
      <c r="R69" s="5">
        <v>217</v>
      </c>
      <c r="S69">
        <f t="shared" si="2"/>
        <v>2042</v>
      </c>
      <c r="T69" s="5">
        <v>68</v>
      </c>
    </row>
    <row r="70" spans="1:20" ht="30" customHeight="1" x14ac:dyDescent="0.2">
      <c r="A70">
        <v>3</v>
      </c>
      <c r="B70" t="s">
        <v>19</v>
      </c>
      <c r="C70" s="10">
        <v>50121</v>
      </c>
      <c r="D70" s="6" t="s">
        <v>42</v>
      </c>
      <c r="E70" s="6" t="s">
        <v>169</v>
      </c>
      <c r="F70" s="10">
        <v>0.65</v>
      </c>
      <c r="G70" s="10">
        <f>0.5*0.77</f>
        <v>0.38500000000000001</v>
      </c>
      <c r="H70" s="11">
        <v>23</v>
      </c>
      <c r="I70" s="5">
        <v>0</v>
      </c>
      <c r="J70" s="5">
        <v>30</v>
      </c>
      <c r="K70" s="5">
        <v>490</v>
      </c>
      <c r="L70" s="5">
        <v>860</v>
      </c>
      <c r="M70" s="9">
        <v>1230</v>
      </c>
      <c r="N70" s="9">
        <v>1230</v>
      </c>
      <c r="O70" s="5">
        <v>440</v>
      </c>
      <c r="P70" s="5">
        <v>20</v>
      </c>
      <c r="Q70" s="5">
        <v>0</v>
      </c>
      <c r="R70" s="5">
        <v>0</v>
      </c>
      <c r="S70">
        <f t="shared" si="2"/>
        <v>4300</v>
      </c>
      <c r="T70" s="9">
        <v>69</v>
      </c>
    </row>
    <row r="71" spans="1:20" ht="30" customHeight="1" x14ac:dyDescent="0.2">
      <c r="A71">
        <v>3</v>
      </c>
      <c r="B71" t="s">
        <v>19</v>
      </c>
      <c r="C71" s="10">
        <v>50121</v>
      </c>
      <c r="D71" s="6" t="s">
        <v>42</v>
      </c>
      <c r="E71" s="6" t="s">
        <v>169</v>
      </c>
      <c r="F71" s="10">
        <v>0.65</v>
      </c>
      <c r="G71" s="10">
        <f>0.5*0.77</f>
        <v>0.38500000000000001</v>
      </c>
      <c r="H71" s="11">
        <v>335</v>
      </c>
      <c r="I71" s="5">
        <v>0</v>
      </c>
      <c r="J71" s="5">
        <v>30</v>
      </c>
      <c r="K71" s="5">
        <v>490</v>
      </c>
      <c r="L71" s="5">
        <v>860</v>
      </c>
      <c r="M71" s="9">
        <v>1230</v>
      </c>
      <c r="N71" s="9">
        <v>1230</v>
      </c>
      <c r="O71" s="5">
        <v>440</v>
      </c>
      <c r="P71" s="5">
        <v>20</v>
      </c>
      <c r="Q71" s="5">
        <v>0</v>
      </c>
      <c r="R71" s="5">
        <v>0</v>
      </c>
      <c r="S71">
        <f t="shared" si="2"/>
        <v>4300</v>
      </c>
      <c r="T71" s="5">
        <v>70</v>
      </c>
    </row>
    <row r="72" spans="1:20" ht="30" customHeight="1" x14ac:dyDescent="0.2">
      <c r="A72">
        <v>3</v>
      </c>
      <c r="B72" t="s">
        <v>19</v>
      </c>
      <c r="C72" s="10">
        <v>50121</v>
      </c>
      <c r="D72" s="6" t="s">
        <v>42</v>
      </c>
      <c r="E72" s="6" t="s">
        <v>169</v>
      </c>
      <c r="F72" s="10">
        <v>1</v>
      </c>
      <c r="G72" s="10">
        <v>0.2</v>
      </c>
      <c r="H72" s="11" t="s">
        <v>132</v>
      </c>
      <c r="I72" s="5">
        <v>0</v>
      </c>
      <c r="J72" s="5">
        <v>30</v>
      </c>
      <c r="K72" s="5">
        <v>490</v>
      </c>
      <c r="L72" s="5">
        <v>860</v>
      </c>
      <c r="M72" s="9">
        <v>1230</v>
      </c>
      <c r="N72" s="9">
        <v>1230</v>
      </c>
      <c r="O72" s="5">
        <v>440</v>
      </c>
      <c r="P72" s="5">
        <v>20</v>
      </c>
      <c r="Q72" s="5">
        <v>0</v>
      </c>
      <c r="R72" s="5">
        <v>0</v>
      </c>
      <c r="S72">
        <f t="shared" si="2"/>
        <v>4300</v>
      </c>
      <c r="T72" s="9">
        <v>71</v>
      </c>
    </row>
    <row r="73" spans="1:20" ht="30" customHeight="1" x14ac:dyDescent="0.2">
      <c r="A73">
        <v>3</v>
      </c>
      <c r="B73" t="s">
        <v>19</v>
      </c>
      <c r="C73" s="10">
        <v>50121</v>
      </c>
      <c r="D73" s="6" t="s">
        <v>42</v>
      </c>
      <c r="E73" s="6" t="s">
        <v>169</v>
      </c>
      <c r="F73" s="10">
        <v>1</v>
      </c>
      <c r="G73" s="10">
        <v>1.4999999999999999E-2</v>
      </c>
      <c r="H73" s="11" t="s">
        <v>85</v>
      </c>
      <c r="I73" s="5">
        <v>0</v>
      </c>
      <c r="J73" s="5">
        <v>30</v>
      </c>
      <c r="K73" s="5">
        <v>490</v>
      </c>
      <c r="L73" s="5">
        <v>860</v>
      </c>
      <c r="M73" s="9">
        <v>1230</v>
      </c>
      <c r="N73" s="9">
        <v>1230</v>
      </c>
      <c r="O73" s="5">
        <v>440</v>
      </c>
      <c r="P73" s="5">
        <v>20</v>
      </c>
      <c r="Q73" s="5">
        <v>0</v>
      </c>
      <c r="R73" s="5">
        <v>0</v>
      </c>
      <c r="S73">
        <f t="shared" si="2"/>
        <v>4300</v>
      </c>
      <c r="T73" s="5">
        <v>72</v>
      </c>
    </row>
    <row r="74" spans="1:20" ht="30" customHeight="1" x14ac:dyDescent="0.2">
      <c r="A74">
        <v>3</v>
      </c>
      <c r="B74" t="s">
        <v>19</v>
      </c>
      <c r="C74" s="10">
        <v>50121</v>
      </c>
      <c r="D74" s="6" t="s">
        <v>42</v>
      </c>
      <c r="E74" s="6" t="s">
        <v>169</v>
      </c>
      <c r="F74" s="10">
        <v>1</v>
      </c>
      <c r="G74" s="10">
        <v>1.4999999999999999E-2</v>
      </c>
      <c r="H74" s="11" t="s">
        <v>86</v>
      </c>
      <c r="I74" s="5">
        <v>0</v>
      </c>
      <c r="J74" s="5">
        <v>30</v>
      </c>
      <c r="K74" s="5">
        <v>490</v>
      </c>
      <c r="L74" s="5">
        <v>860</v>
      </c>
      <c r="M74" s="9">
        <v>1230</v>
      </c>
      <c r="N74" s="9">
        <v>1230</v>
      </c>
      <c r="O74" s="5">
        <v>440</v>
      </c>
      <c r="P74" s="5">
        <v>20</v>
      </c>
      <c r="Q74" s="5">
        <v>0</v>
      </c>
      <c r="R74" s="5">
        <v>0</v>
      </c>
      <c r="S74">
        <f t="shared" si="2"/>
        <v>4300</v>
      </c>
      <c r="T74" s="9">
        <v>73</v>
      </c>
    </row>
    <row r="75" spans="1:20" ht="30" customHeight="1" x14ac:dyDescent="0.2">
      <c r="A75">
        <v>3</v>
      </c>
      <c r="B75" t="s">
        <v>19</v>
      </c>
      <c r="C75" s="10">
        <v>60502</v>
      </c>
      <c r="D75" s="6" t="s">
        <v>43</v>
      </c>
      <c r="E75" s="7"/>
      <c r="F75" s="10">
        <v>1</v>
      </c>
      <c r="G75" s="10">
        <v>1</v>
      </c>
      <c r="H75" s="11">
        <v>23</v>
      </c>
      <c r="I75" s="5">
        <v>0</v>
      </c>
      <c r="J75" s="5">
        <v>15</v>
      </c>
      <c r="K75" s="5">
        <v>15</v>
      </c>
      <c r="L75" s="5">
        <v>25</v>
      </c>
      <c r="M75" s="5">
        <v>40</v>
      </c>
      <c r="N75" s="5">
        <v>40</v>
      </c>
      <c r="O75" s="5">
        <v>40</v>
      </c>
      <c r="P75" s="5">
        <v>40</v>
      </c>
      <c r="Q75" s="5">
        <v>25</v>
      </c>
      <c r="R75" s="5">
        <v>10</v>
      </c>
      <c r="S75">
        <f t="shared" si="2"/>
        <v>250</v>
      </c>
      <c r="T75" s="5">
        <v>74</v>
      </c>
    </row>
    <row r="76" spans="1:20" ht="30" customHeight="1" x14ac:dyDescent="0.2">
      <c r="A76">
        <v>3</v>
      </c>
      <c r="B76" t="s">
        <v>19</v>
      </c>
      <c r="C76" s="10">
        <v>50122</v>
      </c>
      <c r="D76" s="6" t="s">
        <v>44</v>
      </c>
      <c r="E76" s="6" t="s">
        <v>167</v>
      </c>
      <c r="F76" s="10">
        <v>0.75</v>
      </c>
      <c r="G76" s="10">
        <f>0.5*0.77</f>
        <v>0.38500000000000001</v>
      </c>
      <c r="H76" s="11">
        <v>23</v>
      </c>
      <c r="I76" s="5">
        <v>0</v>
      </c>
      <c r="J76" s="5">
        <v>30</v>
      </c>
      <c r="K76" s="5">
        <v>840</v>
      </c>
      <c r="L76" s="9">
        <v>1530</v>
      </c>
      <c r="M76" s="9">
        <v>1530</v>
      </c>
      <c r="N76" s="5">
        <v>470</v>
      </c>
      <c r="O76" s="5">
        <v>100</v>
      </c>
      <c r="P76" s="5">
        <v>0</v>
      </c>
      <c r="Q76" s="5">
        <v>0</v>
      </c>
      <c r="R76" s="5">
        <v>0</v>
      </c>
      <c r="S76">
        <f t="shared" si="2"/>
        <v>4500</v>
      </c>
      <c r="T76" s="9">
        <v>75</v>
      </c>
    </row>
    <row r="77" spans="1:20" ht="30" customHeight="1" x14ac:dyDescent="0.2">
      <c r="A77">
        <v>3</v>
      </c>
      <c r="B77" t="s">
        <v>19</v>
      </c>
      <c r="C77" s="10">
        <v>50122</v>
      </c>
      <c r="D77" s="6" t="s">
        <v>44</v>
      </c>
      <c r="E77" s="6" t="s">
        <v>167</v>
      </c>
      <c r="F77" s="10">
        <v>0.75</v>
      </c>
      <c r="G77" s="10">
        <f>0.5*0.77</f>
        <v>0.38500000000000001</v>
      </c>
      <c r="H77" s="11">
        <v>335</v>
      </c>
      <c r="I77" s="5">
        <v>0</v>
      </c>
      <c r="J77" s="5">
        <v>30</v>
      </c>
      <c r="K77" s="5">
        <v>840</v>
      </c>
      <c r="L77" s="9">
        <v>1530</v>
      </c>
      <c r="M77" s="9">
        <v>1530</v>
      </c>
      <c r="N77" s="5">
        <v>470</v>
      </c>
      <c r="O77" s="5">
        <v>100</v>
      </c>
      <c r="P77" s="5">
        <v>0</v>
      </c>
      <c r="Q77" s="5">
        <v>0</v>
      </c>
      <c r="R77" s="5">
        <v>0</v>
      </c>
      <c r="S77">
        <f t="shared" si="2"/>
        <v>4500</v>
      </c>
      <c r="T77" s="5">
        <v>76</v>
      </c>
    </row>
    <row r="78" spans="1:20" ht="30" customHeight="1" x14ac:dyDescent="0.2">
      <c r="A78">
        <v>3</v>
      </c>
      <c r="B78" t="s">
        <v>19</v>
      </c>
      <c r="C78" s="10">
        <v>50122</v>
      </c>
      <c r="D78" s="6" t="s">
        <v>44</v>
      </c>
      <c r="E78" s="6" t="s">
        <v>167</v>
      </c>
      <c r="F78" s="10">
        <v>1</v>
      </c>
      <c r="G78" s="10">
        <v>0.2</v>
      </c>
      <c r="H78" s="11" t="s">
        <v>132</v>
      </c>
      <c r="I78" s="5">
        <v>0</v>
      </c>
      <c r="J78" s="5">
        <v>30</v>
      </c>
      <c r="K78" s="5">
        <v>840</v>
      </c>
      <c r="L78" s="9">
        <v>1530</v>
      </c>
      <c r="M78" s="9">
        <v>1530</v>
      </c>
      <c r="N78" s="5">
        <v>470</v>
      </c>
      <c r="O78" s="5">
        <v>100</v>
      </c>
      <c r="P78" s="5">
        <v>0</v>
      </c>
      <c r="Q78" s="5">
        <v>0</v>
      </c>
      <c r="R78" s="5">
        <v>0</v>
      </c>
      <c r="S78">
        <f t="shared" si="2"/>
        <v>4500</v>
      </c>
      <c r="T78" s="9">
        <v>77</v>
      </c>
    </row>
    <row r="79" spans="1:20" ht="30" customHeight="1" x14ac:dyDescent="0.2">
      <c r="A79">
        <v>3</v>
      </c>
      <c r="B79" t="s">
        <v>19</v>
      </c>
      <c r="C79" s="10">
        <v>50122</v>
      </c>
      <c r="D79" s="6" t="s">
        <v>44</v>
      </c>
      <c r="E79" s="6" t="s">
        <v>167</v>
      </c>
      <c r="F79" s="10">
        <v>1</v>
      </c>
      <c r="G79" s="10">
        <v>1.4999999999999999E-2</v>
      </c>
      <c r="H79" s="11" t="s">
        <v>85</v>
      </c>
      <c r="I79" s="5">
        <v>0</v>
      </c>
      <c r="J79" s="5">
        <v>30</v>
      </c>
      <c r="K79" s="5">
        <v>840</v>
      </c>
      <c r="L79" s="9">
        <v>1530</v>
      </c>
      <c r="M79" s="9">
        <v>1530</v>
      </c>
      <c r="N79" s="5">
        <v>470</v>
      </c>
      <c r="O79" s="5">
        <v>100</v>
      </c>
      <c r="P79" s="5">
        <v>0</v>
      </c>
      <c r="Q79" s="5">
        <v>0</v>
      </c>
      <c r="R79" s="5">
        <v>0</v>
      </c>
      <c r="S79">
        <f t="shared" si="2"/>
        <v>4500</v>
      </c>
      <c r="T79" s="5">
        <v>78</v>
      </c>
    </row>
    <row r="80" spans="1:20" ht="30" customHeight="1" x14ac:dyDescent="0.2">
      <c r="A80">
        <v>3</v>
      </c>
      <c r="B80" t="s">
        <v>19</v>
      </c>
      <c r="C80" s="10">
        <v>50122</v>
      </c>
      <c r="D80" s="6" t="s">
        <v>44</v>
      </c>
      <c r="E80" s="6" t="s">
        <v>167</v>
      </c>
      <c r="F80" s="10">
        <v>1</v>
      </c>
      <c r="G80" s="10">
        <v>1.4999999999999999E-2</v>
      </c>
      <c r="H80" s="11" t="s">
        <v>86</v>
      </c>
      <c r="I80" s="5">
        <v>0</v>
      </c>
      <c r="J80" s="5">
        <v>30</v>
      </c>
      <c r="K80" s="5">
        <v>840</v>
      </c>
      <c r="L80" s="9">
        <v>1530</v>
      </c>
      <c r="M80" s="9">
        <v>1530</v>
      </c>
      <c r="N80" s="5">
        <v>470</v>
      </c>
      <c r="O80" s="5">
        <v>100</v>
      </c>
      <c r="P80" s="5">
        <v>0</v>
      </c>
      <c r="Q80" s="5">
        <v>0</v>
      </c>
      <c r="R80" s="5">
        <v>0</v>
      </c>
      <c r="S80">
        <f t="shared" si="2"/>
        <v>4500</v>
      </c>
      <c r="T80" s="9">
        <v>79</v>
      </c>
    </row>
    <row r="81" spans="1:20" ht="30" customHeight="1" x14ac:dyDescent="0.2">
      <c r="A81">
        <v>3</v>
      </c>
      <c r="B81" t="s">
        <v>19</v>
      </c>
      <c r="C81" s="10">
        <v>50123</v>
      </c>
      <c r="D81" s="6" t="s">
        <v>45</v>
      </c>
      <c r="E81" s="7" t="s">
        <v>168</v>
      </c>
      <c r="F81" s="10">
        <v>1</v>
      </c>
      <c r="G81" s="10">
        <v>0.1</v>
      </c>
      <c r="H81" s="11" t="s">
        <v>132</v>
      </c>
      <c r="I81" s="5">
        <v>0</v>
      </c>
      <c r="J81" s="5">
        <v>5</v>
      </c>
      <c r="K81" s="5">
        <v>30</v>
      </c>
      <c r="L81" s="5">
        <v>40</v>
      </c>
      <c r="M81" s="5">
        <v>40</v>
      </c>
      <c r="N81" s="5">
        <v>40</v>
      </c>
      <c r="O81" s="5">
        <v>30</v>
      </c>
      <c r="P81" s="5">
        <v>15</v>
      </c>
      <c r="Q81" s="5">
        <v>0</v>
      </c>
      <c r="R81" s="5">
        <v>0</v>
      </c>
      <c r="S81">
        <f t="shared" si="2"/>
        <v>200</v>
      </c>
      <c r="T81" s="5">
        <v>80</v>
      </c>
    </row>
    <row r="82" spans="1:20" ht="30" customHeight="1" x14ac:dyDescent="0.2">
      <c r="A82">
        <v>3</v>
      </c>
      <c r="B82" t="s">
        <v>19</v>
      </c>
      <c r="C82" s="10">
        <v>50123</v>
      </c>
      <c r="D82" s="6" t="s">
        <v>45</v>
      </c>
      <c r="E82" s="7" t="s">
        <v>168</v>
      </c>
      <c r="F82" s="10">
        <v>1</v>
      </c>
      <c r="G82" s="10">
        <v>0.45</v>
      </c>
      <c r="H82" s="11" t="s">
        <v>86</v>
      </c>
      <c r="I82" s="5">
        <v>0</v>
      </c>
      <c r="J82" s="5">
        <v>5</v>
      </c>
      <c r="K82" s="5">
        <v>30</v>
      </c>
      <c r="L82" s="5">
        <v>40</v>
      </c>
      <c r="M82" s="5">
        <v>40</v>
      </c>
      <c r="N82" s="5">
        <v>40</v>
      </c>
      <c r="O82" s="5">
        <v>30</v>
      </c>
      <c r="P82" s="5">
        <v>15</v>
      </c>
      <c r="Q82" s="5">
        <v>0</v>
      </c>
      <c r="R82" s="5">
        <v>0</v>
      </c>
      <c r="S82">
        <f t="shared" si="2"/>
        <v>200</v>
      </c>
      <c r="T82" s="9">
        <v>81</v>
      </c>
    </row>
    <row r="83" spans="1:20" ht="30" customHeight="1" x14ac:dyDescent="0.2">
      <c r="A83">
        <v>3</v>
      </c>
      <c r="B83" t="s">
        <v>19</v>
      </c>
      <c r="C83" s="10">
        <v>50123</v>
      </c>
      <c r="D83" s="6" t="s">
        <v>45</v>
      </c>
      <c r="E83" s="7" t="s">
        <v>168</v>
      </c>
      <c r="F83" s="10">
        <v>1</v>
      </c>
      <c r="G83" s="10">
        <v>0.45</v>
      </c>
      <c r="H83" s="11">
        <v>61</v>
      </c>
      <c r="I83" s="5">
        <v>0</v>
      </c>
      <c r="J83" s="5">
        <v>5</v>
      </c>
      <c r="K83" s="5">
        <v>30</v>
      </c>
      <c r="L83" s="5">
        <v>40</v>
      </c>
      <c r="M83" s="5">
        <v>40</v>
      </c>
      <c r="N83" s="5">
        <v>40</v>
      </c>
      <c r="O83" s="5">
        <v>30</v>
      </c>
      <c r="P83" s="5">
        <v>15</v>
      </c>
      <c r="Q83" s="5">
        <v>0</v>
      </c>
      <c r="R83" s="5">
        <v>0</v>
      </c>
      <c r="S83">
        <f t="shared" si="2"/>
        <v>200</v>
      </c>
      <c r="T83" s="5">
        <v>82</v>
      </c>
    </row>
    <row r="84" spans="1:20" ht="30" customHeight="1" x14ac:dyDescent="0.2">
      <c r="A84">
        <v>3</v>
      </c>
      <c r="B84" t="s">
        <v>19</v>
      </c>
      <c r="C84" s="10">
        <v>30002</v>
      </c>
      <c r="D84" s="6" t="s">
        <v>46</v>
      </c>
      <c r="E84" s="7" t="s">
        <v>159</v>
      </c>
      <c r="F84" s="10">
        <v>1</v>
      </c>
      <c r="G84" s="10">
        <f>(1/3)*0.8375</f>
        <v>0.27916666666666667</v>
      </c>
      <c r="H84" s="11" t="s">
        <v>103</v>
      </c>
      <c r="I84" s="5">
        <v>0</v>
      </c>
      <c r="J84" s="5">
        <v>20</v>
      </c>
      <c r="K84" s="5">
        <v>65</v>
      </c>
      <c r="L84" s="5">
        <v>110</v>
      </c>
      <c r="M84" s="5">
        <v>135</v>
      </c>
      <c r="N84" s="5">
        <v>180</v>
      </c>
      <c r="O84" s="5">
        <v>230</v>
      </c>
      <c r="P84" s="5">
        <v>180</v>
      </c>
      <c r="Q84" s="5">
        <v>60</v>
      </c>
      <c r="R84" s="5">
        <v>10</v>
      </c>
      <c r="S84">
        <f t="shared" si="2"/>
        <v>990</v>
      </c>
      <c r="T84" s="9">
        <v>83</v>
      </c>
    </row>
    <row r="85" spans="1:20" ht="30" customHeight="1" x14ac:dyDescent="0.2">
      <c r="A85">
        <v>3</v>
      </c>
      <c r="B85" t="s">
        <v>19</v>
      </c>
      <c r="C85" s="10">
        <v>30002</v>
      </c>
      <c r="D85" s="6" t="s">
        <v>46</v>
      </c>
      <c r="E85" s="7" t="s">
        <v>159</v>
      </c>
      <c r="F85" s="10">
        <v>1</v>
      </c>
      <c r="G85" s="10">
        <f>(1/3)*0.8375</f>
        <v>0.27916666666666667</v>
      </c>
      <c r="H85" s="11">
        <v>23</v>
      </c>
      <c r="I85" s="5">
        <v>0</v>
      </c>
      <c r="J85" s="5">
        <v>20</v>
      </c>
      <c r="K85" s="5">
        <v>65</v>
      </c>
      <c r="L85" s="5">
        <v>110</v>
      </c>
      <c r="M85" s="5">
        <v>135</v>
      </c>
      <c r="N85" s="5">
        <v>180</v>
      </c>
      <c r="O85" s="5">
        <v>230</v>
      </c>
      <c r="P85" s="5">
        <v>180</v>
      </c>
      <c r="Q85" s="5">
        <v>60</v>
      </c>
      <c r="R85" s="5">
        <v>10</v>
      </c>
      <c r="S85">
        <f t="shared" si="2"/>
        <v>990</v>
      </c>
      <c r="T85" s="5">
        <v>84</v>
      </c>
    </row>
    <row r="86" spans="1:20" ht="30" customHeight="1" x14ac:dyDescent="0.2">
      <c r="A86">
        <v>3</v>
      </c>
      <c r="B86" t="s">
        <v>19</v>
      </c>
      <c r="C86" s="10">
        <v>30002</v>
      </c>
      <c r="D86" s="6" t="s">
        <v>46</v>
      </c>
      <c r="E86" s="7" t="s">
        <v>159</v>
      </c>
      <c r="F86" s="10">
        <v>1</v>
      </c>
      <c r="G86" s="10">
        <f>(1/3)*0.8375</f>
        <v>0.27916666666666667</v>
      </c>
      <c r="H86" s="11">
        <v>81</v>
      </c>
      <c r="I86" s="5">
        <v>0</v>
      </c>
      <c r="J86" s="5">
        <v>20</v>
      </c>
      <c r="K86" s="5">
        <v>65</v>
      </c>
      <c r="L86" s="5">
        <v>110</v>
      </c>
      <c r="M86" s="5">
        <v>135</v>
      </c>
      <c r="N86" s="5">
        <v>180</v>
      </c>
      <c r="O86" s="5">
        <v>230</v>
      </c>
      <c r="P86" s="5">
        <v>180</v>
      </c>
      <c r="Q86" s="5">
        <v>60</v>
      </c>
      <c r="R86" s="5">
        <v>10</v>
      </c>
      <c r="S86">
        <f t="shared" si="2"/>
        <v>990</v>
      </c>
      <c r="T86" s="9">
        <v>85</v>
      </c>
    </row>
    <row r="87" spans="1:20" ht="30" customHeight="1" x14ac:dyDescent="0.2">
      <c r="A87">
        <v>3</v>
      </c>
      <c r="B87" t="s">
        <v>19</v>
      </c>
      <c r="C87" s="10">
        <v>30002</v>
      </c>
      <c r="D87" s="6" t="s">
        <v>46</v>
      </c>
      <c r="E87" s="7" t="s">
        <v>159</v>
      </c>
      <c r="F87" s="10">
        <v>1</v>
      </c>
      <c r="G87" s="10">
        <f>(1/3)*0.06</f>
        <v>1.9999999999999997E-2</v>
      </c>
      <c r="H87" s="11">
        <v>5415</v>
      </c>
      <c r="I87" s="5">
        <v>0</v>
      </c>
      <c r="J87" s="5">
        <v>20</v>
      </c>
      <c r="K87" s="5">
        <v>65</v>
      </c>
      <c r="L87" s="5">
        <v>110</v>
      </c>
      <c r="M87" s="5">
        <v>135</v>
      </c>
      <c r="N87" s="5">
        <v>180</v>
      </c>
      <c r="O87" s="5">
        <v>230</v>
      </c>
      <c r="P87" s="5">
        <v>180</v>
      </c>
      <c r="Q87" s="5">
        <v>60</v>
      </c>
      <c r="R87" s="5">
        <v>10</v>
      </c>
      <c r="S87">
        <f t="shared" si="2"/>
        <v>990</v>
      </c>
      <c r="T87" s="5">
        <v>86</v>
      </c>
    </row>
    <row r="88" spans="1:20" ht="30" customHeight="1" x14ac:dyDescent="0.2">
      <c r="A88">
        <v>3</v>
      </c>
      <c r="B88" t="s">
        <v>19</v>
      </c>
      <c r="C88" s="10">
        <v>30002</v>
      </c>
      <c r="D88" s="6" t="s">
        <v>46</v>
      </c>
      <c r="E88" s="7" t="s">
        <v>159</v>
      </c>
      <c r="F88" s="10">
        <v>1</v>
      </c>
      <c r="G88" s="10">
        <f>(1/3)*0.06</f>
        <v>1.9999999999999997E-2</v>
      </c>
      <c r="H88" s="11" t="s">
        <v>86</v>
      </c>
      <c r="I88" s="5">
        <v>0</v>
      </c>
      <c r="J88" s="5">
        <v>20</v>
      </c>
      <c r="K88" s="5">
        <v>65</v>
      </c>
      <c r="L88" s="5">
        <v>110</v>
      </c>
      <c r="M88" s="5">
        <v>135</v>
      </c>
      <c r="N88" s="5">
        <v>180</v>
      </c>
      <c r="O88" s="5">
        <v>230</v>
      </c>
      <c r="P88" s="5">
        <v>180</v>
      </c>
      <c r="Q88" s="5">
        <v>60</v>
      </c>
      <c r="R88" s="5">
        <v>10</v>
      </c>
      <c r="S88">
        <f t="shared" si="2"/>
        <v>990</v>
      </c>
      <c r="T88" s="9">
        <v>87</v>
      </c>
    </row>
    <row r="89" spans="1:20" ht="30" customHeight="1" x14ac:dyDescent="0.2">
      <c r="A89">
        <v>3</v>
      </c>
      <c r="B89" t="s">
        <v>19</v>
      </c>
      <c r="C89" s="10">
        <v>30002</v>
      </c>
      <c r="D89" s="6" t="s">
        <v>46</v>
      </c>
      <c r="E89" s="7" t="s">
        <v>159</v>
      </c>
      <c r="F89" s="10">
        <v>1</v>
      </c>
      <c r="G89" s="10">
        <f>(1/3)*0.06</f>
        <v>1.9999999999999997E-2</v>
      </c>
      <c r="H89" s="11" t="s">
        <v>85</v>
      </c>
      <c r="I89" s="5">
        <v>0</v>
      </c>
      <c r="J89" s="5">
        <v>20</v>
      </c>
      <c r="K89" s="5">
        <v>65</v>
      </c>
      <c r="L89" s="5">
        <v>110</v>
      </c>
      <c r="M89" s="5">
        <v>135</v>
      </c>
      <c r="N89" s="5">
        <v>180</v>
      </c>
      <c r="O89" s="5">
        <v>230</v>
      </c>
      <c r="P89" s="5">
        <v>180</v>
      </c>
      <c r="Q89" s="5">
        <v>60</v>
      </c>
      <c r="R89" s="5">
        <v>10</v>
      </c>
      <c r="S89">
        <f t="shared" si="2"/>
        <v>990</v>
      </c>
      <c r="T89" s="5">
        <v>88</v>
      </c>
    </row>
    <row r="90" spans="1:20" ht="30" customHeight="1" x14ac:dyDescent="0.2">
      <c r="A90">
        <v>3</v>
      </c>
      <c r="B90" t="s">
        <v>19</v>
      </c>
      <c r="C90" s="10">
        <v>30002</v>
      </c>
      <c r="D90" s="6" t="s">
        <v>46</v>
      </c>
      <c r="E90" s="7" t="s">
        <v>159</v>
      </c>
      <c r="F90" s="10">
        <v>1</v>
      </c>
      <c r="G90" s="10">
        <v>0.06</v>
      </c>
      <c r="H90" s="11" t="s">
        <v>85</v>
      </c>
      <c r="I90" s="5">
        <v>0</v>
      </c>
      <c r="J90" s="5">
        <v>20</v>
      </c>
      <c r="K90" s="5">
        <v>65</v>
      </c>
      <c r="L90" s="5">
        <v>110</v>
      </c>
      <c r="M90" s="5">
        <v>135</v>
      </c>
      <c r="N90" s="5">
        <v>180</v>
      </c>
      <c r="O90" s="5">
        <v>230</v>
      </c>
      <c r="P90" s="5">
        <v>180</v>
      </c>
      <c r="Q90" s="5">
        <v>60</v>
      </c>
      <c r="R90" s="5">
        <v>10</v>
      </c>
      <c r="S90">
        <f t="shared" si="2"/>
        <v>990</v>
      </c>
      <c r="T90" s="9">
        <v>89</v>
      </c>
    </row>
    <row r="91" spans="1:20" ht="30" customHeight="1" x14ac:dyDescent="0.2">
      <c r="A91">
        <v>3</v>
      </c>
      <c r="B91" t="s">
        <v>19</v>
      </c>
      <c r="C91" s="10">
        <v>30002</v>
      </c>
      <c r="D91" s="6" t="s">
        <v>46</v>
      </c>
      <c r="E91" s="7" t="s">
        <v>159</v>
      </c>
      <c r="F91" s="10">
        <v>1</v>
      </c>
      <c r="G91" s="10">
        <f>(1/3)*0.0425</f>
        <v>1.4166666666666668E-2</v>
      </c>
      <c r="H91" s="11" t="s">
        <v>86</v>
      </c>
      <c r="I91" s="5">
        <v>0</v>
      </c>
      <c r="J91" s="5">
        <v>20</v>
      </c>
      <c r="K91" s="5">
        <v>65</v>
      </c>
      <c r="L91" s="5">
        <v>110</v>
      </c>
      <c r="M91" s="5">
        <v>135</v>
      </c>
      <c r="N91" s="5">
        <v>180</v>
      </c>
      <c r="O91" s="5">
        <v>230</v>
      </c>
      <c r="P91" s="5">
        <v>180</v>
      </c>
      <c r="Q91" s="5">
        <v>60</v>
      </c>
      <c r="R91" s="5">
        <v>10</v>
      </c>
      <c r="S91">
        <f t="shared" si="2"/>
        <v>990</v>
      </c>
      <c r="T91" s="5">
        <v>90</v>
      </c>
    </row>
    <row r="92" spans="1:20" ht="30" customHeight="1" x14ac:dyDescent="0.2">
      <c r="A92">
        <v>3</v>
      </c>
      <c r="B92" t="s">
        <v>19</v>
      </c>
      <c r="C92" s="10">
        <v>30002</v>
      </c>
      <c r="D92" s="6" t="s">
        <v>46</v>
      </c>
      <c r="E92" s="7" t="s">
        <v>159</v>
      </c>
      <c r="F92" s="10">
        <v>1</v>
      </c>
      <c r="G92" s="10">
        <f>(1/3)*0.0425</f>
        <v>1.4166666666666668E-2</v>
      </c>
      <c r="H92" s="11">
        <v>514</v>
      </c>
      <c r="I92" s="5">
        <v>0</v>
      </c>
      <c r="J92" s="5">
        <v>20</v>
      </c>
      <c r="K92" s="5">
        <v>65</v>
      </c>
      <c r="L92" s="5">
        <v>110</v>
      </c>
      <c r="M92" s="5">
        <v>135</v>
      </c>
      <c r="N92" s="5">
        <v>180</v>
      </c>
      <c r="O92" s="5">
        <v>230</v>
      </c>
      <c r="P92" s="5">
        <v>180</v>
      </c>
      <c r="Q92" s="5">
        <v>60</v>
      </c>
      <c r="R92" s="5">
        <v>10</v>
      </c>
      <c r="S92">
        <f t="shared" si="2"/>
        <v>990</v>
      </c>
      <c r="T92" s="9">
        <v>91</v>
      </c>
    </row>
    <row r="93" spans="1:20" ht="30" customHeight="1" x14ac:dyDescent="0.2">
      <c r="A93">
        <v>3</v>
      </c>
      <c r="B93" t="s">
        <v>19</v>
      </c>
      <c r="C93" s="10">
        <v>30002</v>
      </c>
      <c r="D93" s="6" t="s">
        <v>46</v>
      </c>
      <c r="E93" s="7" t="s">
        <v>159</v>
      </c>
      <c r="F93" s="10">
        <v>1</v>
      </c>
      <c r="G93" s="10">
        <f>(1/3)*0.0425</f>
        <v>1.4166666666666668E-2</v>
      </c>
      <c r="H93" s="11">
        <v>5415</v>
      </c>
      <c r="I93" s="5">
        <v>0</v>
      </c>
      <c r="J93" s="5">
        <v>20</v>
      </c>
      <c r="K93" s="5">
        <v>65</v>
      </c>
      <c r="L93" s="5">
        <v>110</v>
      </c>
      <c r="M93" s="5">
        <v>135</v>
      </c>
      <c r="N93" s="5">
        <v>180</v>
      </c>
      <c r="O93" s="5">
        <v>230</v>
      </c>
      <c r="P93" s="5">
        <v>180</v>
      </c>
      <c r="Q93" s="5">
        <v>60</v>
      </c>
      <c r="R93" s="5">
        <v>10</v>
      </c>
      <c r="S93">
        <f t="shared" si="2"/>
        <v>990</v>
      </c>
      <c r="T93" s="5">
        <v>92</v>
      </c>
    </row>
    <row r="94" spans="1:20" ht="30" customHeight="1" x14ac:dyDescent="0.2">
      <c r="A94">
        <v>3</v>
      </c>
      <c r="B94" t="s">
        <v>19</v>
      </c>
      <c r="C94" s="10">
        <v>50131</v>
      </c>
      <c r="D94" s="6" t="s">
        <v>47</v>
      </c>
      <c r="E94" s="7" t="s">
        <v>158</v>
      </c>
      <c r="F94" s="10">
        <v>1</v>
      </c>
      <c r="G94" s="10">
        <f>0.95*0.5</f>
        <v>0.47499999999999998</v>
      </c>
      <c r="H94" s="11" t="s">
        <v>132</v>
      </c>
      <c r="I94" s="5">
        <v>0</v>
      </c>
      <c r="J94" s="5">
        <v>5</v>
      </c>
      <c r="K94" s="5">
        <v>20</v>
      </c>
      <c r="L94" s="5">
        <v>65</v>
      </c>
      <c r="M94" s="5">
        <v>105</v>
      </c>
      <c r="N94" s="5">
        <v>140</v>
      </c>
      <c r="O94" s="5">
        <v>175</v>
      </c>
      <c r="P94" s="5">
        <v>210</v>
      </c>
      <c r="Q94" s="5">
        <v>150</v>
      </c>
      <c r="R94" s="5">
        <v>35</v>
      </c>
      <c r="S94">
        <f t="shared" si="2"/>
        <v>905</v>
      </c>
      <c r="T94" s="9">
        <v>93</v>
      </c>
    </row>
    <row r="95" spans="1:20" ht="30" customHeight="1" x14ac:dyDescent="0.2">
      <c r="A95">
        <v>3</v>
      </c>
      <c r="B95" t="s">
        <v>19</v>
      </c>
      <c r="C95" s="10">
        <v>50131</v>
      </c>
      <c r="D95" s="6" t="s">
        <v>47</v>
      </c>
      <c r="E95" s="7" t="s">
        <v>158</v>
      </c>
      <c r="F95" s="10">
        <v>1</v>
      </c>
      <c r="G95" s="10">
        <f>0.95*0.25</f>
        <v>0.23749999999999999</v>
      </c>
      <c r="H95" s="11">
        <v>514</v>
      </c>
      <c r="I95" s="5">
        <v>0</v>
      </c>
      <c r="J95" s="5">
        <v>5</v>
      </c>
      <c r="K95" s="5">
        <v>20</v>
      </c>
      <c r="L95" s="5">
        <v>65</v>
      </c>
      <c r="M95" s="5">
        <v>105</v>
      </c>
      <c r="N95" s="5">
        <v>140</v>
      </c>
      <c r="O95" s="5">
        <v>175</v>
      </c>
      <c r="P95" s="5">
        <v>210</v>
      </c>
      <c r="Q95" s="5">
        <v>150</v>
      </c>
      <c r="R95" s="5">
        <v>35</v>
      </c>
      <c r="S95">
        <f t="shared" si="2"/>
        <v>905</v>
      </c>
      <c r="T95" s="5">
        <v>94</v>
      </c>
    </row>
    <row r="96" spans="1:20" ht="30" customHeight="1" x14ac:dyDescent="0.2">
      <c r="A96">
        <v>3</v>
      </c>
      <c r="B96" t="s">
        <v>19</v>
      </c>
      <c r="C96" s="10">
        <v>50131</v>
      </c>
      <c r="D96" s="6" t="s">
        <v>47</v>
      </c>
      <c r="E96" s="7" t="s">
        <v>158</v>
      </c>
      <c r="F96" s="10">
        <v>1</v>
      </c>
      <c r="G96" s="10">
        <f>0.95*0.25</f>
        <v>0.23749999999999999</v>
      </c>
      <c r="H96" s="11">
        <v>61</v>
      </c>
      <c r="I96" s="5">
        <v>0</v>
      </c>
      <c r="J96" s="5">
        <v>5</v>
      </c>
      <c r="K96" s="5">
        <v>20</v>
      </c>
      <c r="L96" s="5">
        <v>65</v>
      </c>
      <c r="M96" s="5">
        <v>105</v>
      </c>
      <c r="N96" s="5">
        <v>140</v>
      </c>
      <c r="O96" s="5">
        <v>175</v>
      </c>
      <c r="P96" s="5">
        <v>210</v>
      </c>
      <c r="Q96" s="5">
        <v>150</v>
      </c>
      <c r="R96" s="5">
        <v>35</v>
      </c>
      <c r="S96">
        <f t="shared" si="2"/>
        <v>905</v>
      </c>
      <c r="T96" s="9">
        <v>95</v>
      </c>
    </row>
    <row r="97" spans="1:20" ht="30" customHeight="1" x14ac:dyDescent="0.2">
      <c r="A97">
        <v>3</v>
      </c>
      <c r="B97" t="s">
        <v>19</v>
      </c>
      <c r="C97" s="10">
        <v>50131</v>
      </c>
      <c r="D97" s="6" t="s">
        <v>47</v>
      </c>
      <c r="E97" s="7" t="s">
        <v>158</v>
      </c>
      <c r="F97" s="10">
        <v>1</v>
      </c>
      <c r="G97" s="10">
        <v>0.05</v>
      </c>
      <c r="H97" s="11" t="s">
        <v>85</v>
      </c>
      <c r="I97" s="5">
        <v>0</v>
      </c>
      <c r="J97" s="5">
        <v>5</v>
      </c>
      <c r="K97" s="5">
        <v>20</v>
      </c>
      <c r="L97" s="5">
        <v>65</v>
      </c>
      <c r="M97" s="5">
        <v>105</v>
      </c>
      <c r="N97" s="5">
        <v>140</v>
      </c>
      <c r="O97" s="5">
        <v>175</v>
      </c>
      <c r="P97" s="5">
        <v>210</v>
      </c>
      <c r="Q97" s="5">
        <v>150</v>
      </c>
      <c r="R97" s="5">
        <v>35</v>
      </c>
      <c r="S97">
        <f t="shared" si="2"/>
        <v>905</v>
      </c>
      <c r="T97" s="5">
        <v>96</v>
      </c>
    </row>
    <row r="98" spans="1:20" ht="30" customHeight="1" x14ac:dyDescent="0.2">
      <c r="A98">
        <v>4</v>
      </c>
      <c r="B98" t="s">
        <v>20</v>
      </c>
      <c r="C98" s="10">
        <v>13501</v>
      </c>
      <c r="D98" s="6" t="s">
        <v>48</v>
      </c>
      <c r="E98" s="7" t="s">
        <v>199</v>
      </c>
      <c r="F98" s="10">
        <v>0.18</v>
      </c>
      <c r="G98" s="10">
        <v>0.626</v>
      </c>
      <c r="H98" s="11">
        <v>335</v>
      </c>
      <c r="I98" s="5">
        <v>0</v>
      </c>
      <c r="J98" s="9">
        <v>1463</v>
      </c>
      <c r="K98" s="9">
        <v>1377</v>
      </c>
      <c r="L98" s="5">
        <v>915</v>
      </c>
      <c r="M98" s="5">
        <v>926</v>
      </c>
      <c r="N98" s="5">
        <v>614</v>
      </c>
      <c r="O98" s="5">
        <v>442</v>
      </c>
      <c r="P98" s="5">
        <v>280</v>
      </c>
      <c r="Q98" s="5">
        <v>196</v>
      </c>
      <c r="R98" s="5">
        <v>42</v>
      </c>
      <c r="S98">
        <f t="shared" ref="S98:S129" si="3">SUM(I98:R98)</f>
        <v>6255</v>
      </c>
      <c r="T98" s="9">
        <v>97</v>
      </c>
    </row>
    <row r="99" spans="1:20" ht="30" customHeight="1" x14ac:dyDescent="0.2">
      <c r="A99">
        <v>4</v>
      </c>
      <c r="B99" t="s">
        <v>20</v>
      </c>
      <c r="C99" s="10">
        <v>13501</v>
      </c>
      <c r="D99" s="6" t="s">
        <v>48</v>
      </c>
      <c r="E99" s="7" t="s">
        <v>199</v>
      </c>
      <c r="F99" s="10">
        <v>0.18</v>
      </c>
      <c r="G99" s="10">
        <v>0.20499999999999999</v>
      </c>
      <c r="H99" s="11">
        <v>333</v>
      </c>
      <c r="I99" s="5">
        <v>0</v>
      </c>
      <c r="J99" s="9">
        <v>1463</v>
      </c>
      <c r="K99" s="9">
        <v>1377</v>
      </c>
      <c r="L99" s="5">
        <v>915</v>
      </c>
      <c r="M99" s="5">
        <v>926</v>
      </c>
      <c r="N99" s="5">
        <v>614</v>
      </c>
      <c r="O99" s="5">
        <v>442</v>
      </c>
      <c r="P99" s="5">
        <v>280</v>
      </c>
      <c r="Q99" s="5">
        <v>196</v>
      </c>
      <c r="R99" s="5">
        <v>42</v>
      </c>
      <c r="S99">
        <f t="shared" si="3"/>
        <v>6255</v>
      </c>
      <c r="T99" s="5">
        <v>98</v>
      </c>
    </row>
    <row r="100" spans="1:20" ht="30" customHeight="1" x14ac:dyDescent="0.2">
      <c r="A100">
        <v>4</v>
      </c>
      <c r="B100" t="s">
        <v>20</v>
      </c>
      <c r="C100" s="10">
        <v>13501</v>
      </c>
      <c r="D100" s="6" t="s">
        <v>48</v>
      </c>
      <c r="E100" s="7" t="s">
        <v>199</v>
      </c>
      <c r="F100" s="10">
        <v>0.18</v>
      </c>
      <c r="G100" s="10">
        <v>2.8000000000000001E-2</v>
      </c>
      <c r="H100" s="11" t="s">
        <v>82</v>
      </c>
      <c r="I100" s="5">
        <v>0</v>
      </c>
      <c r="J100" s="9">
        <v>1463</v>
      </c>
      <c r="K100" s="9">
        <v>1377</v>
      </c>
      <c r="L100" s="5">
        <v>915</v>
      </c>
      <c r="M100" s="5">
        <v>926</v>
      </c>
      <c r="N100" s="5">
        <v>614</v>
      </c>
      <c r="O100" s="5">
        <v>442</v>
      </c>
      <c r="P100" s="5">
        <v>280</v>
      </c>
      <c r="Q100" s="5">
        <v>196</v>
      </c>
      <c r="R100" s="5">
        <v>42</v>
      </c>
      <c r="S100">
        <f t="shared" si="3"/>
        <v>6255</v>
      </c>
      <c r="T100" s="9">
        <v>99</v>
      </c>
    </row>
    <row r="101" spans="1:20" ht="30" customHeight="1" x14ac:dyDescent="0.2">
      <c r="A101">
        <v>4</v>
      </c>
      <c r="B101" t="s">
        <v>20</v>
      </c>
      <c r="C101" s="10">
        <v>13501</v>
      </c>
      <c r="D101" s="6" t="s">
        <v>48</v>
      </c>
      <c r="E101" s="7" t="s">
        <v>199</v>
      </c>
      <c r="F101" s="10">
        <v>0.18</v>
      </c>
      <c r="G101" s="10">
        <v>0.1</v>
      </c>
      <c r="H101" s="11" t="s">
        <v>83</v>
      </c>
      <c r="I101" s="5">
        <v>0</v>
      </c>
      <c r="J101" s="9">
        <v>1463</v>
      </c>
      <c r="K101" s="9">
        <v>1377</v>
      </c>
      <c r="L101" s="5">
        <v>915</v>
      </c>
      <c r="M101" s="5">
        <v>926</v>
      </c>
      <c r="N101" s="5">
        <v>614</v>
      </c>
      <c r="O101" s="5">
        <v>442</v>
      </c>
      <c r="P101" s="5">
        <v>280</v>
      </c>
      <c r="Q101" s="5">
        <v>196</v>
      </c>
      <c r="R101" s="5">
        <v>42</v>
      </c>
      <c r="S101">
        <f t="shared" si="3"/>
        <v>6255</v>
      </c>
      <c r="T101" s="5">
        <v>100</v>
      </c>
    </row>
    <row r="102" spans="1:20" ht="30" customHeight="1" x14ac:dyDescent="0.2">
      <c r="A102">
        <v>4</v>
      </c>
      <c r="B102" t="s">
        <v>20</v>
      </c>
      <c r="C102" s="10">
        <v>13501</v>
      </c>
      <c r="D102" s="6" t="s">
        <v>48</v>
      </c>
      <c r="E102" s="7" t="s">
        <v>199</v>
      </c>
      <c r="F102" s="10">
        <v>0.18</v>
      </c>
      <c r="G102" s="10">
        <v>1.7999999999999999E-2</v>
      </c>
      <c r="H102" s="11">
        <v>325</v>
      </c>
      <c r="I102" s="5">
        <v>0</v>
      </c>
      <c r="J102" s="9">
        <v>1463</v>
      </c>
      <c r="K102" s="9">
        <v>1377</v>
      </c>
      <c r="L102" s="5">
        <v>915</v>
      </c>
      <c r="M102" s="5">
        <v>926</v>
      </c>
      <c r="N102" s="5">
        <v>614</v>
      </c>
      <c r="O102" s="5">
        <v>442</v>
      </c>
      <c r="P102" s="5">
        <v>280</v>
      </c>
      <c r="Q102" s="5">
        <v>196</v>
      </c>
      <c r="R102" s="5">
        <v>42</v>
      </c>
      <c r="S102">
        <f t="shared" si="3"/>
        <v>6255</v>
      </c>
      <c r="T102" s="9">
        <v>101</v>
      </c>
    </row>
    <row r="103" spans="1:20" ht="30" customHeight="1" x14ac:dyDescent="0.2">
      <c r="A103">
        <v>4</v>
      </c>
      <c r="B103" t="s">
        <v>20</v>
      </c>
      <c r="C103" s="10">
        <v>13501</v>
      </c>
      <c r="D103" s="6" t="s">
        <v>48</v>
      </c>
      <c r="E103" s="7" t="s">
        <v>199</v>
      </c>
      <c r="F103" s="10">
        <v>0.18</v>
      </c>
      <c r="G103" s="10">
        <v>2.1000000000000001E-2</v>
      </c>
      <c r="H103" s="11">
        <v>22</v>
      </c>
      <c r="I103" s="5">
        <v>0</v>
      </c>
      <c r="J103" s="9">
        <v>1463</v>
      </c>
      <c r="K103" s="9">
        <v>1377</v>
      </c>
      <c r="L103" s="5">
        <v>915</v>
      </c>
      <c r="M103" s="5">
        <v>926</v>
      </c>
      <c r="N103" s="5">
        <v>614</v>
      </c>
      <c r="O103" s="5">
        <v>442</v>
      </c>
      <c r="P103" s="5">
        <v>280</v>
      </c>
      <c r="Q103" s="5">
        <v>196</v>
      </c>
      <c r="R103" s="5">
        <v>42</v>
      </c>
      <c r="S103">
        <f t="shared" si="3"/>
        <v>6255</v>
      </c>
      <c r="T103" s="5">
        <v>102</v>
      </c>
    </row>
    <row r="104" spans="1:20" ht="30" customHeight="1" x14ac:dyDescent="0.2">
      <c r="A104">
        <v>4</v>
      </c>
      <c r="B104" t="s">
        <v>20</v>
      </c>
      <c r="C104" s="10">
        <v>13501</v>
      </c>
      <c r="D104" s="6" t="s">
        <v>48</v>
      </c>
      <c r="E104" s="7" t="s">
        <v>199</v>
      </c>
      <c r="F104" s="10">
        <v>0.18</v>
      </c>
      <c r="G104" s="10">
        <v>3.0000000000000001E-3</v>
      </c>
      <c r="H104" s="11">
        <v>486</v>
      </c>
      <c r="I104" s="5">
        <v>0</v>
      </c>
      <c r="J104" s="9">
        <v>1463</v>
      </c>
      <c r="K104" s="9">
        <v>1377</v>
      </c>
      <c r="L104" s="5">
        <v>915</v>
      </c>
      <c r="M104" s="5">
        <v>926</v>
      </c>
      <c r="N104" s="5">
        <v>614</v>
      </c>
      <c r="O104" s="5">
        <v>442</v>
      </c>
      <c r="P104" s="5">
        <v>280</v>
      </c>
      <c r="Q104" s="5">
        <v>196</v>
      </c>
      <c r="R104" s="5">
        <v>42</v>
      </c>
      <c r="S104">
        <f t="shared" si="3"/>
        <v>6255</v>
      </c>
      <c r="T104" s="9">
        <v>103</v>
      </c>
    </row>
    <row r="105" spans="1:20" ht="30" customHeight="1" x14ac:dyDescent="0.2">
      <c r="A105">
        <v>4</v>
      </c>
      <c r="B105" t="s">
        <v>20</v>
      </c>
      <c r="C105" s="10">
        <v>13502.1</v>
      </c>
      <c r="D105" s="6" t="s">
        <v>49</v>
      </c>
      <c r="E105" s="7" t="s">
        <v>203</v>
      </c>
      <c r="F105" s="10">
        <v>0.18</v>
      </c>
      <c r="G105" s="10">
        <v>1</v>
      </c>
      <c r="H105" s="11" t="s">
        <v>103</v>
      </c>
      <c r="I105" s="5">
        <v>0</v>
      </c>
      <c r="J105" s="9">
        <v>1754</v>
      </c>
      <c r="K105" s="9">
        <v>2502</v>
      </c>
      <c r="L105" s="9">
        <v>2690</v>
      </c>
      <c r="M105" s="9">
        <v>3164</v>
      </c>
      <c r="N105" s="9">
        <v>3562</v>
      </c>
      <c r="O105" s="9">
        <v>3937</v>
      </c>
      <c r="P105" s="9">
        <v>0</v>
      </c>
      <c r="Q105" s="9">
        <v>0</v>
      </c>
      <c r="R105" s="9">
        <v>0</v>
      </c>
      <c r="S105">
        <f t="shared" si="3"/>
        <v>17609</v>
      </c>
      <c r="T105" s="5">
        <v>104</v>
      </c>
    </row>
    <row r="106" spans="1:20" ht="30" customHeight="1" x14ac:dyDescent="0.2">
      <c r="A106">
        <v>4</v>
      </c>
      <c r="B106" t="s">
        <v>20</v>
      </c>
      <c r="C106" s="10">
        <v>13502.2</v>
      </c>
      <c r="D106" s="6" t="s">
        <v>49</v>
      </c>
      <c r="E106" s="7" t="s">
        <v>204</v>
      </c>
      <c r="F106" s="10">
        <f>0.75*0.18</f>
        <v>0.13500000000000001</v>
      </c>
      <c r="G106" s="10">
        <v>1</v>
      </c>
      <c r="H106" s="11" t="s">
        <v>103</v>
      </c>
      <c r="I106" s="5">
        <v>0</v>
      </c>
      <c r="J106" s="9">
        <v>0</v>
      </c>
      <c r="K106" s="9">
        <v>0</v>
      </c>
      <c r="L106" s="9">
        <v>0</v>
      </c>
      <c r="M106" s="9">
        <v>0</v>
      </c>
      <c r="N106" s="9">
        <v>0</v>
      </c>
      <c r="O106" s="9">
        <v>0</v>
      </c>
      <c r="P106" s="9">
        <v>4533</v>
      </c>
      <c r="Q106" s="9">
        <v>0</v>
      </c>
      <c r="R106" s="9">
        <v>0</v>
      </c>
      <c r="S106">
        <f t="shared" si="3"/>
        <v>4533</v>
      </c>
      <c r="T106" s="9">
        <v>105</v>
      </c>
    </row>
    <row r="107" spans="1:20" ht="30" customHeight="1" x14ac:dyDescent="0.2">
      <c r="A107">
        <v>4</v>
      </c>
      <c r="B107" t="s">
        <v>20</v>
      </c>
      <c r="C107" s="10">
        <v>13502.3</v>
      </c>
      <c r="D107" s="6" t="s">
        <v>49</v>
      </c>
      <c r="E107" s="7" t="s">
        <v>205</v>
      </c>
      <c r="F107" s="10">
        <f>0.5*0.18</f>
        <v>0.09</v>
      </c>
      <c r="G107" s="10">
        <v>1</v>
      </c>
      <c r="H107" s="11" t="s">
        <v>103</v>
      </c>
      <c r="I107" s="5">
        <v>0</v>
      </c>
      <c r="J107" s="9">
        <v>0</v>
      </c>
      <c r="K107" s="9">
        <v>0</v>
      </c>
      <c r="L107" s="9">
        <v>0</v>
      </c>
      <c r="M107" s="9">
        <v>0</v>
      </c>
      <c r="N107" s="9">
        <v>0</v>
      </c>
      <c r="O107" s="9">
        <v>0</v>
      </c>
      <c r="P107" s="9">
        <v>0</v>
      </c>
      <c r="Q107" s="9">
        <v>4561</v>
      </c>
      <c r="R107" s="9">
        <v>0</v>
      </c>
      <c r="S107">
        <f t="shared" si="3"/>
        <v>4561</v>
      </c>
      <c r="T107" s="5">
        <v>106</v>
      </c>
    </row>
    <row r="108" spans="1:20" ht="30" customHeight="1" x14ac:dyDescent="0.2">
      <c r="A108">
        <v>4</v>
      </c>
      <c r="B108" t="s">
        <v>20</v>
      </c>
      <c r="C108" s="10">
        <v>13502.4</v>
      </c>
      <c r="D108" s="6" t="s">
        <v>49</v>
      </c>
      <c r="E108" s="7" t="s">
        <v>206</v>
      </c>
      <c r="F108" s="10">
        <f>0.25*0.18</f>
        <v>4.4999999999999998E-2</v>
      </c>
      <c r="G108" s="10">
        <v>1</v>
      </c>
      <c r="H108" s="11" t="s">
        <v>103</v>
      </c>
      <c r="I108" s="5">
        <v>0</v>
      </c>
      <c r="J108" s="9">
        <v>0</v>
      </c>
      <c r="K108" s="9">
        <v>0</v>
      </c>
      <c r="L108" s="9">
        <v>0</v>
      </c>
      <c r="M108" s="9">
        <v>0</v>
      </c>
      <c r="N108" s="9">
        <v>0</v>
      </c>
      <c r="O108" s="9">
        <v>0</v>
      </c>
      <c r="P108" s="9">
        <v>0</v>
      </c>
      <c r="Q108" s="9">
        <v>0</v>
      </c>
      <c r="R108" s="9">
        <v>3920</v>
      </c>
      <c r="S108">
        <f t="shared" si="3"/>
        <v>3920</v>
      </c>
      <c r="T108" s="9">
        <v>107</v>
      </c>
    </row>
    <row r="109" spans="1:20" ht="30" customHeight="1" x14ac:dyDescent="0.2">
      <c r="A109">
        <v>4</v>
      </c>
      <c r="B109" t="s">
        <v>20</v>
      </c>
      <c r="C109" s="10">
        <v>13204.1</v>
      </c>
      <c r="D109" s="6" t="s">
        <v>50</v>
      </c>
      <c r="E109" s="7" t="s">
        <v>155</v>
      </c>
      <c r="F109" s="10">
        <v>0.36</v>
      </c>
      <c r="G109" s="10">
        <v>1</v>
      </c>
      <c r="H109" s="11" t="s">
        <v>103</v>
      </c>
      <c r="I109" s="5">
        <v>0</v>
      </c>
      <c r="J109" s="5">
        <v>59</v>
      </c>
      <c r="K109" s="5">
        <v>149</v>
      </c>
      <c r="L109" s="5">
        <v>244</v>
      </c>
      <c r="M109" s="5">
        <v>364</v>
      </c>
      <c r="N109" s="5">
        <v>498</v>
      </c>
      <c r="O109" s="5">
        <v>657</v>
      </c>
      <c r="P109" s="5">
        <v>851</v>
      </c>
      <c r="Q109" s="9">
        <v>1086</v>
      </c>
      <c r="R109" s="9">
        <v>1410</v>
      </c>
      <c r="S109">
        <f t="shared" si="3"/>
        <v>5318</v>
      </c>
      <c r="T109" s="5">
        <v>108</v>
      </c>
    </row>
    <row r="110" spans="1:20" ht="30" customHeight="1" x14ac:dyDescent="0.2">
      <c r="A110">
        <v>4</v>
      </c>
      <c r="B110" t="s">
        <v>20</v>
      </c>
      <c r="C110" s="10">
        <v>13204.2</v>
      </c>
      <c r="D110" s="6" t="s">
        <v>50</v>
      </c>
      <c r="E110" s="7" t="s">
        <v>155</v>
      </c>
      <c r="F110" s="10">
        <v>0.36</v>
      </c>
      <c r="G110" s="10">
        <v>1</v>
      </c>
      <c r="H110" s="11" t="s">
        <v>103</v>
      </c>
      <c r="I110" s="5">
        <v>0</v>
      </c>
      <c r="J110" s="5">
        <v>-3</v>
      </c>
      <c r="K110" s="5">
        <v>-8</v>
      </c>
      <c r="L110" s="5">
        <v>-14</v>
      </c>
      <c r="M110" s="5">
        <v>-21</v>
      </c>
      <c r="N110" s="5">
        <v>-28</v>
      </c>
      <c r="O110" s="5">
        <v>-37</v>
      </c>
      <c r="P110" s="5">
        <v>-49</v>
      </c>
      <c r="Q110" s="5">
        <v>-62</v>
      </c>
      <c r="R110" s="5">
        <v>-80</v>
      </c>
      <c r="S110">
        <f t="shared" si="3"/>
        <v>-302</v>
      </c>
      <c r="T110" s="9">
        <v>109</v>
      </c>
    </row>
    <row r="111" spans="1:20" ht="30" customHeight="1" x14ac:dyDescent="0.2">
      <c r="A111">
        <v>4</v>
      </c>
      <c r="B111" t="s">
        <v>20</v>
      </c>
      <c r="C111" s="10">
        <v>13204.3</v>
      </c>
      <c r="D111" s="6" t="s">
        <v>50</v>
      </c>
      <c r="E111" s="7" t="s">
        <v>155</v>
      </c>
      <c r="F111" s="10">
        <v>0.36</v>
      </c>
      <c r="G111" s="10">
        <v>1</v>
      </c>
      <c r="H111" s="11" t="s">
        <v>103</v>
      </c>
      <c r="I111" s="5">
        <v>0</v>
      </c>
      <c r="J111" s="5">
        <v>72</v>
      </c>
      <c r="K111" s="5">
        <v>213</v>
      </c>
      <c r="L111" s="5">
        <v>366</v>
      </c>
      <c r="M111" s="5">
        <v>554</v>
      </c>
      <c r="N111" s="5">
        <v>753</v>
      </c>
      <c r="O111" s="5">
        <v>970</v>
      </c>
      <c r="P111" s="9">
        <v>1231</v>
      </c>
      <c r="Q111" s="9">
        <v>1581</v>
      </c>
      <c r="R111" s="9">
        <v>2108</v>
      </c>
      <c r="S111">
        <f t="shared" si="3"/>
        <v>7848</v>
      </c>
      <c r="T111" s="5">
        <v>110</v>
      </c>
    </row>
    <row r="112" spans="1:20" ht="30" customHeight="1" x14ac:dyDescent="0.2">
      <c r="A112">
        <v>4</v>
      </c>
      <c r="B112" t="s">
        <v>20</v>
      </c>
      <c r="C112" s="10">
        <v>50161</v>
      </c>
      <c r="D112" s="6" t="s">
        <v>51</v>
      </c>
      <c r="E112" s="7" t="s">
        <v>109</v>
      </c>
      <c r="F112" s="10">
        <v>0.5</v>
      </c>
      <c r="G112" s="10">
        <f>(1/6)*(5.812/6.112)</f>
        <v>0.15848603839441536</v>
      </c>
      <c r="H112" s="11">
        <v>334</v>
      </c>
      <c r="I112" s="5">
        <v>0</v>
      </c>
      <c r="J112" s="5">
        <v>20</v>
      </c>
      <c r="K112" s="5">
        <v>100</v>
      </c>
      <c r="L112" s="5">
        <v>460</v>
      </c>
      <c r="M112" s="9">
        <v>1070</v>
      </c>
      <c r="N112" s="9">
        <v>1430</v>
      </c>
      <c r="O112" s="9">
        <v>1110</v>
      </c>
      <c r="P112" s="5">
        <v>660</v>
      </c>
      <c r="Q112" s="5">
        <v>300</v>
      </c>
      <c r="R112" s="5">
        <v>100</v>
      </c>
      <c r="S112">
        <f t="shared" si="3"/>
        <v>5250</v>
      </c>
      <c r="T112" s="9">
        <v>111</v>
      </c>
    </row>
    <row r="113" spans="1:20" ht="30" customHeight="1" x14ac:dyDescent="0.2">
      <c r="A113">
        <v>4</v>
      </c>
      <c r="B113" t="s">
        <v>20</v>
      </c>
      <c r="C113" s="10">
        <v>50161</v>
      </c>
      <c r="D113" s="6" t="s">
        <v>51</v>
      </c>
      <c r="E113" s="7" t="s">
        <v>109</v>
      </c>
      <c r="F113" s="10">
        <v>0.5</v>
      </c>
      <c r="G113" s="10">
        <f>(1/6)*(5.812/6.112)</f>
        <v>0.15848603839441536</v>
      </c>
      <c r="H113" s="11">
        <v>335</v>
      </c>
      <c r="I113" s="5">
        <v>0</v>
      </c>
      <c r="J113" s="5">
        <v>20</v>
      </c>
      <c r="K113" s="5">
        <v>100</v>
      </c>
      <c r="L113" s="5">
        <v>460</v>
      </c>
      <c r="M113" s="9">
        <v>1070</v>
      </c>
      <c r="N113" s="9">
        <v>1430</v>
      </c>
      <c r="O113" s="9">
        <v>1110</v>
      </c>
      <c r="P113" s="5">
        <v>660</v>
      </c>
      <c r="Q113" s="5">
        <v>300</v>
      </c>
      <c r="R113" s="5">
        <v>100</v>
      </c>
      <c r="S113">
        <f t="shared" si="3"/>
        <v>5250</v>
      </c>
      <c r="T113" s="5">
        <v>112</v>
      </c>
    </row>
    <row r="114" spans="1:20" ht="30" customHeight="1" x14ac:dyDescent="0.2">
      <c r="A114">
        <v>4</v>
      </c>
      <c r="B114" t="s">
        <v>20</v>
      </c>
      <c r="C114" s="10">
        <v>50161</v>
      </c>
      <c r="D114" s="6" t="s">
        <v>51</v>
      </c>
      <c r="E114" s="7" t="s">
        <v>109</v>
      </c>
      <c r="F114" s="10">
        <v>0.5</v>
      </c>
      <c r="G114" s="10">
        <f>(1/3)*(5.812/6.112)</f>
        <v>0.31697207678883071</v>
      </c>
      <c r="H114" s="11">
        <v>23</v>
      </c>
      <c r="I114" s="5">
        <v>0</v>
      </c>
      <c r="J114" s="5">
        <v>20</v>
      </c>
      <c r="K114" s="5">
        <v>100</v>
      </c>
      <c r="L114" s="5">
        <v>460</v>
      </c>
      <c r="M114" s="9">
        <v>1070</v>
      </c>
      <c r="N114" s="9">
        <v>1430</v>
      </c>
      <c r="O114" s="9">
        <v>1110</v>
      </c>
      <c r="P114" s="5">
        <v>660</v>
      </c>
      <c r="Q114" s="5">
        <v>300</v>
      </c>
      <c r="R114" s="5">
        <v>100</v>
      </c>
      <c r="S114">
        <f t="shared" si="3"/>
        <v>5250</v>
      </c>
      <c r="T114" s="9">
        <v>113</v>
      </c>
    </row>
    <row r="115" spans="1:20" ht="30" customHeight="1" x14ac:dyDescent="0.2">
      <c r="A115">
        <v>4</v>
      </c>
      <c r="B115" t="s">
        <v>20</v>
      </c>
      <c r="C115" s="10">
        <v>50161</v>
      </c>
      <c r="D115" s="6" t="s">
        <v>51</v>
      </c>
      <c r="E115" s="7" t="s">
        <v>109</v>
      </c>
      <c r="F115" s="10">
        <v>0.5</v>
      </c>
      <c r="G115" s="10">
        <f>(1/3)*(5.812/6.112)</f>
        <v>0.31697207678883071</v>
      </c>
      <c r="H115" s="11" t="s">
        <v>86</v>
      </c>
      <c r="I115" s="5">
        <v>0</v>
      </c>
      <c r="J115" s="5">
        <v>20</v>
      </c>
      <c r="K115" s="5">
        <v>100</v>
      </c>
      <c r="L115" s="5">
        <v>460</v>
      </c>
      <c r="M115" s="9">
        <v>1070</v>
      </c>
      <c r="N115" s="9">
        <v>1430</v>
      </c>
      <c r="O115" s="9">
        <v>1110</v>
      </c>
      <c r="P115" s="5">
        <v>660</v>
      </c>
      <c r="Q115" s="5">
        <v>300</v>
      </c>
      <c r="R115" s="5">
        <v>100</v>
      </c>
      <c r="S115">
        <f t="shared" si="3"/>
        <v>5250</v>
      </c>
      <c r="T115" s="5">
        <v>114</v>
      </c>
    </row>
    <row r="116" spans="1:20" ht="30" customHeight="1" x14ac:dyDescent="0.2">
      <c r="A116">
        <v>4</v>
      </c>
      <c r="B116" t="s">
        <v>20</v>
      </c>
      <c r="C116" s="10">
        <v>50161</v>
      </c>
      <c r="D116" s="6" t="s">
        <v>51</v>
      </c>
      <c r="E116" s="7" t="s">
        <v>109</v>
      </c>
      <c r="F116" s="10">
        <v>1</v>
      </c>
      <c r="G116" s="10">
        <f>0.3/6.112</f>
        <v>4.908376963350785E-2</v>
      </c>
      <c r="H116" s="11" t="s">
        <v>85</v>
      </c>
      <c r="I116" s="5">
        <v>0</v>
      </c>
      <c r="J116" s="5">
        <v>20</v>
      </c>
      <c r="K116" s="5">
        <v>100</v>
      </c>
      <c r="L116" s="5">
        <v>460</v>
      </c>
      <c r="M116" s="9">
        <v>1070</v>
      </c>
      <c r="N116" s="9">
        <v>1430</v>
      </c>
      <c r="O116" s="9">
        <v>1110</v>
      </c>
      <c r="P116" s="5">
        <v>660</v>
      </c>
      <c r="Q116" s="5">
        <v>300</v>
      </c>
      <c r="R116" s="5">
        <v>100</v>
      </c>
      <c r="S116">
        <f t="shared" si="3"/>
        <v>5250</v>
      </c>
      <c r="T116" s="9">
        <v>115</v>
      </c>
    </row>
    <row r="117" spans="1:20" ht="30" customHeight="1" x14ac:dyDescent="0.2">
      <c r="A117">
        <v>4</v>
      </c>
      <c r="B117" t="s">
        <v>20</v>
      </c>
      <c r="C117" s="10">
        <v>30001</v>
      </c>
      <c r="D117" s="6" t="s">
        <v>52</v>
      </c>
      <c r="E117" s="7"/>
      <c r="F117" s="10">
        <v>1</v>
      </c>
      <c r="G117" s="10">
        <v>1</v>
      </c>
      <c r="H117" s="11" t="s">
        <v>93</v>
      </c>
      <c r="I117" s="5">
        <v>0</v>
      </c>
      <c r="J117" s="5">
        <v>25</v>
      </c>
      <c r="K117" s="5">
        <v>100</v>
      </c>
      <c r="L117" s="5">
        <v>125</v>
      </c>
      <c r="M117" s="5">
        <v>100</v>
      </c>
      <c r="N117" s="5">
        <v>75</v>
      </c>
      <c r="O117" s="5">
        <v>30</v>
      </c>
      <c r="P117" s="5">
        <v>20</v>
      </c>
      <c r="Q117" s="5">
        <v>0</v>
      </c>
      <c r="R117" s="5">
        <v>0</v>
      </c>
      <c r="S117">
        <f t="shared" si="3"/>
        <v>475</v>
      </c>
      <c r="T117" s="5">
        <v>116</v>
      </c>
    </row>
    <row r="118" spans="1:20" ht="30" customHeight="1" x14ac:dyDescent="0.2">
      <c r="A118">
        <v>4</v>
      </c>
      <c r="B118" t="s">
        <v>20</v>
      </c>
      <c r="C118" s="10">
        <v>60116</v>
      </c>
      <c r="D118" s="6" t="s">
        <v>147</v>
      </c>
      <c r="E118" s="7"/>
      <c r="F118" s="10">
        <v>1</v>
      </c>
      <c r="G118" s="10">
        <v>1</v>
      </c>
      <c r="H118" s="11" t="s">
        <v>85</v>
      </c>
      <c r="I118" s="5">
        <v>0</v>
      </c>
      <c r="J118" s="5">
        <v>23</v>
      </c>
      <c r="K118" s="5">
        <v>42</v>
      </c>
      <c r="L118" s="5">
        <v>25</v>
      </c>
      <c r="M118" s="5">
        <v>10</v>
      </c>
      <c r="N118" s="5">
        <v>0</v>
      </c>
      <c r="O118" s="5">
        <v>0</v>
      </c>
      <c r="P118" s="5">
        <v>0</v>
      </c>
      <c r="Q118" s="5">
        <v>0</v>
      </c>
      <c r="R118" s="5">
        <v>0</v>
      </c>
      <c r="S118">
        <f t="shared" si="3"/>
        <v>100</v>
      </c>
      <c r="T118" s="9">
        <v>117</v>
      </c>
    </row>
    <row r="119" spans="1:20" ht="30" customHeight="1" x14ac:dyDescent="0.2">
      <c r="A119">
        <v>4</v>
      </c>
      <c r="B119" t="s">
        <v>20</v>
      </c>
      <c r="C119" s="10">
        <v>60503</v>
      </c>
      <c r="D119" s="6" t="s">
        <v>148</v>
      </c>
      <c r="E119" s="7"/>
      <c r="F119" s="10">
        <v>1</v>
      </c>
      <c r="G119" s="10">
        <v>1</v>
      </c>
      <c r="H119" s="11">
        <v>23</v>
      </c>
      <c r="I119" s="5">
        <v>0</v>
      </c>
      <c r="J119" s="5">
        <v>100</v>
      </c>
      <c r="K119" s="5">
        <v>100</v>
      </c>
      <c r="L119" s="5">
        <v>130</v>
      </c>
      <c r="M119" s="5">
        <v>200</v>
      </c>
      <c r="N119" s="5">
        <v>350</v>
      </c>
      <c r="O119" s="5">
        <v>400</v>
      </c>
      <c r="P119" s="5">
        <v>400</v>
      </c>
      <c r="Q119" s="5">
        <v>250</v>
      </c>
      <c r="R119" s="5">
        <v>220</v>
      </c>
      <c r="S119">
        <f t="shared" si="3"/>
        <v>2150</v>
      </c>
      <c r="T119" s="5">
        <v>118</v>
      </c>
    </row>
    <row r="120" spans="1:20" ht="30" customHeight="1" x14ac:dyDescent="0.2">
      <c r="A120">
        <v>4</v>
      </c>
      <c r="B120" t="s">
        <v>20</v>
      </c>
      <c r="C120" s="10">
        <v>60504</v>
      </c>
      <c r="D120" s="6" t="s">
        <v>149</v>
      </c>
      <c r="E120" s="7" t="s">
        <v>150</v>
      </c>
      <c r="F120" s="10">
        <v>1</v>
      </c>
      <c r="G120" s="10">
        <v>0.5</v>
      </c>
      <c r="H120" s="11">
        <v>339</v>
      </c>
      <c r="I120" s="5">
        <v>0</v>
      </c>
      <c r="J120" s="5">
        <v>50</v>
      </c>
      <c r="K120" s="5">
        <v>50</v>
      </c>
      <c r="L120" s="5">
        <v>75</v>
      </c>
      <c r="M120" s="5">
        <v>100</v>
      </c>
      <c r="N120" s="5">
        <v>100</v>
      </c>
      <c r="O120" s="5">
        <v>100</v>
      </c>
      <c r="P120" s="5">
        <v>200</v>
      </c>
      <c r="Q120" s="5">
        <v>200</v>
      </c>
      <c r="R120" s="5">
        <v>100</v>
      </c>
      <c r="S120">
        <f t="shared" si="3"/>
        <v>975</v>
      </c>
      <c r="T120" s="9">
        <v>119</v>
      </c>
    </row>
    <row r="121" spans="1:20" ht="30" customHeight="1" x14ac:dyDescent="0.2">
      <c r="A121">
        <v>4</v>
      </c>
      <c r="B121" t="s">
        <v>20</v>
      </c>
      <c r="C121" s="10">
        <v>60504</v>
      </c>
      <c r="D121" s="6" t="s">
        <v>149</v>
      </c>
      <c r="E121" s="7" t="s">
        <v>150</v>
      </c>
      <c r="F121" s="10">
        <v>1</v>
      </c>
      <c r="G121" s="10">
        <v>0.5</v>
      </c>
      <c r="H121" s="11">
        <v>81</v>
      </c>
      <c r="I121" s="5">
        <v>0</v>
      </c>
      <c r="J121" s="5">
        <v>50</v>
      </c>
      <c r="K121" s="5">
        <v>50</v>
      </c>
      <c r="L121" s="5">
        <v>75</v>
      </c>
      <c r="M121" s="5">
        <v>100</v>
      </c>
      <c r="N121" s="5">
        <v>100</v>
      </c>
      <c r="O121" s="5">
        <v>100</v>
      </c>
      <c r="P121" s="5">
        <v>200</v>
      </c>
      <c r="Q121" s="5">
        <v>200</v>
      </c>
      <c r="R121" s="5">
        <v>100</v>
      </c>
      <c r="S121">
        <f t="shared" si="3"/>
        <v>975</v>
      </c>
      <c r="T121" s="5">
        <v>120</v>
      </c>
    </row>
    <row r="122" spans="1:20" ht="30" customHeight="1" x14ac:dyDescent="0.2">
      <c r="A122">
        <v>4</v>
      </c>
      <c r="B122" t="s">
        <v>20</v>
      </c>
      <c r="C122" s="10">
        <v>60505</v>
      </c>
      <c r="D122" s="6" t="s">
        <v>151</v>
      </c>
      <c r="E122" s="7"/>
      <c r="F122" s="10">
        <v>0.8</v>
      </c>
      <c r="G122" s="10">
        <v>1</v>
      </c>
      <c r="H122" s="11" t="s">
        <v>86</v>
      </c>
      <c r="I122" s="5">
        <v>0</v>
      </c>
      <c r="J122" s="5">
        <v>2</v>
      </c>
      <c r="K122" s="5">
        <v>13</v>
      </c>
      <c r="L122" s="5">
        <v>26</v>
      </c>
      <c r="M122" s="5">
        <v>30</v>
      </c>
      <c r="N122" s="5">
        <v>24</v>
      </c>
      <c r="O122" s="5">
        <v>0</v>
      </c>
      <c r="P122" s="5">
        <v>0</v>
      </c>
      <c r="Q122" s="5">
        <v>0</v>
      </c>
      <c r="R122" s="5">
        <v>0</v>
      </c>
      <c r="S122">
        <f t="shared" si="3"/>
        <v>95</v>
      </c>
      <c r="T122" s="9">
        <v>121</v>
      </c>
    </row>
    <row r="123" spans="1:20" ht="30" customHeight="1" x14ac:dyDescent="0.2">
      <c r="A123">
        <v>4</v>
      </c>
      <c r="B123" t="s">
        <v>20</v>
      </c>
      <c r="C123" s="10">
        <v>60506</v>
      </c>
      <c r="D123" s="6" t="s">
        <v>152</v>
      </c>
      <c r="E123" s="7" t="s">
        <v>154</v>
      </c>
      <c r="F123" s="10">
        <v>0.02</v>
      </c>
      <c r="G123" s="10">
        <v>1</v>
      </c>
      <c r="H123" s="11">
        <v>23</v>
      </c>
      <c r="I123" s="5">
        <v>0</v>
      </c>
      <c r="J123" s="5">
        <v>10</v>
      </c>
      <c r="K123" s="5">
        <v>30</v>
      </c>
      <c r="L123" s="5">
        <v>195</v>
      </c>
      <c r="M123" s="5">
        <v>365</v>
      </c>
      <c r="N123" s="5">
        <v>545</v>
      </c>
      <c r="O123" s="5">
        <v>475</v>
      </c>
      <c r="P123" s="5">
        <v>80</v>
      </c>
      <c r="Q123" s="5">
        <v>0</v>
      </c>
      <c r="R123" s="5">
        <v>0</v>
      </c>
      <c r="S123">
        <f t="shared" si="3"/>
        <v>1700</v>
      </c>
      <c r="T123" s="5">
        <v>122</v>
      </c>
    </row>
    <row r="124" spans="1:20" ht="30" customHeight="1" x14ac:dyDescent="0.2">
      <c r="A124">
        <v>4</v>
      </c>
      <c r="B124" t="s">
        <v>20</v>
      </c>
      <c r="C124" s="10">
        <v>70006</v>
      </c>
      <c r="D124" s="6" t="s">
        <v>153</v>
      </c>
      <c r="E124" s="7" t="s">
        <v>89</v>
      </c>
      <c r="F124" s="10">
        <v>1</v>
      </c>
      <c r="G124" s="10">
        <v>1</v>
      </c>
      <c r="H124" s="11">
        <v>23</v>
      </c>
      <c r="I124" s="5">
        <v>0</v>
      </c>
      <c r="J124" s="5">
        <v>5</v>
      </c>
      <c r="K124" s="5">
        <v>8</v>
      </c>
      <c r="L124" s="5">
        <v>12</v>
      </c>
      <c r="M124" s="5">
        <v>33</v>
      </c>
      <c r="N124" s="5">
        <v>3</v>
      </c>
      <c r="O124" s="5">
        <v>0</v>
      </c>
      <c r="P124" s="5">
        <v>0</v>
      </c>
      <c r="Q124" s="5">
        <v>0</v>
      </c>
      <c r="R124" s="5">
        <v>0</v>
      </c>
      <c r="S124">
        <f t="shared" si="3"/>
        <v>61</v>
      </c>
      <c r="T124" s="9">
        <v>123</v>
      </c>
    </row>
    <row r="125" spans="1:20" ht="30" customHeight="1" x14ac:dyDescent="0.2">
      <c r="A125">
        <v>4</v>
      </c>
      <c r="B125" t="s">
        <v>20</v>
      </c>
      <c r="C125" s="10">
        <v>50142</v>
      </c>
      <c r="D125" s="7" t="s">
        <v>53</v>
      </c>
      <c r="E125" s="7" t="s">
        <v>145</v>
      </c>
      <c r="F125" s="10">
        <v>1</v>
      </c>
      <c r="G125" s="10">
        <f>(3-0.025)/3</f>
        <v>0.9916666666666667</v>
      </c>
      <c r="H125" s="11" t="s">
        <v>82</v>
      </c>
      <c r="I125" s="5">
        <v>0</v>
      </c>
      <c r="J125" s="5">
        <v>20</v>
      </c>
      <c r="K125" s="5">
        <v>70</v>
      </c>
      <c r="L125" s="5">
        <v>130</v>
      </c>
      <c r="M125" s="5">
        <v>155</v>
      </c>
      <c r="N125" s="5">
        <v>155</v>
      </c>
      <c r="O125" s="5">
        <v>155</v>
      </c>
      <c r="P125" s="5">
        <v>135</v>
      </c>
      <c r="Q125" s="5">
        <v>80</v>
      </c>
      <c r="R125" s="5">
        <v>20</v>
      </c>
      <c r="S125">
        <f t="shared" si="3"/>
        <v>920</v>
      </c>
      <c r="T125" s="5">
        <v>124</v>
      </c>
    </row>
    <row r="126" spans="1:20" ht="30" customHeight="1" x14ac:dyDescent="0.2">
      <c r="A126">
        <v>4</v>
      </c>
      <c r="B126" t="s">
        <v>20</v>
      </c>
      <c r="C126" s="10">
        <v>50142</v>
      </c>
      <c r="D126" s="7" t="s">
        <v>53</v>
      </c>
      <c r="E126" s="7" t="s">
        <v>145</v>
      </c>
      <c r="F126" s="10">
        <v>1</v>
      </c>
      <c r="G126" s="10">
        <f>0.025/3</f>
        <v>8.3333333333333332E-3</v>
      </c>
      <c r="H126" s="11" t="s">
        <v>85</v>
      </c>
      <c r="I126" s="5">
        <v>0</v>
      </c>
      <c r="J126" s="5">
        <v>20</v>
      </c>
      <c r="K126" s="5">
        <v>70</v>
      </c>
      <c r="L126" s="5">
        <v>130</v>
      </c>
      <c r="M126" s="5">
        <v>155</v>
      </c>
      <c r="N126" s="5">
        <v>155</v>
      </c>
      <c r="O126" s="5">
        <v>155</v>
      </c>
      <c r="P126" s="5">
        <v>135</v>
      </c>
      <c r="Q126" s="5">
        <v>80</v>
      </c>
      <c r="R126" s="5">
        <v>20</v>
      </c>
      <c r="S126">
        <f t="shared" si="3"/>
        <v>920</v>
      </c>
      <c r="T126" s="9">
        <v>125</v>
      </c>
    </row>
    <row r="127" spans="1:20" ht="30" customHeight="1" x14ac:dyDescent="0.2">
      <c r="A127">
        <v>4</v>
      </c>
      <c r="B127" t="s">
        <v>20</v>
      </c>
      <c r="C127" s="10">
        <v>50143</v>
      </c>
      <c r="D127" s="7" t="s">
        <v>54</v>
      </c>
      <c r="E127" s="7" t="s">
        <v>146</v>
      </c>
      <c r="F127" s="10">
        <v>0.5</v>
      </c>
      <c r="G127" s="10">
        <f>0.97</f>
        <v>0.97</v>
      </c>
      <c r="H127" s="11" t="s">
        <v>82</v>
      </c>
      <c r="I127" s="5">
        <v>0</v>
      </c>
      <c r="J127" s="5">
        <v>10</v>
      </c>
      <c r="K127" s="5">
        <v>150</v>
      </c>
      <c r="L127" s="5">
        <v>300</v>
      </c>
      <c r="M127" s="5">
        <v>590</v>
      </c>
      <c r="N127" s="5">
        <v>460</v>
      </c>
      <c r="O127" s="5">
        <v>295</v>
      </c>
      <c r="P127" s="5">
        <v>195</v>
      </c>
      <c r="Q127" s="5">
        <v>0</v>
      </c>
      <c r="R127" s="5">
        <v>0</v>
      </c>
      <c r="S127">
        <f t="shared" si="3"/>
        <v>2000</v>
      </c>
      <c r="T127" s="5">
        <v>126</v>
      </c>
    </row>
    <row r="128" spans="1:20" ht="30" customHeight="1" x14ac:dyDescent="0.2">
      <c r="A128">
        <v>4</v>
      </c>
      <c r="B128" t="s">
        <v>20</v>
      </c>
      <c r="C128" s="10">
        <v>50143</v>
      </c>
      <c r="D128" s="7" t="s">
        <v>54</v>
      </c>
      <c r="E128" s="7" t="s">
        <v>146</v>
      </c>
      <c r="F128" s="10">
        <v>1</v>
      </c>
      <c r="G128" s="10">
        <v>0.03</v>
      </c>
      <c r="H128" s="11" t="s">
        <v>85</v>
      </c>
      <c r="I128" s="5">
        <v>0</v>
      </c>
      <c r="J128" s="5">
        <v>10</v>
      </c>
      <c r="K128" s="5">
        <v>150</v>
      </c>
      <c r="L128" s="5">
        <v>300</v>
      </c>
      <c r="M128" s="5">
        <v>590</v>
      </c>
      <c r="N128" s="5">
        <v>460</v>
      </c>
      <c r="O128" s="5">
        <v>295</v>
      </c>
      <c r="P128" s="5">
        <v>195</v>
      </c>
      <c r="Q128" s="5">
        <v>0</v>
      </c>
      <c r="R128" s="5">
        <v>0</v>
      </c>
      <c r="S128">
        <f t="shared" si="3"/>
        <v>2000</v>
      </c>
      <c r="T128" s="9">
        <v>127</v>
      </c>
    </row>
    <row r="129" spans="1:20" ht="30" customHeight="1" x14ac:dyDescent="0.2">
      <c r="A129">
        <v>5</v>
      </c>
      <c r="B129" t="s">
        <v>21</v>
      </c>
      <c r="C129" s="10">
        <v>60103</v>
      </c>
      <c r="D129" s="6" t="s">
        <v>55</v>
      </c>
      <c r="E129" s="7" t="s">
        <v>144</v>
      </c>
      <c r="F129" s="10">
        <v>1</v>
      </c>
      <c r="G129" s="10">
        <f>(0.8*7+0.6*11.97+0.6*8)/(7+11.97+8+0.03)</f>
        <v>0.6511851851851852</v>
      </c>
      <c r="H129" s="11" t="s">
        <v>103</v>
      </c>
      <c r="I129" s="5">
        <v>0</v>
      </c>
      <c r="J129" s="5">
        <v>465</v>
      </c>
      <c r="K129" s="9">
        <v>2420</v>
      </c>
      <c r="L129" s="9">
        <v>4755</v>
      </c>
      <c r="M129" s="9">
        <v>5980</v>
      </c>
      <c r="N129" s="9">
        <v>4694</v>
      </c>
      <c r="O129" s="9">
        <v>1573</v>
      </c>
      <c r="P129" s="5">
        <v>93</v>
      </c>
      <c r="Q129" s="5">
        <v>0</v>
      </c>
      <c r="R129" s="5">
        <v>0</v>
      </c>
      <c r="S129">
        <f t="shared" si="3"/>
        <v>19980</v>
      </c>
      <c r="T129" s="5">
        <v>128</v>
      </c>
    </row>
    <row r="130" spans="1:20" ht="30" customHeight="1" x14ac:dyDescent="0.2">
      <c r="A130">
        <v>5</v>
      </c>
      <c r="B130" t="s">
        <v>21</v>
      </c>
      <c r="C130" s="10">
        <v>60103</v>
      </c>
      <c r="D130" s="6" t="s">
        <v>55</v>
      </c>
      <c r="E130" s="7" t="s">
        <v>144</v>
      </c>
      <c r="F130" s="10">
        <v>1</v>
      </c>
      <c r="G130" s="10">
        <f>(0.2*7+0.2*11.97+0.2*8)/(7+11.97+8+0.03)</f>
        <v>0.19977777777777778</v>
      </c>
      <c r="H130" s="11" t="s">
        <v>86</v>
      </c>
      <c r="I130" s="5">
        <v>0</v>
      </c>
      <c r="J130" s="5">
        <v>465</v>
      </c>
      <c r="K130" s="9">
        <v>2420</v>
      </c>
      <c r="L130" s="9">
        <v>4755</v>
      </c>
      <c r="M130" s="9">
        <v>5980</v>
      </c>
      <c r="N130" s="9">
        <v>4694</v>
      </c>
      <c r="O130" s="9">
        <v>1573</v>
      </c>
      <c r="P130" s="5">
        <v>93</v>
      </c>
      <c r="Q130" s="5">
        <v>0</v>
      </c>
      <c r="R130" s="5">
        <v>0</v>
      </c>
      <c r="S130">
        <f t="shared" ref="S130:S146" si="4">SUM(I130:R130)</f>
        <v>19980</v>
      </c>
      <c r="T130" s="9">
        <v>129</v>
      </c>
    </row>
    <row r="131" spans="1:20" ht="30" customHeight="1" x14ac:dyDescent="0.2">
      <c r="A131">
        <v>5</v>
      </c>
      <c r="B131" t="s">
        <v>21</v>
      </c>
      <c r="C131" s="10">
        <v>60103</v>
      </c>
      <c r="D131" s="6" t="s">
        <v>55</v>
      </c>
      <c r="E131" s="7" t="s">
        <v>144</v>
      </c>
      <c r="F131" s="10">
        <v>1</v>
      </c>
      <c r="G131" s="10">
        <f>(0.2*11.97+0.2*8)/(7+11.97+8+0.03)</f>
        <v>0.14792592592592593</v>
      </c>
      <c r="H131" s="11">
        <v>81</v>
      </c>
      <c r="I131" s="5">
        <v>0</v>
      </c>
      <c r="J131" s="5">
        <v>465</v>
      </c>
      <c r="K131" s="9">
        <v>2420</v>
      </c>
      <c r="L131" s="9">
        <v>4755</v>
      </c>
      <c r="M131" s="9">
        <v>5980</v>
      </c>
      <c r="N131" s="9">
        <v>4694</v>
      </c>
      <c r="O131" s="9">
        <v>1573</v>
      </c>
      <c r="P131" s="5">
        <v>93</v>
      </c>
      <c r="Q131" s="5">
        <v>0</v>
      </c>
      <c r="R131" s="5">
        <v>0</v>
      </c>
      <c r="S131">
        <f t="shared" si="4"/>
        <v>19980</v>
      </c>
      <c r="T131" s="5">
        <v>130</v>
      </c>
    </row>
    <row r="132" spans="1:20" ht="30" customHeight="1" x14ac:dyDescent="0.2">
      <c r="A132">
        <v>5</v>
      </c>
      <c r="B132" t="s">
        <v>21</v>
      </c>
      <c r="C132" s="10">
        <v>60103</v>
      </c>
      <c r="D132" s="6" t="s">
        <v>55</v>
      </c>
      <c r="E132" s="7" t="s">
        <v>144</v>
      </c>
      <c r="F132" s="10">
        <v>1</v>
      </c>
      <c r="G132" s="10">
        <f>0.03/(7+11.97+8+0.03)</f>
        <v>1.1111111111111111E-3</v>
      </c>
      <c r="H132" s="11" t="s">
        <v>85</v>
      </c>
      <c r="I132" s="5">
        <v>0</v>
      </c>
      <c r="J132" s="5">
        <v>465</v>
      </c>
      <c r="K132" s="9">
        <v>2420</v>
      </c>
      <c r="L132" s="9">
        <v>4755</v>
      </c>
      <c r="M132" s="9">
        <v>5980</v>
      </c>
      <c r="N132" s="9">
        <v>4694</v>
      </c>
      <c r="O132" s="9">
        <v>1573</v>
      </c>
      <c r="P132" s="5">
        <v>93</v>
      </c>
      <c r="Q132" s="5">
        <v>0</v>
      </c>
      <c r="R132" s="5">
        <v>0</v>
      </c>
      <c r="S132">
        <f t="shared" si="4"/>
        <v>19980</v>
      </c>
      <c r="T132" s="9">
        <v>131</v>
      </c>
    </row>
    <row r="133" spans="1:20" ht="30" customHeight="1" x14ac:dyDescent="0.2">
      <c r="A133">
        <v>5</v>
      </c>
      <c r="B133" t="s">
        <v>21</v>
      </c>
      <c r="C133" s="10">
        <v>13601</v>
      </c>
      <c r="D133" s="6" t="s">
        <v>110</v>
      </c>
      <c r="E133" s="7" t="s">
        <v>112</v>
      </c>
      <c r="F133" s="10">
        <v>1</v>
      </c>
      <c r="G133" s="10">
        <v>1</v>
      </c>
      <c r="H133" s="11">
        <v>562</v>
      </c>
      <c r="I133" s="5">
        <v>0</v>
      </c>
      <c r="J133" s="5">
        <v>0</v>
      </c>
      <c r="K133" s="5">
        <v>601</v>
      </c>
      <c r="L133" s="9">
        <v>1038</v>
      </c>
      <c r="M133" s="9">
        <v>1251</v>
      </c>
      <c r="N133" s="9">
        <v>1431</v>
      </c>
      <c r="O133" s="9">
        <v>1492</v>
      </c>
      <c r="P133" s="9">
        <v>1530</v>
      </c>
      <c r="Q133" s="9">
        <v>1567</v>
      </c>
      <c r="R133" s="9">
        <v>1606</v>
      </c>
      <c r="S133">
        <f t="shared" si="4"/>
        <v>10516</v>
      </c>
      <c r="T133" s="5">
        <v>132</v>
      </c>
    </row>
    <row r="134" spans="1:20" ht="30" customHeight="1" x14ac:dyDescent="0.2">
      <c r="A134">
        <v>5</v>
      </c>
      <c r="B134" t="s">
        <v>21</v>
      </c>
      <c r="C134" s="10">
        <v>13601</v>
      </c>
      <c r="D134" s="6" t="s">
        <v>110</v>
      </c>
      <c r="E134" s="7" t="s">
        <v>111</v>
      </c>
      <c r="F134" s="10">
        <v>0</v>
      </c>
      <c r="G134" s="10">
        <v>0</v>
      </c>
      <c r="H134" s="11" t="s">
        <v>73</v>
      </c>
      <c r="I134" s="5">
        <v>0</v>
      </c>
      <c r="J134" s="5">
        <v>-902</v>
      </c>
      <c r="K134" s="9">
        <v>-1230</v>
      </c>
      <c r="L134" s="9">
        <v>-1271</v>
      </c>
      <c r="M134" s="9">
        <v>-1304</v>
      </c>
      <c r="N134" s="9">
        <v>-1336</v>
      </c>
      <c r="O134" s="9">
        <v>-1368</v>
      </c>
      <c r="P134" s="9">
        <v>-1402</v>
      </c>
      <c r="Q134" s="9">
        <v>-1436</v>
      </c>
      <c r="R134" s="9">
        <v>-1470</v>
      </c>
      <c r="S134">
        <f t="shared" si="4"/>
        <v>-11719</v>
      </c>
      <c r="T134" s="9">
        <v>133</v>
      </c>
    </row>
    <row r="135" spans="1:20" ht="30" customHeight="1" x14ac:dyDescent="0.2">
      <c r="A135">
        <v>5</v>
      </c>
      <c r="B135" t="s">
        <v>21</v>
      </c>
      <c r="C135" s="10">
        <v>13901</v>
      </c>
      <c r="D135" s="6" t="s">
        <v>56</v>
      </c>
      <c r="E135" s="7"/>
      <c r="F135" s="10">
        <v>0</v>
      </c>
      <c r="G135" s="10">
        <v>0</v>
      </c>
      <c r="H135" s="11" t="s">
        <v>73</v>
      </c>
      <c r="I135" s="5">
        <v>0</v>
      </c>
      <c r="J135" s="5">
        <v>-103</v>
      </c>
      <c r="K135" s="5">
        <v>-135</v>
      </c>
      <c r="L135" s="5">
        <v>-131</v>
      </c>
      <c r="M135" s="5">
        <v>-130</v>
      </c>
      <c r="N135" s="5">
        <v>-130</v>
      </c>
      <c r="O135" s="5">
        <v>-131</v>
      </c>
      <c r="P135" s="5">
        <v>-132</v>
      </c>
      <c r="Q135" s="5">
        <v>-133</v>
      </c>
      <c r="R135" s="5">
        <v>-134</v>
      </c>
      <c r="S135">
        <f t="shared" si="4"/>
        <v>-1159</v>
      </c>
      <c r="T135" s="5">
        <v>134</v>
      </c>
    </row>
    <row r="136" spans="1:20" ht="30" customHeight="1" x14ac:dyDescent="0.2">
      <c r="A136">
        <v>5</v>
      </c>
      <c r="B136" t="s">
        <v>21</v>
      </c>
      <c r="C136" s="10">
        <v>60114</v>
      </c>
      <c r="D136" s="6" t="s">
        <v>57</v>
      </c>
      <c r="E136" s="7" t="s">
        <v>143</v>
      </c>
      <c r="F136" s="10">
        <v>1</v>
      </c>
      <c r="G136" s="10">
        <f>0.25/5</f>
        <v>0.05</v>
      </c>
      <c r="H136" s="11" t="s">
        <v>86</v>
      </c>
      <c r="I136" s="5">
        <v>0</v>
      </c>
      <c r="J136" s="5">
        <v>84</v>
      </c>
      <c r="K136" s="5">
        <v>320</v>
      </c>
      <c r="L136" s="5">
        <v>638</v>
      </c>
      <c r="M136" s="5">
        <v>928</v>
      </c>
      <c r="N136" s="5">
        <v>940</v>
      </c>
      <c r="O136" s="5">
        <v>720</v>
      </c>
      <c r="P136" s="5">
        <v>300</v>
      </c>
      <c r="Q136" s="5">
        <v>120</v>
      </c>
      <c r="R136" s="5">
        <v>0</v>
      </c>
      <c r="S136">
        <f t="shared" si="4"/>
        <v>4050</v>
      </c>
      <c r="T136" s="9">
        <v>135</v>
      </c>
    </row>
    <row r="137" spans="1:20" ht="30" customHeight="1" x14ac:dyDescent="0.2">
      <c r="A137">
        <v>5</v>
      </c>
      <c r="B137" t="s">
        <v>21</v>
      </c>
      <c r="C137" s="10">
        <v>60114</v>
      </c>
      <c r="D137" s="6" t="s">
        <v>57</v>
      </c>
      <c r="E137" s="7" t="s">
        <v>143</v>
      </c>
      <c r="F137" s="10">
        <v>1</v>
      </c>
      <c r="G137" s="10">
        <f>0.97*(4.75/5)</f>
        <v>0.92149999999999999</v>
      </c>
      <c r="H137" s="11">
        <v>81</v>
      </c>
      <c r="I137" s="5">
        <v>0</v>
      </c>
      <c r="J137" s="5">
        <v>84</v>
      </c>
      <c r="K137" s="5">
        <v>320</v>
      </c>
      <c r="L137" s="5">
        <v>638</v>
      </c>
      <c r="M137" s="5">
        <v>928</v>
      </c>
      <c r="N137" s="5">
        <v>940</v>
      </c>
      <c r="O137" s="5">
        <v>720</v>
      </c>
      <c r="P137" s="5">
        <v>300</v>
      </c>
      <c r="Q137" s="5">
        <v>120</v>
      </c>
      <c r="R137" s="5">
        <v>0</v>
      </c>
      <c r="S137">
        <f t="shared" si="4"/>
        <v>4050</v>
      </c>
      <c r="T137" s="5">
        <v>136</v>
      </c>
    </row>
    <row r="138" spans="1:20" ht="30" customHeight="1" x14ac:dyDescent="0.2">
      <c r="A138">
        <v>5</v>
      </c>
      <c r="B138" t="s">
        <v>21</v>
      </c>
      <c r="C138" s="10">
        <v>60114</v>
      </c>
      <c r="D138" s="6" t="s">
        <v>57</v>
      </c>
      <c r="E138" s="7" t="s">
        <v>143</v>
      </c>
      <c r="F138" s="10">
        <v>1</v>
      </c>
      <c r="G138" s="10">
        <f>0.03*(4.75/5)</f>
        <v>2.8499999999999998E-2</v>
      </c>
      <c r="H138" s="11" t="s">
        <v>85</v>
      </c>
      <c r="I138" s="5">
        <v>0</v>
      </c>
      <c r="J138" s="5">
        <v>84</v>
      </c>
      <c r="K138" s="5">
        <v>320</v>
      </c>
      <c r="L138" s="5">
        <v>638</v>
      </c>
      <c r="M138" s="5">
        <v>928</v>
      </c>
      <c r="N138" s="5">
        <v>940</v>
      </c>
      <c r="O138" s="5">
        <v>720</v>
      </c>
      <c r="P138" s="5">
        <v>300</v>
      </c>
      <c r="Q138" s="5">
        <v>120</v>
      </c>
      <c r="R138" s="5">
        <v>0</v>
      </c>
      <c r="S138">
        <f t="shared" si="4"/>
        <v>4050</v>
      </c>
      <c r="T138" s="9">
        <v>137</v>
      </c>
    </row>
    <row r="139" spans="1:20" ht="30" customHeight="1" x14ac:dyDescent="0.2">
      <c r="A139">
        <v>5</v>
      </c>
      <c r="B139" t="s">
        <v>21</v>
      </c>
      <c r="C139" s="10">
        <v>60201</v>
      </c>
      <c r="D139" s="7" t="s">
        <v>58</v>
      </c>
      <c r="E139" s="7" t="s">
        <v>207</v>
      </c>
      <c r="F139" s="10">
        <v>1</v>
      </c>
      <c r="G139" s="10">
        <f>0.93*(0.2/3)</f>
        <v>6.2E-2</v>
      </c>
      <c r="H139" s="11" t="s">
        <v>86</v>
      </c>
      <c r="I139" s="5">
        <v>0</v>
      </c>
      <c r="J139" s="5">
        <v>185</v>
      </c>
      <c r="K139" s="5">
        <v>394</v>
      </c>
      <c r="L139" s="5">
        <v>639</v>
      </c>
      <c r="M139" s="5">
        <v>722</v>
      </c>
      <c r="N139" s="5">
        <v>595</v>
      </c>
      <c r="O139" s="5">
        <v>346</v>
      </c>
      <c r="P139" s="5">
        <v>101</v>
      </c>
      <c r="Q139" s="5">
        <v>18</v>
      </c>
      <c r="R139" s="5">
        <v>0</v>
      </c>
      <c r="S139">
        <f t="shared" si="4"/>
        <v>3000</v>
      </c>
      <c r="T139" s="5">
        <v>138</v>
      </c>
    </row>
    <row r="140" spans="1:20" ht="30" customHeight="1" x14ac:dyDescent="0.2">
      <c r="A140">
        <v>5</v>
      </c>
      <c r="B140" t="s">
        <v>21</v>
      </c>
      <c r="C140" s="10">
        <v>60201</v>
      </c>
      <c r="D140" s="7" t="s">
        <v>58</v>
      </c>
      <c r="E140" s="7" t="s">
        <v>207</v>
      </c>
      <c r="F140" s="10">
        <v>1</v>
      </c>
      <c r="G140" s="10">
        <f>0.93*0.25*(2.8/3)</f>
        <v>0.217</v>
      </c>
      <c r="H140" s="11">
        <v>334</v>
      </c>
      <c r="I140" s="5">
        <v>0</v>
      </c>
      <c r="J140" s="5">
        <v>185</v>
      </c>
      <c r="K140" s="5">
        <v>394</v>
      </c>
      <c r="L140" s="5">
        <v>639</v>
      </c>
      <c r="M140" s="5">
        <v>722</v>
      </c>
      <c r="N140" s="5">
        <v>595</v>
      </c>
      <c r="O140" s="5">
        <v>346</v>
      </c>
      <c r="P140" s="5">
        <v>101</v>
      </c>
      <c r="Q140" s="5">
        <v>18</v>
      </c>
      <c r="R140" s="5">
        <v>0</v>
      </c>
      <c r="S140">
        <f t="shared" si="4"/>
        <v>3000</v>
      </c>
      <c r="T140" s="9">
        <v>139</v>
      </c>
    </row>
    <row r="141" spans="1:20" ht="30" customHeight="1" x14ac:dyDescent="0.2">
      <c r="A141">
        <v>5</v>
      </c>
      <c r="B141" t="s">
        <v>21</v>
      </c>
      <c r="C141" s="10">
        <v>60201</v>
      </c>
      <c r="D141" s="7" t="s">
        <v>58</v>
      </c>
      <c r="E141" s="7" t="s">
        <v>207</v>
      </c>
      <c r="F141" s="10">
        <v>1</v>
      </c>
      <c r="G141" s="10">
        <f>0.93*0.5*(2.8/3)</f>
        <v>0.434</v>
      </c>
      <c r="H141" s="11">
        <v>81</v>
      </c>
      <c r="I141" s="5">
        <v>0</v>
      </c>
      <c r="J141" s="5">
        <v>185</v>
      </c>
      <c r="K141" s="5">
        <v>394</v>
      </c>
      <c r="L141" s="5">
        <v>639</v>
      </c>
      <c r="M141" s="5">
        <v>722</v>
      </c>
      <c r="N141" s="5">
        <v>595</v>
      </c>
      <c r="O141" s="5">
        <v>346</v>
      </c>
      <c r="P141" s="5">
        <v>101</v>
      </c>
      <c r="Q141" s="5">
        <v>18</v>
      </c>
      <c r="R141" s="5">
        <v>0</v>
      </c>
      <c r="S141">
        <f t="shared" si="4"/>
        <v>3000</v>
      </c>
      <c r="T141" s="5">
        <v>140</v>
      </c>
    </row>
    <row r="142" spans="1:20" ht="30" customHeight="1" x14ac:dyDescent="0.2">
      <c r="A142">
        <v>5</v>
      </c>
      <c r="B142" t="s">
        <v>21</v>
      </c>
      <c r="C142" s="10">
        <v>60201</v>
      </c>
      <c r="D142" s="7" t="s">
        <v>58</v>
      </c>
      <c r="E142" s="7" t="s">
        <v>207</v>
      </c>
      <c r="F142" s="10">
        <v>1</v>
      </c>
      <c r="G142" s="10">
        <f>0.07 + 0.93*0.25*(2.8/3)</f>
        <v>0.28700000000000003</v>
      </c>
      <c r="H142" s="11" t="s">
        <v>85</v>
      </c>
      <c r="I142" s="5">
        <v>0</v>
      </c>
      <c r="J142" s="5">
        <v>185</v>
      </c>
      <c r="K142" s="5">
        <v>394</v>
      </c>
      <c r="L142" s="5">
        <v>639</v>
      </c>
      <c r="M142" s="5">
        <v>722</v>
      </c>
      <c r="N142" s="5">
        <v>595</v>
      </c>
      <c r="O142" s="5">
        <v>346</v>
      </c>
      <c r="P142" s="5">
        <v>101</v>
      </c>
      <c r="Q142" s="5">
        <v>18</v>
      </c>
      <c r="R142" s="5">
        <v>0</v>
      </c>
      <c r="S142">
        <f t="shared" si="4"/>
        <v>3000</v>
      </c>
      <c r="T142" s="9">
        <v>141</v>
      </c>
    </row>
    <row r="143" spans="1:20" ht="30" customHeight="1" x14ac:dyDescent="0.2">
      <c r="A143">
        <v>5</v>
      </c>
      <c r="B143" t="s">
        <v>21</v>
      </c>
      <c r="C143" s="11">
        <v>80001</v>
      </c>
      <c r="D143" s="6" t="s">
        <v>105</v>
      </c>
      <c r="E143" s="7" t="s">
        <v>106</v>
      </c>
      <c r="F143" s="11">
        <v>1</v>
      </c>
      <c r="G143" s="11">
        <f>0.5*(220/235)</f>
        <v>0.46808510638297873</v>
      </c>
      <c r="H143" s="11" t="s">
        <v>86</v>
      </c>
      <c r="I143" s="5">
        <v>0</v>
      </c>
      <c r="J143" s="5">
        <v>15</v>
      </c>
      <c r="K143" s="5">
        <v>53</v>
      </c>
      <c r="L143" s="5">
        <v>57</v>
      </c>
      <c r="M143" s="5">
        <v>48</v>
      </c>
      <c r="N143" s="5">
        <v>43</v>
      </c>
      <c r="O143" s="5">
        <v>17</v>
      </c>
      <c r="P143" s="5">
        <v>2</v>
      </c>
      <c r="Q143" s="5">
        <v>0</v>
      </c>
      <c r="R143" s="5">
        <v>0</v>
      </c>
      <c r="S143">
        <f t="shared" si="4"/>
        <v>235</v>
      </c>
      <c r="T143" s="5">
        <v>142</v>
      </c>
    </row>
    <row r="144" spans="1:20" ht="30" customHeight="1" x14ac:dyDescent="0.2">
      <c r="A144">
        <v>5</v>
      </c>
      <c r="B144" t="s">
        <v>21</v>
      </c>
      <c r="C144" s="11">
        <v>80001</v>
      </c>
      <c r="D144" s="6" t="s">
        <v>105</v>
      </c>
      <c r="E144" s="7" t="s">
        <v>106</v>
      </c>
      <c r="F144" s="11">
        <v>1</v>
      </c>
      <c r="G144" s="11">
        <f>0.5*(220/235)</f>
        <v>0.46808510638297873</v>
      </c>
      <c r="H144" s="11">
        <v>81</v>
      </c>
      <c r="I144" s="5">
        <v>0</v>
      </c>
      <c r="J144" s="5">
        <v>15</v>
      </c>
      <c r="K144" s="5">
        <v>53</v>
      </c>
      <c r="L144" s="5">
        <v>57</v>
      </c>
      <c r="M144" s="5">
        <v>48</v>
      </c>
      <c r="N144" s="5">
        <v>43</v>
      </c>
      <c r="O144" s="5">
        <v>17</v>
      </c>
      <c r="P144" s="5">
        <v>2</v>
      </c>
      <c r="Q144" s="5">
        <v>0</v>
      </c>
      <c r="R144" s="5">
        <v>0</v>
      </c>
      <c r="S144">
        <f t="shared" si="4"/>
        <v>235</v>
      </c>
      <c r="T144" s="9">
        <v>143</v>
      </c>
    </row>
    <row r="145" spans="1:20" ht="30" customHeight="1" x14ac:dyDescent="0.2">
      <c r="A145">
        <v>5</v>
      </c>
      <c r="B145" t="s">
        <v>21</v>
      </c>
      <c r="C145" s="11">
        <v>80001</v>
      </c>
      <c r="D145" s="6" t="s">
        <v>105</v>
      </c>
      <c r="E145" s="7" t="s">
        <v>106</v>
      </c>
      <c r="F145" s="11">
        <v>1</v>
      </c>
      <c r="G145" s="11">
        <f>10/235</f>
        <v>4.2553191489361701E-2</v>
      </c>
      <c r="H145" s="11" t="s">
        <v>107</v>
      </c>
      <c r="I145" s="5">
        <v>0</v>
      </c>
      <c r="J145" s="5">
        <v>15</v>
      </c>
      <c r="K145" s="5">
        <v>53</v>
      </c>
      <c r="L145" s="5">
        <v>57</v>
      </c>
      <c r="M145" s="5">
        <v>48</v>
      </c>
      <c r="N145" s="5">
        <v>43</v>
      </c>
      <c r="O145" s="5">
        <v>17</v>
      </c>
      <c r="P145" s="5">
        <v>2</v>
      </c>
      <c r="Q145" s="5">
        <v>0</v>
      </c>
      <c r="R145" s="5">
        <v>0</v>
      </c>
      <c r="S145">
        <f t="shared" si="4"/>
        <v>235</v>
      </c>
      <c r="T145" s="5">
        <v>144</v>
      </c>
    </row>
    <row r="146" spans="1:20" ht="30" customHeight="1" x14ac:dyDescent="0.2">
      <c r="A146">
        <v>5</v>
      </c>
      <c r="B146" t="s">
        <v>21</v>
      </c>
      <c r="C146" s="11">
        <v>80001</v>
      </c>
      <c r="D146" s="6" t="s">
        <v>105</v>
      </c>
      <c r="E146" s="7" t="s">
        <v>106</v>
      </c>
      <c r="F146" s="11">
        <v>1</v>
      </c>
      <c r="G146" s="11">
        <f>5/235</f>
        <v>2.1276595744680851E-2</v>
      </c>
      <c r="H146" s="11" t="s">
        <v>85</v>
      </c>
      <c r="I146" s="5">
        <v>0</v>
      </c>
      <c r="J146" s="5">
        <v>15</v>
      </c>
      <c r="K146" s="5">
        <v>53</v>
      </c>
      <c r="L146" s="5">
        <v>57</v>
      </c>
      <c r="M146" s="5">
        <v>48</v>
      </c>
      <c r="N146" s="5">
        <v>43</v>
      </c>
      <c r="O146" s="5">
        <v>17</v>
      </c>
      <c r="P146" s="5">
        <v>2</v>
      </c>
      <c r="Q146" s="5">
        <v>0</v>
      </c>
      <c r="R146" s="5">
        <v>0</v>
      </c>
      <c r="S146">
        <f t="shared" si="4"/>
        <v>235</v>
      </c>
      <c r="T146" s="9">
        <v>145</v>
      </c>
    </row>
    <row r="147" spans="1:20" ht="30" customHeight="1" x14ac:dyDescent="0.2">
      <c r="A147">
        <v>5</v>
      </c>
      <c r="B147" t="s">
        <v>21</v>
      </c>
      <c r="C147" s="11">
        <v>80002</v>
      </c>
      <c r="D147" s="6" t="s">
        <v>104</v>
      </c>
      <c r="E147" s="7" t="s">
        <v>108</v>
      </c>
      <c r="F147" s="11">
        <v>1</v>
      </c>
      <c r="G147" s="11">
        <f>0.5*(23.5/25)</f>
        <v>0.47</v>
      </c>
      <c r="H147" s="11" t="s">
        <v>86</v>
      </c>
      <c r="I147" s="5">
        <v>0</v>
      </c>
      <c r="J147" s="5">
        <v>3</v>
      </c>
      <c r="K147" s="5">
        <v>6</v>
      </c>
      <c r="L147" s="5">
        <v>6</v>
      </c>
      <c r="M147" s="5">
        <v>5</v>
      </c>
      <c r="N147" s="5">
        <v>4</v>
      </c>
      <c r="O147" s="5">
        <v>1</v>
      </c>
      <c r="P147" s="5">
        <v>0</v>
      </c>
      <c r="Q147" s="5">
        <v>0</v>
      </c>
      <c r="R147" s="5">
        <v>0</v>
      </c>
      <c r="S147">
        <f t="shared" ref="S147" si="5">SUM(I147:R147)</f>
        <v>25</v>
      </c>
      <c r="T147" s="5">
        <v>146</v>
      </c>
    </row>
    <row r="148" spans="1:20" ht="30" customHeight="1" x14ac:dyDescent="0.2">
      <c r="A148">
        <v>5</v>
      </c>
      <c r="B148" t="s">
        <v>21</v>
      </c>
      <c r="C148" s="11">
        <v>80002</v>
      </c>
      <c r="D148" s="6" t="s">
        <v>104</v>
      </c>
      <c r="E148" s="7" t="s">
        <v>108</v>
      </c>
      <c r="F148" s="11">
        <v>1</v>
      </c>
      <c r="G148" s="11">
        <f>0.5*(23.5/25)</f>
        <v>0.47</v>
      </c>
      <c r="H148" s="11">
        <v>81</v>
      </c>
      <c r="I148" s="5">
        <v>0</v>
      </c>
      <c r="J148" s="5">
        <v>3</v>
      </c>
      <c r="K148" s="5">
        <v>6</v>
      </c>
      <c r="L148" s="5">
        <v>6</v>
      </c>
      <c r="M148" s="5">
        <v>5</v>
      </c>
      <c r="N148" s="5">
        <v>4</v>
      </c>
      <c r="O148" s="5">
        <v>1</v>
      </c>
      <c r="P148" s="5">
        <v>0</v>
      </c>
      <c r="Q148" s="5">
        <v>0</v>
      </c>
      <c r="R148" s="5">
        <v>0</v>
      </c>
      <c r="S148">
        <f t="shared" ref="S148:S179" si="6">SUM(I148:R148)</f>
        <v>25</v>
      </c>
      <c r="T148" s="9">
        <v>147</v>
      </c>
    </row>
    <row r="149" spans="1:20" ht="30" customHeight="1" x14ac:dyDescent="0.2">
      <c r="A149">
        <v>5</v>
      </c>
      <c r="B149" t="s">
        <v>21</v>
      </c>
      <c r="C149" s="11">
        <v>80002</v>
      </c>
      <c r="D149" s="6" t="s">
        <v>104</v>
      </c>
      <c r="E149" s="7" t="s">
        <v>108</v>
      </c>
      <c r="F149" s="11">
        <v>1</v>
      </c>
      <c r="G149" s="11">
        <f>1.5/25</f>
        <v>0.06</v>
      </c>
      <c r="H149" s="11" t="s">
        <v>85</v>
      </c>
      <c r="I149" s="5">
        <v>0</v>
      </c>
      <c r="J149" s="5">
        <v>3</v>
      </c>
      <c r="K149" s="5">
        <v>6</v>
      </c>
      <c r="L149" s="5">
        <v>6</v>
      </c>
      <c r="M149" s="5">
        <v>5</v>
      </c>
      <c r="N149" s="5">
        <v>4</v>
      </c>
      <c r="O149" s="5">
        <v>1</v>
      </c>
      <c r="P149" s="5">
        <v>0</v>
      </c>
      <c r="Q149" s="5">
        <v>0</v>
      </c>
      <c r="R149" s="5">
        <v>0</v>
      </c>
      <c r="S149">
        <f t="shared" si="6"/>
        <v>25</v>
      </c>
      <c r="T149" s="5">
        <v>148</v>
      </c>
    </row>
    <row r="150" spans="1:20" ht="30" customHeight="1" x14ac:dyDescent="0.2">
      <c r="A150">
        <v>5</v>
      </c>
      <c r="B150" t="s">
        <v>21</v>
      </c>
      <c r="C150" s="11">
        <v>80003</v>
      </c>
      <c r="D150" s="6" t="s">
        <v>101</v>
      </c>
      <c r="E150" s="7" t="s">
        <v>102</v>
      </c>
      <c r="F150" s="11">
        <v>1</v>
      </c>
      <c r="G150" s="11">
        <f>(1/3)*145.5/150</f>
        <v>0.32333333333333331</v>
      </c>
      <c r="H150" s="11" t="s">
        <v>103</v>
      </c>
      <c r="I150" s="5">
        <v>0</v>
      </c>
      <c r="J150" s="5">
        <v>8</v>
      </c>
      <c r="K150" s="5">
        <v>26</v>
      </c>
      <c r="L150" s="5">
        <v>41</v>
      </c>
      <c r="M150" s="5">
        <v>38</v>
      </c>
      <c r="N150" s="5">
        <v>22</v>
      </c>
      <c r="O150" s="5">
        <v>11</v>
      </c>
      <c r="P150" s="5">
        <v>4</v>
      </c>
      <c r="Q150" s="5">
        <v>0</v>
      </c>
      <c r="R150" s="5">
        <v>0</v>
      </c>
      <c r="S150">
        <f t="shared" si="6"/>
        <v>150</v>
      </c>
      <c r="T150" s="9">
        <v>149</v>
      </c>
    </row>
    <row r="151" spans="1:20" ht="30" customHeight="1" x14ac:dyDescent="0.2">
      <c r="A151">
        <v>5</v>
      </c>
      <c r="B151" t="s">
        <v>21</v>
      </c>
      <c r="C151" s="11">
        <v>80003</v>
      </c>
      <c r="D151" s="6" t="s">
        <v>101</v>
      </c>
      <c r="E151" s="7" t="s">
        <v>102</v>
      </c>
      <c r="F151" s="11">
        <v>1</v>
      </c>
      <c r="G151" s="11">
        <f>(1/3)*145.5/150</f>
        <v>0.32333333333333331</v>
      </c>
      <c r="H151" s="11">
        <v>335</v>
      </c>
      <c r="I151" s="5">
        <v>0</v>
      </c>
      <c r="J151" s="5">
        <v>8</v>
      </c>
      <c r="K151" s="5">
        <v>26</v>
      </c>
      <c r="L151" s="5">
        <v>41</v>
      </c>
      <c r="M151" s="5">
        <v>38</v>
      </c>
      <c r="N151" s="5">
        <v>22</v>
      </c>
      <c r="O151" s="5">
        <v>11</v>
      </c>
      <c r="P151" s="5">
        <v>4</v>
      </c>
      <c r="Q151" s="5">
        <v>0</v>
      </c>
      <c r="R151" s="5">
        <v>0</v>
      </c>
      <c r="S151">
        <f t="shared" si="6"/>
        <v>150</v>
      </c>
      <c r="T151" s="5">
        <v>150</v>
      </c>
    </row>
    <row r="152" spans="1:20" ht="30" customHeight="1" x14ac:dyDescent="0.2">
      <c r="A152">
        <v>5</v>
      </c>
      <c r="B152" t="s">
        <v>21</v>
      </c>
      <c r="C152" s="11">
        <v>80003</v>
      </c>
      <c r="D152" s="6" t="s">
        <v>101</v>
      </c>
      <c r="E152" s="7" t="s">
        <v>102</v>
      </c>
      <c r="F152" s="11">
        <v>1</v>
      </c>
      <c r="G152" s="11">
        <f>(1/3)*145.5/150</f>
        <v>0.32333333333333331</v>
      </c>
      <c r="H152" s="11">
        <v>23</v>
      </c>
      <c r="I152" s="5">
        <v>0</v>
      </c>
      <c r="J152" s="5">
        <v>8</v>
      </c>
      <c r="K152" s="5">
        <v>26</v>
      </c>
      <c r="L152" s="5">
        <v>41</v>
      </c>
      <c r="M152" s="5">
        <v>38</v>
      </c>
      <c r="N152" s="5">
        <v>22</v>
      </c>
      <c r="O152" s="5">
        <v>11</v>
      </c>
      <c r="P152" s="5">
        <v>4</v>
      </c>
      <c r="Q152" s="5">
        <v>0</v>
      </c>
      <c r="R152" s="5">
        <v>0</v>
      </c>
      <c r="S152">
        <f t="shared" si="6"/>
        <v>150</v>
      </c>
      <c r="T152" s="9">
        <v>151</v>
      </c>
    </row>
    <row r="153" spans="1:20" ht="30" customHeight="1" x14ac:dyDescent="0.2">
      <c r="A153">
        <v>5</v>
      </c>
      <c r="B153" t="s">
        <v>21</v>
      </c>
      <c r="C153" s="11">
        <v>80003</v>
      </c>
      <c r="D153" s="6" t="s">
        <v>101</v>
      </c>
      <c r="E153" s="7" t="s">
        <v>102</v>
      </c>
      <c r="F153" s="11">
        <v>1</v>
      </c>
      <c r="G153" s="11">
        <f>4.5/150</f>
        <v>0.03</v>
      </c>
      <c r="H153" s="11" t="s">
        <v>85</v>
      </c>
      <c r="I153" s="5">
        <v>0</v>
      </c>
      <c r="J153" s="5">
        <v>8</v>
      </c>
      <c r="K153" s="5">
        <v>26</v>
      </c>
      <c r="L153" s="5">
        <v>41</v>
      </c>
      <c r="M153" s="5">
        <v>38</v>
      </c>
      <c r="N153" s="5">
        <v>22</v>
      </c>
      <c r="O153" s="5">
        <v>11</v>
      </c>
      <c r="P153" s="5">
        <v>4</v>
      </c>
      <c r="Q153" s="5">
        <v>0</v>
      </c>
      <c r="R153" s="5">
        <v>0</v>
      </c>
      <c r="S153">
        <f t="shared" si="6"/>
        <v>150</v>
      </c>
      <c r="T153" s="5">
        <v>152</v>
      </c>
    </row>
    <row r="154" spans="1:20" ht="30" customHeight="1" x14ac:dyDescent="0.2">
      <c r="A154">
        <v>5</v>
      </c>
      <c r="B154" t="s">
        <v>21</v>
      </c>
      <c r="C154" s="11">
        <v>80004</v>
      </c>
      <c r="D154" s="6" t="s">
        <v>99</v>
      </c>
      <c r="E154" s="7" t="s">
        <v>100</v>
      </c>
      <c r="F154" s="11">
        <v>1</v>
      </c>
      <c r="G154" s="11">
        <v>0.5</v>
      </c>
      <c r="H154" s="11">
        <v>624</v>
      </c>
      <c r="I154" s="5">
        <v>0</v>
      </c>
      <c r="J154" s="5">
        <v>3</v>
      </c>
      <c r="K154" s="5">
        <v>3</v>
      </c>
      <c r="L154" s="5">
        <v>3</v>
      </c>
      <c r="M154" s="5">
        <v>3</v>
      </c>
      <c r="N154" s="5">
        <v>1</v>
      </c>
      <c r="O154" s="5">
        <v>0</v>
      </c>
      <c r="P154" s="5">
        <v>0</v>
      </c>
      <c r="Q154" s="5">
        <v>0</v>
      </c>
      <c r="R154" s="5">
        <v>0</v>
      </c>
      <c r="S154">
        <f t="shared" si="6"/>
        <v>13</v>
      </c>
      <c r="T154" s="9">
        <v>153</v>
      </c>
    </row>
    <row r="155" spans="1:20" ht="30" customHeight="1" x14ac:dyDescent="0.2">
      <c r="A155">
        <v>5</v>
      </c>
      <c r="B155" t="s">
        <v>21</v>
      </c>
      <c r="C155" s="11">
        <v>80004</v>
      </c>
      <c r="D155" s="6" t="s">
        <v>99</v>
      </c>
      <c r="E155" s="7" t="s">
        <v>100</v>
      </c>
      <c r="F155" s="11">
        <v>1</v>
      </c>
      <c r="G155" s="11">
        <v>0.5</v>
      </c>
      <c r="H155" s="11">
        <v>81</v>
      </c>
      <c r="I155" s="5">
        <v>0</v>
      </c>
      <c r="J155" s="5">
        <v>3</v>
      </c>
      <c r="K155" s="5">
        <v>3</v>
      </c>
      <c r="L155" s="5">
        <v>3</v>
      </c>
      <c r="M155" s="5">
        <v>3</v>
      </c>
      <c r="N155" s="5">
        <v>1</v>
      </c>
      <c r="O155" s="5">
        <v>0</v>
      </c>
      <c r="P155" s="5">
        <v>0</v>
      </c>
      <c r="Q155" s="5">
        <v>0</v>
      </c>
      <c r="R155" s="5">
        <v>0</v>
      </c>
      <c r="S155">
        <f t="shared" si="6"/>
        <v>13</v>
      </c>
      <c r="T155" s="5">
        <v>154</v>
      </c>
    </row>
    <row r="156" spans="1:20" ht="30" customHeight="1" x14ac:dyDescent="0.2">
      <c r="A156">
        <v>5</v>
      </c>
      <c r="B156" t="s">
        <v>21</v>
      </c>
      <c r="C156" s="11">
        <v>60104</v>
      </c>
      <c r="D156" s="6" t="s">
        <v>124</v>
      </c>
      <c r="E156" s="7" t="s">
        <v>125</v>
      </c>
      <c r="F156" s="11">
        <v>1</v>
      </c>
      <c r="G156" s="11">
        <f>0.98*0.5</f>
        <v>0.49</v>
      </c>
      <c r="H156" s="11">
        <v>484</v>
      </c>
      <c r="I156" s="5">
        <v>0</v>
      </c>
      <c r="J156" s="5">
        <v>42</v>
      </c>
      <c r="K156" s="5">
        <v>18</v>
      </c>
      <c r="L156" s="5">
        <v>0</v>
      </c>
      <c r="M156" s="5">
        <v>0</v>
      </c>
      <c r="N156" s="5">
        <v>0</v>
      </c>
      <c r="O156" s="5">
        <v>0</v>
      </c>
      <c r="P156" s="5">
        <v>0</v>
      </c>
      <c r="Q156" s="5">
        <v>0</v>
      </c>
      <c r="R156" s="5">
        <v>0</v>
      </c>
      <c r="S156">
        <f t="shared" si="6"/>
        <v>60</v>
      </c>
      <c r="T156" s="9">
        <v>155</v>
      </c>
    </row>
    <row r="157" spans="1:20" ht="30" customHeight="1" x14ac:dyDescent="0.2">
      <c r="A157">
        <v>5</v>
      </c>
      <c r="B157" t="s">
        <v>21</v>
      </c>
      <c r="C157" s="11">
        <v>60104</v>
      </c>
      <c r="D157" s="6" t="s">
        <v>124</v>
      </c>
      <c r="E157" s="7" t="s">
        <v>125</v>
      </c>
      <c r="F157" s="11">
        <v>1</v>
      </c>
      <c r="G157" s="11">
        <f>0.98*0.5</f>
        <v>0.49</v>
      </c>
      <c r="H157" s="11">
        <v>493</v>
      </c>
      <c r="I157" s="5">
        <v>0</v>
      </c>
      <c r="J157" s="5">
        <v>42</v>
      </c>
      <c r="K157" s="5">
        <v>18</v>
      </c>
      <c r="L157" s="5">
        <v>0</v>
      </c>
      <c r="M157" s="5">
        <v>0</v>
      </c>
      <c r="N157" s="5">
        <v>0</v>
      </c>
      <c r="O157" s="5">
        <v>0</v>
      </c>
      <c r="P157" s="5">
        <v>0</v>
      </c>
      <c r="Q157" s="5">
        <v>0</v>
      </c>
      <c r="R157" s="5">
        <v>0</v>
      </c>
      <c r="S157">
        <f t="shared" si="6"/>
        <v>60</v>
      </c>
      <c r="T157" s="5">
        <v>156</v>
      </c>
    </row>
    <row r="158" spans="1:20" ht="30" customHeight="1" x14ac:dyDescent="0.2">
      <c r="A158">
        <v>5</v>
      </c>
      <c r="B158" t="s">
        <v>21</v>
      </c>
      <c r="C158" s="11">
        <v>60104</v>
      </c>
      <c r="D158" s="6" t="s">
        <v>124</v>
      </c>
      <c r="E158" s="7" t="s">
        <v>125</v>
      </c>
      <c r="F158" s="11">
        <v>1</v>
      </c>
      <c r="G158" s="11">
        <f>0.02</f>
        <v>0.02</v>
      </c>
      <c r="H158" s="11" t="s">
        <v>85</v>
      </c>
      <c r="I158" s="5">
        <v>0</v>
      </c>
      <c r="J158" s="5">
        <v>42</v>
      </c>
      <c r="K158" s="5">
        <v>18</v>
      </c>
      <c r="L158" s="5">
        <v>0</v>
      </c>
      <c r="M158" s="5">
        <v>0</v>
      </c>
      <c r="N158" s="5">
        <v>0</v>
      </c>
      <c r="O158" s="5">
        <v>0</v>
      </c>
      <c r="P158" s="5">
        <v>0</v>
      </c>
      <c r="Q158" s="5">
        <v>0</v>
      </c>
      <c r="R158" s="5">
        <v>0</v>
      </c>
      <c r="S158">
        <f t="shared" si="6"/>
        <v>60</v>
      </c>
      <c r="T158" s="9">
        <v>157</v>
      </c>
    </row>
    <row r="159" spans="1:20" ht="30" customHeight="1" x14ac:dyDescent="0.2">
      <c r="A159">
        <v>5</v>
      </c>
      <c r="B159" t="s">
        <v>21</v>
      </c>
      <c r="C159" s="11">
        <v>60105</v>
      </c>
      <c r="D159" s="6" t="s">
        <v>126</v>
      </c>
      <c r="E159" s="7" t="s">
        <v>131</v>
      </c>
      <c r="F159" s="11">
        <v>0.65</v>
      </c>
      <c r="G159" s="11">
        <f>205.5/235.5</f>
        <v>0.87261146496815289</v>
      </c>
      <c r="H159" s="11">
        <v>334</v>
      </c>
      <c r="I159" s="5">
        <v>0</v>
      </c>
      <c r="J159" s="5">
        <v>70</v>
      </c>
      <c r="K159" s="5">
        <v>132</v>
      </c>
      <c r="L159" s="5">
        <v>51</v>
      </c>
      <c r="M159" s="5">
        <v>20</v>
      </c>
      <c r="N159" s="5">
        <v>8</v>
      </c>
      <c r="O159" s="5">
        <v>0</v>
      </c>
      <c r="P159" s="5">
        <v>0</v>
      </c>
      <c r="Q159" s="5">
        <v>0</v>
      </c>
      <c r="R159" s="5">
        <v>0</v>
      </c>
      <c r="S159">
        <f t="shared" si="6"/>
        <v>281</v>
      </c>
      <c r="T159" s="5">
        <v>158</v>
      </c>
    </row>
    <row r="160" spans="1:20" ht="30" customHeight="1" x14ac:dyDescent="0.2">
      <c r="A160">
        <v>5</v>
      </c>
      <c r="B160" t="s">
        <v>21</v>
      </c>
      <c r="C160" s="11">
        <v>60105</v>
      </c>
      <c r="D160" s="6" t="s">
        <v>126</v>
      </c>
      <c r="E160" s="7" t="s">
        <v>131</v>
      </c>
      <c r="F160" s="11">
        <v>0.65</v>
      </c>
      <c r="G160" s="11">
        <f>0.5*(25/235.5)</f>
        <v>5.3078556263269641E-2</v>
      </c>
      <c r="H160" s="11" t="s">
        <v>86</v>
      </c>
      <c r="I160" s="5">
        <v>0</v>
      </c>
      <c r="J160" s="5">
        <v>70</v>
      </c>
      <c r="K160" s="5">
        <v>132</v>
      </c>
      <c r="L160" s="5">
        <v>51</v>
      </c>
      <c r="M160" s="5">
        <v>20</v>
      </c>
      <c r="N160" s="5">
        <v>8</v>
      </c>
      <c r="O160" s="5">
        <v>0</v>
      </c>
      <c r="P160" s="5">
        <v>0</v>
      </c>
      <c r="Q160" s="5">
        <v>0</v>
      </c>
      <c r="R160" s="5">
        <v>0</v>
      </c>
      <c r="S160">
        <f t="shared" si="6"/>
        <v>281</v>
      </c>
      <c r="T160" s="9">
        <v>159</v>
      </c>
    </row>
    <row r="161" spans="1:20" ht="30" customHeight="1" x14ac:dyDescent="0.2">
      <c r="A161">
        <v>5</v>
      </c>
      <c r="B161" t="s">
        <v>21</v>
      </c>
      <c r="C161" s="11">
        <v>60105</v>
      </c>
      <c r="D161" s="6" t="s">
        <v>126</v>
      </c>
      <c r="E161" s="7" t="s">
        <v>131</v>
      </c>
      <c r="F161" s="11">
        <v>0.65</v>
      </c>
      <c r="G161" s="11">
        <f>0.5*(25/235.5)</f>
        <v>5.3078556263269641E-2</v>
      </c>
      <c r="H161" s="11">
        <v>81</v>
      </c>
      <c r="I161" s="5">
        <v>0</v>
      </c>
      <c r="J161" s="5">
        <v>70</v>
      </c>
      <c r="K161" s="5">
        <v>132</v>
      </c>
      <c r="L161" s="5">
        <v>51</v>
      </c>
      <c r="M161" s="5">
        <v>20</v>
      </c>
      <c r="N161" s="5">
        <v>8</v>
      </c>
      <c r="O161" s="5">
        <v>0</v>
      </c>
      <c r="P161" s="5">
        <v>0</v>
      </c>
      <c r="Q161" s="5">
        <v>0</v>
      </c>
      <c r="R161" s="5">
        <v>0</v>
      </c>
      <c r="S161">
        <f t="shared" si="6"/>
        <v>281</v>
      </c>
      <c r="T161" s="5">
        <v>160</v>
      </c>
    </row>
    <row r="162" spans="1:20" ht="30" customHeight="1" x14ac:dyDescent="0.2">
      <c r="A162">
        <v>5</v>
      </c>
      <c r="B162" t="s">
        <v>21</v>
      </c>
      <c r="C162" s="11">
        <v>60105</v>
      </c>
      <c r="D162" s="6" t="s">
        <v>126</v>
      </c>
      <c r="E162" s="7" t="s">
        <v>131</v>
      </c>
      <c r="F162" s="11">
        <v>1</v>
      </c>
      <c r="G162" s="11">
        <f>5/235.5</f>
        <v>2.1231422505307854E-2</v>
      </c>
      <c r="H162" s="11" t="s">
        <v>132</v>
      </c>
      <c r="I162" s="5">
        <v>0</v>
      </c>
      <c r="J162" s="5">
        <v>70</v>
      </c>
      <c r="K162" s="5">
        <v>132</v>
      </c>
      <c r="L162" s="5">
        <v>51</v>
      </c>
      <c r="M162" s="5">
        <v>20</v>
      </c>
      <c r="N162" s="5">
        <v>8</v>
      </c>
      <c r="O162" s="5">
        <v>0</v>
      </c>
      <c r="P162" s="5">
        <v>0</v>
      </c>
      <c r="Q162" s="5">
        <v>0</v>
      </c>
      <c r="R162" s="5">
        <v>0</v>
      </c>
      <c r="S162">
        <f t="shared" si="6"/>
        <v>281</v>
      </c>
      <c r="T162" s="9">
        <v>161</v>
      </c>
    </row>
    <row r="163" spans="1:20" ht="30" customHeight="1" x14ac:dyDescent="0.2">
      <c r="A163">
        <v>5</v>
      </c>
      <c r="B163" t="s">
        <v>21</v>
      </c>
      <c r="C163" s="11">
        <v>60106</v>
      </c>
      <c r="D163" s="6" t="s">
        <v>127</v>
      </c>
      <c r="E163" s="7" t="s">
        <v>128</v>
      </c>
      <c r="F163" s="11">
        <v>1</v>
      </c>
      <c r="G163" s="11">
        <f>0.5*(37.5/50)</f>
        <v>0.375</v>
      </c>
      <c r="H163" s="11">
        <v>334</v>
      </c>
      <c r="I163" s="5">
        <v>0</v>
      </c>
      <c r="J163" s="5">
        <v>22</v>
      </c>
      <c r="K163" s="5">
        <v>22</v>
      </c>
      <c r="L163" s="5">
        <v>6</v>
      </c>
      <c r="M163" s="5">
        <v>0</v>
      </c>
      <c r="N163" s="5">
        <v>0</v>
      </c>
      <c r="O163" s="5">
        <v>0</v>
      </c>
      <c r="P163" s="5">
        <v>0</v>
      </c>
      <c r="Q163" s="5">
        <v>0</v>
      </c>
      <c r="R163" s="5">
        <v>0</v>
      </c>
      <c r="S163">
        <f t="shared" si="6"/>
        <v>50</v>
      </c>
      <c r="T163" s="5">
        <v>162</v>
      </c>
    </row>
    <row r="164" spans="1:20" ht="30" customHeight="1" x14ac:dyDescent="0.2">
      <c r="A164">
        <v>5</v>
      </c>
      <c r="B164" t="s">
        <v>21</v>
      </c>
      <c r="C164" s="11">
        <v>60106</v>
      </c>
      <c r="D164" s="6" t="s">
        <v>127</v>
      </c>
      <c r="E164" s="7" t="s">
        <v>128</v>
      </c>
      <c r="F164" s="11">
        <v>1</v>
      </c>
      <c r="G164" s="11">
        <f>0.5*(37.5/50)</f>
        <v>0.375</v>
      </c>
      <c r="H164" s="11">
        <v>81</v>
      </c>
      <c r="I164" s="5">
        <v>0</v>
      </c>
      <c r="J164" s="5">
        <v>22</v>
      </c>
      <c r="K164" s="5">
        <v>22</v>
      </c>
      <c r="L164" s="5">
        <v>6</v>
      </c>
      <c r="M164" s="5">
        <v>0</v>
      </c>
      <c r="N164" s="5">
        <v>0</v>
      </c>
      <c r="O164" s="5">
        <v>0</v>
      </c>
      <c r="P164" s="5">
        <v>0</v>
      </c>
      <c r="Q164" s="5">
        <v>0</v>
      </c>
      <c r="R164" s="5">
        <v>0</v>
      </c>
      <c r="S164">
        <f t="shared" si="6"/>
        <v>50</v>
      </c>
      <c r="T164" s="9">
        <v>163</v>
      </c>
    </row>
    <row r="165" spans="1:20" ht="30" customHeight="1" x14ac:dyDescent="0.2">
      <c r="A165">
        <v>5</v>
      </c>
      <c r="B165" t="s">
        <v>21</v>
      </c>
      <c r="C165" s="11">
        <v>60106</v>
      </c>
      <c r="D165" s="6" t="s">
        <v>127</v>
      </c>
      <c r="E165" s="7" t="s">
        <v>128</v>
      </c>
      <c r="F165" s="11">
        <v>1</v>
      </c>
      <c r="G165" s="11">
        <f>12.5/50</f>
        <v>0.25</v>
      </c>
      <c r="H165" s="11" t="s">
        <v>86</v>
      </c>
      <c r="I165" s="5">
        <v>0</v>
      </c>
      <c r="J165" s="5">
        <v>22</v>
      </c>
      <c r="K165" s="5">
        <v>22</v>
      </c>
      <c r="L165" s="5">
        <v>6</v>
      </c>
      <c r="M165" s="5">
        <v>0</v>
      </c>
      <c r="N165" s="5">
        <v>0</v>
      </c>
      <c r="O165" s="5">
        <v>0</v>
      </c>
      <c r="P165" s="5">
        <v>0</v>
      </c>
      <c r="Q165" s="5">
        <v>0</v>
      </c>
      <c r="R165" s="5">
        <v>0</v>
      </c>
      <c r="S165">
        <f t="shared" si="6"/>
        <v>50</v>
      </c>
      <c r="T165" s="5">
        <v>164</v>
      </c>
    </row>
    <row r="166" spans="1:20" ht="30" customHeight="1" x14ac:dyDescent="0.2">
      <c r="A166">
        <v>5</v>
      </c>
      <c r="B166" t="s">
        <v>21</v>
      </c>
      <c r="C166" s="11">
        <v>60108</v>
      </c>
      <c r="D166" s="6" t="s">
        <v>130</v>
      </c>
      <c r="E166" s="7" t="s">
        <v>129</v>
      </c>
      <c r="F166" s="11">
        <v>1</v>
      </c>
      <c r="G166" s="11">
        <f>5/15</f>
        <v>0.33333333333333331</v>
      </c>
      <c r="H166" s="11" t="s">
        <v>86</v>
      </c>
      <c r="I166" s="5">
        <v>0</v>
      </c>
      <c r="J166" s="5">
        <v>6</v>
      </c>
      <c r="K166" s="5">
        <v>8</v>
      </c>
      <c r="L166" s="5">
        <v>1</v>
      </c>
      <c r="M166" s="5">
        <v>0</v>
      </c>
      <c r="N166" s="5">
        <v>0</v>
      </c>
      <c r="O166" s="5">
        <v>0</v>
      </c>
      <c r="P166" s="5">
        <v>0</v>
      </c>
      <c r="Q166" s="5">
        <v>0</v>
      </c>
      <c r="R166" s="5">
        <v>0</v>
      </c>
      <c r="S166">
        <f t="shared" si="6"/>
        <v>15</v>
      </c>
      <c r="T166" s="9">
        <v>165</v>
      </c>
    </row>
    <row r="167" spans="1:20" ht="30" customHeight="1" x14ac:dyDescent="0.2">
      <c r="A167">
        <v>5</v>
      </c>
      <c r="B167" t="s">
        <v>21</v>
      </c>
      <c r="C167" s="11">
        <v>60108</v>
      </c>
      <c r="D167" s="6" t="s">
        <v>130</v>
      </c>
      <c r="E167" s="7" t="s">
        <v>129</v>
      </c>
      <c r="F167" s="11">
        <v>1</v>
      </c>
      <c r="G167" s="11">
        <f>10/15</f>
        <v>0.66666666666666663</v>
      </c>
      <c r="H167" s="11" t="s">
        <v>165</v>
      </c>
      <c r="I167" s="5">
        <v>0</v>
      </c>
      <c r="J167" s="5">
        <v>6</v>
      </c>
      <c r="K167" s="5">
        <v>8</v>
      </c>
      <c r="L167" s="5">
        <v>1</v>
      </c>
      <c r="M167" s="5">
        <v>0</v>
      </c>
      <c r="N167" s="5">
        <v>0</v>
      </c>
      <c r="O167" s="5">
        <v>0</v>
      </c>
      <c r="P167" s="5">
        <v>0</v>
      </c>
      <c r="Q167" s="5">
        <v>0</v>
      </c>
      <c r="R167" s="5">
        <v>0</v>
      </c>
      <c r="S167">
        <f t="shared" si="6"/>
        <v>15</v>
      </c>
      <c r="T167" s="5">
        <v>166</v>
      </c>
    </row>
    <row r="168" spans="1:20" ht="30" customHeight="1" x14ac:dyDescent="0.2">
      <c r="A168">
        <v>5</v>
      </c>
      <c r="B168" t="s">
        <v>21</v>
      </c>
      <c r="C168" s="11">
        <v>60109</v>
      </c>
      <c r="D168" s="6" t="s">
        <v>133</v>
      </c>
      <c r="E168" s="7" t="s">
        <v>208</v>
      </c>
      <c r="F168" s="11">
        <v>1</v>
      </c>
      <c r="G168" s="11">
        <f>(20+0.97*15)/38.5</f>
        <v>0.89740259740259731</v>
      </c>
      <c r="H168" s="11">
        <v>339</v>
      </c>
      <c r="I168" s="5">
        <v>0</v>
      </c>
      <c r="J168" s="5">
        <v>15</v>
      </c>
      <c r="K168" s="5">
        <v>12</v>
      </c>
      <c r="L168" s="5">
        <v>8</v>
      </c>
      <c r="M168" s="5">
        <v>4</v>
      </c>
      <c r="N168" s="5">
        <v>0</v>
      </c>
      <c r="O168" s="5">
        <v>0</v>
      </c>
      <c r="P168" s="5">
        <v>0</v>
      </c>
      <c r="Q168" s="5">
        <v>0</v>
      </c>
      <c r="R168" s="5">
        <v>0</v>
      </c>
      <c r="S168">
        <f t="shared" si="6"/>
        <v>39</v>
      </c>
      <c r="T168" s="9">
        <v>167</v>
      </c>
    </row>
    <row r="169" spans="1:20" ht="30" customHeight="1" x14ac:dyDescent="0.2">
      <c r="A169">
        <v>5</v>
      </c>
      <c r="B169" t="s">
        <v>21</v>
      </c>
      <c r="C169" s="11">
        <v>60109</v>
      </c>
      <c r="D169" s="6" t="s">
        <v>133</v>
      </c>
      <c r="E169" s="7" t="s">
        <v>208</v>
      </c>
      <c r="F169" s="11">
        <v>1</v>
      </c>
      <c r="G169" s="11">
        <f>(0.03*15+3.5)/38.5</f>
        <v>0.1025974025974026</v>
      </c>
      <c r="H169" s="11" t="s">
        <v>85</v>
      </c>
      <c r="I169" s="5">
        <v>0</v>
      </c>
      <c r="J169" s="5">
        <v>15</v>
      </c>
      <c r="K169" s="5">
        <v>12</v>
      </c>
      <c r="L169" s="5">
        <v>8</v>
      </c>
      <c r="M169" s="5">
        <v>4</v>
      </c>
      <c r="N169" s="5">
        <v>0</v>
      </c>
      <c r="O169" s="5">
        <v>0</v>
      </c>
      <c r="P169" s="5">
        <v>0</v>
      </c>
      <c r="Q169" s="5">
        <v>0</v>
      </c>
      <c r="R169" s="5">
        <v>0</v>
      </c>
      <c r="S169">
        <f t="shared" si="6"/>
        <v>39</v>
      </c>
      <c r="T169" s="5">
        <v>168</v>
      </c>
    </row>
    <row r="170" spans="1:20" ht="30" customHeight="1" x14ac:dyDescent="0.2">
      <c r="A170">
        <v>5</v>
      </c>
      <c r="B170" t="s">
        <v>21</v>
      </c>
      <c r="C170" s="11">
        <v>60110</v>
      </c>
      <c r="D170" s="6" t="s">
        <v>134</v>
      </c>
      <c r="E170" s="7" t="s">
        <v>139</v>
      </c>
      <c r="F170" s="11">
        <v>1</v>
      </c>
      <c r="G170" s="11">
        <v>1</v>
      </c>
      <c r="H170" s="11">
        <v>5415</v>
      </c>
      <c r="I170" s="5">
        <v>0</v>
      </c>
      <c r="J170" s="5">
        <v>14</v>
      </c>
      <c r="K170" s="5">
        <v>11</v>
      </c>
      <c r="L170" s="5">
        <v>0</v>
      </c>
      <c r="M170" s="5">
        <v>0</v>
      </c>
      <c r="N170" s="5">
        <v>0</v>
      </c>
      <c r="O170" s="5">
        <v>0</v>
      </c>
      <c r="P170" s="5">
        <v>0</v>
      </c>
      <c r="Q170" s="5">
        <v>0</v>
      </c>
      <c r="R170" s="5">
        <v>0</v>
      </c>
      <c r="S170">
        <f t="shared" si="6"/>
        <v>25</v>
      </c>
      <c r="T170" s="9">
        <v>169</v>
      </c>
    </row>
    <row r="171" spans="1:20" ht="30" customHeight="1" x14ac:dyDescent="0.2">
      <c r="A171">
        <v>5</v>
      </c>
      <c r="B171" t="s">
        <v>21</v>
      </c>
      <c r="C171" s="11">
        <v>60111</v>
      </c>
      <c r="D171" s="6" t="s">
        <v>135</v>
      </c>
      <c r="E171" s="7" t="s">
        <v>136</v>
      </c>
      <c r="F171" s="11">
        <v>1</v>
      </c>
      <c r="G171" s="11">
        <v>1</v>
      </c>
      <c r="H171" s="11">
        <v>55</v>
      </c>
      <c r="I171" s="5">
        <v>0</v>
      </c>
      <c r="J171" s="5">
        <v>3</v>
      </c>
      <c r="K171" s="5">
        <v>2</v>
      </c>
      <c r="L171" s="5">
        <v>0</v>
      </c>
      <c r="M171" s="5">
        <v>0</v>
      </c>
      <c r="N171" s="5">
        <v>0</v>
      </c>
      <c r="O171" s="5">
        <v>0</v>
      </c>
      <c r="P171" s="5">
        <v>0</v>
      </c>
      <c r="Q171" s="5">
        <v>0</v>
      </c>
      <c r="R171" s="5">
        <v>0</v>
      </c>
      <c r="S171">
        <f t="shared" si="6"/>
        <v>5</v>
      </c>
      <c r="T171" s="5">
        <v>170</v>
      </c>
    </row>
    <row r="172" spans="1:20" ht="30" customHeight="1" x14ac:dyDescent="0.2">
      <c r="A172">
        <v>5</v>
      </c>
      <c r="B172" t="s">
        <v>21</v>
      </c>
      <c r="C172" s="11">
        <v>60401</v>
      </c>
      <c r="D172" s="6" t="s">
        <v>138</v>
      </c>
      <c r="E172" s="7" t="s">
        <v>137</v>
      </c>
      <c r="F172" s="11">
        <v>1</v>
      </c>
      <c r="G172" s="11">
        <v>1</v>
      </c>
      <c r="H172" s="11">
        <v>514</v>
      </c>
      <c r="I172" s="5">
        <v>0</v>
      </c>
      <c r="J172" s="5">
        <v>5</v>
      </c>
      <c r="K172" s="5">
        <v>8</v>
      </c>
      <c r="L172" s="5">
        <v>8</v>
      </c>
      <c r="M172" s="5">
        <v>8</v>
      </c>
      <c r="N172" s="5">
        <v>4</v>
      </c>
      <c r="O172" s="5">
        <v>0</v>
      </c>
      <c r="P172" s="5">
        <v>0</v>
      </c>
      <c r="Q172" s="5">
        <v>0</v>
      </c>
      <c r="R172" s="5">
        <v>0</v>
      </c>
      <c r="S172">
        <f t="shared" si="6"/>
        <v>33</v>
      </c>
      <c r="T172" s="9">
        <v>171</v>
      </c>
    </row>
    <row r="173" spans="1:20" ht="30" customHeight="1" x14ac:dyDescent="0.2">
      <c r="A173">
        <v>6</v>
      </c>
      <c r="B173" t="s">
        <v>22</v>
      </c>
      <c r="C173" s="11">
        <v>21001</v>
      </c>
      <c r="D173" s="7" t="s">
        <v>59</v>
      </c>
      <c r="E173" s="11" t="s">
        <v>195</v>
      </c>
      <c r="F173" s="11">
        <v>1</v>
      </c>
      <c r="G173" s="11">
        <f>8.45/(8.45+3.25+1.4+4.95)</f>
        <v>0.46814404432132956</v>
      </c>
      <c r="H173" s="11" t="s">
        <v>122</v>
      </c>
      <c r="I173" s="5">
        <v>0</v>
      </c>
      <c r="J173" s="5">
        <v>178</v>
      </c>
      <c r="K173" s="5">
        <v>620</v>
      </c>
      <c r="L173" s="9">
        <v>1268</v>
      </c>
      <c r="M173" s="9">
        <v>2267</v>
      </c>
      <c r="N173" s="9">
        <v>3139</v>
      </c>
      <c r="O173" s="9">
        <v>2964</v>
      </c>
      <c r="P173" s="9">
        <v>2510</v>
      </c>
      <c r="Q173" s="9">
        <v>1674</v>
      </c>
      <c r="R173" s="5">
        <v>694</v>
      </c>
      <c r="S173">
        <f t="shared" si="6"/>
        <v>15314</v>
      </c>
      <c r="T173" s="5">
        <v>172</v>
      </c>
    </row>
    <row r="174" spans="1:20" ht="30" customHeight="1" x14ac:dyDescent="0.2">
      <c r="A174">
        <v>6</v>
      </c>
      <c r="B174" t="s">
        <v>22</v>
      </c>
      <c r="C174" s="11">
        <v>21001</v>
      </c>
      <c r="D174" s="7" t="s">
        <v>60</v>
      </c>
      <c r="E174" s="11" t="s">
        <v>196</v>
      </c>
      <c r="F174" s="11">
        <v>1</v>
      </c>
      <c r="G174" s="11">
        <f>3.25/(8.45+3.25+1.4+4.95)</f>
        <v>0.18005540166204986</v>
      </c>
      <c r="H174" s="11" t="s">
        <v>122</v>
      </c>
      <c r="I174" s="5">
        <v>0</v>
      </c>
      <c r="J174" s="5">
        <v>178</v>
      </c>
      <c r="K174" s="5">
        <v>620</v>
      </c>
      <c r="L174" s="9">
        <v>1268</v>
      </c>
      <c r="M174" s="9">
        <v>2267</v>
      </c>
      <c r="N174" s="9">
        <v>3139</v>
      </c>
      <c r="O174" s="9">
        <v>2964</v>
      </c>
      <c r="P174" s="9">
        <v>2510</v>
      </c>
      <c r="Q174" s="9">
        <v>1674</v>
      </c>
      <c r="R174" s="5">
        <v>694</v>
      </c>
      <c r="S174">
        <f t="shared" si="6"/>
        <v>15314</v>
      </c>
      <c r="T174" s="9">
        <v>173</v>
      </c>
    </row>
    <row r="175" spans="1:20" ht="30" customHeight="1" x14ac:dyDescent="0.2">
      <c r="A175">
        <v>6</v>
      </c>
      <c r="B175" t="s">
        <v>22</v>
      </c>
      <c r="C175" s="11">
        <v>21001</v>
      </c>
      <c r="D175" s="7" t="s">
        <v>62</v>
      </c>
      <c r="E175" s="11" t="s">
        <v>197</v>
      </c>
      <c r="F175" s="11">
        <v>1</v>
      </c>
      <c r="G175" s="11">
        <f>0.5*1.4/(8.45+3.25+1.4+4.95)</f>
        <v>3.8781163434903045E-2</v>
      </c>
      <c r="H175" s="11" t="s">
        <v>122</v>
      </c>
      <c r="I175" s="5">
        <v>0</v>
      </c>
      <c r="J175" s="5">
        <v>178</v>
      </c>
      <c r="K175" s="5">
        <v>620</v>
      </c>
      <c r="L175" s="9">
        <v>1268</v>
      </c>
      <c r="M175" s="9">
        <v>2267</v>
      </c>
      <c r="N175" s="9">
        <v>3139</v>
      </c>
      <c r="O175" s="9">
        <v>2964</v>
      </c>
      <c r="P175" s="9">
        <v>2510</v>
      </c>
      <c r="Q175" s="9">
        <v>1674</v>
      </c>
      <c r="R175" s="5">
        <v>694</v>
      </c>
      <c r="S175">
        <f t="shared" si="6"/>
        <v>15314</v>
      </c>
      <c r="T175" s="5">
        <v>174</v>
      </c>
    </row>
    <row r="176" spans="1:20" ht="30" customHeight="1" x14ac:dyDescent="0.2">
      <c r="A176">
        <v>6</v>
      </c>
      <c r="B176" t="s">
        <v>22</v>
      </c>
      <c r="C176" s="11">
        <v>21001</v>
      </c>
      <c r="D176" s="7" t="s">
        <v>62</v>
      </c>
      <c r="E176" s="11" t="s">
        <v>197</v>
      </c>
      <c r="F176" s="11">
        <v>1</v>
      </c>
      <c r="G176" s="11">
        <f>0.5*1.4/(8.45+3.25+1.4+4.95)</f>
        <v>3.8781163434903045E-2</v>
      </c>
      <c r="H176" s="11">
        <v>23</v>
      </c>
      <c r="I176" s="5">
        <v>0</v>
      </c>
      <c r="J176" s="5">
        <v>178</v>
      </c>
      <c r="K176" s="5">
        <v>620</v>
      </c>
      <c r="L176" s="9">
        <v>1268</v>
      </c>
      <c r="M176" s="9">
        <v>2267</v>
      </c>
      <c r="N176" s="9">
        <v>3139</v>
      </c>
      <c r="O176" s="9">
        <v>2964</v>
      </c>
      <c r="P176" s="9">
        <v>2510</v>
      </c>
      <c r="Q176" s="9">
        <v>1674</v>
      </c>
      <c r="R176" s="5">
        <v>694</v>
      </c>
      <c r="S176">
        <f t="shared" si="6"/>
        <v>15314</v>
      </c>
      <c r="T176" s="9">
        <v>175</v>
      </c>
    </row>
    <row r="177" spans="1:20" ht="30" customHeight="1" x14ac:dyDescent="0.2">
      <c r="A177">
        <v>6</v>
      </c>
      <c r="B177" t="s">
        <v>22</v>
      </c>
      <c r="C177" s="11">
        <v>21001</v>
      </c>
      <c r="D177" s="7" t="s">
        <v>61</v>
      </c>
      <c r="E177" s="11" t="s">
        <v>198</v>
      </c>
      <c r="F177" s="11">
        <v>1</v>
      </c>
      <c r="G177" s="11">
        <f>4.95/(8.45+3.25+1.4+4.95)</f>
        <v>0.2742382271468144</v>
      </c>
      <c r="H177" s="11" t="s">
        <v>122</v>
      </c>
      <c r="I177" s="5">
        <v>0</v>
      </c>
      <c r="J177" s="5">
        <v>178</v>
      </c>
      <c r="K177" s="5">
        <v>620</v>
      </c>
      <c r="L177" s="9">
        <v>1268</v>
      </c>
      <c r="M177" s="9">
        <v>2267</v>
      </c>
      <c r="N177" s="9">
        <v>3139</v>
      </c>
      <c r="O177" s="9">
        <v>2964</v>
      </c>
      <c r="P177" s="9">
        <v>2510</v>
      </c>
      <c r="Q177" s="9">
        <v>1674</v>
      </c>
      <c r="R177" s="5">
        <v>694</v>
      </c>
      <c r="S177">
        <f t="shared" si="6"/>
        <v>15314</v>
      </c>
      <c r="T177" s="5">
        <v>176</v>
      </c>
    </row>
    <row r="178" spans="1:20" ht="30" customHeight="1" x14ac:dyDescent="0.2">
      <c r="A178">
        <v>6</v>
      </c>
      <c r="B178" t="s">
        <v>22</v>
      </c>
      <c r="C178" s="11">
        <v>40001</v>
      </c>
      <c r="D178" s="7" t="s">
        <v>63</v>
      </c>
      <c r="E178" s="11" t="s">
        <v>123</v>
      </c>
      <c r="F178" s="11">
        <v>1</v>
      </c>
      <c r="G178" s="11">
        <v>0.5</v>
      </c>
      <c r="H178" s="11" t="s">
        <v>86</v>
      </c>
      <c r="I178" s="5">
        <v>0</v>
      </c>
      <c r="J178" s="5">
        <v>10</v>
      </c>
      <c r="K178" s="5">
        <v>230</v>
      </c>
      <c r="L178" s="5">
        <v>660</v>
      </c>
      <c r="M178" s="5">
        <v>945</v>
      </c>
      <c r="N178" s="5">
        <v>605</v>
      </c>
      <c r="O178" s="5">
        <v>100</v>
      </c>
      <c r="P178" s="5">
        <v>0</v>
      </c>
      <c r="Q178" s="5">
        <v>0</v>
      </c>
      <c r="R178" s="5">
        <v>0</v>
      </c>
      <c r="S178">
        <f t="shared" si="6"/>
        <v>2550</v>
      </c>
      <c r="T178" s="9">
        <v>177</v>
      </c>
    </row>
    <row r="179" spans="1:20" ht="30" customHeight="1" x14ac:dyDescent="0.2">
      <c r="A179">
        <v>6</v>
      </c>
      <c r="B179" t="s">
        <v>22</v>
      </c>
      <c r="C179" s="11">
        <v>40001</v>
      </c>
      <c r="D179" s="7" t="s">
        <v>63</v>
      </c>
      <c r="E179" s="11" t="s">
        <v>123</v>
      </c>
      <c r="F179" s="11">
        <v>1</v>
      </c>
      <c r="G179" s="11">
        <v>0.5</v>
      </c>
      <c r="H179" s="11">
        <v>81</v>
      </c>
      <c r="I179" s="5">
        <v>0</v>
      </c>
      <c r="J179" s="5">
        <v>10</v>
      </c>
      <c r="K179" s="5">
        <v>230</v>
      </c>
      <c r="L179" s="5">
        <v>660</v>
      </c>
      <c r="M179" s="5">
        <v>945</v>
      </c>
      <c r="N179" s="5">
        <v>605</v>
      </c>
      <c r="O179" s="5">
        <v>100</v>
      </c>
      <c r="P179" s="5">
        <v>0</v>
      </c>
      <c r="Q179" s="5">
        <v>0</v>
      </c>
      <c r="R179" s="5">
        <v>0</v>
      </c>
      <c r="S179">
        <f t="shared" si="6"/>
        <v>2550</v>
      </c>
      <c r="T179" s="5">
        <v>178</v>
      </c>
    </row>
    <row r="180" spans="1:20" ht="30" customHeight="1" x14ac:dyDescent="0.2">
      <c r="A180">
        <v>6</v>
      </c>
      <c r="B180" t="s">
        <v>22</v>
      </c>
      <c r="C180" s="11">
        <v>23003</v>
      </c>
      <c r="D180" s="7" t="s">
        <v>64</v>
      </c>
      <c r="E180" s="11" t="s">
        <v>121</v>
      </c>
      <c r="F180" s="11">
        <v>1</v>
      </c>
      <c r="G180" s="11">
        <f>0.7/2.2</f>
        <v>0.31818181818181812</v>
      </c>
      <c r="H180" s="11">
        <v>23</v>
      </c>
      <c r="I180" s="5">
        <v>0</v>
      </c>
      <c r="J180" s="5">
        <v>65</v>
      </c>
      <c r="K180" s="5">
        <v>150</v>
      </c>
      <c r="L180" s="5">
        <v>290</v>
      </c>
      <c r="M180" s="5">
        <v>290</v>
      </c>
      <c r="N180" s="5">
        <v>290</v>
      </c>
      <c r="O180" s="5">
        <v>285</v>
      </c>
      <c r="P180" s="5">
        <v>250</v>
      </c>
      <c r="Q180" s="5">
        <v>220</v>
      </c>
      <c r="R180" s="5">
        <v>160</v>
      </c>
      <c r="S180">
        <f t="shared" ref="S180:S211" si="7">SUM(I180:R180)</f>
        <v>2000</v>
      </c>
      <c r="T180" s="9">
        <v>179</v>
      </c>
    </row>
    <row r="181" spans="1:20" ht="30" customHeight="1" x14ac:dyDescent="0.2">
      <c r="A181">
        <v>6</v>
      </c>
      <c r="B181" t="s">
        <v>22</v>
      </c>
      <c r="C181" s="11">
        <v>23003</v>
      </c>
      <c r="D181" s="7" t="s">
        <v>64</v>
      </c>
      <c r="E181" s="11" t="s">
        <v>121</v>
      </c>
      <c r="F181" s="11">
        <v>1</v>
      </c>
      <c r="G181" s="11">
        <f>1.5/2.2</f>
        <v>0.68181818181818177</v>
      </c>
      <c r="H181" s="11" t="s">
        <v>107</v>
      </c>
      <c r="I181" s="5">
        <v>0</v>
      </c>
      <c r="J181" s="5">
        <v>65</v>
      </c>
      <c r="K181" s="5">
        <v>150</v>
      </c>
      <c r="L181" s="5">
        <v>290</v>
      </c>
      <c r="M181" s="5">
        <v>290</v>
      </c>
      <c r="N181" s="5">
        <v>290</v>
      </c>
      <c r="O181" s="5">
        <v>285</v>
      </c>
      <c r="P181" s="5">
        <v>250</v>
      </c>
      <c r="Q181" s="5">
        <v>220</v>
      </c>
      <c r="R181" s="5">
        <v>160</v>
      </c>
      <c r="S181">
        <f t="shared" si="7"/>
        <v>2000</v>
      </c>
      <c r="T181" s="5">
        <v>180</v>
      </c>
    </row>
    <row r="182" spans="1:20" ht="30" customHeight="1" x14ac:dyDescent="0.2">
      <c r="A182">
        <v>6</v>
      </c>
      <c r="B182" t="s">
        <v>22</v>
      </c>
      <c r="C182" s="11">
        <v>23001</v>
      </c>
      <c r="D182" s="7" t="s">
        <v>65</v>
      </c>
      <c r="E182" s="11" t="s">
        <v>117</v>
      </c>
      <c r="F182" s="11">
        <v>1</v>
      </c>
      <c r="G182" s="11">
        <f>1.8/2.15</f>
        <v>0.83720930232558144</v>
      </c>
      <c r="H182" s="11">
        <v>562</v>
      </c>
      <c r="I182" s="5">
        <v>0</v>
      </c>
      <c r="J182" s="5">
        <v>30</v>
      </c>
      <c r="K182" s="5">
        <v>120</v>
      </c>
      <c r="L182" s="5">
        <v>165</v>
      </c>
      <c r="M182" s="5">
        <v>370</v>
      </c>
      <c r="N182" s="5">
        <v>470</v>
      </c>
      <c r="O182" s="5">
        <v>420</v>
      </c>
      <c r="P182" s="5">
        <v>285</v>
      </c>
      <c r="Q182" s="5">
        <v>220</v>
      </c>
      <c r="R182" s="5">
        <v>65</v>
      </c>
      <c r="S182">
        <f t="shared" si="7"/>
        <v>2145</v>
      </c>
      <c r="T182" s="9">
        <v>181</v>
      </c>
    </row>
    <row r="183" spans="1:20" ht="30" customHeight="1" x14ac:dyDescent="0.2">
      <c r="A183">
        <v>6</v>
      </c>
      <c r="B183" t="s">
        <v>22</v>
      </c>
      <c r="C183" s="11">
        <v>23001</v>
      </c>
      <c r="D183" s="7" t="s">
        <v>65</v>
      </c>
      <c r="E183" s="11" t="s">
        <v>118</v>
      </c>
      <c r="F183" s="11">
        <v>1</v>
      </c>
      <c r="G183" s="11">
        <f>0.2/2.15</f>
        <v>9.3023255813953501E-2</v>
      </c>
      <c r="H183" s="11" t="s">
        <v>107</v>
      </c>
      <c r="I183" s="5">
        <v>0</v>
      </c>
      <c r="J183" s="5">
        <v>30</v>
      </c>
      <c r="K183" s="5">
        <v>120</v>
      </c>
      <c r="L183" s="5">
        <v>165</v>
      </c>
      <c r="M183" s="5">
        <v>370</v>
      </c>
      <c r="N183" s="5">
        <v>470</v>
      </c>
      <c r="O183" s="5">
        <v>420</v>
      </c>
      <c r="P183" s="5">
        <v>285</v>
      </c>
      <c r="Q183" s="5">
        <v>220</v>
      </c>
      <c r="R183" s="5">
        <v>65</v>
      </c>
      <c r="S183">
        <f t="shared" si="7"/>
        <v>2145</v>
      </c>
      <c r="T183" s="5">
        <v>182</v>
      </c>
    </row>
    <row r="184" spans="1:20" ht="30" customHeight="1" x14ac:dyDescent="0.2">
      <c r="A184">
        <v>6</v>
      </c>
      <c r="B184" t="s">
        <v>22</v>
      </c>
      <c r="C184" s="11">
        <v>23001</v>
      </c>
      <c r="D184" s="7" t="s">
        <v>65</v>
      </c>
      <c r="E184" s="11" t="s">
        <v>119</v>
      </c>
      <c r="F184" s="11">
        <v>1</v>
      </c>
      <c r="G184" s="11">
        <f>0.1/2.15</f>
        <v>4.651162790697675E-2</v>
      </c>
      <c r="H184" s="11" t="s">
        <v>86</v>
      </c>
      <c r="I184" s="5">
        <v>0</v>
      </c>
      <c r="J184" s="5">
        <v>30</v>
      </c>
      <c r="K184" s="5">
        <v>120</v>
      </c>
      <c r="L184" s="5">
        <v>165</v>
      </c>
      <c r="M184" s="5">
        <v>370</v>
      </c>
      <c r="N184" s="5">
        <v>470</v>
      </c>
      <c r="O184" s="5">
        <v>420</v>
      </c>
      <c r="P184" s="5">
        <v>285</v>
      </c>
      <c r="Q184" s="5">
        <v>220</v>
      </c>
      <c r="R184" s="5">
        <v>65</v>
      </c>
      <c r="S184">
        <f t="shared" si="7"/>
        <v>2145</v>
      </c>
      <c r="T184" s="9">
        <v>183</v>
      </c>
    </row>
    <row r="185" spans="1:20" ht="30" customHeight="1" x14ac:dyDescent="0.2">
      <c r="A185">
        <v>6</v>
      </c>
      <c r="B185" t="s">
        <v>22</v>
      </c>
      <c r="C185" s="11">
        <v>23001</v>
      </c>
      <c r="D185" s="7" t="s">
        <v>65</v>
      </c>
      <c r="E185" s="11" t="s">
        <v>120</v>
      </c>
      <c r="F185" s="11">
        <v>1</v>
      </c>
      <c r="G185" s="11">
        <f>0.05/2.15</f>
        <v>2.3255813953488375E-2</v>
      </c>
      <c r="H185" s="11" t="s">
        <v>107</v>
      </c>
      <c r="I185" s="5">
        <v>0</v>
      </c>
      <c r="J185" s="5">
        <v>30</v>
      </c>
      <c r="K185" s="5">
        <v>120</v>
      </c>
      <c r="L185" s="5">
        <v>165</v>
      </c>
      <c r="M185" s="5">
        <v>370</v>
      </c>
      <c r="N185" s="5">
        <v>470</v>
      </c>
      <c r="O185" s="5">
        <v>420</v>
      </c>
      <c r="P185" s="5">
        <v>285</v>
      </c>
      <c r="Q185" s="5">
        <v>220</v>
      </c>
      <c r="R185" s="5">
        <v>65</v>
      </c>
      <c r="S185">
        <f t="shared" si="7"/>
        <v>2145</v>
      </c>
      <c r="T185" s="5">
        <v>184</v>
      </c>
    </row>
    <row r="186" spans="1:20" ht="30" customHeight="1" x14ac:dyDescent="0.2">
      <c r="A186">
        <v>6</v>
      </c>
      <c r="B186" t="s">
        <v>22</v>
      </c>
      <c r="C186" s="11">
        <v>50221</v>
      </c>
      <c r="D186" s="7" t="s">
        <v>66</v>
      </c>
      <c r="E186" s="11" t="s">
        <v>114</v>
      </c>
      <c r="F186" s="11">
        <v>1</v>
      </c>
      <c r="G186" s="11">
        <v>1</v>
      </c>
      <c r="H186" s="11">
        <v>81</v>
      </c>
      <c r="I186" s="5">
        <v>0</v>
      </c>
      <c r="J186" s="5">
        <v>40</v>
      </c>
      <c r="K186" s="5">
        <v>60</v>
      </c>
      <c r="L186" s="5">
        <v>52</v>
      </c>
      <c r="M186" s="5">
        <v>40</v>
      </c>
      <c r="N186" s="5">
        <v>27</v>
      </c>
      <c r="O186" s="5">
        <v>19</v>
      </c>
      <c r="P186" s="5">
        <v>10</v>
      </c>
      <c r="Q186" s="5">
        <v>2</v>
      </c>
      <c r="R186" s="5">
        <v>0</v>
      </c>
      <c r="S186">
        <f t="shared" si="7"/>
        <v>250</v>
      </c>
      <c r="T186" s="9">
        <v>185</v>
      </c>
    </row>
    <row r="187" spans="1:20" ht="30" customHeight="1" x14ac:dyDescent="0.2">
      <c r="A187">
        <v>6</v>
      </c>
      <c r="B187" t="s">
        <v>22</v>
      </c>
      <c r="C187" s="11">
        <v>50222</v>
      </c>
      <c r="D187" s="7" t="s">
        <v>66</v>
      </c>
      <c r="E187" s="11" t="s">
        <v>115</v>
      </c>
      <c r="F187" s="11">
        <v>1</v>
      </c>
      <c r="G187" s="11">
        <v>1</v>
      </c>
      <c r="H187" s="11">
        <v>81</v>
      </c>
      <c r="I187" s="5">
        <v>0</v>
      </c>
      <c r="J187" s="5">
        <v>40</v>
      </c>
      <c r="K187" s="5">
        <v>60</v>
      </c>
      <c r="L187" s="5">
        <v>52</v>
      </c>
      <c r="M187" s="5">
        <v>40</v>
      </c>
      <c r="N187" s="5">
        <v>27</v>
      </c>
      <c r="O187" s="5">
        <v>19</v>
      </c>
      <c r="P187" s="5">
        <v>10</v>
      </c>
      <c r="Q187" s="5">
        <v>2</v>
      </c>
      <c r="R187" s="5">
        <v>0</v>
      </c>
      <c r="S187">
        <f t="shared" si="7"/>
        <v>250</v>
      </c>
      <c r="T187" s="5">
        <v>186</v>
      </c>
    </row>
    <row r="188" spans="1:20" ht="30" customHeight="1" x14ac:dyDescent="0.2">
      <c r="A188">
        <v>6</v>
      </c>
      <c r="B188" t="s">
        <v>22</v>
      </c>
      <c r="C188" s="11">
        <v>50223</v>
      </c>
      <c r="D188" s="7" t="s">
        <v>66</v>
      </c>
      <c r="E188" s="11" t="s">
        <v>113</v>
      </c>
      <c r="F188" s="11">
        <v>1</v>
      </c>
      <c r="G188" s="11">
        <v>1</v>
      </c>
      <c r="H188" s="11">
        <v>81</v>
      </c>
      <c r="I188" s="5">
        <v>0</v>
      </c>
      <c r="J188" s="5">
        <v>49</v>
      </c>
      <c r="K188" s="5">
        <v>62</v>
      </c>
      <c r="L188" s="5">
        <v>62</v>
      </c>
      <c r="M188" s="5">
        <v>62</v>
      </c>
      <c r="N188" s="5">
        <v>63</v>
      </c>
      <c r="O188" s="5">
        <v>63</v>
      </c>
      <c r="P188" s="5">
        <v>63</v>
      </c>
      <c r="Q188" s="5">
        <v>64</v>
      </c>
      <c r="R188" s="5">
        <v>12</v>
      </c>
      <c r="S188">
        <f t="shared" si="7"/>
        <v>500</v>
      </c>
      <c r="T188" s="9">
        <v>187</v>
      </c>
    </row>
    <row r="189" spans="1:20" ht="30" customHeight="1" x14ac:dyDescent="0.2">
      <c r="A189">
        <v>6</v>
      </c>
      <c r="B189" t="s">
        <v>22</v>
      </c>
      <c r="C189" s="11">
        <v>50224</v>
      </c>
      <c r="D189" s="7" t="s">
        <v>66</v>
      </c>
      <c r="E189" s="11" t="s">
        <v>116</v>
      </c>
      <c r="F189" s="11">
        <v>1</v>
      </c>
      <c r="G189" s="11">
        <v>1</v>
      </c>
      <c r="H189" s="11">
        <v>23</v>
      </c>
      <c r="I189" s="5">
        <f t="shared" ref="I189:R189" si="8">I186*(4/5)</f>
        <v>0</v>
      </c>
      <c r="J189" s="5">
        <f t="shared" si="8"/>
        <v>32</v>
      </c>
      <c r="K189" s="5">
        <f t="shared" si="8"/>
        <v>48</v>
      </c>
      <c r="L189" s="5">
        <f t="shared" si="8"/>
        <v>41.6</v>
      </c>
      <c r="M189" s="5">
        <f t="shared" si="8"/>
        <v>32</v>
      </c>
      <c r="N189" s="5">
        <f t="shared" si="8"/>
        <v>21.6</v>
      </c>
      <c r="O189" s="5">
        <f t="shared" si="8"/>
        <v>15.200000000000001</v>
      </c>
      <c r="P189" s="5">
        <f t="shared" si="8"/>
        <v>8</v>
      </c>
      <c r="Q189" s="5">
        <f t="shared" si="8"/>
        <v>1.6</v>
      </c>
      <c r="R189" s="5">
        <f t="shared" si="8"/>
        <v>0</v>
      </c>
      <c r="S189">
        <f t="shared" si="7"/>
        <v>199.99999999999997</v>
      </c>
      <c r="T189" s="5">
        <v>188</v>
      </c>
    </row>
    <row r="190" spans="1:20" ht="30" customHeight="1" x14ac:dyDescent="0.2">
      <c r="A190">
        <v>6</v>
      </c>
      <c r="B190" t="s">
        <v>22</v>
      </c>
      <c r="C190" s="10">
        <v>21002</v>
      </c>
      <c r="D190" s="6" t="s">
        <v>67</v>
      </c>
      <c r="E190" s="10"/>
      <c r="F190" s="10">
        <v>1</v>
      </c>
      <c r="G190" s="10">
        <f>1.3/1.4</f>
        <v>0.92857142857142871</v>
      </c>
      <c r="H190" s="11" t="s">
        <v>86</v>
      </c>
      <c r="I190" s="5">
        <v>0</v>
      </c>
      <c r="J190" s="5">
        <v>86</v>
      </c>
      <c r="K190" s="5">
        <v>95</v>
      </c>
      <c r="L190" s="5">
        <v>125</v>
      </c>
      <c r="M190" s="5">
        <v>225</v>
      </c>
      <c r="N190" s="5">
        <v>225</v>
      </c>
      <c r="O190" s="5">
        <v>245</v>
      </c>
      <c r="P190" s="5">
        <v>240</v>
      </c>
      <c r="Q190" s="5">
        <v>109</v>
      </c>
      <c r="R190" s="5">
        <v>50</v>
      </c>
      <c r="S190">
        <f t="shared" si="7"/>
        <v>1400</v>
      </c>
      <c r="T190" s="9">
        <v>189</v>
      </c>
    </row>
    <row r="191" spans="1:20" ht="30" customHeight="1" x14ac:dyDescent="0.2">
      <c r="A191">
        <v>6</v>
      </c>
      <c r="B191" t="s">
        <v>22</v>
      </c>
      <c r="C191" s="10">
        <v>21002</v>
      </c>
      <c r="D191" s="6" t="s">
        <v>67</v>
      </c>
      <c r="E191" s="10"/>
      <c r="F191" s="10">
        <v>1</v>
      </c>
      <c r="G191" s="10">
        <f>0.1/1.4</f>
        <v>7.1428571428571438E-2</v>
      </c>
      <c r="H191" s="11" t="s">
        <v>85</v>
      </c>
      <c r="I191" s="5">
        <v>0</v>
      </c>
      <c r="J191" s="5">
        <v>86</v>
      </c>
      <c r="K191" s="5">
        <v>95</v>
      </c>
      <c r="L191" s="5">
        <v>125</v>
      </c>
      <c r="M191" s="5">
        <v>225</v>
      </c>
      <c r="N191" s="5">
        <v>225</v>
      </c>
      <c r="O191" s="5">
        <v>245</v>
      </c>
      <c r="P191" s="5">
        <v>240</v>
      </c>
      <c r="Q191" s="5">
        <v>109</v>
      </c>
      <c r="R191" s="5">
        <v>50</v>
      </c>
      <c r="S191">
        <f t="shared" si="7"/>
        <v>1400</v>
      </c>
      <c r="T191" s="5">
        <v>190</v>
      </c>
    </row>
    <row r="192" spans="1:20" ht="30" customHeight="1" x14ac:dyDescent="0.2">
      <c r="A192">
        <v>6</v>
      </c>
      <c r="B192" t="s">
        <v>22</v>
      </c>
      <c r="C192" s="10">
        <v>22003</v>
      </c>
      <c r="D192" s="6" t="s">
        <v>68</v>
      </c>
      <c r="E192" s="10"/>
      <c r="F192" s="10">
        <v>0.75</v>
      </c>
      <c r="G192" s="10">
        <v>1</v>
      </c>
      <c r="H192" s="11" t="s">
        <v>165</v>
      </c>
      <c r="I192" s="5">
        <v>0</v>
      </c>
      <c r="J192" s="5">
        <v>24</v>
      </c>
      <c r="K192" s="5">
        <v>65</v>
      </c>
      <c r="L192" s="5">
        <v>112</v>
      </c>
      <c r="M192" s="5">
        <v>130</v>
      </c>
      <c r="N192" s="5">
        <v>98</v>
      </c>
      <c r="O192" s="5">
        <v>56</v>
      </c>
      <c r="P192" s="5">
        <v>15</v>
      </c>
      <c r="Q192" s="5">
        <v>0</v>
      </c>
      <c r="R192" s="5">
        <v>0</v>
      </c>
      <c r="S192">
        <f t="shared" si="7"/>
        <v>500</v>
      </c>
      <c r="T192" s="9">
        <v>191</v>
      </c>
    </row>
    <row r="193" spans="1:20" ht="30" customHeight="1" x14ac:dyDescent="0.2">
      <c r="A193">
        <v>6</v>
      </c>
      <c r="B193" t="s">
        <v>22</v>
      </c>
      <c r="C193" s="11">
        <v>50231</v>
      </c>
      <c r="D193" s="6" t="s">
        <v>69</v>
      </c>
      <c r="E193" s="11" t="s">
        <v>94</v>
      </c>
      <c r="F193" s="11">
        <v>1</v>
      </c>
      <c r="G193" s="11">
        <v>0.5</v>
      </c>
      <c r="H193" s="11">
        <v>23</v>
      </c>
      <c r="I193" s="5">
        <v>0</v>
      </c>
      <c r="J193" s="5">
        <v>66</v>
      </c>
      <c r="K193" s="5">
        <v>116</v>
      </c>
      <c r="L193" s="5">
        <v>115</v>
      </c>
      <c r="M193" s="5">
        <v>110</v>
      </c>
      <c r="N193" s="5">
        <v>55</v>
      </c>
      <c r="O193" s="5">
        <v>55</v>
      </c>
      <c r="P193" s="5">
        <v>33</v>
      </c>
      <c r="Q193" s="5">
        <v>0</v>
      </c>
      <c r="R193" s="5">
        <v>0</v>
      </c>
      <c r="S193">
        <f t="shared" si="7"/>
        <v>550</v>
      </c>
      <c r="T193" s="5">
        <v>192</v>
      </c>
    </row>
    <row r="194" spans="1:20" ht="30" customHeight="1" x14ac:dyDescent="0.2">
      <c r="A194">
        <v>6</v>
      </c>
      <c r="B194" t="s">
        <v>22</v>
      </c>
      <c r="C194" s="11">
        <v>50231</v>
      </c>
      <c r="D194" s="6" t="s">
        <v>69</v>
      </c>
      <c r="E194" s="11" t="s">
        <v>94</v>
      </c>
      <c r="F194" s="11">
        <v>1</v>
      </c>
      <c r="G194" s="11">
        <v>0.5</v>
      </c>
      <c r="H194" s="11" t="s">
        <v>86</v>
      </c>
      <c r="I194" s="5">
        <v>0</v>
      </c>
      <c r="J194" s="5">
        <v>66</v>
      </c>
      <c r="K194" s="5">
        <v>116</v>
      </c>
      <c r="L194" s="5">
        <v>115</v>
      </c>
      <c r="M194" s="5">
        <v>110</v>
      </c>
      <c r="N194" s="5">
        <v>55</v>
      </c>
      <c r="O194" s="5">
        <v>55</v>
      </c>
      <c r="P194" s="5">
        <v>33</v>
      </c>
      <c r="Q194" s="5">
        <v>0</v>
      </c>
      <c r="R194" s="5">
        <v>0</v>
      </c>
      <c r="S194">
        <f t="shared" si="7"/>
        <v>550</v>
      </c>
      <c r="T194" s="9">
        <v>193</v>
      </c>
    </row>
    <row r="195" spans="1:20" ht="30" customHeight="1" x14ac:dyDescent="0.2">
      <c r="A195">
        <v>6</v>
      </c>
      <c r="B195" t="s">
        <v>22</v>
      </c>
      <c r="C195" s="11">
        <v>50232</v>
      </c>
      <c r="D195" s="6" t="s">
        <v>69</v>
      </c>
      <c r="E195" s="11" t="s">
        <v>96</v>
      </c>
      <c r="F195" s="11">
        <v>1</v>
      </c>
      <c r="G195" s="11">
        <v>0.5</v>
      </c>
      <c r="H195" s="11" t="s">
        <v>86</v>
      </c>
      <c r="I195" s="5">
        <v>0</v>
      </c>
      <c r="J195" s="5">
        <v>6</v>
      </c>
      <c r="K195" s="5">
        <v>7</v>
      </c>
      <c r="L195" s="5">
        <v>7</v>
      </c>
      <c r="M195" s="5">
        <v>5</v>
      </c>
      <c r="N195" s="5">
        <v>0</v>
      </c>
      <c r="O195" s="5">
        <v>0</v>
      </c>
      <c r="P195" s="5">
        <v>0</v>
      </c>
      <c r="Q195" s="5">
        <v>0</v>
      </c>
      <c r="R195" s="5">
        <v>0</v>
      </c>
      <c r="S195">
        <f t="shared" si="7"/>
        <v>25</v>
      </c>
      <c r="T195" s="5">
        <v>194</v>
      </c>
    </row>
    <row r="196" spans="1:20" ht="30" customHeight="1" x14ac:dyDescent="0.2">
      <c r="A196">
        <v>6</v>
      </c>
      <c r="B196" t="s">
        <v>22</v>
      </c>
      <c r="C196" s="11">
        <v>50232</v>
      </c>
      <c r="D196" s="6" t="s">
        <v>69</v>
      </c>
      <c r="E196" s="11" t="s">
        <v>96</v>
      </c>
      <c r="F196" s="11">
        <v>1</v>
      </c>
      <c r="G196" s="11">
        <v>0.25</v>
      </c>
      <c r="H196" s="11">
        <v>23</v>
      </c>
      <c r="I196" s="5">
        <v>0</v>
      </c>
      <c r="J196" s="5">
        <v>6</v>
      </c>
      <c r="K196" s="5">
        <v>7</v>
      </c>
      <c r="L196" s="5">
        <v>7</v>
      </c>
      <c r="M196" s="5">
        <v>5</v>
      </c>
      <c r="N196" s="5">
        <v>0</v>
      </c>
      <c r="O196" s="5">
        <v>0</v>
      </c>
      <c r="P196" s="5">
        <v>0</v>
      </c>
      <c r="Q196" s="5">
        <v>0</v>
      </c>
      <c r="R196" s="5">
        <v>0</v>
      </c>
      <c r="S196">
        <f t="shared" si="7"/>
        <v>25</v>
      </c>
      <c r="T196" s="9">
        <v>195</v>
      </c>
    </row>
    <row r="197" spans="1:20" ht="30" customHeight="1" x14ac:dyDescent="0.2">
      <c r="A197">
        <v>6</v>
      </c>
      <c r="B197" t="s">
        <v>22</v>
      </c>
      <c r="C197" s="11">
        <v>50232</v>
      </c>
      <c r="D197" s="6" t="s">
        <v>69</v>
      </c>
      <c r="E197" s="11" t="s">
        <v>96</v>
      </c>
      <c r="F197" s="11">
        <v>1</v>
      </c>
      <c r="G197" s="11">
        <v>0.25</v>
      </c>
      <c r="H197" s="11" t="s">
        <v>95</v>
      </c>
      <c r="I197" s="5">
        <v>0</v>
      </c>
      <c r="J197" s="5">
        <v>6</v>
      </c>
      <c r="K197" s="5">
        <v>7</v>
      </c>
      <c r="L197" s="5">
        <v>7</v>
      </c>
      <c r="M197" s="5">
        <v>5</v>
      </c>
      <c r="N197" s="5">
        <v>0</v>
      </c>
      <c r="O197" s="5">
        <v>0</v>
      </c>
      <c r="P197" s="5">
        <v>0</v>
      </c>
      <c r="Q197" s="5">
        <v>0</v>
      </c>
      <c r="R197" s="5">
        <v>0</v>
      </c>
      <c r="S197">
        <f t="shared" si="7"/>
        <v>25</v>
      </c>
      <c r="T197" s="5">
        <v>196</v>
      </c>
    </row>
    <row r="198" spans="1:20" ht="30" customHeight="1" x14ac:dyDescent="0.2">
      <c r="A198">
        <v>6</v>
      </c>
      <c r="B198" t="s">
        <v>22</v>
      </c>
      <c r="C198" s="11">
        <v>60301</v>
      </c>
      <c r="D198" s="6" t="s">
        <v>70</v>
      </c>
      <c r="E198" s="11" t="s">
        <v>97</v>
      </c>
      <c r="F198" s="11">
        <v>1</v>
      </c>
      <c r="G198" s="11">
        <v>1</v>
      </c>
      <c r="H198" s="11">
        <v>81</v>
      </c>
      <c r="I198" s="5">
        <v>0</v>
      </c>
      <c r="J198" s="5">
        <v>40</v>
      </c>
      <c r="K198" s="5">
        <v>40</v>
      </c>
      <c r="L198" s="5">
        <v>30</v>
      </c>
      <c r="M198" s="5">
        <v>10</v>
      </c>
      <c r="N198" s="5">
        <v>5</v>
      </c>
      <c r="O198" s="5">
        <v>0</v>
      </c>
      <c r="P198" s="5">
        <v>0</v>
      </c>
      <c r="Q198" s="5">
        <v>0</v>
      </c>
      <c r="R198" s="5">
        <v>0</v>
      </c>
      <c r="S198">
        <f t="shared" si="7"/>
        <v>125</v>
      </c>
      <c r="T198" s="9">
        <v>197</v>
      </c>
    </row>
    <row r="199" spans="1:20" ht="30" customHeight="1" x14ac:dyDescent="0.2">
      <c r="A199">
        <v>6</v>
      </c>
      <c r="B199" t="s">
        <v>22</v>
      </c>
      <c r="C199" s="11">
        <v>60302</v>
      </c>
      <c r="D199" s="6" t="s">
        <v>70</v>
      </c>
      <c r="E199" s="11" t="s">
        <v>98</v>
      </c>
      <c r="F199" s="11">
        <v>1</v>
      </c>
      <c r="G199" s="11">
        <f>121.25/125</f>
        <v>0.97</v>
      </c>
      <c r="H199" s="11">
        <v>81</v>
      </c>
      <c r="I199" s="5">
        <v>0</v>
      </c>
      <c r="J199" s="5">
        <v>30</v>
      </c>
      <c r="K199" s="5">
        <v>30</v>
      </c>
      <c r="L199" s="5">
        <v>40</v>
      </c>
      <c r="M199" s="5">
        <v>15</v>
      </c>
      <c r="N199" s="5">
        <v>5</v>
      </c>
      <c r="O199" s="5">
        <v>5</v>
      </c>
      <c r="P199" s="5">
        <v>0</v>
      </c>
      <c r="Q199" s="5">
        <v>0</v>
      </c>
      <c r="R199" s="5">
        <v>0</v>
      </c>
      <c r="S199">
        <f t="shared" si="7"/>
        <v>125</v>
      </c>
      <c r="T199" s="5">
        <v>198</v>
      </c>
    </row>
    <row r="200" spans="1:20" ht="30" customHeight="1" x14ac:dyDescent="0.2">
      <c r="A200">
        <v>6</v>
      </c>
      <c r="B200" t="s">
        <v>22</v>
      </c>
      <c r="C200" s="11">
        <v>60302</v>
      </c>
      <c r="D200" s="6" t="s">
        <v>70</v>
      </c>
      <c r="E200" s="11" t="s">
        <v>98</v>
      </c>
      <c r="F200" s="11">
        <v>1</v>
      </c>
      <c r="G200" s="11">
        <f>3.75/125</f>
        <v>0.03</v>
      </c>
      <c r="H200" s="11" t="s">
        <v>85</v>
      </c>
      <c r="I200" s="5">
        <v>0</v>
      </c>
      <c r="J200" s="5">
        <v>30</v>
      </c>
      <c r="K200" s="5">
        <v>30</v>
      </c>
      <c r="L200" s="5">
        <v>40</v>
      </c>
      <c r="M200" s="5">
        <v>15</v>
      </c>
      <c r="N200" s="5">
        <v>5</v>
      </c>
      <c r="O200" s="5">
        <v>5</v>
      </c>
      <c r="P200" s="5">
        <v>0</v>
      </c>
      <c r="Q200" s="5">
        <v>0</v>
      </c>
      <c r="R200" s="5">
        <v>0</v>
      </c>
      <c r="S200">
        <f t="shared" si="7"/>
        <v>125</v>
      </c>
      <c r="T200" s="9">
        <v>199</v>
      </c>
    </row>
    <row r="201" spans="1:20" ht="30" customHeight="1" x14ac:dyDescent="0.2">
      <c r="A201">
        <v>6</v>
      </c>
      <c r="B201" t="s">
        <v>22</v>
      </c>
      <c r="C201" s="11">
        <v>40002</v>
      </c>
      <c r="D201" s="6" t="s">
        <v>71</v>
      </c>
      <c r="E201" s="11" t="s">
        <v>89</v>
      </c>
      <c r="F201" s="11">
        <v>1</v>
      </c>
      <c r="G201" s="11">
        <v>1</v>
      </c>
      <c r="H201" s="11">
        <v>23</v>
      </c>
      <c r="I201" s="5">
        <v>0</v>
      </c>
      <c r="J201" s="5">
        <v>5</v>
      </c>
      <c r="K201" s="5">
        <v>25</v>
      </c>
      <c r="L201" s="5">
        <v>45</v>
      </c>
      <c r="M201" s="5">
        <v>65</v>
      </c>
      <c r="N201" s="5">
        <v>50</v>
      </c>
      <c r="O201" s="5">
        <v>8</v>
      </c>
      <c r="P201" s="5">
        <v>2</v>
      </c>
      <c r="Q201" s="5">
        <v>0</v>
      </c>
      <c r="R201" s="5">
        <v>0</v>
      </c>
      <c r="S201">
        <f t="shared" si="7"/>
        <v>200</v>
      </c>
      <c r="T201" s="5">
        <v>200</v>
      </c>
    </row>
    <row r="202" spans="1:20" ht="30" customHeight="1" x14ac:dyDescent="0.2">
      <c r="A202">
        <v>6</v>
      </c>
      <c r="B202" t="s">
        <v>22</v>
      </c>
      <c r="C202" s="11">
        <v>40003</v>
      </c>
      <c r="D202" s="6" t="s">
        <v>71</v>
      </c>
      <c r="E202" s="11" t="s">
        <v>90</v>
      </c>
      <c r="F202" s="11">
        <v>1</v>
      </c>
      <c r="G202" s="11">
        <v>0.25</v>
      </c>
      <c r="H202" s="11">
        <v>335</v>
      </c>
      <c r="I202" s="5">
        <v>0</v>
      </c>
      <c r="J202" s="5">
        <v>2</v>
      </c>
      <c r="K202" s="5">
        <v>5</v>
      </c>
      <c r="L202" s="5">
        <v>5</v>
      </c>
      <c r="M202" s="5">
        <v>5</v>
      </c>
      <c r="N202" s="5">
        <v>3</v>
      </c>
      <c r="O202" s="5">
        <v>0</v>
      </c>
      <c r="P202" s="5">
        <v>0</v>
      </c>
      <c r="Q202" s="5">
        <v>0</v>
      </c>
      <c r="R202" s="5">
        <v>0</v>
      </c>
      <c r="S202">
        <f t="shared" si="7"/>
        <v>20</v>
      </c>
      <c r="T202" s="9">
        <v>201</v>
      </c>
    </row>
    <row r="203" spans="1:20" ht="30" customHeight="1" x14ac:dyDescent="0.2">
      <c r="A203">
        <v>6</v>
      </c>
      <c r="B203" t="s">
        <v>22</v>
      </c>
      <c r="C203" s="11">
        <v>40003</v>
      </c>
      <c r="D203" s="6" t="s">
        <v>71</v>
      </c>
      <c r="E203" s="11" t="s">
        <v>90</v>
      </c>
      <c r="F203" s="11">
        <v>1</v>
      </c>
      <c r="G203" s="11">
        <v>0.25</v>
      </c>
      <c r="H203" s="11">
        <v>61</v>
      </c>
      <c r="I203" s="5">
        <v>0</v>
      </c>
      <c r="J203" s="5">
        <v>2</v>
      </c>
      <c r="K203" s="5">
        <v>5</v>
      </c>
      <c r="L203" s="5">
        <v>5</v>
      </c>
      <c r="M203" s="5">
        <v>5</v>
      </c>
      <c r="N203" s="5">
        <v>3</v>
      </c>
      <c r="O203" s="5">
        <v>0</v>
      </c>
      <c r="P203" s="5">
        <v>0</v>
      </c>
      <c r="Q203" s="5">
        <v>0</v>
      </c>
      <c r="R203" s="5">
        <v>0</v>
      </c>
      <c r="S203">
        <f t="shared" si="7"/>
        <v>20</v>
      </c>
      <c r="T203" s="5">
        <v>202</v>
      </c>
    </row>
    <row r="204" spans="1:20" ht="30" customHeight="1" x14ac:dyDescent="0.2">
      <c r="A204">
        <v>6</v>
      </c>
      <c r="B204" t="s">
        <v>22</v>
      </c>
      <c r="C204" s="11">
        <v>40003</v>
      </c>
      <c r="D204" s="6" t="s">
        <v>71</v>
      </c>
      <c r="E204" s="11" t="s">
        <v>90</v>
      </c>
      <c r="F204" s="11">
        <v>1</v>
      </c>
      <c r="G204" s="11">
        <v>0.25</v>
      </c>
      <c r="H204" s="11" t="s">
        <v>86</v>
      </c>
      <c r="I204" s="5">
        <v>0</v>
      </c>
      <c r="J204" s="5">
        <v>2</v>
      </c>
      <c r="K204" s="5">
        <v>5</v>
      </c>
      <c r="L204" s="5">
        <v>5</v>
      </c>
      <c r="M204" s="5">
        <v>5</v>
      </c>
      <c r="N204" s="5">
        <v>3</v>
      </c>
      <c r="O204" s="5">
        <v>0</v>
      </c>
      <c r="P204" s="5">
        <v>0</v>
      </c>
      <c r="Q204" s="5">
        <v>0</v>
      </c>
      <c r="R204" s="5">
        <v>0</v>
      </c>
      <c r="S204">
        <f t="shared" si="7"/>
        <v>20</v>
      </c>
      <c r="T204" s="9">
        <v>203</v>
      </c>
    </row>
    <row r="205" spans="1:20" ht="30" customHeight="1" x14ac:dyDescent="0.2">
      <c r="A205">
        <v>6</v>
      </c>
      <c r="B205" t="s">
        <v>22</v>
      </c>
      <c r="C205" s="11">
        <v>40003</v>
      </c>
      <c r="D205" s="6" t="s">
        <v>71</v>
      </c>
      <c r="E205" s="11" t="s">
        <v>90</v>
      </c>
      <c r="F205" s="11">
        <v>1</v>
      </c>
      <c r="G205" s="11">
        <v>0.25</v>
      </c>
      <c r="H205" s="11" t="s">
        <v>85</v>
      </c>
      <c r="I205" s="5">
        <v>0</v>
      </c>
      <c r="J205" s="5">
        <v>2</v>
      </c>
      <c r="K205" s="5">
        <v>5</v>
      </c>
      <c r="L205" s="5">
        <v>5</v>
      </c>
      <c r="M205" s="5">
        <v>5</v>
      </c>
      <c r="N205" s="5">
        <v>3</v>
      </c>
      <c r="O205" s="5">
        <v>0</v>
      </c>
      <c r="P205" s="5">
        <v>0</v>
      </c>
      <c r="Q205" s="5">
        <v>0</v>
      </c>
      <c r="R205" s="5">
        <v>0</v>
      </c>
      <c r="S205">
        <f t="shared" si="7"/>
        <v>20</v>
      </c>
      <c r="T205" s="5">
        <v>204</v>
      </c>
    </row>
    <row r="206" spans="1:20" ht="30" customHeight="1" x14ac:dyDescent="0.2">
      <c r="A206">
        <v>6</v>
      </c>
      <c r="B206" t="s">
        <v>22</v>
      </c>
      <c r="C206" s="11">
        <v>40004</v>
      </c>
      <c r="D206" s="6" t="s">
        <v>71</v>
      </c>
      <c r="E206" s="11" t="s">
        <v>91</v>
      </c>
      <c r="F206" s="11">
        <v>1</v>
      </c>
      <c r="G206" s="11">
        <v>1</v>
      </c>
      <c r="H206" s="11" t="s">
        <v>86</v>
      </c>
      <c r="I206" s="5">
        <v>0</v>
      </c>
      <c r="J206" s="5">
        <v>5</v>
      </c>
      <c r="K206" s="5">
        <v>35</v>
      </c>
      <c r="L206" s="5">
        <v>65</v>
      </c>
      <c r="M206" s="5">
        <v>60</v>
      </c>
      <c r="N206" s="5">
        <v>30</v>
      </c>
      <c r="O206" s="5">
        <v>5</v>
      </c>
      <c r="P206" s="5">
        <v>0</v>
      </c>
      <c r="Q206" s="5">
        <v>0</v>
      </c>
      <c r="R206" s="5">
        <v>0</v>
      </c>
      <c r="S206">
        <f t="shared" si="7"/>
        <v>200</v>
      </c>
      <c r="T206" s="9">
        <v>205</v>
      </c>
    </row>
    <row r="207" spans="1:20" ht="30" customHeight="1" x14ac:dyDescent="0.2">
      <c r="A207">
        <v>6</v>
      </c>
      <c r="B207" t="s">
        <v>22</v>
      </c>
      <c r="C207" s="11">
        <v>40005</v>
      </c>
      <c r="D207" s="6" t="s">
        <v>71</v>
      </c>
      <c r="E207" s="11" t="s">
        <v>92</v>
      </c>
      <c r="F207" s="11">
        <v>1</v>
      </c>
      <c r="G207" s="11">
        <v>1</v>
      </c>
      <c r="H207" s="11">
        <v>334</v>
      </c>
      <c r="I207" s="5">
        <v>0</v>
      </c>
      <c r="J207" s="5">
        <v>2</v>
      </c>
      <c r="K207" s="5">
        <v>13</v>
      </c>
      <c r="L207" s="5">
        <v>35</v>
      </c>
      <c r="M207" s="5">
        <v>55</v>
      </c>
      <c r="N207" s="5">
        <v>55</v>
      </c>
      <c r="O207" s="5">
        <v>30</v>
      </c>
      <c r="P207" s="5">
        <v>0</v>
      </c>
      <c r="Q207" s="5">
        <v>0</v>
      </c>
      <c r="R207" s="5">
        <v>0</v>
      </c>
      <c r="S207">
        <f t="shared" si="7"/>
        <v>190</v>
      </c>
      <c r="T207" s="5">
        <v>206</v>
      </c>
    </row>
    <row r="208" spans="1:20" ht="30" customHeight="1" x14ac:dyDescent="0.2">
      <c r="A208">
        <v>6</v>
      </c>
      <c r="B208" t="s">
        <v>22</v>
      </c>
      <c r="C208" s="11">
        <v>40006</v>
      </c>
      <c r="D208" s="6" t="s">
        <v>71</v>
      </c>
      <c r="E208" s="11" t="s">
        <v>88</v>
      </c>
      <c r="F208" s="11">
        <v>1</v>
      </c>
      <c r="G208" s="11">
        <v>1</v>
      </c>
      <c r="H208" s="11" t="s">
        <v>83</v>
      </c>
      <c r="I208" s="5">
        <v>0</v>
      </c>
      <c r="J208" s="5">
        <v>8</v>
      </c>
      <c r="K208" s="5">
        <v>18</v>
      </c>
      <c r="L208" s="5">
        <v>20</v>
      </c>
      <c r="M208" s="5">
        <v>28</v>
      </c>
      <c r="N208" s="5">
        <v>22</v>
      </c>
      <c r="O208" s="5">
        <v>4</v>
      </c>
      <c r="P208" s="5">
        <v>0</v>
      </c>
      <c r="Q208" s="5">
        <v>0</v>
      </c>
      <c r="R208" s="5">
        <v>0</v>
      </c>
      <c r="S208">
        <f t="shared" si="7"/>
        <v>100</v>
      </c>
      <c r="T208" s="9">
        <v>207</v>
      </c>
    </row>
    <row r="209" spans="1:20" ht="30" customHeight="1" x14ac:dyDescent="0.2">
      <c r="A209">
        <v>7</v>
      </c>
      <c r="B209" t="s">
        <v>23</v>
      </c>
      <c r="C209" s="11" t="s">
        <v>24</v>
      </c>
      <c r="D209" s="6" t="s">
        <v>72</v>
      </c>
      <c r="E209" s="11" t="s">
        <v>142</v>
      </c>
      <c r="F209" s="11">
        <v>1</v>
      </c>
      <c r="G209" s="11">
        <v>0.25</v>
      </c>
      <c r="H209" s="11" t="s">
        <v>86</v>
      </c>
      <c r="I209" s="5">
        <v>0</v>
      </c>
      <c r="J209" s="5">
        <v>77</v>
      </c>
      <c r="K209" s="5">
        <v>232</v>
      </c>
      <c r="L209" s="5">
        <v>341</v>
      </c>
      <c r="M209" s="5">
        <v>496</v>
      </c>
      <c r="N209" s="5">
        <v>310</v>
      </c>
      <c r="O209" s="5">
        <v>47</v>
      </c>
      <c r="P209" s="5">
        <v>31</v>
      </c>
      <c r="Q209" s="5">
        <v>15</v>
      </c>
      <c r="R209" s="5">
        <v>1</v>
      </c>
      <c r="S209">
        <f t="shared" si="7"/>
        <v>1550</v>
      </c>
      <c r="T209" s="5">
        <v>208</v>
      </c>
    </row>
    <row r="210" spans="1:20" ht="30" customHeight="1" x14ac:dyDescent="0.2">
      <c r="A210">
        <v>7</v>
      </c>
      <c r="B210" t="s">
        <v>23</v>
      </c>
      <c r="C210" s="11" t="s">
        <v>24</v>
      </c>
      <c r="D210" s="6" t="s">
        <v>72</v>
      </c>
      <c r="E210" s="11" t="s">
        <v>142</v>
      </c>
      <c r="F210" s="11">
        <v>1</v>
      </c>
      <c r="G210" s="11">
        <v>0.25</v>
      </c>
      <c r="H210" s="11">
        <v>334</v>
      </c>
      <c r="I210" s="5">
        <v>0</v>
      </c>
      <c r="J210" s="5">
        <v>77</v>
      </c>
      <c r="K210" s="5">
        <v>232</v>
      </c>
      <c r="L210" s="5">
        <v>341</v>
      </c>
      <c r="M210" s="5">
        <v>496</v>
      </c>
      <c r="N210" s="5">
        <v>310</v>
      </c>
      <c r="O210" s="5">
        <v>47</v>
      </c>
      <c r="P210" s="5">
        <v>31</v>
      </c>
      <c r="Q210" s="5">
        <v>15</v>
      </c>
      <c r="R210" s="5">
        <v>1</v>
      </c>
      <c r="S210">
        <f t="shared" si="7"/>
        <v>1550</v>
      </c>
      <c r="T210" s="9">
        <v>209</v>
      </c>
    </row>
    <row r="211" spans="1:20" ht="30" customHeight="1" x14ac:dyDescent="0.2">
      <c r="A211">
        <v>7</v>
      </c>
      <c r="B211" t="s">
        <v>23</v>
      </c>
      <c r="C211" s="11" t="s">
        <v>24</v>
      </c>
      <c r="D211" s="6" t="s">
        <v>72</v>
      </c>
      <c r="E211" s="11" t="s">
        <v>142</v>
      </c>
      <c r="F211" s="11">
        <v>1</v>
      </c>
      <c r="G211" s="11">
        <v>0.25</v>
      </c>
      <c r="H211" s="11">
        <v>81</v>
      </c>
      <c r="I211" s="5">
        <v>0</v>
      </c>
      <c r="J211" s="5">
        <v>77</v>
      </c>
      <c r="K211" s="5">
        <v>232</v>
      </c>
      <c r="L211" s="5">
        <v>341</v>
      </c>
      <c r="M211" s="5">
        <v>496</v>
      </c>
      <c r="N211" s="5">
        <v>310</v>
      </c>
      <c r="O211" s="5">
        <v>47</v>
      </c>
      <c r="P211" s="5">
        <v>31</v>
      </c>
      <c r="Q211" s="5">
        <v>15</v>
      </c>
      <c r="R211" s="5">
        <v>1</v>
      </c>
      <c r="S211">
        <f t="shared" si="7"/>
        <v>1550</v>
      </c>
      <c r="T211" s="5">
        <v>210</v>
      </c>
    </row>
    <row r="212" spans="1:20" ht="30" customHeight="1" x14ac:dyDescent="0.2">
      <c r="A212">
        <v>7</v>
      </c>
      <c r="B212" t="s">
        <v>23</v>
      </c>
      <c r="C212" s="11" t="s">
        <v>24</v>
      </c>
      <c r="D212" s="6" t="s">
        <v>72</v>
      </c>
      <c r="E212" s="11" t="s">
        <v>142</v>
      </c>
      <c r="F212" s="11">
        <v>1</v>
      </c>
      <c r="G212" s="11">
        <v>0.25</v>
      </c>
      <c r="H212" s="11">
        <v>514</v>
      </c>
      <c r="I212" s="5">
        <v>0</v>
      </c>
      <c r="J212" s="5">
        <v>77</v>
      </c>
      <c r="K212" s="5">
        <v>232</v>
      </c>
      <c r="L212" s="5">
        <v>341</v>
      </c>
      <c r="M212" s="5">
        <v>496</v>
      </c>
      <c r="N212" s="5">
        <v>310</v>
      </c>
      <c r="O212" s="5">
        <v>47</v>
      </c>
      <c r="P212" s="5">
        <v>31</v>
      </c>
      <c r="Q212" s="5">
        <v>15</v>
      </c>
      <c r="R212" s="5">
        <v>1</v>
      </c>
      <c r="S212">
        <f t="shared" ref="S212:S214" si="9">SUM(I212:R212)</f>
        <v>1550</v>
      </c>
      <c r="T212" s="9">
        <v>211</v>
      </c>
    </row>
    <row r="213" spans="1:20" ht="30" customHeight="1" x14ac:dyDescent="0.2">
      <c r="A213">
        <v>7</v>
      </c>
      <c r="B213" t="s">
        <v>23</v>
      </c>
      <c r="C213" s="11" t="s">
        <v>194</v>
      </c>
      <c r="D213" s="6" t="s">
        <v>72</v>
      </c>
      <c r="E213" s="11" t="s">
        <v>111</v>
      </c>
      <c r="F213" s="11">
        <v>0</v>
      </c>
      <c r="G213" s="11">
        <v>0</v>
      </c>
      <c r="H213" s="11" t="s">
        <v>73</v>
      </c>
      <c r="I213" s="5">
        <v>0</v>
      </c>
      <c r="J213" s="5">
        <v>0</v>
      </c>
      <c r="K213" s="5">
        <v>0</v>
      </c>
      <c r="L213" s="5">
        <v>0</v>
      </c>
      <c r="M213" s="5">
        <v>-850</v>
      </c>
      <c r="N213" s="9">
        <v>-1350</v>
      </c>
      <c r="O213" s="9">
        <v>-1400</v>
      </c>
      <c r="P213" s="9">
        <v>-1200</v>
      </c>
      <c r="Q213" s="9">
        <v>-1050</v>
      </c>
      <c r="R213" s="5">
        <v>-500</v>
      </c>
      <c r="S213">
        <f t="shared" si="9"/>
        <v>-6350</v>
      </c>
      <c r="T213" s="5">
        <v>212</v>
      </c>
    </row>
    <row r="214" spans="1:20" ht="30" customHeight="1" x14ac:dyDescent="0.2">
      <c r="A214">
        <v>7</v>
      </c>
      <c r="B214" t="s">
        <v>23</v>
      </c>
      <c r="C214" s="11" t="s">
        <v>74</v>
      </c>
      <c r="D214" s="6"/>
      <c r="E214" s="11"/>
      <c r="F214" s="11">
        <v>0</v>
      </c>
      <c r="G214" s="11">
        <v>0</v>
      </c>
      <c r="H214" s="11" t="s">
        <v>73</v>
      </c>
      <c r="I214" s="5">
        <v>0</v>
      </c>
      <c r="J214" s="5">
        <v>-235</v>
      </c>
      <c r="K214" s="5">
        <v>-44</v>
      </c>
      <c r="L214" s="5">
        <v>-22</v>
      </c>
      <c r="M214" s="5">
        <v>-26</v>
      </c>
      <c r="N214" s="5">
        <v>-23</v>
      </c>
      <c r="O214" s="5">
        <v>-19</v>
      </c>
      <c r="P214" s="5">
        <v>-41</v>
      </c>
      <c r="Q214" s="5">
        <v>-35</v>
      </c>
      <c r="R214" s="5">
        <v>-39</v>
      </c>
      <c r="S214">
        <f t="shared" si="9"/>
        <v>-484</v>
      </c>
      <c r="T214" s="9">
        <v>213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2022-10-11T02:43:27Z</dcterms:created>
  <dcterms:modified xsi:type="dcterms:W3CDTF">2022-10-25T22:10:36Z</dcterms:modified>
</cp:coreProperties>
</file>