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ic04\Desktop\Daily Performance Dashboard\"/>
    </mc:Choice>
  </mc:AlternateContent>
  <xr:revisionPtr revIDLastSave="0" documentId="13_ncr:1_{5D3A3019-7D2D-4C88-9B73-AA889679B811}" xr6:coauthVersionLast="47" xr6:coauthVersionMax="47" xr10:uidLastSave="{00000000-0000-0000-0000-000000000000}"/>
  <bookViews>
    <workbookView xWindow="-120" yWindow="-120" windowWidth="29040" windowHeight="15840" activeTab="1" xr2:uid="{1AD395C2-115C-4DA4-89E9-678FDB6FDBD5}"/>
  </bookViews>
  <sheets>
    <sheet name="COMPARATIVE ANNUAL DATA " sheetId="2" r:id="rId1"/>
    <sheet name="DASHBOARD " sheetId="3" r:id="rId2"/>
    <sheet name="PROCCESSING " sheetId="4" state="hidden" r:id="rId3"/>
    <sheet name="Sheet1" sheetId="5" state="hidden" r:id="rId4"/>
  </sheets>
  <definedNames>
    <definedName name="BEDOCCUPANCY">'COMPARATIVE ANNUAL DATA '!$H$3:$H$50</definedName>
    <definedName name="INPATREVENUES">'COMPARATIVE ANNUAL DATA '!$E$3:$E$51</definedName>
    <definedName name="LINK">'PROCCESSING '!$C$1</definedName>
    <definedName name="MONTHS">'COMPARATIVE ANNUAL DATA '!$B$3:$B$50</definedName>
    <definedName name="OUTPATREVENUES">'COMPARATIVE ANNUAL DATA '!$D$3:$D$51</definedName>
    <definedName name="REVENUES">'COMPARATIVE ANNUAL DATA '!$C$3:$C$50</definedName>
    <definedName name="SCROLL">'PROCCESSING '!$E$1</definedName>
    <definedName name="Slicer_YEAR">#N/A</definedName>
    <definedName name="TOTADMISSIONS">'COMPARATIVE ANNUAL DATA '!$G$3:$G$50</definedName>
    <definedName name="TOTPATIENTS">'COMPARATIVE ANNUAL DATA '!$F$3:$F$50</definedName>
    <definedName name="YEARS">'COMPARATIVE ANNUAL DATA '!$A$4:$A$50</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O13" i="4" l="1"/>
  <c r="GO14" i="4"/>
  <c r="CJ16" i="4"/>
  <c r="BO14" i="4"/>
  <c r="AN14" i="4"/>
  <c r="AM14" i="4"/>
  <c r="O15" i="4"/>
  <c r="E50" i="2"/>
  <c r="DI20" i="4" l="1"/>
  <c r="DK20" i="4" l="1"/>
  <c r="M17" i="5"/>
  <c r="K17" i="5"/>
  <c r="G33" i="5"/>
  <c r="J17" i="5"/>
  <c r="H17" i="5"/>
  <c r="C1" i="4"/>
  <c r="CJ15" i="4"/>
  <c r="BO13" i="4"/>
  <c r="E49" i="2"/>
  <c r="O14" i="4" l="1"/>
  <c r="J15" i="4"/>
  <c r="J5" i="4"/>
  <c r="J6" i="4"/>
  <c r="J7" i="4"/>
  <c r="J8" i="4"/>
  <c r="J9" i="4"/>
  <c r="J10" i="4"/>
  <c r="J11" i="4"/>
  <c r="J12" i="4"/>
  <c r="J13" i="4"/>
  <c r="J14" i="4"/>
  <c r="H29" i="5" l="1"/>
  <c r="II5" i="4"/>
  <c r="II6" i="4"/>
  <c r="II7" i="4"/>
  <c r="II8" i="4"/>
  <c r="II9" i="4"/>
  <c r="II10" i="4"/>
  <c r="II11" i="4"/>
  <c r="II12" i="4"/>
  <c r="II13" i="4"/>
  <c r="II14" i="4"/>
  <c r="II15" i="4"/>
  <c r="II4" i="4"/>
  <c r="IJ8" i="4"/>
  <c r="IJ4" i="4"/>
  <c r="IE13" i="4"/>
  <c r="IE12" i="4"/>
  <c r="IE11" i="4"/>
  <c r="IE10" i="4"/>
  <c r="IE9" i="4"/>
  <c r="IE8" i="4"/>
  <c r="IE7" i="4"/>
  <c r="IE6" i="4"/>
  <c r="IE5" i="4"/>
  <c r="IE4" i="4"/>
  <c r="IA4" i="4"/>
  <c r="IB4" i="4"/>
  <c r="IF4" i="4" s="1"/>
  <c r="IC4" i="4"/>
  <c r="IA5" i="4"/>
  <c r="IB5" i="4"/>
  <c r="IF5" i="4" s="1"/>
  <c r="IC5" i="4"/>
  <c r="IA6" i="4"/>
  <c r="IB6" i="4"/>
  <c r="IF6" i="4" s="1"/>
  <c r="IC6" i="4"/>
  <c r="IA7" i="4"/>
  <c r="IB7" i="4"/>
  <c r="IF7" i="4" s="1"/>
  <c r="IC7" i="4"/>
  <c r="IA8" i="4"/>
  <c r="IB8" i="4"/>
  <c r="IF8" i="4" s="1"/>
  <c r="IC8" i="4"/>
  <c r="IA9" i="4"/>
  <c r="IB9" i="4"/>
  <c r="IF9" i="4" s="1"/>
  <c r="IC9" i="4"/>
  <c r="IA10" i="4"/>
  <c r="IB10" i="4"/>
  <c r="IF10" i="4" s="1"/>
  <c r="IC10" i="4"/>
  <c r="IA11" i="4"/>
  <c r="IB11" i="4"/>
  <c r="IF11" i="4" s="1"/>
  <c r="IC11" i="4"/>
  <c r="IA12" i="4"/>
  <c r="IB12" i="4"/>
  <c r="IF12" i="4" s="1"/>
  <c r="IC12" i="4"/>
  <c r="IA13" i="4"/>
  <c r="IB13" i="4"/>
  <c r="IF13" i="4" s="1"/>
  <c r="IC13" i="4"/>
  <c r="IA14" i="4"/>
  <c r="IB14" i="4"/>
  <c r="IF14" i="4" s="1"/>
  <c r="IA15" i="4"/>
  <c r="IB15" i="4"/>
  <c r="IF15" i="4" s="1"/>
  <c r="HZ5" i="4"/>
  <c r="HZ6" i="4"/>
  <c r="HZ7" i="4"/>
  <c r="HZ8" i="4"/>
  <c r="HZ9" i="4"/>
  <c r="HZ10" i="4"/>
  <c r="HZ11" i="4"/>
  <c r="HZ12" i="4"/>
  <c r="HZ13" i="4"/>
  <c r="HZ14" i="4"/>
  <c r="HZ15" i="4"/>
  <c r="HZ4" i="4"/>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3" i="2"/>
  <c r="HS5" i="4"/>
  <c r="HS6" i="4"/>
  <c r="HS7" i="4"/>
  <c r="HS8" i="4"/>
  <c r="HS9" i="4"/>
  <c r="HS10" i="4"/>
  <c r="HS11" i="4"/>
  <c r="HS12" i="4"/>
  <c r="HS13" i="4"/>
  <c r="HS14" i="4"/>
  <c r="HS15" i="4"/>
  <c r="HS4" i="4"/>
  <c r="HT8" i="4"/>
  <c r="HT4" i="4"/>
  <c r="HM13" i="4"/>
  <c r="HM12" i="4"/>
  <c r="HM11" i="4"/>
  <c r="HM10" i="4"/>
  <c r="HM9" i="4"/>
  <c r="HM8" i="4"/>
  <c r="HM7" i="4"/>
  <c r="HM6" i="4"/>
  <c r="HM5" i="4"/>
  <c r="HM4" i="4"/>
  <c r="HH4" i="4"/>
  <c r="HI4" i="4"/>
  <c r="HN4" i="4" s="1"/>
  <c r="HJ4" i="4"/>
  <c r="HH5" i="4"/>
  <c r="HI5" i="4"/>
  <c r="HN5" i="4" s="1"/>
  <c r="HJ5" i="4"/>
  <c r="HH6" i="4"/>
  <c r="HI6" i="4"/>
  <c r="HN6" i="4" s="1"/>
  <c r="HJ6" i="4"/>
  <c r="HH7" i="4"/>
  <c r="HI7" i="4"/>
  <c r="HN7" i="4" s="1"/>
  <c r="HJ7" i="4"/>
  <c r="HH8" i="4"/>
  <c r="HI8" i="4"/>
  <c r="HN8" i="4" s="1"/>
  <c r="HJ8" i="4"/>
  <c r="HH9" i="4"/>
  <c r="HI9" i="4"/>
  <c r="HN9" i="4" s="1"/>
  <c r="HJ9" i="4"/>
  <c r="HH10" i="4"/>
  <c r="HI10" i="4"/>
  <c r="HN10" i="4" s="1"/>
  <c r="HJ10" i="4"/>
  <c r="HH11" i="4"/>
  <c r="HI11" i="4"/>
  <c r="HN11" i="4" s="1"/>
  <c r="HJ11" i="4"/>
  <c r="HH12" i="4"/>
  <c r="HI12" i="4"/>
  <c r="HN12" i="4" s="1"/>
  <c r="HJ12" i="4"/>
  <c r="HH13" i="4"/>
  <c r="HI13" i="4"/>
  <c r="HN13" i="4" s="1"/>
  <c r="HJ13" i="4"/>
  <c r="HH14" i="4"/>
  <c r="HI14" i="4"/>
  <c r="HN14" i="4" s="1"/>
  <c r="HH15" i="4"/>
  <c r="HI15" i="4"/>
  <c r="HN15" i="4" s="1"/>
  <c r="HG5" i="4"/>
  <c r="HG6" i="4"/>
  <c r="HG7" i="4"/>
  <c r="HG8" i="4"/>
  <c r="HG9" i="4"/>
  <c r="HG10" i="4"/>
  <c r="HG11" i="4"/>
  <c r="HG12" i="4"/>
  <c r="HG13" i="4"/>
  <c r="HG14" i="4"/>
  <c r="HG15" i="4"/>
  <c r="HG4" i="4"/>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Y49" i="2" s="1"/>
  <c r="X50" i="2"/>
  <c r="Y50" i="2" s="1"/>
  <c r="IC15" i="4" s="1"/>
  <c r="X3" i="2"/>
  <c r="GV4" i="4"/>
  <c r="GV5" i="4"/>
  <c r="GV6" i="4"/>
  <c r="GV7" i="4"/>
  <c r="GV8" i="4"/>
  <c r="GV9" i="4"/>
  <c r="GV10" i="4"/>
  <c r="GV11" i="4"/>
  <c r="GV12" i="4"/>
  <c r="GV13" i="4"/>
  <c r="GV14" i="4"/>
  <c r="GV3" i="4"/>
  <c r="GW8" i="4"/>
  <c r="GW3" i="4"/>
  <c r="GO12" i="4"/>
  <c r="GO11" i="4"/>
  <c r="GO10" i="4"/>
  <c r="GO9" i="4"/>
  <c r="GO8" i="4"/>
  <c r="GO7" i="4"/>
  <c r="GO6" i="4"/>
  <c r="GO5" i="4"/>
  <c r="GO4" i="4"/>
  <c r="GO3" i="4"/>
  <c r="GJ3" i="4"/>
  <c r="GK3" i="4"/>
  <c r="GP3" i="4" s="1"/>
  <c r="GL3" i="4"/>
  <c r="GJ4" i="4"/>
  <c r="GK4" i="4"/>
  <c r="GP4" i="4" s="1"/>
  <c r="GL4" i="4"/>
  <c r="GJ5" i="4"/>
  <c r="GK5" i="4"/>
  <c r="GP5" i="4" s="1"/>
  <c r="GL5" i="4"/>
  <c r="GJ6" i="4"/>
  <c r="GK6" i="4"/>
  <c r="GP6" i="4" s="1"/>
  <c r="GL6" i="4"/>
  <c r="GJ7" i="4"/>
  <c r="GK7" i="4"/>
  <c r="GP7" i="4" s="1"/>
  <c r="GL7" i="4"/>
  <c r="GJ8" i="4"/>
  <c r="GK8" i="4"/>
  <c r="GP8" i="4" s="1"/>
  <c r="GL8" i="4"/>
  <c r="GJ9" i="4"/>
  <c r="GK9" i="4"/>
  <c r="GP9" i="4" s="1"/>
  <c r="GL9" i="4"/>
  <c r="GJ10" i="4"/>
  <c r="GK10" i="4"/>
  <c r="GP10" i="4" s="1"/>
  <c r="GL10" i="4"/>
  <c r="GJ11" i="4"/>
  <c r="GK11" i="4"/>
  <c r="GP11" i="4" s="1"/>
  <c r="GL11" i="4"/>
  <c r="GJ12" i="4"/>
  <c r="GK12" i="4"/>
  <c r="GP12" i="4" s="1"/>
  <c r="GL12" i="4"/>
  <c r="GJ13" i="4"/>
  <c r="GK13" i="4"/>
  <c r="GP13" i="4" s="1"/>
  <c r="GL13" i="4"/>
  <c r="GJ14" i="4"/>
  <c r="GK14" i="4"/>
  <c r="GP14" i="4" s="1"/>
  <c r="GL14" i="4"/>
  <c r="GW5" i="4" s="1"/>
  <c r="GI4" i="4"/>
  <c r="GI5" i="4"/>
  <c r="GI6" i="4"/>
  <c r="GI7" i="4"/>
  <c r="GI8" i="4"/>
  <c r="GI9" i="4"/>
  <c r="GI10" i="4"/>
  <c r="GI11" i="4"/>
  <c r="GI12" i="4"/>
  <c r="GI13" i="4"/>
  <c r="GI14" i="4"/>
  <c r="GI3" i="4"/>
  <c r="X51" i="2"/>
  <c r="X52" i="2"/>
  <c r="V3" i="2"/>
  <c r="FX14" i="4"/>
  <c r="FX15" i="4"/>
  <c r="FV15" i="4"/>
  <c r="FV14" i="4"/>
  <c r="GB5" i="4"/>
  <c r="GB6" i="4"/>
  <c r="GB7" i="4"/>
  <c r="GB8" i="4"/>
  <c r="GB9" i="4"/>
  <c r="GB10" i="4"/>
  <c r="GB11" i="4"/>
  <c r="GB12" i="4"/>
  <c r="GB13" i="4"/>
  <c r="GB14" i="4"/>
  <c r="GB4" i="4"/>
  <c r="GC6" i="4"/>
  <c r="GC8" i="4"/>
  <c r="GC4" i="4"/>
  <c r="FX13" i="4"/>
  <c r="FX12" i="4"/>
  <c r="FX11" i="4"/>
  <c r="FX10" i="4"/>
  <c r="FX9" i="4"/>
  <c r="FX8" i="4"/>
  <c r="FX7" i="4"/>
  <c r="FX6" i="4"/>
  <c r="FX5" i="4"/>
  <c r="FX4" i="4"/>
  <c r="FT4" i="4"/>
  <c r="FU4" i="4"/>
  <c r="FY4" i="4" s="1"/>
  <c r="FV4" i="4"/>
  <c r="FT5" i="4"/>
  <c r="FU5" i="4"/>
  <c r="FY5" i="4" s="1"/>
  <c r="FV5" i="4"/>
  <c r="FT6" i="4"/>
  <c r="FU6" i="4"/>
  <c r="FY6" i="4" s="1"/>
  <c r="FV6" i="4"/>
  <c r="FT7" i="4"/>
  <c r="FU7" i="4"/>
  <c r="FY7" i="4" s="1"/>
  <c r="FV7" i="4"/>
  <c r="FT8" i="4"/>
  <c r="FU8" i="4"/>
  <c r="FY8" i="4" s="1"/>
  <c r="FV8" i="4"/>
  <c r="FT9" i="4"/>
  <c r="FU9" i="4"/>
  <c r="FY9" i="4" s="1"/>
  <c r="FV9" i="4"/>
  <c r="FT10" i="4"/>
  <c r="FU10" i="4"/>
  <c r="FY10" i="4" s="1"/>
  <c r="FV10" i="4"/>
  <c r="FT11" i="4"/>
  <c r="FU11" i="4"/>
  <c r="FY11" i="4" s="1"/>
  <c r="FV11" i="4"/>
  <c r="FT12" i="4"/>
  <c r="FU12" i="4"/>
  <c r="FY12" i="4" s="1"/>
  <c r="FV12" i="4"/>
  <c r="FT13" i="4"/>
  <c r="FU13" i="4"/>
  <c r="FY13" i="4" s="1"/>
  <c r="FV13" i="4"/>
  <c r="FT14" i="4"/>
  <c r="FU14" i="4"/>
  <c r="FY14" i="4" s="1"/>
  <c r="FT15" i="4"/>
  <c r="FU15" i="4"/>
  <c r="FY15" i="4" s="1"/>
  <c r="FS5" i="4"/>
  <c r="FS6" i="4"/>
  <c r="FS7" i="4"/>
  <c r="FS8" i="4"/>
  <c r="FS9" i="4"/>
  <c r="FS10" i="4"/>
  <c r="FS11" i="4"/>
  <c r="FS12" i="4"/>
  <c r="FS13" i="4"/>
  <c r="FS14" i="4"/>
  <c r="FS15" i="4"/>
  <c r="FS4" i="4"/>
  <c r="O1" i="2"/>
  <c r="R5" i="2"/>
  <c r="R6" i="2"/>
  <c r="R7" i="2"/>
  <c r="R8" i="2"/>
  <c r="R9" i="2"/>
  <c r="R10" i="2"/>
  <c r="R11" i="2"/>
  <c r="R12" i="2"/>
  <c r="R13" i="2"/>
  <c r="R14" i="2"/>
  <c r="R15" i="2"/>
  <c r="R16"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P5" i="2"/>
  <c r="P8" i="2"/>
  <c r="P4" i="2"/>
  <c r="P6" i="2"/>
  <c r="P7"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3" i="2"/>
  <c r="Q3" i="2" s="1"/>
  <c r="N4" i="2"/>
  <c r="R4" i="2" s="1"/>
  <c r="N5" i="2"/>
  <c r="N6" i="2"/>
  <c r="N7" i="2"/>
  <c r="N8" i="2"/>
  <c r="N9" i="2"/>
  <c r="N10" i="2"/>
  <c r="N11" i="2"/>
  <c r="N12" i="2"/>
  <c r="N13" i="2"/>
  <c r="N14" i="2"/>
  <c r="N15" i="2"/>
  <c r="N16" i="2"/>
  <c r="N17" i="2"/>
  <c r="R17" i="2" s="1"/>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3" i="2"/>
  <c r="FN7" i="4"/>
  <c r="FN3" i="4"/>
  <c r="FL8" i="4"/>
  <c r="FK15" i="4"/>
  <c r="FK14" i="4"/>
  <c r="FK13" i="4"/>
  <c r="FK12" i="4"/>
  <c r="FK11" i="4"/>
  <c r="FK10" i="4"/>
  <c r="FK9" i="4"/>
  <c r="FK8" i="4"/>
  <c r="FK7" i="4"/>
  <c r="FK6" i="4"/>
  <c r="FK5" i="4"/>
  <c r="FK4" i="4"/>
  <c r="FG4" i="4"/>
  <c r="FH4" i="4"/>
  <c r="FL4" i="4" s="1"/>
  <c r="FI4" i="4"/>
  <c r="FG5" i="4"/>
  <c r="FH5" i="4"/>
  <c r="FL5" i="4" s="1"/>
  <c r="FI5" i="4"/>
  <c r="FG6" i="4"/>
  <c r="FH6" i="4"/>
  <c r="FL6" i="4" s="1"/>
  <c r="FI6" i="4"/>
  <c r="FG7" i="4"/>
  <c r="FH7" i="4"/>
  <c r="FL7" i="4" s="1"/>
  <c r="FI7" i="4"/>
  <c r="FG8" i="4"/>
  <c r="FH8" i="4"/>
  <c r="FI8" i="4"/>
  <c r="FG9" i="4"/>
  <c r="FH9" i="4"/>
  <c r="FL9" i="4" s="1"/>
  <c r="FI9" i="4"/>
  <c r="FG10" i="4"/>
  <c r="FH10" i="4"/>
  <c r="FL10" i="4" s="1"/>
  <c r="FI10" i="4"/>
  <c r="FG11" i="4"/>
  <c r="FH11" i="4"/>
  <c r="FL11" i="4" s="1"/>
  <c r="FI11" i="4"/>
  <c r="FG12" i="4"/>
  <c r="FH12" i="4"/>
  <c r="FL12" i="4" s="1"/>
  <c r="FI12" i="4"/>
  <c r="FG13" i="4"/>
  <c r="FH13" i="4"/>
  <c r="FL13" i="4" s="1"/>
  <c r="FI13" i="4"/>
  <c r="FN5" i="4" s="1"/>
  <c r="FG14" i="4"/>
  <c r="FH14" i="4"/>
  <c r="FL14" i="4" s="1"/>
  <c r="FI14" i="4"/>
  <c r="FG15" i="4"/>
  <c r="FH15" i="4"/>
  <c r="FL15" i="4" s="1"/>
  <c r="FI15" i="4"/>
  <c r="FF5" i="4"/>
  <c r="FF6" i="4"/>
  <c r="FF7" i="4"/>
  <c r="FF8" i="4"/>
  <c r="FF9" i="4"/>
  <c r="FF10" i="4"/>
  <c r="FF11" i="4"/>
  <c r="FF12" i="4"/>
  <c r="FF13" i="4"/>
  <c r="FF14" i="4"/>
  <c r="FF15" i="4"/>
  <c r="FF4" i="4"/>
  <c r="EX8" i="4"/>
  <c r="EX4" i="4"/>
  <c r="EV4" i="4"/>
  <c r="EV8" i="4"/>
  <c r="EV9" i="4"/>
  <c r="EV12" i="4"/>
  <c r="EU15" i="4"/>
  <c r="EU14" i="4"/>
  <c r="EU13" i="4"/>
  <c r="EU12" i="4"/>
  <c r="EU11" i="4"/>
  <c r="EU10" i="4"/>
  <c r="EU9" i="4"/>
  <c r="EU8" i="4"/>
  <c r="EU7" i="4"/>
  <c r="EU6" i="4"/>
  <c r="EU5" i="4"/>
  <c r="EU4" i="4"/>
  <c r="EP4" i="4"/>
  <c r="EQ4" i="4"/>
  <c r="ER4" i="4"/>
  <c r="EP5" i="4"/>
  <c r="EQ5" i="4"/>
  <c r="EV5" i="4" s="1"/>
  <c r="ER5" i="4"/>
  <c r="EP6" i="4"/>
  <c r="EQ6" i="4"/>
  <c r="EV6" i="4" s="1"/>
  <c r="ER6" i="4"/>
  <c r="EP7" i="4"/>
  <c r="EQ7" i="4"/>
  <c r="EV7" i="4" s="1"/>
  <c r="ER7" i="4"/>
  <c r="EP8" i="4"/>
  <c r="EQ8" i="4"/>
  <c r="ER8" i="4"/>
  <c r="EP9" i="4"/>
  <c r="EQ9" i="4"/>
  <c r="ER9" i="4"/>
  <c r="EP10" i="4"/>
  <c r="EQ10" i="4"/>
  <c r="EV10" i="4" s="1"/>
  <c r="ER10" i="4"/>
  <c r="EP11" i="4"/>
  <c r="EQ11" i="4"/>
  <c r="EV11" i="4" s="1"/>
  <c r="ER11" i="4"/>
  <c r="EP12" i="4"/>
  <c r="EQ12" i="4"/>
  <c r="ER12" i="4"/>
  <c r="EP13" i="4"/>
  <c r="EQ13" i="4"/>
  <c r="EV13" i="4" s="1"/>
  <c r="ER13" i="4"/>
  <c r="EX6" i="4" s="1"/>
  <c r="EP14" i="4"/>
  <c r="EQ14" i="4"/>
  <c r="EV14" i="4" s="1"/>
  <c r="ER14" i="4"/>
  <c r="EP15" i="4"/>
  <c r="EQ15" i="4"/>
  <c r="EV15" i="4" s="1"/>
  <c r="ER15" i="4"/>
  <c r="EO5" i="4"/>
  <c r="EO6" i="4"/>
  <c r="EO7" i="4"/>
  <c r="EO8" i="4"/>
  <c r="EO9" i="4"/>
  <c r="EO10" i="4"/>
  <c r="EO11" i="4"/>
  <c r="EO12" i="4"/>
  <c r="EO13" i="4"/>
  <c r="EO14" i="4"/>
  <c r="EO15" i="4"/>
  <c r="EO4" i="4"/>
  <c r="EH8" i="4"/>
  <c r="EG5" i="4"/>
  <c r="EG6" i="4"/>
  <c r="EG7" i="4"/>
  <c r="EG8" i="4"/>
  <c r="EG9" i="4"/>
  <c r="EG10" i="4"/>
  <c r="EG11" i="4"/>
  <c r="EG12" i="4"/>
  <c r="EG13" i="4"/>
  <c r="EG14" i="4"/>
  <c r="EG15" i="4"/>
  <c r="EG4" i="4"/>
  <c r="EH4" i="4"/>
  <c r="ED6" i="4"/>
  <c r="ED7" i="4"/>
  <c r="ED10" i="4"/>
  <c r="ED13" i="4"/>
  <c r="EC15" i="4"/>
  <c r="EC14" i="4"/>
  <c r="EC13" i="4"/>
  <c r="EC12" i="4"/>
  <c r="EC11" i="4"/>
  <c r="EC10" i="4"/>
  <c r="EC9" i="4"/>
  <c r="EC8" i="4"/>
  <c r="EC7" i="4"/>
  <c r="EC6" i="4"/>
  <c r="EC5" i="4"/>
  <c r="EC4" i="4"/>
  <c r="DU4" i="4"/>
  <c r="DV4" i="4"/>
  <c r="ED4" i="4" s="1"/>
  <c r="DW4" i="4"/>
  <c r="DU5" i="4"/>
  <c r="DV5" i="4"/>
  <c r="ED5" i="4" s="1"/>
  <c r="DW5" i="4"/>
  <c r="DU6" i="4"/>
  <c r="DV6" i="4"/>
  <c r="DW6" i="4"/>
  <c r="DU7" i="4"/>
  <c r="DV7" i="4"/>
  <c r="DW7" i="4"/>
  <c r="DU8" i="4"/>
  <c r="DV8" i="4"/>
  <c r="ED8" i="4" s="1"/>
  <c r="DW8" i="4"/>
  <c r="DU9" i="4"/>
  <c r="DV9" i="4"/>
  <c r="ED9" i="4" s="1"/>
  <c r="DW9" i="4"/>
  <c r="DU10" i="4"/>
  <c r="DV10" i="4"/>
  <c r="DW10" i="4"/>
  <c r="DU11" i="4"/>
  <c r="DV11" i="4"/>
  <c r="ED11" i="4" s="1"/>
  <c r="DW11" i="4"/>
  <c r="DU12" i="4"/>
  <c r="DV12" i="4"/>
  <c r="ED12" i="4" s="1"/>
  <c r="DW12" i="4"/>
  <c r="DU13" i="4"/>
  <c r="DV13" i="4"/>
  <c r="DW13" i="4"/>
  <c r="EH6" i="4" s="1"/>
  <c r="DU14" i="4"/>
  <c r="DV14" i="4"/>
  <c r="ED14" i="4" s="1"/>
  <c r="DW14" i="4"/>
  <c r="DU15" i="4"/>
  <c r="DV15" i="4"/>
  <c r="ED15" i="4" s="1"/>
  <c r="DW15" i="4"/>
  <c r="DT5" i="4"/>
  <c r="DT6" i="4"/>
  <c r="DT7" i="4"/>
  <c r="DT8" i="4"/>
  <c r="DT9" i="4"/>
  <c r="DT10" i="4"/>
  <c r="DT11" i="4"/>
  <c r="DT12" i="4"/>
  <c r="DT13" i="4"/>
  <c r="DT14" i="4"/>
  <c r="DT15" i="4"/>
  <c r="DT4" i="4"/>
  <c r="E48" i="2"/>
  <c r="K48" i="2"/>
  <c r="K47" i="2"/>
  <c r="K46" i="2"/>
  <c r="K45" i="2"/>
  <c r="K44" i="2"/>
  <c r="K43" i="2"/>
  <c r="K42" i="2"/>
  <c r="K41" i="2"/>
  <c r="K40" i="2"/>
  <c r="K39" i="2"/>
  <c r="IJ6" i="4" l="1"/>
  <c r="IE15" i="4"/>
  <c r="HJ15" i="4"/>
  <c r="HT6" i="4" s="1"/>
  <c r="HM15" i="4"/>
  <c r="IC14" i="4"/>
  <c r="IE14" i="4"/>
  <c r="HM14" i="4"/>
  <c r="HJ14" i="4"/>
  <c r="R3" i="2"/>
  <c r="K38" i="2"/>
  <c r="K37" i="2"/>
  <c r="K36" i="2"/>
  <c r="K35" i="2"/>
  <c r="K34" i="2"/>
  <c r="K33" i="2"/>
  <c r="K32" i="2"/>
  <c r="K31" i="2"/>
  <c r="K30" i="2"/>
  <c r="K29" i="2"/>
  <c r="K28" i="2"/>
  <c r="K27" i="2"/>
  <c r="BB26" i="4"/>
  <c r="BB25" i="4"/>
  <c r="BB24" i="4"/>
  <c r="K26" i="2"/>
  <c r="K25" i="2"/>
  <c r="K24" i="2"/>
  <c r="K23" i="2"/>
  <c r="K22" i="2"/>
  <c r="K21" i="2"/>
  <c r="K20" i="2"/>
  <c r="K19" i="2"/>
  <c r="K18" i="2"/>
  <c r="K17" i="2"/>
  <c r="K16" i="2"/>
  <c r="K15" i="2"/>
  <c r="K14" i="2"/>
  <c r="K13" i="2"/>
  <c r="K12" i="2"/>
  <c r="K11" i="2"/>
  <c r="K10" i="2"/>
  <c r="K9" i="2"/>
  <c r="K8" i="2"/>
  <c r="K7" i="2"/>
  <c r="K6" i="2"/>
  <c r="K5" i="2"/>
  <c r="K4" i="2"/>
  <c r="K3" i="2"/>
  <c r="AX10" i="4"/>
  <c r="AX4" i="4"/>
  <c r="AX5" i="4"/>
  <c r="AX6" i="4"/>
  <c r="AX7" i="4"/>
  <c r="AX8" i="4"/>
  <c r="AX9" i="4"/>
  <c r="AX11" i="4"/>
  <c r="AX12" i="4"/>
  <c r="AX13" i="4"/>
  <c r="AX14" i="4"/>
  <c r="AX3" i="4"/>
  <c r="AY14" i="4"/>
  <c r="AY10" i="4"/>
  <c r="AY6" i="4"/>
  <c r="AY2" i="4"/>
  <c r="DE21" i="4"/>
  <c r="DE22" i="4"/>
  <c r="DE23" i="4"/>
  <c r="DE24" i="4"/>
  <c r="DE25" i="4"/>
  <c r="DE26" i="4"/>
  <c r="DE28" i="4"/>
  <c r="DE30" i="4"/>
  <c r="DE31" i="4"/>
  <c r="DE20" i="4"/>
  <c r="DD14" i="4"/>
  <c r="DD15" i="4"/>
  <c r="DD13" i="4"/>
  <c r="DD12" i="4"/>
  <c r="DD11" i="4"/>
  <c r="DE27" i="4" s="1"/>
  <c r="DD10" i="4"/>
  <c r="DD9" i="4"/>
  <c r="DD8" i="4"/>
  <c r="DD7" i="4"/>
  <c r="DD6" i="4"/>
  <c r="DD5" i="4"/>
  <c r="DD4" i="4"/>
  <c r="CW4" i="4"/>
  <c r="CX4" i="4"/>
  <c r="CY4" i="4"/>
  <c r="CW5" i="4"/>
  <c r="CX5" i="4"/>
  <c r="CY5" i="4"/>
  <c r="CW6" i="4"/>
  <c r="CX6" i="4"/>
  <c r="CY6" i="4"/>
  <c r="CW7" i="4"/>
  <c r="CX7" i="4"/>
  <c r="CY7" i="4"/>
  <c r="CW8" i="4"/>
  <c r="CX8" i="4"/>
  <c r="CY8" i="4"/>
  <c r="CW9" i="4"/>
  <c r="CX9" i="4"/>
  <c r="CY9" i="4"/>
  <c r="CW10" i="4"/>
  <c r="CX10" i="4"/>
  <c r="CY10" i="4"/>
  <c r="CW11" i="4"/>
  <c r="CX11" i="4"/>
  <c r="CY11" i="4"/>
  <c r="CW12" i="4"/>
  <c r="CX12" i="4"/>
  <c r="CY12" i="4"/>
  <c r="CW13" i="4"/>
  <c r="CX13" i="4"/>
  <c r="CY13" i="4"/>
  <c r="CW14" i="4"/>
  <c r="CX14" i="4"/>
  <c r="CY14" i="4"/>
  <c r="CW15" i="4"/>
  <c r="CX15" i="4"/>
  <c r="CY15" i="4"/>
  <c r="CV5" i="4"/>
  <c r="CV6" i="4"/>
  <c r="DE6" i="4" s="1"/>
  <c r="CV7" i="4"/>
  <c r="CV8" i="4"/>
  <c r="DE8" i="4" s="1"/>
  <c r="DG8" i="4" s="1"/>
  <c r="CV9" i="4"/>
  <c r="DE9" i="4" s="1"/>
  <c r="DG9" i="4" s="1"/>
  <c r="CV10" i="4"/>
  <c r="DE10" i="4" s="1"/>
  <c r="DG10" i="4" s="1"/>
  <c r="CV11" i="4"/>
  <c r="CV12" i="4"/>
  <c r="DE12" i="4" s="1"/>
  <c r="CV13" i="4"/>
  <c r="CV14" i="4"/>
  <c r="DE14" i="4" s="1"/>
  <c r="CV15" i="4"/>
  <c r="CV4" i="4"/>
  <c r="DE4" i="4" s="1"/>
  <c r="CO9" i="4"/>
  <c r="CO5" i="4"/>
  <c r="CN6" i="4"/>
  <c r="CN7" i="4"/>
  <c r="CN8" i="4"/>
  <c r="CN9" i="4"/>
  <c r="CN10" i="4"/>
  <c r="CN11" i="4"/>
  <c r="CN12" i="4"/>
  <c r="CN13" i="4"/>
  <c r="CN14" i="4"/>
  <c r="CN15" i="4"/>
  <c r="CN16" i="4"/>
  <c r="CN5" i="4"/>
  <c r="CJ14" i="4"/>
  <c r="CJ13" i="4"/>
  <c r="CJ12" i="4"/>
  <c r="CJ11" i="4"/>
  <c r="CJ10" i="4"/>
  <c r="CJ9" i="4"/>
  <c r="CJ8" i="4"/>
  <c r="CJ7" i="4"/>
  <c r="CJ6" i="4"/>
  <c r="CJ5" i="4"/>
  <c r="CD5" i="4"/>
  <c r="CE5" i="4"/>
  <c r="CF5" i="4"/>
  <c r="CD6" i="4"/>
  <c r="CE6" i="4"/>
  <c r="CF6" i="4"/>
  <c r="CD7" i="4"/>
  <c r="CE7" i="4"/>
  <c r="CF7" i="4"/>
  <c r="CD8" i="4"/>
  <c r="CE8" i="4"/>
  <c r="CF8" i="4"/>
  <c r="CD9" i="4"/>
  <c r="CE9" i="4"/>
  <c r="CF9" i="4"/>
  <c r="CD10" i="4"/>
  <c r="CE10" i="4"/>
  <c r="CK10" i="4" s="1"/>
  <c r="CF10" i="4"/>
  <c r="CD11" i="4"/>
  <c r="CE11" i="4"/>
  <c r="CF11" i="4"/>
  <c r="CD12" i="4"/>
  <c r="CE12" i="4"/>
  <c r="CF12" i="4"/>
  <c r="CO7" i="4" s="1"/>
  <c r="CD13" i="4"/>
  <c r="CE13" i="4"/>
  <c r="CF13" i="4"/>
  <c r="CD14" i="4"/>
  <c r="CE14" i="4"/>
  <c r="CF14" i="4"/>
  <c r="CD15" i="4"/>
  <c r="CE15" i="4"/>
  <c r="CF15" i="4"/>
  <c r="CD16" i="4"/>
  <c r="CE16" i="4"/>
  <c r="CF16" i="4"/>
  <c r="CC6" i="4"/>
  <c r="CK6" i="4" s="1"/>
  <c r="CC7" i="4"/>
  <c r="CC8" i="4"/>
  <c r="CC9" i="4"/>
  <c r="CK9" i="4" s="1"/>
  <c r="CC10" i="4"/>
  <c r="CC11" i="4"/>
  <c r="CC12" i="4"/>
  <c r="CK12" i="4" s="1"/>
  <c r="CC13" i="4"/>
  <c r="CK13" i="4" s="1"/>
  <c r="CC14" i="4"/>
  <c r="CC15" i="4"/>
  <c r="CC16" i="4"/>
  <c r="CK16" i="4" s="1"/>
  <c r="CC5" i="4"/>
  <c r="CK5" i="4" s="1"/>
  <c r="J27" i="4"/>
  <c r="O27" i="4" s="1"/>
  <c r="CK14" i="4" l="1"/>
  <c r="DE29" i="4"/>
  <c r="DI21" i="4"/>
  <c r="DG6" i="4"/>
  <c r="DG4" i="4"/>
  <c r="DE5" i="4"/>
  <c r="DG5" i="4" s="1"/>
  <c r="Q23" i="4"/>
  <c r="DE13" i="4"/>
  <c r="DG13" i="4" s="1"/>
  <c r="CK8" i="4"/>
  <c r="CK15" i="4"/>
  <c r="DF20" i="4"/>
  <c r="DG14" i="4"/>
  <c r="CK11" i="4"/>
  <c r="DG12" i="4"/>
  <c r="DE15" i="4"/>
  <c r="DE11" i="4"/>
  <c r="DF27" i="4" s="1"/>
  <c r="CK7" i="4"/>
  <c r="DE7" i="4"/>
  <c r="DG7" i="4" s="1"/>
  <c r="DF30" i="4"/>
  <c r="DF22" i="4"/>
  <c r="DF24" i="4"/>
  <c r="DF21" i="4"/>
  <c r="DF28" i="4"/>
  <c r="DF25" i="4"/>
  <c r="DF26" i="4"/>
  <c r="K29" i="5"/>
  <c r="BT4" i="4"/>
  <c r="BT5" i="4"/>
  <c r="BT6" i="4"/>
  <c r="BT7" i="4"/>
  <c r="BT8" i="4"/>
  <c r="BT9" i="4"/>
  <c r="BT10" i="4"/>
  <c r="BT11" i="4"/>
  <c r="BT12" i="4"/>
  <c r="BT13" i="4"/>
  <c r="BT14" i="4"/>
  <c r="BT3" i="4"/>
  <c r="BU7" i="4"/>
  <c r="BU3" i="4"/>
  <c r="BO12" i="4"/>
  <c r="BO11" i="4"/>
  <c r="K26" i="5" s="1"/>
  <c r="BO10" i="4"/>
  <c r="BO9" i="4"/>
  <c r="K24" i="5" s="1"/>
  <c r="BO8" i="4"/>
  <c r="K23" i="5" s="1"/>
  <c r="BO7" i="4"/>
  <c r="BO6" i="4"/>
  <c r="BO5" i="4"/>
  <c r="K20" i="5" s="1"/>
  <c r="BO4" i="4"/>
  <c r="BO3" i="4"/>
  <c r="BH3" i="4"/>
  <c r="BI3" i="4"/>
  <c r="BJ3" i="4"/>
  <c r="BH4" i="4"/>
  <c r="BI4" i="4"/>
  <c r="BJ4" i="4"/>
  <c r="BH5" i="4"/>
  <c r="BI5" i="4"/>
  <c r="BJ5" i="4"/>
  <c r="BH6" i="4"/>
  <c r="BI6" i="4"/>
  <c r="BJ6" i="4"/>
  <c r="BH7" i="4"/>
  <c r="BI7" i="4"/>
  <c r="BJ7" i="4"/>
  <c r="BH8" i="4"/>
  <c r="BI8" i="4"/>
  <c r="BJ8" i="4"/>
  <c r="BH9" i="4"/>
  <c r="BI9" i="4"/>
  <c r="BJ9" i="4"/>
  <c r="BH10" i="4"/>
  <c r="BI10" i="4"/>
  <c r="BJ10" i="4"/>
  <c r="BH11" i="4"/>
  <c r="BI11" i="4"/>
  <c r="BJ11" i="4"/>
  <c r="BH12" i="4"/>
  <c r="BI12" i="4"/>
  <c r="BJ12" i="4"/>
  <c r="BH13" i="4"/>
  <c r="BI13" i="4"/>
  <c r="BJ13" i="4"/>
  <c r="BH14" i="4"/>
  <c r="BI14" i="4"/>
  <c r="BJ14" i="4"/>
  <c r="BG4" i="4"/>
  <c r="BP4" i="4" s="1"/>
  <c r="BG5" i="4"/>
  <c r="BG6" i="4"/>
  <c r="BG7" i="4"/>
  <c r="BP7" i="4" s="1"/>
  <c r="BG8" i="4"/>
  <c r="BP8" i="4" s="1"/>
  <c r="BG9" i="4"/>
  <c r="BP9" i="4" s="1"/>
  <c r="BG10" i="4"/>
  <c r="BG11" i="4"/>
  <c r="BG12" i="4"/>
  <c r="BG13" i="4"/>
  <c r="BP13" i="4" s="1"/>
  <c r="BG14" i="4"/>
  <c r="BP14" i="4" s="1"/>
  <c r="BG3" i="4"/>
  <c r="O13" i="4"/>
  <c r="AH13" i="4"/>
  <c r="AM13" i="4" s="1"/>
  <c r="AI4" i="4"/>
  <c r="AN4" i="4" s="1"/>
  <c r="AI5" i="4"/>
  <c r="AN5" i="4" s="1"/>
  <c r="AI6" i="4"/>
  <c r="AN6" i="4" s="1"/>
  <c r="AI7" i="4"/>
  <c r="AN7" i="4" s="1"/>
  <c r="AI8" i="4"/>
  <c r="AN8" i="4" s="1"/>
  <c r="AI9" i="4"/>
  <c r="AN9" i="4" s="1"/>
  <c r="AI10" i="4"/>
  <c r="AN10" i="4" s="1"/>
  <c r="AI11" i="4"/>
  <c r="AN11" i="4" s="1"/>
  <c r="AI12" i="4"/>
  <c r="AN12" i="4" s="1"/>
  <c r="AY8" i="4" s="1"/>
  <c r="AI13" i="4"/>
  <c r="AN13" i="4" s="1"/>
  <c r="AI14" i="4"/>
  <c r="AI3" i="4"/>
  <c r="AN3" i="4" s="1"/>
  <c r="AH4" i="4"/>
  <c r="AM4" i="4" s="1"/>
  <c r="AH5" i="4"/>
  <c r="AM5" i="4" s="1"/>
  <c r="AH6" i="4"/>
  <c r="AM6" i="4" s="1"/>
  <c r="AH7" i="4"/>
  <c r="AM7" i="4" s="1"/>
  <c r="AH8" i="4"/>
  <c r="AM8" i="4" s="1"/>
  <c r="AH9" i="4"/>
  <c r="AM9" i="4" s="1"/>
  <c r="AH10" i="4"/>
  <c r="AM10" i="4" s="1"/>
  <c r="AH11" i="4"/>
  <c r="AM11" i="4" s="1"/>
  <c r="AH12" i="4"/>
  <c r="AH14" i="4"/>
  <c r="AH3" i="4"/>
  <c r="AM3" i="4" s="1"/>
  <c r="AG4" i="4"/>
  <c r="AG5" i="4"/>
  <c r="AG6" i="4"/>
  <c r="AG7" i="4"/>
  <c r="AG8" i="4"/>
  <c r="AG9" i="4"/>
  <c r="AG10" i="4"/>
  <c r="AG11" i="4"/>
  <c r="AG12" i="4"/>
  <c r="AG13" i="4"/>
  <c r="AG3" i="4"/>
  <c r="AF4" i="4"/>
  <c r="AF5" i="4"/>
  <c r="AF6" i="4"/>
  <c r="AF7" i="4"/>
  <c r="AF8" i="4"/>
  <c r="AF9" i="4"/>
  <c r="AF10" i="4"/>
  <c r="AF11" i="4"/>
  <c r="AF12" i="4"/>
  <c r="AF13" i="4"/>
  <c r="AF14" i="4"/>
  <c r="AF3" i="4"/>
  <c r="AE4" i="4"/>
  <c r="AE5" i="4"/>
  <c r="AE6" i="4"/>
  <c r="AE7" i="4"/>
  <c r="AE8" i="4"/>
  <c r="AE9" i="4"/>
  <c r="AE10" i="4"/>
  <c r="AE11" i="4"/>
  <c r="AE12" i="4"/>
  <c r="AE13" i="4"/>
  <c r="AE14" i="4"/>
  <c r="AE3" i="4"/>
  <c r="AD4" i="4"/>
  <c r="AD5" i="4"/>
  <c r="AD6" i="4"/>
  <c r="AD7" i="4"/>
  <c r="AD8" i="4"/>
  <c r="AD9" i="4"/>
  <c r="AD10" i="4"/>
  <c r="AD11" i="4"/>
  <c r="AD12" i="4"/>
  <c r="AD13" i="4"/>
  <c r="AD14" i="4"/>
  <c r="AD3" i="4"/>
  <c r="AC4" i="4"/>
  <c r="AC5" i="4"/>
  <c r="AC6" i="4"/>
  <c r="AC7" i="4"/>
  <c r="AU7" i="4" s="1"/>
  <c r="AC8" i="4"/>
  <c r="AC9" i="4"/>
  <c r="AC10" i="4"/>
  <c r="AU10" i="4" s="1"/>
  <c r="AC11" i="4"/>
  <c r="AC12" i="4"/>
  <c r="AC13" i="4"/>
  <c r="AC14" i="4"/>
  <c r="AC3" i="4"/>
  <c r="AU3" i="4" s="1"/>
  <c r="AB4" i="4"/>
  <c r="AT4" i="4" s="1"/>
  <c r="AB5" i="4"/>
  <c r="AT5" i="4" s="1"/>
  <c r="AB6" i="4"/>
  <c r="AT6" i="4" s="1"/>
  <c r="AB7" i="4"/>
  <c r="AT7" i="4" s="1"/>
  <c r="AB8" i="4"/>
  <c r="AT8" i="4" s="1"/>
  <c r="AB9" i="4"/>
  <c r="AT9" i="4" s="1"/>
  <c r="AB10" i="4"/>
  <c r="AT10" i="4" s="1"/>
  <c r="AB11" i="4"/>
  <c r="AT11" i="4" s="1"/>
  <c r="AB12" i="4"/>
  <c r="AT12" i="4" s="1"/>
  <c r="AB13" i="4"/>
  <c r="AT13" i="4" s="1"/>
  <c r="AB14" i="4"/>
  <c r="AT14" i="4" s="1"/>
  <c r="AB3" i="4"/>
  <c r="AT3" i="4" s="1"/>
  <c r="DG15" i="4" l="1"/>
  <c r="DF31" i="4"/>
  <c r="K19" i="5"/>
  <c r="BP12" i="4"/>
  <c r="L28" i="5" s="1"/>
  <c r="K21" i="5"/>
  <c r="K22" i="5"/>
  <c r="K25" i="5"/>
  <c r="K27" i="5"/>
  <c r="K28" i="5"/>
  <c r="H28" i="5"/>
  <c r="DK21" i="4"/>
  <c r="M22" i="5"/>
  <c r="M19" i="5"/>
  <c r="M29" i="5"/>
  <c r="L29" i="5"/>
  <c r="M24" i="5"/>
  <c r="L24" i="5"/>
  <c r="M28" i="5"/>
  <c r="M23" i="5"/>
  <c r="L23" i="5"/>
  <c r="DF29" i="4"/>
  <c r="AU11" i="4"/>
  <c r="BP6" i="4"/>
  <c r="L22" i="5" s="1"/>
  <c r="BP5" i="4"/>
  <c r="DG11" i="4"/>
  <c r="DG22" i="4" s="1"/>
  <c r="DF23" i="4"/>
  <c r="AU8" i="4"/>
  <c r="AU4" i="4"/>
  <c r="BP3" i="4"/>
  <c r="L19" i="5" s="1"/>
  <c r="AU5" i="4"/>
  <c r="AM12" i="4"/>
  <c r="AY4" i="4"/>
  <c r="AU13" i="4"/>
  <c r="AU6" i="4"/>
  <c r="BP11" i="4"/>
  <c r="BP10" i="4"/>
  <c r="AY12" i="4"/>
  <c r="N23" i="4"/>
  <c r="BU5" i="4"/>
  <c r="AU9" i="4"/>
  <c r="AU12" i="4"/>
  <c r="U10" i="4"/>
  <c r="U4" i="4"/>
  <c r="T5" i="4"/>
  <c r="T6" i="4"/>
  <c r="T7" i="4"/>
  <c r="T8" i="4"/>
  <c r="T9" i="4"/>
  <c r="T10" i="4"/>
  <c r="T11" i="4"/>
  <c r="T12" i="4"/>
  <c r="T13" i="4"/>
  <c r="T14" i="4"/>
  <c r="T15" i="4"/>
  <c r="T4" i="4"/>
  <c r="D1" i="4"/>
  <c r="ED3" i="4" s="1"/>
  <c r="O12" i="4"/>
  <c r="H26" i="5" s="1"/>
  <c r="O11" i="4"/>
  <c r="H25" i="5" s="1"/>
  <c r="O10" i="4"/>
  <c r="O9" i="4"/>
  <c r="H23" i="5" s="1"/>
  <c r="O8" i="4"/>
  <c r="H22" i="5" s="1"/>
  <c r="O7" i="4"/>
  <c r="O6" i="4"/>
  <c r="O5" i="4"/>
  <c r="H19" i="5" s="1"/>
  <c r="O4" i="4"/>
  <c r="H4" i="4"/>
  <c r="H5" i="4"/>
  <c r="H6" i="4"/>
  <c r="H7" i="4"/>
  <c r="H8" i="4"/>
  <c r="H9" i="4"/>
  <c r="H10" i="4"/>
  <c r="H11" i="4"/>
  <c r="H12" i="4"/>
  <c r="H13" i="4"/>
  <c r="H14" i="4"/>
  <c r="H15" i="4"/>
  <c r="I4" i="4"/>
  <c r="J4" i="4"/>
  <c r="I5" i="4"/>
  <c r="I6" i="4"/>
  <c r="I7" i="4"/>
  <c r="I8" i="4"/>
  <c r="I9" i="4"/>
  <c r="I10" i="4"/>
  <c r="I11" i="4"/>
  <c r="J23" i="4"/>
  <c r="I12" i="4"/>
  <c r="I13" i="4"/>
  <c r="I14" i="4"/>
  <c r="I15" i="4"/>
  <c r="G5" i="4"/>
  <c r="G6" i="4"/>
  <c r="G7" i="4"/>
  <c r="P7" i="4" s="1"/>
  <c r="J21" i="5" s="1"/>
  <c r="G8" i="4"/>
  <c r="P8" i="4" s="1"/>
  <c r="J22" i="5" s="1"/>
  <c r="G9" i="4"/>
  <c r="P9" i="4" s="1"/>
  <c r="J23" i="5" s="1"/>
  <c r="G10" i="4"/>
  <c r="G11" i="4"/>
  <c r="G12" i="4"/>
  <c r="G13" i="4"/>
  <c r="G14" i="4"/>
  <c r="G15" i="4"/>
  <c r="P15" i="4" s="1"/>
  <c r="J29" i="5" s="1"/>
  <c r="G4" i="4"/>
  <c r="M27" i="5" l="1"/>
  <c r="L27" i="5"/>
  <c r="P14" i="4"/>
  <c r="J28" i="5" s="1"/>
  <c r="H20" i="5"/>
  <c r="H21" i="5"/>
  <c r="H24" i="5"/>
  <c r="H27" i="5"/>
  <c r="M18" i="5"/>
  <c r="M20" i="5"/>
  <c r="L20" i="5"/>
  <c r="M25" i="5"/>
  <c r="L25" i="5"/>
  <c r="M26" i="5"/>
  <c r="L26" i="5"/>
  <c r="L21" i="5"/>
  <c r="M21" i="5"/>
  <c r="I23" i="5"/>
  <c r="I22" i="5"/>
  <c r="P10" i="4"/>
  <c r="J24" i="5" s="1"/>
  <c r="DG20" i="4"/>
  <c r="DG25" i="4" s="1"/>
  <c r="DG23" i="4"/>
  <c r="DG21" i="4"/>
  <c r="DG24" i="4"/>
  <c r="P6" i="4"/>
  <c r="U12" i="4"/>
  <c r="P5" i="4"/>
  <c r="J19" i="5" s="1"/>
  <c r="P13" i="4"/>
  <c r="J27" i="5" s="1"/>
  <c r="P12" i="4"/>
  <c r="J26" i="5" s="1"/>
  <c r="P11" i="4"/>
  <c r="J25" i="5" s="1"/>
  <c r="EV3" i="4"/>
  <c r="EH10" i="4"/>
  <c r="J19" i="4"/>
  <c r="CK4" i="4"/>
  <c r="CO11" i="4" s="1"/>
  <c r="R29" i="4" s="1"/>
  <c r="DE3" i="4"/>
  <c r="BP2" i="4"/>
  <c r="BU9" i="4" s="1"/>
  <c r="K22" i="4"/>
  <c r="P4" i="4"/>
  <c r="J18" i="5" s="1"/>
  <c r="P3" i="4"/>
  <c r="AU2" i="4"/>
  <c r="AT2" i="4"/>
  <c r="U7" i="4"/>
  <c r="I29" i="5" l="1"/>
  <c r="I28" i="5"/>
  <c r="I17" i="5"/>
  <c r="H18" i="5" s="1"/>
  <c r="H33" i="5" s="1"/>
  <c r="L17" i="5"/>
  <c r="I21" i="5"/>
  <c r="J20" i="5"/>
  <c r="I24" i="5"/>
  <c r="I26" i="5"/>
  <c r="I25" i="5"/>
  <c r="I27" i="5"/>
  <c r="I19" i="5"/>
  <c r="I20" i="5"/>
  <c r="DG28" i="4"/>
  <c r="DG26" i="4"/>
  <c r="DG31" i="4" s="1"/>
  <c r="DG27" i="4"/>
  <c r="DG30" i="4"/>
  <c r="DG29" i="4"/>
  <c r="FL3" i="4"/>
  <c r="EX10" i="4"/>
  <c r="K23" i="4"/>
  <c r="I29" i="4" s="1"/>
  <c r="O22" i="4"/>
  <c r="E39" i="2"/>
  <c r="E40" i="2"/>
  <c r="E41" i="2"/>
  <c r="E42" i="2"/>
  <c r="E43" i="2"/>
  <c r="E44" i="2"/>
  <c r="E45" i="2"/>
  <c r="E46" i="2"/>
  <c r="E47" i="2"/>
  <c r="E38" i="2"/>
  <c r="AG14" i="4" s="1"/>
  <c r="AU14" i="4" s="1"/>
  <c r="AY16" i="4" s="1"/>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I18" i="5" l="1"/>
  <c r="I33" i="5" s="1"/>
  <c r="J33" i="5" s="1"/>
  <c r="K18" i="5"/>
  <c r="L18" i="5"/>
  <c r="FN9" i="4"/>
  <c r="FY3" i="4"/>
  <c r="O23" i="4"/>
  <c r="P29" i="4" s="1"/>
  <c r="R22" i="4"/>
  <c r="R23" i="4" s="1"/>
  <c r="J29" i="4"/>
  <c r="K33" i="5" l="1"/>
  <c r="L33" i="5" s="1"/>
  <c r="M33" i="5" s="1"/>
  <c r="GC10" i="4"/>
  <c r="GP2" i="4"/>
  <c r="S29" i="4"/>
  <c r="S28" i="4"/>
  <c r="O29" i="4"/>
  <c r="GW10" i="4" l="1"/>
  <c r="HN3" i="4"/>
  <c r="HT10" i="4" l="1"/>
  <c r="U23" i="4" s="1"/>
  <c r="IF3" i="4"/>
  <c r="IJ10" i="4" s="1"/>
  <c r="T23" i="4"/>
  <c r="T29" i="4"/>
  <c r="U29" i="4" l="1"/>
</calcChain>
</file>

<file path=xl/sharedStrings.xml><?xml version="1.0" encoding="utf-8"?>
<sst xmlns="http://schemas.openxmlformats.org/spreadsheetml/2006/main" count="383" uniqueCount="82">
  <si>
    <t>FEBRUARY</t>
  </si>
  <si>
    <t>MARCH</t>
  </si>
  <si>
    <t>APRIL</t>
  </si>
  <si>
    <t>MAY</t>
  </si>
  <si>
    <t>JUNE</t>
  </si>
  <si>
    <t>JULY</t>
  </si>
  <si>
    <t>AUGUST</t>
  </si>
  <si>
    <t>SEPTEMBER</t>
  </si>
  <si>
    <t>OCTOBER</t>
  </si>
  <si>
    <t>NOVEMBER</t>
  </si>
  <si>
    <t>DECEMBER</t>
  </si>
  <si>
    <t xml:space="preserve">YEAR </t>
  </si>
  <si>
    <t xml:space="preserve">MONTH </t>
  </si>
  <si>
    <t xml:space="preserve">TOTAL HOSPILAL REVENUES </t>
  </si>
  <si>
    <t>JANUARY</t>
  </si>
  <si>
    <t xml:space="preserve">COMPARATIVE ANALYSIS </t>
  </si>
  <si>
    <t xml:space="preserve">TOTAL OUTPATIENT REVENUES </t>
  </si>
  <si>
    <t xml:space="preserve"> TOTAL INPATIENT REVENUES </t>
  </si>
  <si>
    <t xml:space="preserve">TOTAL PATIENTS </t>
  </si>
  <si>
    <t>TOTAL ADMISSIONS</t>
  </si>
  <si>
    <t xml:space="preserve">BED OCCUPANCY RATE </t>
  </si>
  <si>
    <t xml:space="preserve">COMPARATIVE REVENUES </t>
  </si>
  <si>
    <t xml:space="preserve">CURSOR </t>
  </si>
  <si>
    <t>X1</t>
  </si>
  <si>
    <t>Y1</t>
  </si>
  <si>
    <t>X2</t>
  </si>
  <si>
    <t>Y2</t>
  </si>
  <si>
    <t xml:space="preserve">outpatient </t>
  </si>
  <si>
    <t xml:space="preserve">inpatient </t>
  </si>
  <si>
    <t>MAX:</t>
  </si>
  <si>
    <t xml:space="preserve">TOTAL </t>
  </si>
  <si>
    <t xml:space="preserve"> TOTAL PATIENTS </t>
  </si>
  <si>
    <t>CURSOR</t>
  </si>
  <si>
    <t>COMPATIVE REV</t>
  </si>
  <si>
    <t>PATIENTS</t>
  </si>
  <si>
    <t xml:space="preserve">BED OCCUPANCY </t>
  </si>
  <si>
    <t xml:space="preserve">BOTTOM </t>
  </si>
  <si>
    <t>MAX</t>
  </si>
  <si>
    <t xml:space="preserve">cursor </t>
  </si>
  <si>
    <t>X3</t>
  </si>
  <si>
    <t>Y3</t>
  </si>
  <si>
    <t>X4</t>
  </si>
  <si>
    <t>Y4</t>
  </si>
  <si>
    <t xml:space="preserve">NO .OF SAUDI SPECIALISTS </t>
  </si>
  <si>
    <t xml:space="preserve">Total number of doctors </t>
  </si>
  <si>
    <t xml:space="preserve">% No. of Saudi doctors </t>
  </si>
  <si>
    <t xml:space="preserve">Total Active Doctors </t>
  </si>
  <si>
    <t xml:space="preserve">Cursor </t>
  </si>
  <si>
    <t xml:space="preserve">TOTAL SAUDI DOCTORS </t>
  </si>
  <si>
    <t xml:space="preserve">saudi doctors </t>
  </si>
  <si>
    <t xml:space="preserve">% of  SAUDI DOCTORS </t>
  </si>
  <si>
    <t xml:space="preserve">% of saudi doctors </t>
  </si>
  <si>
    <t>X5</t>
  </si>
  <si>
    <t>Y5</t>
  </si>
  <si>
    <t>x6</t>
  </si>
  <si>
    <t xml:space="preserve">Y6 </t>
  </si>
  <si>
    <t>Total Patient Days for Period</t>
  </si>
  <si>
    <t>Number of Days in Period</t>
  </si>
  <si>
    <t>Average Daily Patient Census</t>
  </si>
  <si>
    <t>Total Staff Nurse Worked Hours for Period</t>
  </si>
  <si>
    <t>Total Staff Nurse Worked Hours per day</t>
  </si>
  <si>
    <t>Average Daily Staff Nurse Census</t>
  </si>
  <si>
    <t>Average Daily Staff Nurse-to-Patient Ratio</t>
  </si>
  <si>
    <t xml:space="preserve">Average Length of Stay per Patient </t>
  </si>
  <si>
    <t xml:space="preserve">Average Length of  Stay per Patient </t>
  </si>
  <si>
    <t>Number of Discharges</t>
  </si>
  <si>
    <t xml:space="preserve">Total Beds Available </t>
  </si>
  <si>
    <t xml:space="preserve"> Bed Turnover Rate </t>
  </si>
  <si>
    <t xml:space="preserve">operating costs </t>
  </si>
  <si>
    <t xml:space="preserve">Operating Profit </t>
  </si>
  <si>
    <t xml:space="preserve">OPERATING PROFIT </t>
  </si>
  <si>
    <t xml:space="preserve">COST CHANGES </t>
  </si>
  <si>
    <t>PROFIT CHANGES</t>
  </si>
  <si>
    <t>Operating profit Margin</t>
  </si>
  <si>
    <t>INDEX</t>
  </si>
  <si>
    <t>Row Labels</t>
  </si>
  <si>
    <t>Sum of INDEX</t>
  </si>
  <si>
    <t>REVENUES CHANGES</t>
  </si>
  <si>
    <t>M/M</t>
  </si>
  <si>
    <t>PATIENTS CHANGES</t>
  </si>
  <si>
    <t xml:space="preserve">COMPARATIVE ADMISSIONS </t>
  </si>
  <si>
    <t xml:space="preserve">COMPARATIVE ANNUAL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</si>
</sst>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 #,##0.00\ _ر_._س_._‏_-;\-* #,##0.00\ _ر_._س_._‏_-;_-* &quot;-&quot;??\ _ر_._س_._‏_-;_-@_-"/>
    <numFmt numFmtId="165" formatCode="[Green]0%\ &quot;▲&quot;;[Red]\-0%&quot;▼&quot;"/>
    <numFmt numFmtId="166" formatCode="[Green]0.0%\ &quot;▲&quot;;[Red]\-0.0%&quot;▼&quot;"/>
    <numFmt numFmtId="167" formatCode="_-* #,##0_-;\-* #,##0_-;_-* &quot;-&quot;??_-;_-@_-"/>
  </numFmts>
  <fonts count="16" x14ac:knownFonts="1">
    <font>
      <sz val="11"/>
      <color theme="1"/>
      <name val="Calibri"/>
      <family val="2"/>
      <charset val="178"/>
      <scheme val="minor"/>
    </font>
    <font>
      <sz val="11"/>
      <color theme="1"/>
      <name val="Calibri"/>
      <family val="2"/>
      <charset val="178"/>
      <scheme val="minor"/>
    </font>
    <font>
      <sz val="8"/>
      <name val="Calibri"/>
      <family val="2"/>
      <charset val="178"/>
      <scheme val="minor"/>
    </font>
    <font>
      <b/>
      <sz val="14"/>
      <color theme="1"/>
      <name val="Calibri"/>
      <family val="2"/>
      <scheme val="minor"/>
    </font>
    <font>
      <b/>
      <sz val="11"/>
      <color theme="1"/>
      <name val="Calibri"/>
      <family val="2"/>
      <scheme val="minor"/>
    </font>
    <font>
      <sz val="8"/>
      <color rgb="FF000000"/>
      <name val="Segoe UI"/>
      <family val="2"/>
    </font>
    <font>
      <sz val="14"/>
      <color theme="0"/>
      <name val="Calibri"/>
      <family val="2"/>
      <scheme val="minor"/>
    </font>
    <font>
      <sz val="20"/>
      <name val="Calibri"/>
      <family val="2"/>
      <charset val="178"/>
      <scheme val="minor"/>
    </font>
    <font>
      <b/>
      <sz val="20"/>
      <color theme="7"/>
      <name val="Calibri"/>
      <family val="2"/>
      <scheme val="minor"/>
    </font>
    <font>
      <sz val="11"/>
      <color theme="1"/>
      <name val="Arial"/>
      <family val="2"/>
    </font>
    <font>
      <sz val="10"/>
      <color theme="1"/>
      <name val="Arial"/>
      <family val="2"/>
    </font>
    <font>
      <b/>
      <sz val="9"/>
      <color theme="1"/>
      <name val="Arial"/>
      <family val="2"/>
    </font>
    <font>
      <sz val="11"/>
      <color theme="1"/>
      <name val="Calibri"/>
      <family val="2"/>
      <scheme val="minor"/>
    </font>
    <font>
      <b/>
      <sz val="18"/>
      <color theme="0"/>
      <name val="Calibri"/>
      <family val="2"/>
      <scheme val="minor"/>
    </font>
    <font>
      <b/>
      <sz val="11"/>
      <color theme="0"/>
      <name val="Calibri"/>
      <family val="2"/>
      <scheme val="minor"/>
    </font>
    <font>
      <sz val="11"/>
      <color theme="0"/>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FF00"/>
        <bgColor indexed="64"/>
      </patternFill>
    </fill>
    <fill>
      <patternFill patternType="solid">
        <fgColor rgb="FFFF00FF"/>
        <bgColor indexed="64"/>
      </patternFill>
    </fill>
    <fill>
      <patternFill patternType="solid">
        <fgColor rgb="FF002060"/>
        <bgColor indexed="64"/>
      </patternFill>
    </fill>
    <fill>
      <patternFill patternType="solid">
        <fgColor theme="0"/>
        <bgColor indexed="64"/>
      </patternFill>
    </fill>
    <fill>
      <patternFill patternType="solid">
        <fgColor theme="8" tint="0.79998168889431442"/>
        <bgColor indexed="64"/>
      </patternFill>
    </fill>
    <fill>
      <patternFill patternType="solid">
        <fgColor rgb="FF0070C0"/>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43" fontId="0" fillId="0" borderId="0" xfId="1" applyFont="1"/>
    <xf numFmtId="0" fontId="0" fillId="0" borderId="0" xfId="0" applyAlignment="1">
      <alignment horizontal="center"/>
    </xf>
    <xf numFmtId="164" fontId="0" fillId="0" borderId="0" xfId="0" applyNumberFormat="1"/>
    <xf numFmtId="9" fontId="0" fillId="0" borderId="0" xfId="0" applyNumberFormat="1"/>
    <xf numFmtId="9" fontId="0" fillId="0" borderId="0" xfId="2" applyFont="1"/>
    <xf numFmtId="0" fontId="4" fillId="4" borderId="1" xfId="0" applyFont="1" applyFill="1" applyBorder="1" applyAlignment="1">
      <alignment horizontal="center"/>
    </xf>
    <xf numFmtId="0" fontId="0" fillId="6" borderId="0" xfId="0" applyFill="1"/>
    <xf numFmtId="0" fontId="0" fillId="7" borderId="0" xfId="0" applyFill="1"/>
    <xf numFmtId="165" fontId="6" fillId="0" borderId="0" xfId="0" applyNumberFormat="1" applyFont="1" applyFill="1" applyAlignment="1">
      <alignment vertical="center"/>
    </xf>
    <xf numFmtId="166" fontId="6" fillId="0" borderId="0" xfId="0" applyNumberFormat="1" applyFont="1" applyFill="1" applyAlignment="1">
      <alignment vertical="center"/>
    </xf>
    <xf numFmtId="9" fontId="0" fillId="0" borderId="0" xfId="2" applyFont="1" applyAlignment="1">
      <alignment horizontal="center"/>
    </xf>
    <xf numFmtId="43" fontId="0" fillId="0" borderId="0" xfId="0" applyNumberFormat="1"/>
    <xf numFmtId="2" fontId="0" fillId="0" borderId="0" xfId="0" applyNumberFormat="1"/>
    <xf numFmtId="9" fontId="0" fillId="0" borderId="0" xfId="2" applyNumberFormat="1" applyFont="1"/>
    <xf numFmtId="0" fontId="7" fillId="9" borderId="0" xfId="0" applyFont="1" applyFill="1" applyAlignment="1">
      <alignment horizontal="center" vertical="center"/>
    </xf>
    <xf numFmtId="0" fontId="8" fillId="8" borderId="0" xfId="0" applyFont="1" applyFill="1" applyAlignment="1">
      <alignment horizontal="center" vertical="center"/>
    </xf>
    <xf numFmtId="0" fontId="0" fillId="2" borderId="0" xfId="0" applyFill="1" applyAlignment="1">
      <alignment horizontal="center" vertical="center"/>
    </xf>
    <xf numFmtId="0" fontId="11" fillId="2" borderId="0" xfId="0" applyFont="1" applyFill="1" applyBorder="1" applyAlignment="1">
      <alignment horizontal="center" vertical="center"/>
    </xf>
    <xf numFmtId="0" fontId="9" fillId="2" borderId="0" xfId="0" applyFont="1" applyFill="1" applyBorder="1" applyAlignment="1">
      <alignment horizontal="center" vertical="center"/>
    </xf>
    <xf numFmtId="0" fontId="10" fillId="2" borderId="0" xfId="0" applyFont="1" applyFill="1" applyBorder="1" applyAlignment="1">
      <alignment horizontal="center" vertical="center"/>
    </xf>
    <xf numFmtId="0" fontId="9" fillId="2" borderId="0" xfId="0" applyFont="1" applyFill="1" applyBorder="1" applyAlignment="1">
      <alignment horizontal="center" vertical="center" wrapText="1"/>
    </xf>
    <xf numFmtId="0" fontId="9" fillId="2" borderId="0" xfId="0" applyFont="1" applyFill="1" applyBorder="1" applyAlignment="1">
      <alignment vertical="center"/>
    </xf>
    <xf numFmtId="0" fontId="0" fillId="2" borderId="0" xfId="0" applyFill="1"/>
    <xf numFmtId="0" fontId="0" fillId="0" borderId="0" xfId="2" applyNumberFormat="1" applyFont="1"/>
    <xf numFmtId="0" fontId="12" fillId="2" borderId="0" xfId="0" applyFont="1" applyFill="1"/>
    <xf numFmtId="0" fontId="4" fillId="2" borderId="0" xfId="0" applyFont="1" applyFill="1" applyAlignment="1">
      <alignment horizontal="center" vertical="center"/>
    </xf>
    <xf numFmtId="0" fontId="0" fillId="2" borderId="1" xfId="0" applyFill="1" applyBorder="1"/>
    <xf numFmtId="165" fontId="13" fillId="0" borderId="0" xfId="0" applyNumberFormat="1" applyFont="1" applyFill="1" applyAlignment="1">
      <alignment horizontal="center" vertical="center"/>
    </xf>
    <xf numFmtId="0" fontId="0" fillId="5" borderId="0" xfId="0" applyFill="1" applyProtection="1">
      <protection locked="0"/>
    </xf>
    <xf numFmtId="0" fontId="0" fillId="0" borderId="0" xfId="0" applyProtection="1">
      <protection locked="0"/>
    </xf>
    <xf numFmtId="0" fontId="0" fillId="0" borderId="0" xfId="0" applyFill="1"/>
    <xf numFmtId="0" fontId="0" fillId="0" borderId="0" xfId="0" pivotButton="1"/>
    <xf numFmtId="0" fontId="0" fillId="0" borderId="0" xfId="0" applyAlignment="1">
      <alignment horizontal="left"/>
    </xf>
    <xf numFmtId="0" fontId="0" fillId="0" borderId="0" xfId="0" applyNumberFormat="1"/>
    <xf numFmtId="0" fontId="4" fillId="10" borderId="1" xfId="0" applyFont="1" applyFill="1" applyBorder="1"/>
    <xf numFmtId="0" fontId="4" fillId="10" borderId="1" xfId="0" applyFont="1" applyFill="1" applyBorder="1" applyAlignment="1">
      <alignment horizontal="center"/>
    </xf>
    <xf numFmtId="0" fontId="0" fillId="10" borderId="0" xfId="0" applyFill="1"/>
    <xf numFmtId="165" fontId="15" fillId="9" borderId="0" xfId="0" applyNumberFormat="1" applyFont="1" applyFill="1" applyAlignment="1">
      <alignment horizontal="center" vertical="center"/>
    </xf>
    <xf numFmtId="0" fontId="14" fillId="7" borderId="0" xfId="0" applyFont="1" applyFill="1" applyBorder="1" applyAlignment="1">
      <alignment horizontal="center"/>
    </xf>
    <xf numFmtId="167" fontId="0" fillId="0" borderId="0" xfId="0" applyNumberFormat="1"/>
    <xf numFmtId="0" fontId="3" fillId="2" borderId="0" xfId="0" applyFont="1" applyFill="1" applyAlignment="1">
      <alignment horizontal="center"/>
    </xf>
    <xf numFmtId="0" fontId="0" fillId="2" borderId="1" xfId="0" applyFill="1" applyBorder="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14" fillId="7" borderId="0" xfId="0" applyFont="1" applyFill="1" applyBorder="1" applyAlignment="1">
      <alignment horizontal="center"/>
    </xf>
    <xf numFmtId="0" fontId="14" fillId="11" borderId="0" xfId="0" applyFont="1" applyFill="1" applyBorder="1" applyAlignment="1">
      <alignment horizontal="center"/>
    </xf>
  </cellXfs>
  <cellStyles count="3">
    <cellStyle name="Comma" xfId="1" builtinId="3"/>
    <cellStyle name="Normal" xfId="0" builtinId="0"/>
    <cellStyle name="Percent" xfId="2" builtinId="5"/>
  </cellStyles>
  <dxfs count="12">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i val="0"/>
        <color theme="0"/>
      </font>
      <fill>
        <patternFill>
          <bgColor theme="1"/>
        </patternFill>
      </fill>
    </dxf>
    <dxf>
      <font>
        <b/>
        <i val="0"/>
        <color theme="0"/>
      </font>
      <fill>
        <patternFill>
          <bgColor rgb="FFFF00FF"/>
        </patternFill>
      </fill>
      <border>
        <left style="dotted">
          <color rgb="FFFFFF00"/>
        </left>
        <right style="dotted">
          <color rgb="FFFFFF00"/>
        </right>
        <top style="dotted">
          <color rgb="FFFFFF00"/>
        </top>
        <bottom style="dotted">
          <color rgb="FFFFFF00"/>
        </bottom>
        <vertical/>
        <horizontal/>
      </border>
    </dxf>
    <dxf>
      <font>
        <b/>
        <i val="0"/>
        <color theme="0"/>
      </font>
      <fill>
        <patternFill>
          <bgColor rgb="FFCC00FF"/>
        </patternFill>
      </fill>
      <border>
        <left style="dashed">
          <color rgb="FFFFFF00"/>
        </left>
        <right style="dashed">
          <color rgb="FFFFFF00"/>
        </right>
        <top style="dashed">
          <color rgb="FFFFFF00"/>
        </top>
        <bottom style="dashed">
          <color rgb="FFFFFF00"/>
        </bottom>
        <vertical/>
        <horizontal/>
      </border>
    </dxf>
    <dxf>
      <font>
        <b/>
        <i val="0"/>
        <color theme="0"/>
      </font>
      <fill>
        <patternFill>
          <bgColor rgb="FFFF00FF"/>
        </patternFill>
      </fill>
      <border>
        <left style="dotted">
          <color rgb="FFFFFF00"/>
        </left>
        <right style="dotted">
          <color rgb="FFFFFF00"/>
        </right>
        <top style="dotted">
          <color rgb="FFFFFF00"/>
        </top>
        <bottom style="dotted">
          <color rgb="FFFFFF00"/>
        </bottom>
        <vertical/>
        <horizontal/>
      </border>
    </dxf>
    <dxf>
      <font>
        <b/>
        <i val="0"/>
        <color theme="0"/>
      </font>
      <fill>
        <patternFill>
          <bgColor rgb="FFCC00FF"/>
        </patternFill>
      </fill>
      <border>
        <left style="dashed">
          <color rgb="FFFFFF00"/>
        </left>
        <right style="dashed">
          <color rgb="FFFFFF00"/>
        </right>
        <top style="dashed">
          <color rgb="FFFFFF00"/>
        </top>
        <bottom style="dashed">
          <color rgb="FFFFFF00"/>
        </bottom>
        <vertical/>
        <horizontal/>
      </border>
    </dxf>
    <dxf>
      <font>
        <b/>
        <i val="0"/>
        <color theme="0"/>
      </font>
      <fill>
        <patternFill>
          <bgColor rgb="FFCC00FF"/>
        </patternFill>
      </fill>
      <border>
        <left style="dotted">
          <color rgb="FFFFFF00"/>
        </left>
        <right style="dotted">
          <color rgb="FFFFFF00"/>
        </right>
        <top style="dotted">
          <color rgb="FFFFFF00"/>
        </top>
        <bottom style="dotted">
          <color rgb="FFFFFF00"/>
        </bottom>
        <vertical/>
        <horizontal/>
      </border>
    </dxf>
  </dxfs>
  <tableStyles count="1" defaultTableStyle="TableStyleMedium2" defaultPivotStyle="PivotStyleLight16">
    <tableStyle name="Slicer Style 2" pivot="0" table="0" count="6" xr9:uid="{D51984AA-AE10-4DF2-921D-EFD937F9060E}"/>
  </tableStyles>
  <colors>
    <mruColors>
      <color rgb="FFFF00FF"/>
      <color rgb="FFCC00FF"/>
      <color rgb="FF00FF00"/>
      <color rgb="FFCC00CC"/>
      <color rgb="FF222133"/>
    </mruColors>
  </colors>
  <extLst>
    <ext xmlns:x14="http://schemas.microsoft.com/office/spreadsheetml/2009/9/main" uri="{46F421CA-312F-682f-3DD2-61675219B42D}">
      <x14:dxfs count="6">
        <dxf>
          <font>
            <sz val="12"/>
            <color theme="0"/>
            <name val="Agency FB"/>
            <family val="2"/>
            <scheme val="none"/>
          </font>
          <fill>
            <patternFill>
              <bgColor rgb="FF002060"/>
            </patternFill>
          </fill>
          <border>
            <left style="thin">
              <color theme="0"/>
            </left>
            <right style="thin">
              <color theme="0"/>
            </right>
            <top style="thin">
              <color theme="0"/>
            </top>
            <bottom style="thin">
              <color theme="0"/>
            </bottom>
          </border>
        </dxf>
        <dxf>
          <font>
            <sz val="12"/>
            <color rgb="FF002060"/>
            <name val="Agency FB"/>
            <family val="2"/>
            <scheme val="none"/>
          </font>
          <fill>
            <patternFill>
              <bgColor theme="0"/>
            </patternFill>
          </fill>
          <border>
            <left style="double">
              <color rgb="FF002060"/>
            </left>
            <right style="double">
              <color rgb="FF002060"/>
            </right>
            <top style="double">
              <color rgb="FF002060"/>
            </top>
            <bottom style="double">
              <color rgb="FF002060"/>
            </bottom>
          </border>
        </dxf>
        <dxf>
          <font>
            <b/>
            <i val="0"/>
            <sz val="12"/>
            <color theme="0"/>
            <name val="Agency FB"/>
            <family val="2"/>
            <scheme val="none"/>
          </font>
          <fill>
            <patternFill>
              <bgColor theme="0"/>
            </patternFill>
          </fill>
          <border>
            <left style="double">
              <color rgb="FF002060"/>
            </left>
            <right style="double">
              <color rgb="FF002060"/>
            </right>
            <top style="double">
              <color rgb="FF002060"/>
            </top>
            <bottom style="double">
              <color rgb="FF002060"/>
            </bottom>
          </border>
        </dxf>
        <dxf>
          <font>
            <b/>
            <i val="0"/>
            <sz val="12"/>
            <color rgb="FF002060"/>
            <name val="Agency FB"/>
            <family val="2"/>
            <scheme val="none"/>
          </font>
          <fill>
            <patternFill>
              <bgColor theme="0"/>
            </patternFill>
          </fill>
          <border>
            <left style="double">
              <color rgb="FF002060"/>
            </left>
            <right style="double">
              <color rgb="FF002060"/>
            </right>
            <top style="double">
              <color rgb="FF002060"/>
            </top>
            <bottom style="double">
              <color rgb="FF002060"/>
            </bottom>
          </border>
        </dxf>
        <dxf>
          <font>
            <b/>
            <i val="0"/>
            <sz val="12"/>
            <color theme="0"/>
            <name val="Agency FB"/>
            <family val="2"/>
            <scheme val="none"/>
          </font>
          <fill>
            <patternFill>
              <bgColor theme="0"/>
            </patternFill>
          </fill>
        </dxf>
        <dxf>
          <font>
            <b/>
            <i val="0"/>
            <sz val="12"/>
            <color theme="0"/>
            <name val="Agency FB"/>
            <family val="2"/>
            <scheme val="none"/>
          </font>
          <fill>
            <patternFill>
              <bgColor rgb="FF002060"/>
            </patternFill>
          </fill>
          <border>
            <left style="double">
              <color theme="0"/>
            </left>
            <right style="double">
              <color theme="0"/>
            </right>
            <top style="double">
              <color theme="0"/>
            </top>
            <bottom style="double">
              <color theme="0"/>
            </bottom>
          </border>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937472210379803E-2"/>
          <c:y val="6.8056022854812187E-2"/>
          <c:w val="0.96125055579240393"/>
          <c:h val="0.82727044375526937"/>
        </c:manualLayout>
      </c:layout>
      <c:barChart>
        <c:barDir val="col"/>
        <c:grouping val="clustered"/>
        <c:varyColors val="0"/>
        <c:ser>
          <c:idx val="2"/>
          <c:order val="2"/>
          <c:tx>
            <c:strRef>
              <c:f>'PROCCESSING '!$T$3</c:f>
              <c:strCache>
                <c:ptCount val="1"/>
                <c:pt idx="0">
                  <c:v>CURSOR </c:v>
                </c:pt>
              </c:strCache>
            </c:strRef>
          </c:tx>
          <c:spPr>
            <a:solidFill>
              <a:srgbClr val="00B0F0">
                <a:alpha val="29000"/>
              </a:srgbClr>
            </a:solidFill>
            <a:ln>
              <a:noFill/>
            </a:ln>
            <a:effectLst/>
          </c:spPr>
          <c:invertIfNegative val="0"/>
          <c:val>
            <c:numRef>
              <c:f>'PROCCESSING '!$T$4:$T$15</c:f>
              <c:numCache>
                <c:formatCode>General</c:formatCode>
                <c:ptCount val="12"/>
                <c:pt idx="0">
                  <c:v>#N/A</c:v>
                </c:pt>
                <c:pt idx="1">
                  <c:v>#N/A</c:v>
                </c:pt>
                <c:pt idx="2">
                  <c:v>#N/A</c:v>
                </c:pt>
                <c:pt idx="3">
                  <c:v>#N/A</c:v>
                </c:pt>
                <c:pt idx="4">
                  <c:v>#N/A</c:v>
                </c:pt>
                <c:pt idx="5">
                  <c:v>#N/A</c:v>
                </c:pt>
                <c:pt idx="6">
                  <c:v>#N/A</c:v>
                </c:pt>
                <c:pt idx="7">
                  <c:v>35000000</c:v>
                </c:pt>
                <c:pt idx="8">
                  <c:v>#N/A</c:v>
                </c:pt>
                <c:pt idx="9">
                  <c:v>#N/A</c:v>
                </c:pt>
                <c:pt idx="10">
                  <c:v>#N/A</c:v>
                </c:pt>
                <c:pt idx="11">
                  <c:v>#N/A</c:v>
                </c:pt>
              </c:numCache>
            </c:numRef>
          </c:val>
          <c:extLst>
            <c:ext xmlns:c16="http://schemas.microsoft.com/office/drawing/2014/chart" uri="{C3380CC4-5D6E-409C-BE32-E72D297353CC}">
              <c16:uniqueId val="{00000000-1208-493D-9ABE-5D1BFF79FB94}"/>
            </c:ext>
          </c:extLst>
        </c:ser>
        <c:dLbls>
          <c:showLegendKey val="0"/>
          <c:showVal val="0"/>
          <c:showCatName val="0"/>
          <c:showSerName val="0"/>
          <c:showPercent val="0"/>
          <c:showBubbleSize val="0"/>
        </c:dLbls>
        <c:gapWidth val="0"/>
        <c:axId val="1674523344"/>
        <c:axId val="1674504624"/>
      </c:barChart>
      <c:lineChart>
        <c:grouping val="standard"/>
        <c:varyColors val="0"/>
        <c:ser>
          <c:idx val="0"/>
          <c:order val="0"/>
          <c:tx>
            <c:strRef>
              <c:f>'PROCCESSING '!$O$3</c:f>
              <c:strCache>
                <c:ptCount val="1"/>
                <c:pt idx="0">
                  <c:v>2021</c:v>
                </c:pt>
              </c:strCache>
            </c:strRef>
          </c:tx>
          <c:spPr>
            <a:ln w="22225" cap="rnd">
              <a:solidFill>
                <a:srgbClr val="00B0F0"/>
              </a:solidFill>
              <a:round/>
            </a:ln>
            <a:effectLst/>
          </c:spPr>
          <c:marker>
            <c:symbol val="none"/>
          </c:marker>
          <c:cat>
            <c:strRef>
              <c:f>'PROCCESSING '!$N$4:$N$15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'!$O$4:$O$15</c:f>
              <c:numCache>
                <c:formatCode>_(* #,##0.00_);_(* \(#,##0.00\);_(* "-"??_);_(@_)</c:formatCode>
                <c:ptCount val="12"/>
                <c:pt idx="0">
                  <c:v>20578225.167999998</c:v>
                </c:pt>
                <c:pt idx="1">
                  <c:v>19743855.810000002</c:v>
                </c:pt>
                <c:pt idx="2">
                  <c:v>23580214.869999997</c:v>
                </c:pt>
                <c:pt idx="3">
                  <c:v>21948589.219999999</c:v>
                </c:pt>
                <c:pt idx="4">
                  <c:v>22359108.539999999</c:v>
                </c:pt>
                <c:pt idx="5">
                  <c:v>31463667.769999996</c:v>
                </c:pt>
                <c:pt idx="6">
                  <c:v>27067883.969999999</c:v>
                </c:pt>
                <c:pt idx="7">
                  <c:v>23772779.719999999</c:v>
                </c:pt>
                <c:pt idx="8">
                  <c:v>21266354.84</c:v>
                </c:pt>
                <c:pt idx="9">
                  <c:v>20410790.469999999</c:v>
                </c:pt>
                <c:pt idx="10">
                  <c:v>19447870.129999999</c:v>
                </c:pt>
                <c:pt idx="11">
                  <c:v>18906716.080000002</c:v>
                </c:pt>
              </c:numCache>
            </c:numRef>
          </c:val>
          <c:smooth val="1"/>
          <c:extLst>
            <c:ext xmlns:c16="http://schemas.microsoft.com/office/drawing/2014/chart" uri="{C3380CC4-5D6E-409C-BE32-E72D297353CC}">
              <c16:uniqueId val="{00000001-1208-493D-9ABE-5D1BFF79FB94}"/>
            </c:ext>
          </c:extLst>
        </c:ser>
        <c:ser>
          <c:idx val="1"/>
          <c:order val="1"/>
          <c:tx>
            <c:strRef>
              <c:f>'PROCCESSING '!$P$3</c:f>
              <c:strCache>
                <c:ptCount val="1"/>
                <c:pt idx="0">
                  <c:v>2020</c:v>
                </c:pt>
              </c:strCache>
            </c:strRef>
          </c:tx>
          <c:spPr>
            <a:ln w="22225" cap="rnd">
              <a:solidFill>
                <a:srgbClr val="FF00FF"/>
              </a:solidFill>
              <a:round/>
            </a:ln>
            <a:effectLst/>
          </c:spPr>
          <c:marker>
            <c:symbol val="none"/>
          </c:marker>
          <c:cat>
            <c:strRef>
              <c:f>'PROCCESSING '!$N$4:$N$15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'!$P$4:$P$15</c:f>
              <c:numCache>
                <c:formatCode>_(* #,##0.00_);_(* \(#,##0.00\);_(* "-"??_);_(@_)</c:formatCode>
                <c:ptCount val="12"/>
                <c:pt idx="0">
                  <c:v>20779051.219999999</c:v>
                </c:pt>
                <c:pt idx="1">
                  <c:v>20857795.469999999</c:v>
                </c:pt>
                <c:pt idx="2">
                  <c:v>20867197.728399999</c:v>
                </c:pt>
                <c:pt idx="3">
                  <c:v>9135631.707799999</c:v>
                </c:pt>
                <c:pt idx="4">
                  <c:v>11102991.644400001</c:v>
                </c:pt>
                <c:pt idx="5">
                  <c:v>26569410.840800002</c:v>
                </c:pt>
                <c:pt idx="6">
                  <c:v>30253196.9969</c:v>
                </c:pt>
                <c:pt idx="7">
                  <c:v>24597121.439999998</c:v>
                </c:pt>
                <c:pt idx="8">
                  <c:v>29245175.255999997</c:v>
                </c:pt>
                <c:pt idx="9">
                  <c:v>25752381.039999999</c:v>
                </c:pt>
                <c:pt idx="10">
                  <c:v>23641848.272</c:v>
                </c:pt>
                <c:pt idx="11">
                  <c:v>25609041.377999999</c:v>
                </c:pt>
              </c:numCache>
            </c:numRef>
          </c:val>
          <c:smooth val="1"/>
          <c:extLst>
            <c:ext xmlns:c16="http://schemas.microsoft.com/office/drawing/2014/chart" uri="{C3380CC4-5D6E-409C-BE32-E72D297353CC}">
              <c16:uniqueId val="{00000002-1208-493D-9ABE-5D1BFF79FB94}"/>
            </c:ext>
          </c:extLst>
        </c:ser>
        <c:dLbls>
          <c:showLegendKey val="0"/>
          <c:showVal val="0"/>
          <c:showCatName val="0"/>
          <c:showSerName val="0"/>
          <c:showPercent val="0"/>
          <c:showBubbleSize val="0"/>
        </c:dLbls>
        <c:marker val="1"/>
        <c:smooth val="0"/>
        <c:axId val="1674523344"/>
        <c:axId val="1674504624"/>
      </c:lineChart>
      <c:scatterChart>
        <c:scatterStyle val="lineMarker"/>
        <c:varyColors val="0"/>
        <c:ser>
          <c:idx val="3"/>
          <c:order val="3"/>
          <c:tx>
            <c:strRef>
              <c:f>'PROCCESSING '!$U$6</c:f>
              <c:strCache>
                <c:ptCount val="1"/>
                <c:pt idx="0">
                  <c:v>Y1</c:v>
                </c:pt>
              </c:strCache>
            </c:strRef>
          </c:tx>
          <c:spPr>
            <a:ln w="28575" cap="rnd">
              <a:solidFill>
                <a:schemeClr val="accent4"/>
              </a:solidFill>
              <a:round/>
            </a:ln>
            <a:effectLst>
              <a:glow rad="101600">
                <a:schemeClr val="bg1">
                  <a:alpha val="40000"/>
                </a:schemeClr>
              </a:glow>
            </a:effectLst>
          </c:spPr>
          <c:marker>
            <c:symbol val="circle"/>
            <c:size val="10"/>
            <c:spPr>
              <a:solidFill>
                <a:schemeClr val="bg1"/>
              </a:solidFill>
              <a:ln w="9525">
                <a:solidFill>
                  <a:schemeClr val="bg1"/>
                </a:solidFill>
              </a:ln>
              <a:effectLst>
                <a:glow rad="101600">
                  <a:schemeClr val="bg1">
                    <a:alpha val="40000"/>
                  </a:schemeClr>
                </a:glow>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62-4042-95FB-4956376EB15E}"/>
                </c:ext>
              </c:extLst>
            </c:dLbl>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'!$U$4</c:f>
              <c:numCache>
                <c:formatCode>General</c:formatCode>
                <c:ptCount val="1"/>
                <c:pt idx="0">
                  <c:v>8</c:v>
                </c:pt>
              </c:numCache>
            </c:numRef>
          </c:xVal>
          <c:yVal>
            <c:numRef>
              <c:f>'PROCCESSING '!$U$7</c:f>
              <c:numCache>
                <c:formatCode>_(* #,##0.00_);_(* \(#,##0.00\);_(* "-"??_);_(@_)</c:formatCode>
                <c:ptCount val="1"/>
                <c:pt idx="0">
                  <c:v>24597121.439999998</c:v>
                </c:pt>
              </c:numCache>
            </c:numRef>
          </c:yVal>
          <c:smooth val="0"/>
          <c:extLst>
            <c:ext xmlns:c16="http://schemas.microsoft.com/office/drawing/2014/chart" uri="{C3380CC4-5D6E-409C-BE32-E72D297353CC}">
              <c16:uniqueId val="{00000003-1208-493D-9ABE-5D1BFF79FB94}"/>
            </c:ext>
          </c:extLst>
        </c:ser>
        <c:ser>
          <c:idx val="4"/>
          <c:order val="4"/>
          <c:tx>
            <c:strRef>
              <c:f>'PROCCESSING '!$U$11</c:f>
              <c:strCache>
                <c:ptCount val="1"/>
                <c:pt idx="0">
                  <c:v>Y2</c:v>
                </c:pt>
              </c:strCache>
            </c:strRef>
          </c:tx>
          <c:spPr>
            <a:ln w="28575" cap="rnd">
              <a:solidFill>
                <a:schemeClr val="accent5"/>
              </a:solidFill>
              <a:round/>
            </a:ln>
            <a:effectLst>
              <a:glow rad="101600">
                <a:schemeClr val="bg1">
                  <a:alpha val="40000"/>
                </a:schemeClr>
              </a:glow>
            </a:effectLst>
          </c:spPr>
          <c:marker>
            <c:symbol val="circle"/>
            <c:size val="10"/>
            <c:spPr>
              <a:solidFill>
                <a:schemeClr val="bg1"/>
              </a:solidFill>
              <a:ln w="9525">
                <a:solidFill>
                  <a:schemeClr val="bg1"/>
                </a:solidFill>
              </a:ln>
              <a:effectLst>
                <a:glow rad="101600">
                  <a:schemeClr val="bg1">
                    <a:alpha val="40000"/>
                  </a:scheme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'!$U$10</c:f>
              <c:numCache>
                <c:formatCode>General</c:formatCode>
                <c:ptCount val="1"/>
                <c:pt idx="0">
                  <c:v>8</c:v>
                </c:pt>
              </c:numCache>
            </c:numRef>
          </c:xVal>
          <c:yVal>
            <c:numRef>
              <c:f>'PROCCESSING '!$U$12</c:f>
              <c:numCache>
                <c:formatCode>_(* #,##0.00_);_(* \(#,##0.00\);_(* "-"??_);_(@_)</c:formatCode>
                <c:ptCount val="1"/>
                <c:pt idx="0">
                  <c:v>23772779.719999999</c:v>
                </c:pt>
              </c:numCache>
            </c:numRef>
          </c:yVal>
          <c:smooth val="0"/>
          <c:extLst>
            <c:ext xmlns:c16="http://schemas.microsoft.com/office/drawing/2014/chart" uri="{C3380CC4-5D6E-409C-BE32-E72D297353CC}">
              <c16:uniqueId val="{00000005-1208-493D-9ABE-5D1BFF79FB94}"/>
            </c:ext>
          </c:extLst>
        </c:ser>
        <c:dLbls>
          <c:showLegendKey val="0"/>
          <c:showVal val="0"/>
          <c:showCatName val="0"/>
          <c:showSerName val="0"/>
          <c:showPercent val="0"/>
          <c:showBubbleSize val="0"/>
        </c:dLbls>
        <c:axId val="1674523344"/>
        <c:axId val="1674504624"/>
      </c:scatterChart>
      <c:catAx>
        <c:axId val="1674523344"/>
        <c:scaling>
          <c:orientation val="minMax"/>
        </c:scaling>
        <c:delete val="0"/>
        <c:axPos val="b"/>
        <c:majorGridlines>
          <c:spPr>
            <a:ln w="3175" cap="flat" cmpd="sng" algn="ctr">
              <a:solidFill>
                <a:srgbClr val="002060">
                  <a:alpha val="3000"/>
                </a:srgbClr>
              </a:solidFill>
              <a:round/>
            </a:ln>
            <a:effectLst/>
          </c:spPr>
        </c:majorGridlines>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1674504624"/>
        <c:crosses val="autoZero"/>
        <c:auto val="1"/>
        <c:lblAlgn val="ctr"/>
        <c:lblOffset val="100"/>
        <c:noMultiLvlLbl val="0"/>
      </c:catAx>
      <c:valAx>
        <c:axId val="1674504624"/>
        <c:scaling>
          <c:orientation val="minMax"/>
          <c:max val="35000000"/>
          <c:min val="0"/>
        </c:scaling>
        <c:delete val="1"/>
        <c:axPos val="l"/>
        <c:numFmt formatCode="General" sourceLinked="1"/>
        <c:majorTickMark val="none"/>
        <c:minorTickMark val="none"/>
        <c:tickLblPos val="nextTo"/>
        <c:crossAx val="1674523344"/>
        <c:crosses val="autoZero"/>
        <c:crossBetween val="between"/>
      </c:valAx>
      <c:spPr>
        <a:noFill/>
        <a:ln>
          <a:noFill/>
        </a:ln>
        <a:effectLst/>
      </c:spPr>
    </c:plotArea>
    <c:legend>
      <c:legendPos val="t"/>
      <c:legendEntry>
        <c:idx val="0"/>
        <c:delete val="1"/>
      </c:legendEntry>
      <c:legendEntry>
        <c:idx val="3"/>
        <c:delete val="1"/>
      </c:legendEntry>
      <c:legendEntry>
        <c:idx val="4"/>
        <c:delete val="1"/>
      </c:legendEntry>
      <c:layout>
        <c:manualLayout>
          <c:xMode val="edge"/>
          <c:yMode val="edge"/>
          <c:x val="0.75641960328729396"/>
          <c:y val="1.4492753623188406E-2"/>
          <c:w val="0.22158685082397486"/>
          <c:h val="8.1522309711286101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alpha val="8000"/>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tx>
            <c:strRef>
              <c:f>'PROCCESSING '!$BT$2</c:f>
              <c:strCache>
                <c:ptCount val="1"/>
                <c:pt idx="0">
                  <c:v>CURSOR </c:v>
                </c:pt>
              </c:strCache>
            </c:strRef>
          </c:tx>
          <c:spPr>
            <a:solidFill>
              <a:srgbClr val="00B0F0">
                <a:alpha val="29000"/>
              </a:srgbClr>
            </a:solidFill>
            <a:ln>
              <a:noFill/>
            </a:ln>
            <a:effectLst/>
          </c:spPr>
          <c:invertIfNegative val="0"/>
          <c:val>
            <c:numRef>
              <c:f>'PROCCESSING '!$BT$3:$BT$14</c:f>
              <c:numCache>
                <c:formatCode>General</c:formatCode>
                <c:ptCount val="12"/>
                <c:pt idx="0">
                  <c:v>#N/A</c:v>
                </c:pt>
                <c:pt idx="1">
                  <c:v>#N/A</c:v>
                </c:pt>
                <c:pt idx="2">
                  <c:v>#N/A</c:v>
                </c:pt>
                <c:pt idx="3">
                  <c:v>#N/A</c:v>
                </c:pt>
                <c:pt idx="4">
                  <c:v>#N/A</c:v>
                </c:pt>
                <c:pt idx="5">
                  <c:v>#N/A</c:v>
                </c:pt>
                <c:pt idx="6">
                  <c:v>#N/A</c:v>
                </c:pt>
                <c:pt idx="7">
                  <c:v>35000</c:v>
                </c:pt>
                <c:pt idx="8">
                  <c:v>#N/A</c:v>
                </c:pt>
                <c:pt idx="9">
                  <c:v>#N/A</c:v>
                </c:pt>
                <c:pt idx="10">
                  <c:v>#N/A</c:v>
                </c:pt>
                <c:pt idx="11">
                  <c:v>#N/A</c:v>
                </c:pt>
              </c:numCache>
            </c:numRef>
          </c:val>
          <c:extLst>
            <c:ext xmlns:c16="http://schemas.microsoft.com/office/drawing/2014/chart" uri="{C3380CC4-5D6E-409C-BE32-E72D297353CC}">
              <c16:uniqueId val="{00000000-EA2B-43EC-9F53-9D2D06D484A1}"/>
            </c:ext>
          </c:extLst>
        </c:ser>
        <c:dLbls>
          <c:showLegendKey val="0"/>
          <c:showVal val="0"/>
          <c:showCatName val="0"/>
          <c:showSerName val="0"/>
          <c:showPercent val="0"/>
          <c:showBubbleSize val="0"/>
        </c:dLbls>
        <c:gapWidth val="0"/>
        <c:axId val="562944975"/>
        <c:axId val="562948719"/>
      </c:barChart>
      <c:lineChart>
        <c:grouping val="standard"/>
        <c:varyColors val="0"/>
        <c:ser>
          <c:idx val="0"/>
          <c:order val="0"/>
          <c:tx>
            <c:strRef>
              <c:f>'PROCCESSING '!$BO$2</c:f>
              <c:strCache>
                <c:ptCount val="1"/>
                <c:pt idx="0">
                  <c:v>2021</c:v>
                </c:pt>
              </c:strCache>
            </c:strRef>
          </c:tx>
          <c:spPr>
            <a:ln w="22225" cap="rnd">
              <a:solidFill>
                <a:srgbClr val="00B0F0"/>
              </a:solidFill>
              <a:round/>
            </a:ln>
            <a:effectLst/>
          </c:spPr>
          <c:marker>
            <c:symbol val="none"/>
          </c:marker>
          <c:cat>
            <c:strRef>
              <c:f>'PROCCESSING '!$BF$3:$BF$14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'!$BO$3:$BO$14</c:f>
              <c:numCache>
                <c:formatCode>General</c:formatCode>
                <c:ptCount val="12"/>
                <c:pt idx="0">
                  <c:v>17847</c:v>
                </c:pt>
                <c:pt idx="1">
                  <c:v>16802</c:v>
                </c:pt>
                <c:pt idx="2">
                  <c:v>21870</c:v>
                </c:pt>
                <c:pt idx="3">
                  <c:v>18236</c:v>
                </c:pt>
                <c:pt idx="4">
                  <c:v>19570</c:v>
                </c:pt>
                <c:pt idx="5">
                  <c:v>25966</c:v>
                </c:pt>
                <c:pt idx="6">
                  <c:v>22092</c:v>
                </c:pt>
                <c:pt idx="7">
                  <c:v>24984</c:v>
                </c:pt>
                <c:pt idx="8">
                  <c:v>20872</c:v>
                </c:pt>
                <c:pt idx="9">
                  <c:v>20859</c:v>
                </c:pt>
                <c:pt idx="10">
                  <c:v>19898</c:v>
                </c:pt>
                <c:pt idx="11">
                  <c:v>20104</c:v>
                </c:pt>
              </c:numCache>
            </c:numRef>
          </c:val>
          <c:smooth val="1"/>
          <c:extLst>
            <c:ext xmlns:c16="http://schemas.microsoft.com/office/drawing/2014/chart" uri="{C3380CC4-5D6E-409C-BE32-E72D297353CC}">
              <c16:uniqueId val="{00000001-EA2B-43EC-9F53-9D2D06D484A1}"/>
            </c:ext>
          </c:extLst>
        </c:ser>
        <c:ser>
          <c:idx val="1"/>
          <c:order val="1"/>
          <c:tx>
            <c:strRef>
              <c:f>'PROCCESSING '!$BP$2</c:f>
              <c:strCache>
                <c:ptCount val="1"/>
                <c:pt idx="0">
                  <c:v>2020</c:v>
                </c:pt>
              </c:strCache>
            </c:strRef>
          </c:tx>
          <c:spPr>
            <a:ln w="22225" cap="rnd">
              <a:solidFill>
                <a:srgbClr val="FF00FF"/>
              </a:solidFill>
              <a:round/>
            </a:ln>
            <a:effectLst/>
          </c:spPr>
          <c:marker>
            <c:symbol val="none"/>
          </c:marker>
          <c:cat>
            <c:strRef>
              <c:f>'PROCCESSING '!$BF$3:$BF$14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'!$BP$3:$BP$14</c:f>
              <c:numCache>
                <c:formatCode>General</c:formatCode>
                <c:ptCount val="12"/>
                <c:pt idx="0">
                  <c:v>18392</c:v>
                </c:pt>
                <c:pt idx="1">
                  <c:v>21575</c:v>
                </c:pt>
                <c:pt idx="2">
                  <c:v>16924</c:v>
                </c:pt>
                <c:pt idx="3">
                  <c:v>4442</c:v>
                </c:pt>
                <c:pt idx="4">
                  <c:v>6763</c:v>
                </c:pt>
                <c:pt idx="5">
                  <c:v>16407</c:v>
                </c:pt>
                <c:pt idx="6">
                  <c:v>20449</c:v>
                </c:pt>
                <c:pt idx="7">
                  <c:v>20557</c:v>
                </c:pt>
                <c:pt idx="8">
                  <c:v>22149</c:v>
                </c:pt>
                <c:pt idx="9">
                  <c:v>20950</c:v>
                </c:pt>
                <c:pt idx="10">
                  <c:v>19107</c:v>
                </c:pt>
                <c:pt idx="11">
                  <c:v>22766</c:v>
                </c:pt>
              </c:numCache>
            </c:numRef>
          </c:val>
          <c:smooth val="1"/>
          <c:extLst>
            <c:ext xmlns:c16="http://schemas.microsoft.com/office/drawing/2014/chart" uri="{C3380CC4-5D6E-409C-BE32-E72D297353CC}">
              <c16:uniqueId val="{00000002-EA2B-43EC-9F53-9D2D06D484A1}"/>
            </c:ext>
          </c:extLst>
        </c:ser>
        <c:dLbls>
          <c:showLegendKey val="0"/>
          <c:showVal val="0"/>
          <c:showCatName val="0"/>
          <c:showSerName val="0"/>
          <c:showPercent val="0"/>
          <c:showBubbleSize val="0"/>
        </c:dLbls>
        <c:marker val="1"/>
        <c:smooth val="0"/>
        <c:axId val="562944975"/>
        <c:axId val="562948719"/>
      </c:lineChart>
      <c:scatterChart>
        <c:scatterStyle val="lineMarker"/>
        <c:varyColors val="0"/>
        <c:ser>
          <c:idx val="3"/>
          <c:order val="3"/>
          <c:tx>
            <c:strRef>
              <c:f>'PROCCESSING '!$BU$4</c:f>
              <c:strCache>
                <c:ptCount val="1"/>
                <c:pt idx="0">
                  <c:v>Y1</c:v>
                </c:pt>
              </c:strCache>
            </c:strRef>
          </c:tx>
          <c:spPr>
            <a:ln w="28575" cap="rnd">
              <a:solidFill>
                <a:schemeClr val="accent4"/>
              </a:solidFill>
              <a:round/>
            </a:ln>
            <a:effectLst>
              <a:glow rad="101600">
                <a:schemeClr val="bg1">
                  <a:alpha val="40000"/>
                </a:schemeClr>
              </a:glow>
            </a:effectLst>
          </c:spPr>
          <c:marker>
            <c:symbol val="circle"/>
            <c:size val="10"/>
            <c:spPr>
              <a:solidFill>
                <a:schemeClr val="bg1"/>
              </a:solidFill>
              <a:ln w="9525">
                <a:solidFill>
                  <a:schemeClr val="bg1"/>
                </a:solidFill>
              </a:ln>
              <a:effectLst>
                <a:glow rad="101600">
                  <a:schemeClr val="bg1">
                    <a:alpha val="40000"/>
                  </a:scheme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'!$BU$3</c:f>
              <c:numCache>
                <c:formatCode>General</c:formatCode>
                <c:ptCount val="1"/>
                <c:pt idx="0">
                  <c:v>8</c:v>
                </c:pt>
              </c:numCache>
            </c:numRef>
          </c:xVal>
          <c:yVal>
            <c:numRef>
              <c:f>'PROCCESSING '!$BU$5</c:f>
              <c:numCache>
                <c:formatCode>General</c:formatCode>
                <c:ptCount val="1"/>
                <c:pt idx="0">
                  <c:v>24984</c:v>
                </c:pt>
              </c:numCache>
            </c:numRef>
          </c:yVal>
          <c:smooth val="0"/>
          <c:extLst>
            <c:ext xmlns:c16="http://schemas.microsoft.com/office/drawing/2014/chart" uri="{C3380CC4-5D6E-409C-BE32-E72D297353CC}">
              <c16:uniqueId val="{00000003-EA2B-43EC-9F53-9D2D06D484A1}"/>
            </c:ext>
          </c:extLst>
        </c:ser>
        <c:ser>
          <c:idx val="4"/>
          <c:order val="4"/>
          <c:tx>
            <c:strRef>
              <c:f>'PROCCESSING '!$BU$8</c:f>
              <c:strCache>
                <c:ptCount val="1"/>
                <c:pt idx="0">
                  <c:v>Y2</c:v>
                </c:pt>
              </c:strCache>
            </c:strRef>
          </c:tx>
          <c:spPr>
            <a:ln w="28575" cap="rnd">
              <a:solidFill>
                <a:schemeClr val="accent5"/>
              </a:solidFill>
              <a:round/>
            </a:ln>
            <a:effectLst>
              <a:glow rad="101600">
                <a:schemeClr val="bg1">
                  <a:alpha val="40000"/>
                </a:schemeClr>
              </a:glow>
            </a:effectLst>
          </c:spPr>
          <c:marker>
            <c:symbol val="circle"/>
            <c:size val="10"/>
            <c:spPr>
              <a:solidFill>
                <a:schemeClr val="bg1"/>
              </a:solidFill>
              <a:ln w="9525">
                <a:solidFill>
                  <a:schemeClr val="bg1"/>
                </a:solidFill>
              </a:ln>
              <a:effectLst>
                <a:glow rad="101600">
                  <a:schemeClr val="bg1">
                    <a:alpha val="40000"/>
                  </a:scheme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'!$BU$7</c:f>
              <c:numCache>
                <c:formatCode>General</c:formatCode>
                <c:ptCount val="1"/>
                <c:pt idx="0">
                  <c:v>8</c:v>
                </c:pt>
              </c:numCache>
            </c:numRef>
          </c:xVal>
          <c:yVal>
            <c:numRef>
              <c:f>'PROCCESSING '!$BU$9</c:f>
              <c:numCache>
                <c:formatCode>General</c:formatCode>
                <c:ptCount val="1"/>
                <c:pt idx="0">
                  <c:v>20557</c:v>
                </c:pt>
              </c:numCache>
            </c:numRef>
          </c:yVal>
          <c:smooth val="0"/>
          <c:extLst>
            <c:ext xmlns:c16="http://schemas.microsoft.com/office/drawing/2014/chart" uri="{C3380CC4-5D6E-409C-BE32-E72D297353CC}">
              <c16:uniqueId val="{00000004-EA2B-43EC-9F53-9D2D06D484A1}"/>
            </c:ext>
          </c:extLst>
        </c:ser>
        <c:dLbls>
          <c:showLegendKey val="0"/>
          <c:showVal val="0"/>
          <c:showCatName val="0"/>
          <c:showSerName val="0"/>
          <c:showPercent val="0"/>
          <c:showBubbleSize val="0"/>
        </c:dLbls>
        <c:axId val="562944975"/>
        <c:axId val="562948719"/>
      </c:scatterChart>
      <c:catAx>
        <c:axId val="562944975"/>
        <c:scaling>
          <c:orientation val="minMax"/>
        </c:scaling>
        <c:delete val="0"/>
        <c:axPos val="b"/>
        <c:majorGridlines>
          <c:spPr>
            <a:ln w="9525" cap="flat" cmpd="sng" algn="ctr">
              <a:solidFill>
                <a:srgbClr val="00B0F0">
                  <a:alpha val="4000"/>
                </a:srgbClr>
              </a:solidFill>
              <a:round/>
            </a:ln>
            <a:effectLst/>
          </c:spPr>
        </c:majorGridlines>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562948719"/>
        <c:crosses val="autoZero"/>
        <c:auto val="1"/>
        <c:lblAlgn val="ctr"/>
        <c:lblOffset val="100"/>
        <c:noMultiLvlLbl val="0"/>
      </c:catAx>
      <c:valAx>
        <c:axId val="562948719"/>
        <c:scaling>
          <c:orientation val="minMax"/>
          <c:max val="35000"/>
          <c:min val="0"/>
        </c:scaling>
        <c:delete val="1"/>
        <c:axPos val="l"/>
        <c:numFmt formatCode="General" sourceLinked="1"/>
        <c:majorTickMark val="none"/>
        <c:minorTickMark val="none"/>
        <c:tickLblPos val="nextTo"/>
        <c:crossAx val="56294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alpha val="8000"/>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723472668810289E-2"/>
          <c:y val="7.7616094557182283E-2"/>
          <c:w val="0.95284030010718113"/>
          <c:h val="0.83097240132322781"/>
        </c:manualLayout>
      </c:layout>
      <c:barChart>
        <c:barDir val="col"/>
        <c:grouping val="clustered"/>
        <c:varyColors val="0"/>
        <c:ser>
          <c:idx val="2"/>
          <c:order val="2"/>
          <c:tx>
            <c:strRef>
              <c:f>'PROCCESSING '!$CN$4</c:f>
              <c:strCache>
                <c:ptCount val="1"/>
                <c:pt idx="0">
                  <c:v>CURSOR</c:v>
                </c:pt>
              </c:strCache>
            </c:strRef>
          </c:tx>
          <c:spPr>
            <a:solidFill>
              <a:srgbClr val="00B0F0">
                <a:alpha val="40000"/>
              </a:srgbClr>
            </a:solidFill>
            <a:ln>
              <a:noFill/>
            </a:ln>
            <a:effectLst/>
          </c:spPr>
          <c:invertIfNegative val="0"/>
          <c:val>
            <c:numRef>
              <c:f>'PROCCESSING '!$CN$5:$CN$16</c:f>
              <c:numCache>
                <c:formatCode>0%</c:formatCode>
                <c:ptCount val="12"/>
                <c:pt idx="0">
                  <c:v>#N/A</c:v>
                </c:pt>
                <c:pt idx="1">
                  <c:v>#N/A</c:v>
                </c:pt>
                <c:pt idx="2">
                  <c:v>#N/A</c:v>
                </c:pt>
                <c:pt idx="3">
                  <c:v>#N/A</c:v>
                </c:pt>
                <c:pt idx="4">
                  <c:v>#N/A</c:v>
                </c:pt>
                <c:pt idx="5">
                  <c:v>#N/A</c:v>
                </c:pt>
                <c:pt idx="6">
                  <c:v>#N/A</c:v>
                </c:pt>
                <c:pt idx="7">
                  <c:v>1.2</c:v>
                </c:pt>
                <c:pt idx="8">
                  <c:v>#N/A</c:v>
                </c:pt>
                <c:pt idx="9">
                  <c:v>#N/A</c:v>
                </c:pt>
                <c:pt idx="10">
                  <c:v>#N/A</c:v>
                </c:pt>
                <c:pt idx="11">
                  <c:v>#N/A</c:v>
                </c:pt>
              </c:numCache>
            </c:numRef>
          </c:val>
          <c:extLst>
            <c:ext xmlns:c16="http://schemas.microsoft.com/office/drawing/2014/chart" uri="{C3380CC4-5D6E-409C-BE32-E72D297353CC}">
              <c16:uniqueId val="{00000000-70D0-4C21-B895-5C5D69DC33F0}"/>
            </c:ext>
          </c:extLst>
        </c:ser>
        <c:dLbls>
          <c:showLegendKey val="0"/>
          <c:showVal val="0"/>
          <c:showCatName val="0"/>
          <c:showSerName val="0"/>
          <c:showPercent val="0"/>
          <c:showBubbleSize val="0"/>
        </c:dLbls>
        <c:gapWidth val="0"/>
        <c:axId val="812027967"/>
        <c:axId val="812025471"/>
      </c:barChart>
      <c:lineChart>
        <c:grouping val="standard"/>
        <c:varyColors val="0"/>
        <c:ser>
          <c:idx val="0"/>
          <c:order val="0"/>
          <c:tx>
            <c:strRef>
              <c:f>'PROCCESSING '!$CJ$4</c:f>
              <c:strCache>
                <c:ptCount val="1"/>
                <c:pt idx="0">
                  <c:v>2021</c:v>
                </c:pt>
              </c:strCache>
            </c:strRef>
          </c:tx>
          <c:spPr>
            <a:ln w="22225" cap="rnd">
              <a:solidFill>
                <a:srgbClr val="00B0F0"/>
              </a:solidFill>
              <a:round/>
            </a:ln>
            <a:effectLst/>
          </c:spPr>
          <c:marker>
            <c:symbol val="none"/>
          </c:marker>
          <c:cat>
            <c:strRef>
              <c:f>'PROCCESSING '!$CB$5:$CB$16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'!$CJ$5:$CJ$16</c:f>
              <c:numCache>
                <c:formatCode>0%</c:formatCode>
                <c:ptCount val="12"/>
                <c:pt idx="0">
                  <c:v>0.59</c:v>
                </c:pt>
                <c:pt idx="1">
                  <c:v>0.71</c:v>
                </c:pt>
                <c:pt idx="2">
                  <c:v>0.71</c:v>
                </c:pt>
                <c:pt idx="3">
                  <c:v>0.74</c:v>
                </c:pt>
                <c:pt idx="4">
                  <c:v>0.82</c:v>
                </c:pt>
                <c:pt idx="5">
                  <c:v>0.99</c:v>
                </c:pt>
                <c:pt idx="6">
                  <c:v>0.94</c:v>
                </c:pt>
                <c:pt idx="7">
                  <c:v>0.92</c:v>
                </c:pt>
                <c:pt idx="8">
                  <c:v>0.7</c:v>
                </c:pt>
                <c:pt idx="9">
                  <c:v>0.59</c:v>
                </c:pt>
                <c:pt idx="10">
                  <c:v>0.55000000000000004</c:v>
                </c:pt>
                <c:pt idx="11">
                  <c:v>0.68</c:v>
                </c:pt>
              </c:numCache>
            </c:numRef>
          </c:val>
          <c:smooth val="1"/>
          <c:extLst>
            <c:ext xmlns:c16="http://schemas.microsoft.com/office/drawing/2014/chart" uri="{C3380CC4-5D6E-409C-BE32-E72D297353CC}">
              <c16:uniqueId val="{00000001-70D0-4C21-B895-5C5D69DC33F0}"/>
            </c:ext>
          </c:extLst>
        </c:ser>
        <c:ser>
          <c:idx val="1"/>
          <c:order val="1"/>
          <c:tx>
            <c:strRef>
              <c:f>'PROCCESSING '!$CK$4</c:f>
              <c:strCache>
                <c:ptCount val="1"/>
                <c:pt idx="0">
                  <c:v>2020</c:v>
                </c:pt>
              </c:strCache>
            </c:strRef>
          </c:tx>
          <c:spPr>
            <a:ln w="22225" cap="rnd">
              <a:solidFill>
                <a:srgbClr val="FF00FF"/>
              </a:solidFill>
              <a:round/>
            </a:ln>
            <a:effectLst/>
          </c:spPr>
          <c:marker>
            <c:symbol val="none"/>
          </c:marker>
          <c:cat>
            <c:strRef>
              <c:f>'PROCCESSING '!$CB$5:$CB$16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'!$CK$5:$CK$16</c:f>
              <c:numCache>
                <c:formatCode>0%</c:formatCode>
                <c:ptCount val="12"/>
                <c:pt idx="0">
                  <c:v>0.65</c:v>
                </c:pt>
                <c:pt idx="1">
                  <c:v>0.9</c:v>
                </c:pt>
                <c:pt idx="2">
                  <c:v>0.9</c:v>
                </c:pt>
                <c:pt idx="3">
                  <c:v>0.63</c:v>
                </c:pt>
                <c:pt idx="4">
                  <c:v>0.62</c:v>
                </c:pt>
                <c:pt idx="5">
                  <c:v>0.93</c:v>
                </c:pt>
                <c:pt idx="6">
                  <c:v>1</c:v>
                </c:pt>
                <c:pt idx="7">
                  <c:v>0.97</c:v>
                </c:pt>
                <c:pt idx="8">
                  <c:v>0.95</c:v>
                </c:pt>
                <c:pt idx="9">
                  <c:v>0.83</c:v>
                </c:pt>
                <c:pt idx="10">
                  <c:v>0.81</c:v>
                </c:pt>
                <c:pt idx="11">
                  <c:v>0.73</c:v>
                </c:pt>
              </c:numCache>
            </c:numRef>
          </c:val>
          <c:smooth val="1"/>
          <c:extLst>
            <c:ext xmlns:c16="http://schemas.microsoft.com/office/drawing/2014/chart" uri="{C3380CC4-5D6E-409C-BE32-E72D297353CC}">
              <c16:uniqueId val="{00000002-70D0-4C21-B895-5C5D69DC33F0}"/>
            </c:ext>
          </c:extLst>
        </c:ser>
        <c:dLbls>
          <c:showLegendKey val="0"/>
          <c:showVal val="0"/>
          <c:showCatName val="0"/>
          <c:showSerName val="0"/>
          <c:showPercent val="0"/>
          <c:showBubbleSize val="0"/>
        </c:dLbls>
        <c:marker val="1"/>
        <c:smooth val="0"/>
        <c:axId val="812027967"/>
        <c:axId val="812025471"/>
      </c:lineChart>
      <c:scatterChart>
        <c:scatterStyle val="lineMarker"/>
        <c:varyColors val="0"/>
        <c:ser>
          <c:idx val="3"/>
          <c:order val="3"/>
          <c:tx>
            <c:strRef>
              <c:f>'PROCCESSING '!$CO$6</c:f>
              <c:strCache>
                <c:ptCount val="1"/>
                <c:pt idx="0">
                  <c:v>Y1</c:v>
                </c:pt>
              </c:strCache>
            </c:strRef>
          </c:tx>
          <c:spPr>
            <a:ln w="28575" cap="rnd">
              <a:solidFill>
                <a:schemeClr val="accent4"/>
              </a:solidFill>
              <a:round/>
            </a:ln>
            <a:effectLst>
              <a:glow rad="101600">
                <a:schemeClr val="bg1">
                  <a:alpha val="40000"/>
                </a:schemeClr>
              </a:glow>
            </a:effectLst>
          </c:spPr>
          <c:marker>
            <c:symbol val="circle"/>
            <c:size val="10"/>
            <c:spPr>
              <a:solidFill>
                <a:schemeClr val="bg1"/>
              </a:solidFill>
              <a:ln w="9525">
                <a:solidFill>
                  <a:schemeClr val="bg1"/>
                </a:solidFill>
              </a:ln>
              <a:effectLst>
                <a:glow rad="101600">
                  <a:schemeClr val="bg1">
                    <a:alpha val="40000"/>
                  </a:scheme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'!$CO$5</c:f>
              <c:numCache>
                <c:formatCode>General</c:formatCode>
                <c:ptCount val="1"/>
                <c:pt idx="0">
                  <c:v>8</c:v>
                </c:pt>
              </c:numCache>
            </c:numRef>
          </c:xVal>
          <c:yVal>
            <c:numRef>
              <c:f>'PROCCESSING '!$CO$7</c:f>
              <c:numCache>
                <c:formatCode>0%</c:formatCode>
                <c:ptCount val="1"/>
                <c:pt idx="0">
                  <c:v>0.92</c:v>
                </c:pt>
              </c:numCache>
            </c:numRef>
          </c:yVal>
          <c:smooth val="0"/>
          <c:extLst>
            <c:ext xmlns:c16="http://schemas.microsoft.com/office/drawing/2014/chart" uri="{C3380CC4-5D6E-409C-BE32-E72D297353CC}">
              <c16:uniqueId val="{00000003-70D0-4C21-B895-5C5D69DC33F0}"/>
            </c:ext>
          </c:extLst>
        </c:ser>
        <c:ser>
          <c:idx val="4"/>
          <c:order val="4"/>
          <c:tx>
            <c:strRef>
              <c:f>'PROCCESSING '!$CO$10</c:f>
              <c:strCache>
                <c:ptCount val="1"/>
                <c:pt idx="0">
                  <c:v>Y2</c:v>
                </c:pt>
              </c:strCache>
            </c:strRef>
          </c:tx>
          <c:spPr>
            <a:ln w="28575" cap="rnd">
              <a:solidFill>
                <a:schemeClr val="accent5"/>
              </a:solidFill>
              <a:round/>
            </a:ln>
            <a:effectLst>
              <a:glow rad="101600">
                <a:schemeClr val="bg1">
                  <a:alpha val="40000"/>
                </a:schemeClr>
              </a:glow>
            </a:effectLst>
          </c:spPr>
          <c:marker>
            <c:symbol val="circle"/>
            <c:size val="10"/>
            <c:spPr>
              <a:solidFill>
                <a:schemeClr val="bg1"/>
              </a:solidFill>
              <a:ln w="9525">
                <a:solidFill>
                  <a:schemeClr val="bg1"/>
                </a:solidFill>
              </a:ln>
              <a:effectLst>
                <a:glow rad="101600">
                  <a:schemeClr val="bg1">
                    <a:alpha val="40000"/>
                  </a:scheme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'!$CO$9</c:f>
              <c:numCache>
                <c:formatCode>General</c:formatCode>
                <c:ptCount val="1"/>
                <c:pt idx="0">
                  <c:v>8</c:v>
                </c:pt>
              </c:numCache>
            </c:numRef>
          </c:xVal>
          <c:yVal>
            <c:numRef>
              <c:f>'PROCCESSING '!$CO$11</c:f>
              <c:numCache>
                <c:formatCode>0%</c:formatCode>
                <c:ptCount val="1"/>
                <c:pt idx="0">
                  <c:v>0.97</c:v>
                </c:pt>
              </c:numCache>
            </c:numRef>
          </c:yVal>
          <c:smooth val="0"/>
          <c:extLst>
            <c:ext xmlns:c16="http://schemas.microsoft.com/office/drawing/2014/chart" uri="{C3380CC4-5D6E-409C-BE32-E72D297353CC}">
              <c16:uniqueId val="{00000004-70D0-4C21-B895-5C5D69DC33F0}"/>
            </c:ext>
          </c:extLst>
        </c:ser>
        <c:dLbls>
          <c:showLegendKey val="0"/>
          <c:showVal val="0"/>
          <c:showCatName val="0"/>
          <c:showSerName val="0"/>
          <c:showPercent val="0"/>
          <c:showBubbleSize val="0"/>
        </c:dLbls>
        <c:axId val="812027967"/>
        <c:axId val="812025471"/>
      </c:scatterChart>
      <c:catAx>
        <c:axId val="812027967"/>
        <c:scaling>
          <c:orientation val="minMax"/>
        </c:scaling>
        <c:delete val="0"/>
        <c:axPos val="b"/>
        <c:majorGridlines>
          <c:spPr>
            <a:ln w="9525" cap="flat" cmpd="sng" algn="ctr">
              <a:solidFill>
                <a:srgbClr val="00B0F0">
                  <a:alpha val="6000"/>
                </a:srgbClr>
              </a:solidFill>
              <a:round/>
            </a:ln>
            <a:effectLst/>
          </c:spPr>
        </c:majorGridlines>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812025471"/>
        <c:crosses val="autoZero"/>
        <c:auto val="1"/>
        <c:lblAlgn val="ctr"/>
        <c:lblOffset val="100"/>
        <c:noMultiLvlLbl val="0"/>
      </c:catAx>
      <c:valAx>
        <c:axId val="812025471"/>
        <c:scaling>
          <c:orientation val="minMax"/>
          <c:max val="1.2"/>
          <c:min val="0"/>
        </c:scaling>
        <c:delete val="1"/>
        <c:axPos val="l"/>
        <c:numFmt formatCode="0%" sourceLinked="1"/>
        <c:majorTickMark val="none"/>
        <c:minorTickMark val="none"/>
        <c:tickLblPos val="nextTo"/>
        <c:crossAx val="81202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alpha val="6000"/>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9559251792114696E-2"/>
          <c:y val="9.5051040439733017E-2"/>
          <c:w val="0.96088149641577059"/>
          <c:h val="0.81626946734720585"/>
        </c:manualLayout>
      </c:layout>
      <c:barChart>
        <c:barDir val="col"/>
        <c:grouping val="clustered"/>
        <c:varyColors val="0"/>
        <c:ser>
          <c:idx val="4"/>
          <c:order val="4"/>
          <c:tx>
            <c:strRef>
              <c:f>'PROCCESSING '!$AX$2</c:f>
              <c:strCache>
                <c:ptCount val="1"/>
                <c:pt idx="0">
                  <c:v>cursor </c:v>
                </c:pt>
              </c:strCache>
            </c:strRef>
          </c:tx>
          <c:spPr>
            <a:solidFill>
              <a:srgbClr val="00B0F0">
                <a:alpha val="29000"/>
              </a:srgbClr>
            </a:solidFill>
            <a:ln>
              <a:noFill/>
            </a:ln>
            <a:effectLst/>
          </c:spPr>
          <c:invertIfNegative val="0"/>
          <c:val>
            <c:numRef>
              <c:f>'PROCCESSING '!$AX$3:$AX$14</c:f>
              <c:numCache>
                <c:formatCode>_(* #,##0.00_);_(* \(#,##0.00\);_(* "-"??_);_(@_)</c:formatCode>
                <c:ptCount val="12"/>
                <c:pt idx="0">
                  <c:v>#N/A</c:v>
                </c:pt>
                <c:pt idx="1">
                  <c:v>#N/A</c:v>
                </c:pt>
                <c:pt idx="2">
                  <c:v>#N/A</c:v>
                </c:pt>
                <c:pt idx="3">
                  <c:v>#N/A</c:v>
                </c:pt>
                <c:pt idx="4">
                  <c:v>#N/A</c:v>
                </c:pt>
                <c:pt idx="5">
                  <c:v>#N/A</c:v>
                </c:pt>
                <c:pt idx="6">
                  <c:v>#N/A</c:v>
                </c:pt>
                <c:pt idx="7">
                  <c:v>25000000</c:v>
                </c:pt>
                <c:pt idx="8">
                  <c:v>#N/A</c:v>
                </c:pt>
                <c:pt idx="9">
                  <c:v>#N/A</c:v>
                </c:pt>
                <c:pt idx="10">
                  <c:v>#N/A</c:v>
                </c:pt>
                <c:pt idx="11">
                  <c:v>#N/A</c:v>
                </c:pt>
              </c:numCache>
            </c:numRef>
          </c:val>
          <c:extLst>
            <c:ext xmlns:c16="http://schemas.microsoft.com/office/drawing/2014/chart" uri="{C3380CC4-5D6E-409C-BE32-E72D297353CC}">
              <c16:uniqueId val="{00000000-B9F7-4D11-A237-7C8F6529A2CA}"/>
            </c:ext>
          </c:extLst>
        </c:ser>
        <c:dLbls>
          <c:showLegendKey val="0"/>
          <c:showVal val="0"/>
          <c:showCatName val="0"/>
          <c:showSerName val="0"/>
          <c:showPercent val="0"/>
          <c:showBubbleSize val="0"/>
        </c:dLbls>
        <c:gapWidth val="0"/>
        <c:axId val="2006295136"/>
        <c:axId val="2006300128"/>
      </c:barChart>
      <c:lineChart>
        <c:grouping val="standard"/>
        <c:varyColors val="0"/>
        <c:ser>
          <c:idx val="0"/>
          <c:order val="0"/>
          <c:tx>
            <c:strRef>
              <c:f>'PROCCESSING '!$AM$1:$AM$2</c:f>
              <c:strCache>
                <c:ptCount val="2"/>
                <c:pt idx="0">
                  <c:v>outpatient </c:v>
                </c:pt>
                <c:pt idx="1">
                  <c:v>2021</c:v>
                </c:pt>
              </c:strCache>
            </c:strRef>
          </c:tx>
          <c:spPr>
            <a:ln w="22225" cap="rnd">
              <a:solidFill>
                <a:srgbClr val="00FF00"/>
              </a:solidFill>
              <a:round/>
            </a:ln>
            <a:effectLst/>
          </c:spPr>
          <c:marker>
            <c:symbol val="none"/>
          </c:marker>
          <c:cat>
            <c:strRef>
              <c:f>'PROCCESSING '!$AL$3:$AL$14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'!$AM$3:$AM$14</c:f>
              <c:numCache>
                <c:formatCode>General</c:formatCode>
                <c:ptCount val="12"/>
                <c:pt idx="0">
                  <c:v>7221423.0199999996</c:v>
                </c:pt>
                <c:pt idx="1">
                  <c:v>6966114.3200000003</c:v>
                </c:pt>
                <c:pt idx="2">
                  <c:v>9275883.4499999993</c:v>
                </c:pt>
                <c:pt idx="3">
                  <c:v>7335381.5999999996</c:v>
                </c:pt>
                <c:pt idx="4">
                  <c:v>7739603.5899999999</c:v>
                </c:pt>
                <c:pt idx="5">
                  <c:v>11344998.869999999</c:v>
                </c:pt>
                <c:pt idx="6">
                  <c:v>8726878.2400000002</c:v>
                </c:pt>
                <c:pt idx="7">
                  <c:v>10429465.74</c:v>
                </c:pt>
                <c:pt idx="8">
                  <c:v>9162713.7799999993</c:v>
                </c:pt>
                <c:pt idx="9">
                  <c:v>8896396.3100000005</c:v>
                </c:pt>
                <c:pt idx="10">
                  <c:v>7910216.46</c:v>
                </c:pt>
                <c:pt idx="11">
                  <c:v>7987874.5499999998</c:v>
                </c:pt>
              </c:numCache>
            </c:numRef>
          </c:val>
          <c:smooth val="1"/>
          <c:extLst>
            <c:ext xmlns:c16="http://schemas.microsoft.com/office/drawing/2014/chart" uri="{C3380CC4-5D6E-409C-BE32-E72D297353CC}">
              <c16:uniqueId val="{00000001-B9F7-4D11-A237-7C8F6529A2CA}"/>
            </c:ext>
          </c:extLst>
        </c:ser>
        <c:ser>
          <c:idx val="1"/>
          <c:order val="1"/>
          <c:tx>
            <c:strRef>
              <c:f>'PROCCESSING '!$AN$1:$AN$2</c:f>
              <c:strCache>
                <c:ptCount val="2"/>
                <c:pt idx="0">
                  <c:v>inpatient </c:v>
                </c:pt>
                <c:pt idx="1">
                  <c:v>2021</c:v>
                </c:pt>
              </c:strCache>
            </c:strRef>
          </c:tx>
          <c:spPr>
            <a:ln w="22225" cap="rnd">
              <a:solidFill>
                <a:srgbClr val="FF0000"/>
              </a:solidFill>
              <a:round/>
            </a:ln>
            <a:effectLst/>
          </c:spPr>
          <c:marker>
            <c:symbol val="none"/>
          </c:marker>
          <c:cat>
            <c:strRef>
              <c:f>'PROCCESSING '!$AL$3:$AL$14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'!$AN$3:$AN$14</c:f>
              <c:numCache>
                <c:formatCode>General</c:formatCode>
                <c:ptCount val="12"/>
                <c:pt idx="0">
                  <c:v>13356802.147999998</c:v>
                </c:pt>
                <c:pt idx="1">
                  <c:v>12777741.490000002</c:v>
                </c:pt>
                <c:pt idx="2">
                  <c:v>14304331.419999998</c:v>
                </c:pt>
                <c:pt idx="3">
                  <c:v>14613207.619999999</c:v>
                </c:pt>
                <c:pt idx="4">
                  <c:v>14619504.949999999</c:v>
                </c:pt>
                <c:pt idx="5">
                  <c:v>20118668.899999999</c:v>
                </c:pt>
                <c:pt idx="6">
                  <c:v>18341005.729999997</c:v>
                </c:pt>
                <c:pt idx="7">
                  <c:v>13343313.979999999</c:v>
                </c:pt>
                <c:pt idx="8">
                  <c:v>12103641.060000001</c:v>
                </c:pt>
                <c:pt idx="9">
                  <c:v>11514394.159999998</c:v>
                </c:pt>
                <c:pt idx="10">
                  <c:v>11537653.669999998</c:v>
                </c:pt>
                <c:pt idx="11">
                  <c:v>10918841.530000001</c:v>
                </c:pt>
              </c:numCache>
            </c:numRef>
          </c:val>
          <c:smooth val="1"/>
          <c:extLst>
            <c:ext xmlns:c16="http://schemas.microsoft.com/office/drawing/2014/chart" uri="{C3380CC4-5D6E-409C-BE32-E72D297353CC}">
              <c16:uniqueId val="{00000002-B9F7-4D11-A237-7C8F6529A2CA}"/>
            </c:ext>
          </c:extLst>
        </c:ser>
        <c:ser>
          <c:idx val="2"/>
          <c:order val="2"/>
          <c:tx>
            <c:strRef>
              <c:f>'PROCCESSING '!$AT$1:$AT$2</c:f>
              <c:strCache>
                <c:ptCount val="2"/>
                <c:pt idx="0">
                  <c:v>outpatient </c:v>
                </c:pt>
                <c:pt idx="1">
                  <c:v>2020</c:v>
                </c:pt>
              </c:strCache>
            </c:strRef>
          </c:tx>
          <c:spPr>
            <a:ln w="22225" cap="rnd">
              <a:solidFill>
                <a:srgbClr val="FF00FF"/>
              </a:solidFill>
              <a:round/>
            </a:ln>
            <a:effectLst/>
          </c:spPr>
          <c:marker>
            <c:symbol val="none"/>
          </c:marker>
          <c:cat>
            <c:strRef>
              <c:f>'PROCCESSING '!$AL$3:$AL$14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'!$AT$3:$AT$14</c:f>
              <c:numCache>
                <c:formatCode>General</c:formatCode>
                <c:ptCount val="12"/>
                <c:pt idx="0">
                  <c:v>6753382.5599999996</c:v>
                </c:pt>
                <c:pt idx="1">
                  <c:v>7961717.4299999997</c:v>
                </c:pt>
                <c:pt idx="2">
                  <c:v>6120327.2000000002</c:v>
                </c:pt>
                <c:pt idx="3">
                  <c:v>1631242.61</c:v>
                </c:pt>
                <c:pt idx="4">
                  <c:v>2904764.14</c:v>
                </c:pt>
                <c:pt idx="5">
                  <c:v>7321944.8499999996</c:v>
                </c:pt>
                <c:pt idx="6">
                  <c:v>8547177.3399999999</c:v>
                </c:pt>
                <c:pt idx="7">
                  <c:v>8897472.3699999992</c:v>
                </c:pt>
                <c:pt idx="8">
                  <c:v>9537161.3800000008</c:v>
                </c:pt>
                <c:pt idx="9">
                  <c:v>8560767.6899999995</c:v>
                </c:pt>
                <c:pt idx="10">
                  <c:v>7980922.4100000001</c:v>
                </c:pt>
                <c:pt idx="11">
                  <c:v>9483254.8399999999</c:v>
                </c:pt>
              </c:numCache>
            </c:numRef>
          </c:val>
          <c:smooth val="1"/>
          <c:extLst>
            <c:ext xmlns:c16="http://schemas.microsoft.com/office/drawing/2014/chart" uri="{C3380CC4-5D6E-409C-BE32-E72D297353CC}">
              <c16:uniqueId val="{00000003-B9F7-4D11-A237-7C8F6529A2CA}"/>
            </c:ext>
          </c:extLst>
        </c:ser>
        <c:ser>
          <c:idx val="3"/>
          <c:order val="3"/>
          <c:tx>
            <c:strRef>
              <c:f>'PROCCESSING '!$AU$1:$AU$2</c:f>
              <c:strCache>
                <c:ptCount val="2"/>
                <c:pt idx="0">
                  <c:v>inpatient </c:v>
                </c:pt>
                <c:pt idx="1">
                  <c:v>2020</c:v>
                </c:pt>
              </c:strCache>
            </c:strRef>
          </c:tx>
          <c:spPr>
            <a:ln w="22225" cap="rnd">
              <a:solidFill>
                <a:srgbClr val="002060"/>
              </a:solidFill>
              <a:round/>
            </a:ln>
            <a:effectLst/>
          </c:spPr>
          <c:marker>
            <c:symbol val="none"/>
          </c:marker>
          <c:cat>
            <c:strRef>
              <c:f>'PROCCESSING '!$AL$3:$AL$14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'!$AU$3:$AU$14</c:f>
              <c:numCache>
                <c:formatCode>General</c:formatCode>
                <c:ptCount val="12"/>
                <c:pt idx="0">
                  <c:v>14025668.66</c:v>
                </c:pt>
                <c:pt idx="1">
                  <c:v>12896078.039999999</c:v>
                </c:pt>
                <c:pt idx="2">
                  <c:v>14746870.5284</c:v>
                </c:pt>
                <c:pt idx="3">
                  <c:v>7504389.0977999987</c:v>
                </c:pt>
                <c:pt idx="4">
                  <c:v>8198227.5044</c:v>
                </c:pt>
                <c:pt idx="5">
                  <c:v>19247465.990800001</c:v>
                </c:pt>
                <c:pt idx="6">
                  <c:v>21706019.6569</c:v>
                </c:pt>
                <c:pt idx="7">
                  <c:v>15699649.069999998</c:v>
                </c:pt>
                <c:pt idx="8">
                  <c:v>19708013.875999995</c:v>
                </c:pt>
                <c:pt idx="9">
                  <c:v>17191613.350000001</c:v>
                </c:pt>
                <c:pt idx="10">
                  <c:v>15660925.862</c:v>
                </c:pt>
                <c:pt idx="11">
                  <c:v>16125786.537999999</c:v>
                </c:pt>
              </c:numCache>
            </c:numRef>
          </c:val>
          <c:smooth val="1"/>
          <c:extLst>
            <c:ext xmlns:c16="http://schemas.microsoft.com/office/drawing/2014/chart" uri="{C3380CC4-5D6E-409C-BE32-E72D297353CC}">
              <c16:uniqueId val="{00000004-B9F7-4D11-A237-7C8F6529A2CA}"/>
            </c:ext>
          </c:extLst>
        </c:ser>
        <c:dLbls>
          <c:showLegendKey val="0"/>
          <c:showVal val="0"/>
          <c:showCatName val="0"/>
          <c:showSerName val="0"/>
          <c:showPercent val="0"/>
          <c:showBubbleSize val="0"/>
        </c:dLbls>
        <c:marker val="1"/>
        <c:smooth val="0"/>
        <c:axId val="2006295136"/>
        <c:axId val="2006300128"/>
      </c:lineChart>
      <c:scatterChart>
        <c:scatterStyle val="lineMarker"/>
        <c:varyColors val="0"/>
        <c:ser>
          <c:idx val="5"/>
          <c:order val="5"/>
          <c:tx>
            <c:strRef>
              <c:f>'PROCCESSING '!$AY$3</c:f>
              <c:strCache>
                <c:ptCount val="1"/>
                <c:pt idx="0">
                  <c:v>Y1</c:v>
                </c:pt>
              </c:strCache>
            </c:strRef>
          </c:tx>
          <c:spPr>
            <a:ln w="28575" cap="rnd">
              <a:solidFill>
                <a:schemeClr val="accent6"/>
              </a:solidFill>
              <a:round/>
            </a:ln>
            <a:effectLst>
              <a:glow rad="101600">
                <a:srgbClr val="00FF00">
                  <a:alpha val="40000"/>
                </a:srgbClr>
              </a:glow>
            </a:effectLst>
          </c:spPr>
          <c:marker>
            <c:symbol val="circle"/>
            <c:size val="10"/>
            <c:spPr>
              <a:solidFill>
                <a:schemeClr val="bg1"/>
              </a:solidFill>
              <a:ln w="9525">
                <a:solidFill>
                  <a:schemeClr val="bg1"/>
                </a:solidFill>
              </a:ln>
              <a:effectLst>
                <a:glow rad="101600">
                  <a:srgbClr val="00FF00">
                    <a:alpha val="40000"/>
                  </a:srgb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'!$AY$6</c:f>
              <c:numCache>
                <c:formatCode>General</c:formatCode>
                <c:ptCount val="1"/>
                <c:pt idx="0">
                  <c:v>8</c:v>
                </c:pt>
              </c:numCache>
            </c:numRef>
          </c:xVal>
          <c:yVal>
            <c:numRef>
              <c:f>'PROCCESSING '!$AY$4</c:f>
              <c:numCache>
                <c:formatCode>General</c:formatCode>
                <c:ptCount val="1"/>
                <c:pt idx="0">
                  <c:v>10429465.74</c:v>
                </c:pt>
              </c:numCache>
            </c:numRef>
          </c:yVal>
          <c:smooth val="0"/>
          <c:extLst>
            <c:ext xmlns:c16="http://schemas.microsoft.com/office/drawing/2014/chart" uri="{C3380CC4-5D6E-409C-BE32-E72D297353CC}">
              <c16:uniqueId val="{00000005-B9F7-4D11-A237-7C8F6529A2CA}"/>
            </c:ext>
          </c:extLst>
        </c:ser>
        <c:ser>
          <c:idx val="6"/>
          <c:order val="6"/>
          <c:tx>
            <c:strRef>
              <c:f>'PROCCESSING '!$AY$7</c:f>
              <c:strCache>
                <c:ptCount val="1"/>
                <c:pt idx="0">
                  <c:v>Y2</c:v>
                </c:pt>
              </c:strCache>
            </c:strRef>
          </c:tx>
          <c:spPr>
            <a:ln w="28575" cap="rnd">
              <a:solidFill>
                <a:schemeClr val="accent1">
                  <a:lumMod val="60000"/>
                </a:schemeClr>
              </a:solidFill>
              <a:round/>
            </a:ln>
            <a:effectLst>
              <a:glow rad="101600">
                <a:srgbClr val="FF0000">
                  <a:alpha val="40000"/>
                </a:srgbClr>
              </a:glow>
            </a:effectLst>
          </c:spPr>
          <c:marker>
            <c:symbol val="circle"/>
            <c:size val="10"/>
            <c:spPr>
              <a:solidFill>
                <a:schemeClr val="bg1"/>
              </a:solidFill>
              <a:ln w="9525">
                <a:solidFill>
                  <a:schemeClr val="bg1"/>
                </a:solidFill>
              </a:ln>
              <a:effectLst>
                <a:glow rad="101600">
                  <a:srgbClr val="FF0000">
                    <a:alpha val="40000"/>
                  </a:srgb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'!$AY$6</c:f>
              <c:numCache>
                <c:formatCode>General</c:formatCode>
                <c:ptCount val="1"/>
                <c:pt idx="0">
                  <c:v>8</c:v>
                </c:pt>
              </c:numCache>
            </c:numRef>
          </c:xVal>
          <c:yVal>
            <c:numRef>
              <c:f>'PROCCESSING '!$AY$8</c:f>
              <c:numCache>
                <c:formatCode>General</c:formatCode>
                <c:ptCount val="1"/>
                <c:pt idx="0">
                  <c:v>13343313.979999999</c:v>
                </c:pt>
              </c:numCache>
            </c:numRef>
          </c:yVal>
          <c:smooth val="0"/>
          <c:extLst>
            <c:ext xmlns:c16="http://schemas.microsoft.com/office/drawing/2014/chart" uri="{C3380CC4-5D6E-409C-BE32-E72D297353CC}">
              <c16:uniqueId val="{00000006-B9F7-4D11-A237-7C8F6529A2CA}"/>
            </c:ext>
          </c:extLst>
        </c:ser>
        <c:ser>
          <c:idx val="7"/>
          <c:order val="7"/>
          <c:tx>
            <c:strRef>
              <c:f>'PROCCESSING '!$AY$11</c:f>
              <c:strCache>
                <c:ptCount val="1"/>
                <c:pt idx="0">
                  <c:v>Y3</c:v>
                </c:pt>
              </c:strCache>
            </c:strRef>
          </c:tx>
          <c:spPr>
            <a:ln w="28575" cap="rnd">
              <a:solidFill>
                <a:schemeClr val="accent2">
                  <a:lumMod val="60000"/>
                </a:schemeClr>
              </a:solidFill>
              <a:round/>
            </a:ln>
            <a:effectLst>
              <a:glow rad="101600">
                <a:srgbClr val="FF00FF">
                  <a:alpha val="40000"/>
                </a:srgbClr>
              </a:glow>
            </a:effectLst>
          </c:spPr>
          <c:marker>
            <c:symbol val="circle"/>
            <c:size val="10"/>
            <c:spPr>
              <a:solidFill>
                <a:schemeClr val="bg1"/>
              </a:solidFill>
              <a:ln w="9525">
                <a:solidFill>
                  <a:schemeClr val="bg1"/>
                </a:solidFill>
              </a:ln>
              <a:effectLst>
                <a:glow rad="101600">
                  <a:srgbClr val="FF00FF">
                    <a:alpha val="40000"/>
                  </a:srgb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'!$AY$10</c:f>
              <c:numCache>
                <c:formatCode>General</c:formatCode>
                <c:ptCount val="1"/>
                <c:pt idx="0">
                  <c:v>8</c:v>
                </c:pt>
              </c:numCache>
            </c:numRef>
          </c:xVal>
          <c:yVal>
            <c:numRef>
              <c:f>'PROCCESSING '!$AY$12</c:f>
              <c:numCache>
                <c:formatCode>General</c:formatCode>
                <c:ptCount val="1"/>
                <c:pt idx="0">
                  <c:v>8897472.3699999992</c:v>
                </c:pt>
              </c:numCache>
            </c:numRef>
          </c:yVal>
          <c:smooth val="0"/>
          <c:extLst>
            <c:ext xmlns:c16="http://schemas.microsoft.com/office/drawing/2014/chart" uri="{C3380CC4-5D6E-409C-BE32-E72D297353CC}">
              <c16:uniqueId val="{00000007-B9F7-4D11-A237-7C8F6529A2CA}"/>
            </c:ext>
          </c:extLst>
        </c:ser>
        <c:ser>
          <c:idx val="8"/>
          <c:order val="8"/>
          <c:tx>
            <c:strRef>
              <c:f>'PROCCESSING '!$AY$15</c:f>
              <c:strCache>
                <c:ptCount val="1"/>
                <c:pt idx="0">
                  <c:v>Y4</c:v>
                </c:pt>
              </c:strCache>
            </c:strRef>
          </c:tx>
          <c:spPr>
            <a:ln w="28575" cap="rnd">
              <a:solidFill>
                <a:schemeClr val="accent3">
                  <a:lumMod val="60000"/>
                </a:schemeClr>
              </a:solidFill>
              <a:round/>
            </a:ln>
            <a:effectLst>
              <a:glow rad="101600">
                <a:schemeClr val="accent4">
                  <a:lumMod val="20000"/>
                  <a:lumOff val="80000"/>
                  <a:alpha val="40000"/>
                </a:schemeClr>
              </a:glow>
            </a:effectLst>
          </c:spPr>
          <c:marker>
            <c:symbol val="circle"/>
            <c:size val="10"/>
            <c:spPr>
              <a:solidFill>
                <a:schemeClr val="bg1"/>
              </a:solidFill>
              <a:ln w="9525">
                <a:solidFill>
                  <a:schemeClr val="bg1"/>
                </a:solidFill>
              </a:ln>
              <a:effectLst>
                <a:glow rad="101600">
                  <a:schemeClr val="accent4">
                    <a:lumMod val="20000"/>
                    <a:lumOff val="80000"/>
                    <a:alpha val="40000"/>
                  </a:scheme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'!$AY$14</c:f>
              <c:numCache>
                <c:formatCode>General</c:formatCode>
                <c:ptCount val="1"/>
                <c:pt idx="0">
                  <c:v>8</c:v>
                </c:pt>
              </c:numCache>
            </c:numRef>
          </c:xVal>
          <c:yVal>
            <c:numRef>
              <c:f>'PROCCESSING '!$AY$16</c:f>
              <c:numCache>
                <c:formatCode>General</c:formatCode>
                <c:ptCount val="1"/>
                <c:pt idx="0">
                  <c:v>15699649.069999998</c:v>
                </c:pt>
              </c:numCache>
            </c:numRef>
          </c:yVal>
          <c:smooth val="0"/>
          <c:extLst>
            <c:ext xmlns:c16="http://schemas.microsoft.com/office/drawing/2014/chart" uri="{C3380CC4-5D6E-409C-BE32-E72D297353CC}">
              <c16:uniqueId val="{00000008-B9F7-4D11-A237-7C8F6529A2CA}"/>
            </c:ext>
          </c:extLst>
        </c:ser>
        <c:dLbls>
          <c:showLegendKey val="0"/>
          <c:showVal val="0"/>
          <c:showCatName val="0"/>
          <c:showSerName val="0"/>
          <c:showPercent val="0"/>
          <c:showBubbleSize val="0"/>
        </c:dLbls>
        <c:axId val="2006295136"/>
        <c:axId val="2006300128"/>
      </c:scatterChart>
      <c:catAx>
        <c:axId val="2006295136"/>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2006300128"/>
        <c:crosses val="autoZero"/>
        <c:auto val="1"/>
        <c:lblAlgn val="ctr"/>
        <c:lblOffset val="100"/>
        <c:noMultiLvlLbl val="0"/>
      </c:catAx>
      <c:valAx>
        <c:axId val="2006300128"/>
        <c:scaling>
          <c:orientation val="minMax"/>
          <c:max val="25000000"/>
          <c:min val="0"/>
        </c:scaling>
        <c:delete val="1"/>
        <c:axPos val="l"/>
        <c:numFmt formatCode="_(* #,##0.00_);_(* \(#,##0.00\);_(* &quot;-&quot;??_);_(@_)" sourceLinked="1"/>
        <c:majorTickMark val="none"/>
        <c:minorTickMark val="none"/>
        <c:tickLblPos val="nextTo"/>
        <c:crossAx val="2006295136"/>
        <c:crosses val="autoZero"/>
        <c:crossBetween val="between"/>
      </c:valAx>
      <c:spPr>
        <a:noFill/>
        <a:ln>
          <a:noFill/>
        </a:ln>
        <a:effectLst/>
      </c:spPr>
    </c:plotArea>
    <c:legend>
      <c:legendPos val="t"/>
      <c:legendEntry>
        <c:idx val="0"/>
        <c:delete val="1"/>
      </c:legendEntry>
      <c:legendEntry>
        <c:idx val="5"/>
        <c:delete val="1"/>
      </c:legendEntry>
      <c:legendEntry>
        <c:idx val="6"/>
        <c:delete val="1"/>
      </c:legendEntry>
      <c:legendEntry>
        <c:idx val="7"/>
        <c:delete val="1"/>
      </c:legendEntry>
      <c:legendEntry>
        <c:idx val="8"/>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alpha val="8000"/>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tx>
            <c:strRef>
              <c:f>'PROCCESSING '!$CN$4</c:f>
              <c:strCache>
                <c:ptCount val="1"/>
                <c:pt idx="0">
                  <c:v>CURSOR</c:v>
                </c:pt>
              </c:strCache>
            </c:strRef>
          </c:tx>
          <c:spPr>
            <a:solidFill>
              <a:srgbClr val="00B0F0">
                <a:alpha val="32000"/>
              </a:srgbClr>
            </a:solidFill>
            <a:ln>
              <a:noFill/>
            </a:ln>
            <a:effectLst/>
          </c:spPr>
          <c:invertIfNegative val="0"/>
          <c:val>
            <c:numRef>
              <c:f>'PROCCESSING '!$GB$4:$GB$15</c:f>
              <c:numCache>
                <c:formatCode>General</c:formatCode>
                <c:ptCount val="12"/>
                <c:pt idx="0">
                  <c:v>#N/A</c:v>
                </c:pt>
                <c:pt idx="1">
                  <c:v>#N/A</c:v>
                </c:pt>
                <c:pt idx="2">
                  <c:v>#N/A</c:v>
                </c:pt>
                <c:pt idx="3">
                  <c:v>#N/A</c:v>
                </c:pt>
                <c:pt idx="4">
                  <c:v>#N/A</c:v>
                </c:pt>
                <c:pt idx="5">
                  <c:v>#N/A</c:v>
                </c:pt>
                <c:pt idx="6">
                  <c:v>#N/A</c:v>
                </c:pt>
                <c:pt idx="7">
                  <c:v>5</c:v>
                </c:pt>
                <c:pt idx="8">
                  <c:v>#N/A</c:v>
                </c:pt>
                <c:pt idx="9">
                  <c:v>#N/A</c:v>
                </c:pt>
                <c:pt idx="10">
                  <c:v>#N/A</c:v>
                </c:pt>
              </c:numCache>
            </c:numRef>
          </c:val>
          <c:extLst>
            <c:ext xmlns:c16="http://schemas.microsoft.com/office/drawing/2014/chart" uri="{C3380CC4-5D6E-409C-BE32-E72D297353CC}">
              <c16:uniqueId val="{00000000-9D4D-4F50-BBDB-A684CBA98B4A}"/>
            </c:ext>
          </c:extLst>
        </c:ser>
        <c:dLbls>
          <c:showLegendKey val="0"/>
          <c:showVal val="0"/>
          <c:showCatName val="0"/>
          <c:showSerName val="0"/>
          <c:showPercent val="0"/>
          <c:showBubbleSize val="0"/>
        </c:dLbls>
        <c:gapWidth val="2"/>
        <c:axId val="812027967"/>
        <c:axId val="812025471"/>
      </c:barChart>
      <c:lineChart>
        <c:grouping val="standard"/>
        <c:varyColors val="0"/>
        <c:ser>
          <c:idx val="0"/>
          <c:order val="0"/>
          <c:tx>
            <c:strRef>
              <c:f>'PROCCESSING '!$CJ$4</c:f>
              <c:strCache>
                <c:ptCount val="1"/>
                <c:pt idx="0">
                  <c:v>2021</c:v>
                </c:pt>
              </c:strCache>
            </c:strRef>
          </c:tx>
          <c:spPr>
            <a:ln w="22225" cap="rnd">
              <a:solidFill>
                <a:srgbClr val="00B0F0"/>
              </a:solidFill>
              <a:round/>
            </a:ln>
            <a:effectLst/>
          </c:spPr>
          <c:marker>
            <c:symbol val="none"/>
          </c:marker>
          <c:cat>
            <c:strRef>
              <c:f>'PROCCESSING '!$CB$5:$CB$16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'!$FX$4:$FX$15</c:f>
              <c:numCache>
                <c:formatCode>General</c:formatCode>
                <c:ptCount val="12"/>
                <c:pt idx="0">
                  <c:v>2.93</c:v>
                </c:pt>
                <c:pt idx="1">
                  <c:v>2.52</c:v>
                </c:pt>
                <c:pt idx="2">
                  <c:v>2.52</c:v>
                </c:pt>
                <c:pt idx="3">
                  <c:v>2.79</c:v>
                </c:pt>
                <c:pt idx="4">
                  <c:v>3.32</c:v>
                </c:pt>
                <c:pt idx="5">
                  <c:v>2.87</c:v>
                </c:pt>
                <c:pt idx="6">
                  <c:v>3.23</c:v>
                </c:pt>
                <c:pt idx="7">
                  <c:v>2.19</c:v>
                </c:pt>
                <c:pt idx="8">
                  <c:v>2.5499999999999998</c:v>
                </c:pt>
                <c:pt idx="9">
                  <c:v>2.23</c:v>
                </c:pt>
                <c:pt idx="10">
                  <c:v>2.4</c:v>
                </c:pt>
                <c:pt idx="11">
                  <c:v>2.9</c:v>
                </c:pt>
              </c:numCache>
            </c:numRef>
          </c:val>
          <c:smooth val="1"/>
          <c:extLst>
            <c:ext xmlns:c16="http://schemas.microsoft.com/office/drawing/2014/chart" uri="{C3380CC4-5D6E-409C-BE32-E72D297353CC}">
              <c16:uniqueId val="{00000001-9D4D-4F50-BBDB-A684CBA98B4A}"/>
            </c:ext>
          </c:extLst>
        </c:ser>
        <c:ser>
          <c:idx val="1"/>
          <c:order val="1"/>
          <c:tx>
            <c:strRef>
              <c:f>'PROCCESSING '!$CK$4</c:f>
              <c:strCache>
                <c:ptCount val="1"/>
                <c:pt idx="0">
                  <c:v>2020</c:v>
                </c:pt>
              </c:strCache>
            </c:strRef>
          </c:tx>
          <c:spPr>
            <a:ln w="22225" cap="rnd">
              <a:solidFill>
                <a:srgbClr val="FF00FF"/>
              </a:solidFill>
              <a:round/>
            </a:ln>
            <a:effectLst/>
          </c:spPr>
          <c:marker>
            <c:symbol val="none"/>
          </c:marker>
          <c:cat>
            <c:strRef>
              <c:f>'PROCCESSING '!$CB$5:$CB$16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'!$FY$4:$FY$15</c:f>
              <c:numCache>
                <c:formatCode>General</c:formatCode>
                <c:ptCount val="12"/>
                <c:pt idx="0">
                  <c:v>3.26</c:v>
                </c:pt>
                <c:pt idx="1">
                  <c:v>2.91</c:v>
                </c:pt>
                <c:pt idx="2">
                  <c:v>2.98</c:v>
                </c:pt>
                <c:pt idx="3">
                  <c:v>3.66</c:v>
                </c:pt>
                <c:pt idx="4">
                  <c:v>3.48</c:v>
                </c:pt>
                <c:pt idx="5">
                  <c:v>2.86</c:v>
                </c:pt>
                <c:pt idx="6">
                  <c:v>2.83</c:v>
                </c:pt>
                <c:pt idx="7">
                  <c:v>2.36</c:v>
                </c:pt>
                <c:pt idx="8">
                  <c:v>2.86</c:v>
                </c:pt>
                <c:pt idx="9">
                  <c:v>2.71</c:v>
                </c:pt>
                <c:pt idx="10">
                  <c:v>2.85</c:v>
                </c:pt>
                <c:pt idx="11">
                  <c:v>2.77</c:v>
                </c:pt>
              </c:numCache>
            </c:numRef>
          </c:val>
          <c:smooth val="1"/>
          <c:extLst>
            <c:ext xmlns:c16="http://schemas.microsoft.com/office/drawing/2014/chart" uri="{C3380CC4-5D6E-409C-BE32-E72D297353CC}">
              <c16:uniqueId val="{00000002-9D4D-4F50-BBDB-A684CBA98B4A}"/>
            </c:ext>
          </c:extLst>
        </c:ser>
        <c:dLbls>
          <c:showLegendKey val="0"/>
          <c:showVal val="0"/>
          <c:showCatName val="0"/>
          <c:showSerName val="0"/>
          <c:showPercent val="0"/>
          <c:showBubbleSize val="0"/>
        </c:dLbls>
        <c:marker val="1"/>
        <c:smooth val="0"/>
        <c:axId val="812027967"/>
        <c:axId val="812025471"/>
      </c:lineChart>
      <c:scatterChart>
        <c:scatterStyle val="lineMarker"/>
        <c:varyColors val="0"/>
        <c:ser>
          <c:idx val="3"/>
          <c:order val="3"/>
          <c:tx>
            <c:strRef>
              <c:f>'PROCCESSING '!$CO$6</c:f>
              <c:strCache>
                <c:ptCount val="1"/>
                <c:pt idx="0">
                  <c:v>Y1</c:v>
                </c:pt>
              </c:strCache>
            </c:strRef>
          </c:tx>
          <c:spPr>
            <a:ln w="28575" cap="rnd">
              <a:solidFill>
                <a:schemeClr val="accent4"/>
              </a:solidFill>
              <a:round/>
            </a:ln>
            <a:effectLst>
              <a:glow rad="101600">
                <a:schemeClr val="bg1">
                  <a:alpha val="40000"/>
                </a:schemeClr>
              </a:glow>
            </a:effectLst>
          </c:spPr>
          <c:marker>
            <c:symbol val="circle"/>
            <c:size val="7"/>
            <c:spPr>
              <a:solidFill>
                <a:sysClr val="window" lastClr="FFFFFF"/>
              </a:solidFill>
              <a:ln w="9525">
                <a:solidFill>
                  <a:schemeClr val="bg1"/>
                </a:solidFill>
              </a:ln>
              <a:effectLst>
                <a:glow rad="101600">
                  <a:schemeClr val="bg1">
                    <a:alpha val="40000"/>
                  </a:scheme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'!$GC$4</c:f>
              <c:numCache>
                <c:formatCode>General</c:formatCode>
                <c:ptCount val="1"/>
                <c:pt idx="0">
                  <c:v>8</c:v>
                </c:pt>
              </c:numCache>
            </c:numRef>
          </c:xVal>
          <c:yVal>
            <c:numRef>
              <c:f>'PROCCESSING '!$GC$6</c:f>
              <c:numCache>
                <c:formatCode>General</c:formatCode>
                <c:ptCount val="1"/>
                <c:pt idx="0">
                  <c:v>2.19</c:v>
                </c:pt>
              </c:numCache>
            </c:numRef>
          </c:yVal>
          <c:smooth val="0"/>
          <c:extLst>
            <c:ext xmlns:c16="http://schemas.microsoft.com/office/drawing/2014/chart" uri="{C3380CC4-5D6E-409C-BE32-E72D297353CC}">
              <c16:uniqueId val="{00000003-9D4D-4F50-BBDB-A684CBA98B4A}"/>
            </c:ext>
          </c:extLst>
        </c:ser>
        <c:ser>
          <c:idx val="4"/>
          <c:order val="4"/>
          <c:tx>
            <c:strRef>
              <c:f>'PROCCESSING '!$CO$10</c:f>
              <c:strCache>
                <c:ptCount val="1"/>
                <c:pt idx="0">
                  <c:v>Y2</c:v>
                </c:pt>
              </c:strCache>
            </c:strRef>
          </c:tx>
          <c:spPr>
            <a:ln w="28575" cap="rnd">
              <a:solidFill>
                <a:schemeClr val="bg1"/>
              </a:solidFill>
              <a:round/>
            </a:ln>
            <a:effectLst>
              <a:glow rad="101600">
                <a:schemeClr val="bg1">
                  <a:alpha val="40000"/>
                </a:schemeClr>
              </a:glow>
            </a:effectLst>
          </c:spPr>
          <c:marker>
            <c:symbol val="circle"/>
            <c:size val="7"/>
            <c:spPr>
              <a:solidFill>
                <a:schemeClr val="bg1"/>
              </a:solidFill>
              <a:ln w="9525">
                <a:solidFill>
                  <a:schemeClr val="bg1"/>
                </a:solidFill>
              </a:ln>
              <a:effectLst>
                <a:glow rad="101600">
                  <a:schemeClr val="bg1">
                    <a:alpha val="40000"/>
                  </a:scheme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'!$GC$8</c:f>
              <c:numCache>
                <c:formatCode>General</c:formatCode>
                <c:ptCount val="1"/>
                <c:pt idx="0">
                  <c:v>8</c:v>
                </c:pt>
              </c:numCache>
            </c:numRef>
          </c:xVal>
          <c:yVal>
            <c:numRef>
              <c:f>'PROCCESSING '!$GC$10</c:f>
              <c:numCache>
                <c:formatCode>General</c:formatCode>
                <c:ptCount val="1"/>
                <c:pt idx="0">
                  <c:v>2.36</c:v>
                </c:pt>
              </c:numCache>
            </c:numRef>
          </c:yVal>
          <c:smooth val="0"/>
          <c:extLst>
            <c:ext xmlns:c16="http://schemas.microsoft.com/office/drawing/2014/chart" uri="{C3380CC4-5D6E-409C-BE32-E72D297353CC}">
              <c16:uniqueId val="{00000004-9D4D-4F50-BBDB-A684CBA98B4A}"/>
            </c:ext>
          </c:extLst>
        </c:ser>
        <c:dLbls>
          <c:showLegendKey val="0"/>
          <c:showVal val="0"/>
          <c:showCatName val="0"/>
          <c:showSerName val="0"/>
          <c:showPercent val="0"/>
          <c:showBubbleSize val="0"/>
        </c:dLbls>
        <c:axId val="812027967"/>
        <c:axId val="812025471"/>
      </c:scatterChart>
      <c:catAx>
        <c:axId val="812027967"/>
        <c:scaling>
          <c:orientation val="minMax"/>
        </c:scaling>
        <c:delete val="0"/>
        <c:axPos val="b"/>
        <c:majorGridlines>
          <c:spPr>
            <a:ln w="9525" cap="flat" cmpd="sng" algn="ctr">
              <a:solidFill>
                <a:srgbClr val="00B0F0">
                  <a:alpha val="6000"/>
                </a:srgbClr>
              </a:solidFill>
              <a:round/>
            </a:ln>
            <a:effectLst/>
          </c:spPr>
        </c:majorGridlines>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812025471"/>
        <c:crosses val="autoZero"/>
        <c:auto val="1"/>
        <c:lblAlgn val="ctr"/>
        <c:lblOffset val="100"/>
        <c:noMultiLvlLbl val="0"/>
      </c:catAx>
      <c:valAx>
        <c:axId val="812025471"/>
        <c:scaling>
          <c:orientation val="minMax"/>
          <c:max val="5"/>
          <c:min val="0"/>
        </c:scaling>
        <c:delete val="1"/>
        <c:axPos val="l"/>
        <c:numFmt formatCode="General" sourceLinked="1"/>
        <c:majorTickMark val="none"/>
        <c:minorTickMark val="none"/>
        <c:tickLblPos val="nextTo"/>
        <c:crossAx val="812027967"/>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alpha val="6000"/>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tx>
            <c:strRef>
              <c:f>'PROCCESSING '!$GV$2</c:f>
              <c:strCache>
                <c:ptCount val="1"/>
                <c:pt idx="0">
                  <c:v>cursor </c:v>
                </c:pt>
              </c:strCache>
            </c:strRef>
          </c:tx>
          <c:spPr>
            <a:solidFill>
              <a:srgbClr val="00B0F0">
                <a:alpha val="40000"/>
              </a:srgbClr>
            </a:solidFill>
            <a:ln>
              <a:noFill/>
            </a:ln>
            <a:effectLst/>
          </c:spPr>
          <c:invertIfNegative val="0"/>
          <c:val>
            <c:numRef>
              <c:f>'PROCCESSING '!$GV$3:$GV$14</c:f>
              <c:numCache>
                <c:formatCode>General</c:formatCode>
                <c:ptCount val="12"/>
                <c:pt idx="0">
                  <c:v>#N/A</c:v>
                </c:pt>
                <c:pt idx="1">
                  <c:v>#N/A</c:v>
                </c:pt>
                <c:pt idx="2">
                  <c:v>#N/A</c:v>
                </c:pt>
                <c:pt idx="3">
                  <c:v>#N/A</c:v>
                </c:pt>
                <c:pt idx="4">
                  <c:v>#N/A</c:v>
                </c:pt>
                <c:pt idx="5">
                  <c:v>#N/A</c:v>
                </c:pt>
                <c:pt idx="6">
                  <c:v>#N/A</c:v>
                </c:pt>
                <c:pt idx="7">
                  <c:v>50000000</c:v>
                </c:pt>
                <c:pt idx="8">
                  <c:v>#N/A</c:v>
                </c:pt>
                <c:pt idx="9">
                  <c:v>#N/A</c:v>
                </c:pt>
                <c:pt idx="10">
                  <c:v>#N/A</c:v>
                </c:pt>
                <c:pt idx="11">
                  <c:v>#N/A</c:v>
                </c:pt>
              </c:numCache>
            </c:numRef>
          </c:val>
          <c:extLst>
            <c:ext xmlns:c16="http://schemas.microsoft.com/office/drawing/2014/chart" uri="{C3380CC4-5D6E-409C-BE32-E72D297353CC}">
              <c16:uniqueId val="{00000000-A774-439B-883A-CFB42BE4DCCD}"/>
            </c:ext>
          </c:extLst>
        </c:ser>
        <c:dLbls>
          <c:showLegendKey val="0"/>
          <c:showVal val="0"/>
          <c:showCatName val="0"/>
          <c:showSerName val="0"/>
          <c:showPercent val="0"/>
          <c:showBubbleSize val="0"/>
        </c:dLbls>
        <c:gapWidth val="0"/>
        <c:axId val="1169747439"/>
        <c:axId val="1169746191"/>
      </c:barChart>
      <c:lineChart>
        <c:grouping val="standard"/>
        <c:varyColors val="0"/>
        <c:ser>
          <c:idx val="0"/>
          <c:order val="0"/>
          <c:tx>
            <c:strRef>
              <c:f>'PROCCESSING '!$GO$2</c:f>
              <c:strCache>
                <c:ptCount val="1"/>
                <c:pt idx="0">
                  <c:v>2021</c:v>
                </c:pt>
              </c:strCache>
            </c:strRef>
          </c:tx>
          <c:spPr>
            <a:ln w="22225" cap="rnd">
              <a:solidFill>
                <a:srgbClr val="00B0F0"/>
              </a:solidFill>
              <a:round/>
            </a:ln>
            <a:effectLst/>
          </c:spPr>
          <c:marker>
            <c:symbol val="none"/>
          </c:marker>
          <c:cat>
            <c:strRef>
              <c:f>'PROCCESSING '!$GH$3:$GH$14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'!$GO$3:$GO$14</c:f>
              <c:numCache>
                <c:formatCode>_(* #,##0.00_);_(* \(#,##0.00\);_(* "-"??_);_(@_)</c:formatCode>
                <c:ptCount val="12"/>
                <c:pt idx="0">
                  <c:v>11015831.839999998</c:v>
                </c:pt>
                <c:pt idx="1">
                  <c:v>11534899.350000003</c:v>
                </c:pt>
                <c:pt idx="2">
                  <c:v>12221844.660000002</c:v>
                </c:pt>
                <c:pt idx="3">
                  <c:v>13057400.98</c:v>
                </c:pt>
                <c:pt idx="4">
                  <c:v>10870821.07</c:v>
                </c:pt>
                <c:pt idx="5">
                  <c:v>9259399.7399999984</c:v>
                </c:pt>
                <c:pt idx="6">
                  <c:v>10296042.029999997</c:v>
                </c:pt>
                <c:pt idx="7">
                  <c:v>12326459.679999998</c:v>
                </c:pt>
                <c:pt idx="8">
                  <c:v>12165866.700000003</c:v>
                </c:pt>
                <c:pt idx="9">
                  <c:v>11195321.100000001</c:v>
                </c:pt>
                <c:pt idx="10">
                  <c:v>11760447.260000002</c:v>
                </c:pt>
                <c:pt idx="11">
                  <c:v>12743648.170000004</c:v>
                </c:pt>
              </c:numCache>
            </c:numRef>
          </c:val>
          <c:smooth val="1"/>
          <c:extLst>
            <c:ext xmlns:c16="http://schemas.microsoft.com/office/drawing/2014/chart" uri="{C3380CC4-5D6E-409C-BE32-E72D297353CC}">
              <c16:uniqueId val="{00000001-A774-439B-883A-CFB42BE4DCCD}"/>
            </c:ext>
          </c:extLst>
        </c:ser>
        <c:ser>
          <c:idx val="1"/>
          <c:order val="1"/>
          <c:tx>
            <c:strRef>
              <c:f>'PROCCESSING '!$GP$2</c:f>
              <c:strCache>
                <c:ptCount val="1"/>
                <c:pt idx="0">
                  <c:v>2020</c:v>
                </c:pt>
              </c:strCache>
            </c:strRef>
          </c:tx>
          <c:spPr>
            <a:ln w="22225" cap="rnd">
              <a:solidFill>
                <a:srgbClr val="FF00FF"/>
              </a:solidFill>
              <a:round/>
            </a:ln>
            <a:effectLst/>
          </c:spPr>
          <c:marker>
            <c:symbol val="none"/>
          </c:marker>
          <c:cat>
            <c:strRef>
              <c:f>'PROCCESSING '!$GH$3:$GH$14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'!$GP$3:$GP$14</c:f>
              <c:numCache>
                <c:formatCode>General</c:formatCode>
                <c:ptCount val="12"/>
                <c:pt idx="0">
                  <c:v>17313385.20000001</c:v>
                </c:pt>
                <c:pt idx="1">
                  <c:v>17521104.969999995</c:v>
                </c:pt>
                <c:pt idx="2">
                  <c:v>17625531.619999997</c:v>
                </c:pt>
                <c:pt idx="3">
                  <c:v>11901574.199999992</c:v>
                </c:pt>
                <c:pt idx="4">
                  <c:v>17384654.429999992</c:v>
                </c:pt>
                <c:pt idx="5">
                  <c:v>18280413.09</c:v>
                </c:pt>
                <c:pt idx="6">
                  <c:v>20964069.189999998</c:v>
                </c:pt>
                <c:pt idx="7">
                  <c:v>19940863.079999998</c:v>
                </c:pt>
                <c:pt idx="8">
                  <c:v>22724659.040000003</c:v>
                </c:pt>
                <c:pt idx="9">
                  <c:v>23171088.709999986</c:v>
                </c:pt>
                <c:pt idx="10">
                  <c:v>18646013.91</c:v>
                </c:pt>
                <c:pt idx="11">
                  <c:v>30423977.48</c:v>
                </c:pt>
              </c:numCache>
            </c:numRef>
          </c:val>
          <c:smooth val="1"/>
          <c:extLst>
            <c:ext xmlns:c16="http://schemas.microsoft.com/office/drawing/2014/chart" uri="{C3380CC4-5D6E-409C-BE32-E72D297353CC}">
              <c16:uniqueId val="{00000002-A774-439B-883A-CFB42BE4DCCD}"/>
            </c:ext>
          </c:extLst>
        </c:ser>
        <c:dLbls>
          <c:showLegendKey val="0"/>
          <c:showVal val="0"/>
          <c:showCatName val="0"/>
          <c:showSerName val="0"/>
          <c:showPercent val="0"/>
          <c:showBubbleSize val="0"/>
        </c:dLbls>
        <c:marker val="1"/>
        <c:smooth val="0"/>
        <c:axId val="1169747439"/>
        <c:axId val="1169746191"/>
      </c:lineChart>
      <c:scatterChart>
        <c:scatterStyle val="lineMarker"/>
        <c:varyColors val="0"/>
        <c:ser>
          <c:idx val="3"/>
          <c:order val="3"/>
          <c:tx>
            <c:strRef>
              <c:f>'PROCCESSING '!$GW$4</c:f>
              <c:strCache>
                <c:ptCount val="1"/>
                <c:pt idx="0">
                  <c:v>Y1</c:v>
                </c:pt>
              </c:strCache>
            </c:strRef>
          </c:tx>
          <c:spPr>
            <a:ln w="28575" cap="rnd">
              <a:solidFill>
                <a:schemeClr val="accent4"/>
              </a:solidFill>
              <a:round/>
            </a:ln>
            <a:effectLst>
              <a:glow rad="101600">
                <a:schemeClr val="bg1">
                  <a:alpha val="40000"/>
                </a:schemeClr>
              </a:glow>
            </a:effectLst>
          </c:spPr>
          <c:marker>
            <c:symbol val="circle"/>
            <c:size val="10"/>
            <c:spPr>
              <a:solidFill>
                <a:schemeClr val="bg1"/>
              </a:solidFill>
              <a:ln w="9525">
                <a:solidFill>
                  <a:schemeClr val="bg1"/>
                </a:solidFill>
              </a:ln>
              <a:effectLst>
                <a:glow rad="101600">
                  <a:schemeClr val="bg1">
                    <a:alpha val="40000"/>
                  </a:scheme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'!$GW$3</c:f>
              <c:numCache>
                <c:formatCode>General</c:formatCode>
                <c:ptCount val="1"/>
                <c:pt idx="0">
                  <c:v>8</c:v>
                </c:pt>
              </c:numCache>
            </c:numRef>
          </c:xVal>
          <c:yVal>
            <c:numRef>
              <c:f>'PROCCESSING '!$GW$5</c:f>
              <c:numCache>
                <c:formatCode>_(* #,##0.00_);_(* \(#,##0.00\);_(* "-"??_);_(@_)</c:formatCode>
                <c:ptCount val="1"/>
                <c:pt idx="0">
                  <c:v>12326459.679999998</c:v>
                </c:pt>
              </c:numCache>
            </c:numRef>
          </c:yVal>
          <c:smooth val="0"/>
          <c:extLst>
            <c:ext xmlns:c16="http://schemas.microsoft.com/office/drawing/2014/chart" uri="{C3380CC4-5D6E-409C-BE32-E72D297353CC}">
              <c16:uniqueId val="{00000003-A774-439B-883A-CFB42BE4DCCD}"/>
            </c:ext>
          </c:extLst>
        </c:ser>
        <c:ser>
          <c:idx val="4"/>
          <c:order val="4"/>
          <c:tx>
            <c:strRef>
              <c:f>'PROCCESSING '!$GW$9</c:f>
              <c:strCache>
                <c:ptCount val="1"/>
                <c:pt idx="0">
                  <c:v>Y2</c:v>
                </c:pt>
              </c:strCache>
            </c:strRef>
          </c:tx>
          <c:spPr>
            <a:ln w="28575" cap="rnd">
              <a:solidFill>
                <a:schemeClr val="bg1"/>
              </a:solidFill>
              <a:round/>
            </a:ln>
            <a:effectLst>
              <a:glow rad="101600">
                <a:schemeClr val="bg1">
                  <a:alpha val="40000"/>
                </a:schemeClr>
              </a:glow>
            </a:effectLst>
          </c:spPr>
          <c:marker>
            <c:symbol val="circle"/>
            <c:size val="10"/>
            <c:spPr>
              <a:solidFill>
                <a:schemeClr val="bg1"/>
              </a:solidFill>
              <a:ln w="9525">
                <a:solidFill>
                  <a:schemeClr val="bg1"/>
                </a:solidFill>
              </a:ln>
              <a:effectLst>
                <a:glow rad="101600">
                  <a:schemeClr val="bg1">
                    <a:alpha val="40000"/>
                  </a:schemeClr>
                </a:glow>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'!$GW$8</c:f>
              <c:numCache>
                <c:formatCode>General</c:formatCode>
                <c:ptCount val="1"/>
                <c:pt idx="0">
                  <c:v>8</c:v>
                </c:pt>
              </c:numCache>
            </c:numRef>
          </c:xVal>
          <c:yVal>
            <c:numRef>
              <c:f>'PROCCESSING '!$GW$10</c:f>
              <c:numCache>
                <c:formatCode>_(* #,##0.00_);_(* \(#,##0.00\);_(* "-"??_);_(@_)</c:formatCode>
                <c:ptCount val="1"/>
                <c:pt idx="0">
                  <c:v>19940863.079999998</c:v>
                </c:pt>
              </c:numCache>
            </c:numRef>
          </c:yVal>
          <c:smooth val="0"/>
          <c:extLst>
            <c:ext xmlns:c16="http://schemas.microsoft.com/office/drawing/2014/chart" uri="{C3380CC4-5D6E-409C-BE32-E72D297353CC}">
              <c16:uniqueId val="{00000004-A774-439B-883A-CFB42BE4DCCD}"/>
            </c:ext>
          </c:extLst>
        </c:ser>
        <c:dLbls>
          <c:showLegendKey val="0"/>
          <c:showVal val="0"/>
          <c:showCatName val="0"/>
          <c:showSerName val="0"/>
          <c:showPercent val="0"/>
          <c:showBubbleSize val="0"/>
        </c:dLbls>
        <c:axId val="1169747439"/>
        <c:axId val="1169746191"/>
      </c:scatterChart>
      <c:catAx>
        <c:axId val="1169747439"/>
        <c:scaling>
          <c:orientation val="minMax"/>
        </c:scaling>
        <c:delete val="0"/>
        <c:axPos val="b"/>
        <c:majorGridlines>
          <c:spPr>
            <a:ln w="6350" cap="flat" cmpd="sng" algn="ctr">
              <a:solidFill>
                <a:srgbClr val="00B0F0">
                  <a:alpha val="8000"/>
                </a:srgbClr>
              </a:solidFill>
              <a:round/>
            </a:ln>
            <a:effectLst/>
          </c:spPr>
        </c:majorGridlines>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169746191"/>
        <c:crosses val="autoZero"/>
        <c:auto val="1"/>
        <c:lblAlgn val="ctr"/>
        <c:lblOffset val="100"/>
        <c:noMultiLvlLbl val="0"/>
      </c:catAx>
      <c:valAx>
        <c:axId val="1169746191"/>
        <c:scaling>
          <c:orientation val="minMax"/>
          <c:max val="50000000"/>
          <c:min val="0"/>
        </c:scaling>
        <c:delete val="1"/>
        <c:axPos val="l"/>
        <c:numFmt formatCode="General" sourceLinked="1"/>
        <c:majorTickMark val="none"/>
        <c:minorTickMark val="none"/>
        <c:tickLblPos val="nextTo"/>
        <c:crossAx val="116974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alpha val="8000"/>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tx>
            <c:strRef>
              <c:f>'PROCCESSING '!$HS$3</c:f>
              <c:strCache>
                <c:ptCount val="1"/>
                <c:pt idx="0">
                  <c:v>CURSOR </c:v>
                </c:pt>
              </c:strCache>
            </c:strRef>
          </c:tx>
          <c:spPr>
            <a:solidFill>
              <a:srgbClr val="00B0F0">
                <a:alpha val="40000"/>
              </a:srgbClr>
            </a:solidFill>
            <a:ln w="9525" cap="flat" cmpd="sng" algn="ctr">
              <a:noFill/>
              <a:round/>
            </a:ln>
            <a:effectLst/>
          </c:spPr>
          <c:invertIfNegative val="0"/>
          <c:dLbls>
            <c:delete val="1"/>
          </c:dLbls>
          <c:val>
            <c:numRef>
              <c:f>'PROCCESSING '!$HS$4:$HS$15</c:f>
              <c:numCache>
                <c:formatCode>General</c:formatCode>
                <c:ptCount val="12"/>
                <c:pt idx="0">
                  <c:v>#N/A</c:v>
                </c:pt>
                <c:pt idx="1">
                  <c:v>#N/A</c:v>
                </c:pt>
                <c:pt idx="2">
                  <c:v>#N/A</c:v>
                </c:pt>
                <c:pt idx="3">
                  <c:v>#N/A</c:v>
                </c:pt>
                <c:pt idx="4">
                  <c:v>#N/A</c:v>
                </c:pt>
                <c:pt idx="5">
                  <c:v>#N/A</c:v>
                </c:pt>
                <c:pt idx="6">
                  <c:v>#N/A</c:v>
                </c:pt>
                <c:pt idx="7">
                  <c:v>30000000</c:v>
                </c:pt>
                <c:pt idx="8">
                  <c:v>#N/A</c:v>
                </c:pt>
                <c:pt idx="9">
                  <c:v>#N/A</c:v>
                </c:pt>
                <c:pt idx="10">
                  <c:v>#N/A</c:v>
                </c:pt>
                <c:pt idx="11">
                  <c:v>#N/A</c:v>
                </c:pt>
              </c:numCache>
            </c:numRef>
          </c:val>
          <c:extLst>
            <c:ext xmlns:c16="http://schemas.microsoft.com/office/drawing/2014/chart" uri="{C3380CC4-5D6E-409C-BE32-E72D297353CC}">
              <c16:uniqueId val="{00000000-9A5E-44D8-94CE-ACB241D79099}"/>
            </c:ext>
          </c:extLst>
        </c:ser>
        <c:dLbls>
          <c:dLblPos val="ctr"/>
          <c:showLegendKey val="0"/>
          <c:showVal val="1"/>
          <c:showCatName val="0"/>
          <c:showSerName val="0"/>
          <c:showPercent val="0"/>
          <c:showBubbleSize val="0"/>
        </c:dLbls>
        <c:gapWidth val="0"/>
        <c:axId val="1189665807"/>
        <c:axId val="1189663311"/>
      </c:barChart>
      <c:lineChart>
        <c:grouping val="standard"/>
        <c:varyColors val="0"/>
        <c:ser>
          <c:idx val="0"/>
          <c:order val="0"/>
          <c:tx>
            <c:strRef>
              <c:f>'PROCCESSING '!$HM$3</c:f>
              <c:strCache>
                <c:ptCount val="1"/>
                <c:pt idx="0">
                  <c:v>2021</c:v>
                </c:pt>
              </c:strCache>
            </c:strRef>
          </c:tx>
          <c:spPr>
            <a:ln w="22225" cap="rnd">
              <a:solidFill>
                <a:srgbClr val="00B0F0"/>
              </a:solidFill>
              <a:round/>
            </a:ln>
            <a:effectLst/>
          </c:spPr>
          <c:marker>
            <c:symbol val="none"/>
          </c:marker>
          <c:cat>
            <c:strRef>
              <c:f>'PROCCESSING '!$HF$4:$HF$15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'!$HM$4:$HM$15</c:f>
              <c:numCache>
                <c:formatCode>_(* #,##0.00_);_(* \(#,##0.00\);_(* "-"??_);_(@_)</c:formatCode>
                <c:ptCount val="12"/>
                <c:pt idx="0">
                  <c:v>9562393.3279999997</c:v>
                </c:pt>
                <c:pt idx="1">
                  <c:v>8208956.459999999</c:v>
                </c:pt>
                <c:pt idx="2">
                  <c:v>11358370.209999995</c:v>
                </c:pt>
                <c:pt idx="3">
                  <c:v>8891188.2399999984</c:v>
                </c:pt>
                <c:pt idx="4">
                  <c:v>11488287.469999999</c:v>
                </c:pt>
                <c:pt idx="5">
                  <c:v>22204268.029999997</c:v>
                </c:pt>
                <c:pt idx="6">
                  <c:v>16771841.940000001</c:v>
                </c:pt>
                <c:pt idx="7">
                  <c:v>11446320.040000001</c:v>
                </c:pt>
                <c:pt idx="8">
                  <c:v>9100488.1399999969</c:v>
                </c:pt>
                <c:pt idx="9">
                  <c:v>9215469.3699999973</c:v>
                </c:pt>
                <c:pt idx="10">
                  <c:v>7687422.8699999973</c:v>
                </c:pt>
                <c:pt idx="11">
                  <c:v>6163067.9099999983</c:v>
                </c:pt>
              </c:numCache>
            </c:numRef>
          </c:val>
          <c:smooth val="1"/>
          <c:extLst>
            <c:ext xmlns:c16="http://schemas.microsoft.com/office/drawing/2014/chart" uri="{C3380CC4-5D6E-409C-BE32-E72D297353CC}">
              <c16:uniqueId val="{00000001-9A5E-44D8-94CE-ACB241D79099}"/>
            </c:ext>
          </c:extLst>
        </c:ser>
        <c:ser>
          <c:idx val="1"/>
          <c:order val="1"/>
          <c:tx>
            <c:strRef>
              <c:f>'PROCCESSING '!$HN$3</c:f>
              <c:strCache>
                <c:ptCount val="1"/>
                <c:pt idx="0">
                  <c:v>2020</c:v>
                </c:pt>
              </c:strCache>
            </c:strRef>
          </c:tx>
          <c:spPr>
            <a:ln w="22225" cap="rnd">
              <a:solidFill>
                <a:srgbClr val="FF00FF"/>
              </a:solidFill>
              <a:round/>
            </a:ln>
            <a:effectLst/>
          </c:spPr>
          <c:marker>
            <c:symbol val="none"/>
          </c:marker>
          <c:cat>
            <c:strRef>
              <c:f>'PROCCESSING '!$HF$4:$HF$15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'!$HN$4:$HN$15</c:f>
              <c:numCache>
                <c:formatCode>General</c:formatCode>
                <c:ptCount val="12"/>
                <c:pt idx="0">
                  <c:v>3465666.0199999884</c:v>
                </c:pt>
                <c:pt idx="1">
                  <c:v>3336690.5000000037</c:v>
                </c:pt>
                <c:pt idx="2">
                  <c:v>3241666.1084000021</c:v>
                </c:pt>
                <c:pt idx="3">
                  <c:v>-2765942.4921999928</c:v>
                </c:pt>
                <c:pt idx="4">
                  <c:v>-6281662.7855999917</c:v>
                </c:pt>
                <c:pt idx="5">
                  <c:v>8288997.7508000024</c:v>
                </c:pt>
                <c:pt idx="6">
                  <c:v>9289127.8069000021</c:v>
                </c:pt>
                <c:pt idx="7">
                  <c:v>4656258.3599999994</c:v>
                </c:pt>
                <c:pt idx="8">
                  <c:v>6520516.2159999944</c:v>
                </c:pt>
                <c:pt idx="9">
                  <c:v>2581292.3300000131</c:v>
                </c:pt>
                <c:pt idx="10">
                  <c:v>4995834.3619999997</c:v>
                </c:pt>
                <c:pt idx="11">
                  <c:v>-4814936.1020000018</c:v>
                </c:pt>
              </c:numCache>
            </c:numRef>
          </c:val>
          <c:smooth val="1"/>
          <c:extLst>
            <c:ext xmlns:c16="http://schemas.microsoft.com/office/drawing/2014/chart" uri="{C3380CC4-5D6E-409C-BE32-E72D297353CC}">
              <c16:uniqueId val="{00000002-9A5E-44D8-94CE-ACB241D79099}"/>
            </c:ext>
          </c:extLst>
        </c:ser>
        <c:dLbls>
          <c:showLegendKey val="0"/>
          <c:showVal val="0"/>
          <c:showCatName val="0"/>
          <c:showSerName val="0"/>
          <c:showPercent val="0"/>
          <c:showBubbleSize val="0"/>
        </c:dLbls>
        <c:marker val="1"/>
        <c:smooth val="0"/>
        <c:axId val="1189665807"/>
        <c:axId val="1189663311"/>
      </c:lineChart>
      <c:scatterChart>
        <c:scatterStyle val="lineMarker"/>
        <c:varyColors val="0"/>
        <c:ser>
          <c:idx val="3"/>
          <c:order val="3"/>
          <c:tx>
            <c:strRef>
              <c:f>'PROCCESSING '!$HT$5</c:f>
              <c:strCache>
                <c:ptCount val="1"/>
                <c:pt idx="0">
                  <c:v>Y1</c:v>
                </c:pt>
              </c:strCache>
            </c:strRef>
          </c:tx>
          <c:spPr>
            <a:ln w="31750" cap="rnd">
              <a:solidFill>
                <a:schemeClr val="accent4"/>
              </a:solidFill>
              <a:round/>
            </a:ln>
            <a:effectLst/>
          </c:spPr>
          <c:marker>
            <c:symbol val="circle"/>
            <c:size val="10"/>
            <c:spPr>
              <a:solidFill>
                <a:schemeClr val="bg1"/>
              </a:solidFill>
              <a:ln>
                <a:noFill/>
              </a:ln>
              <a:effectLst/>
            </c:spPr>
          </c:marker>
          <c:dLbls>
            <c:spPr>
              <a:solidFill>
                <a:sysClr val="windowText" lastClr="000000">
                  <a:alpha val="75000"/>
                </a:sysClr>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xVal>
            <c:numRef>
              <c:f>'PROCCESSING '!$HT$4</c:f>
              <c:numCache>
                <c:formatCode>General</c:formatCode>
                <c:ptCount val="1"/>
                <c:pt idx="0">
                  <c:v>8</c:v>
                </c:pt>
              </c:numCache>
            </c:numRef>
          </c:xVal>
          <c:yVal>
            <c:numRef>
              <c:f>'PROCCESSING '!$HT$6</c:f>
              <c:numCache>
                <c:formatCode>_(* #,##0.00_);_(* \(#,##0.00\);_(* "-"??_);_(@_)</c:formatCode>
                <c:ptCount val="1"/>
                <c:pt idx="0">
                  <c:v>11446320.040000001</c:v>
                </c:pt>
              </c:numCache>
            </c:numRef>
          </c:yVal>
          <c:smooth val="0"/>
          <c:extLst>
            <c:ext xmlns:c16="http://schemas.microsoft.com/office/drawing/2014/chart" uri="{C3380CC4-5D6E-409C-BE32-E72D297353CC}">
              <c16:uniqueId val="{00000003-9A5E-44D8-94CE-ACB241D79099}"/>
            </c:ext>
          </c:extLst>
        </c:ser>
        <c:ser>
          <c:idx val="4"/>
          <c:order val="4"/>
          <c:tx>
            <c:strRef>
              <c:f>'PROCCESSING '!$HT$9</c:f>
              <c:strCache>
                <c:ptCount val="1"/>
                <c:pt idx="0">
                  <c:v>Y2</c:v>
                </c:pt>
              </c:strCache>
            </c:strRef>
          </c:tx>
          <c:spPr>
            <a:ln w="31750" cap="rnd">
              <a:solidFill>
                <a:schemeClr val="accent5"/>
              </a:solidFill>
              <a:round/>
            </a:ln>
            <a:effectLst/>
          </c:spPr>
          <c:marker>
            <c:symbol val="circle"/>
            <c:size val="10"/>
            <c:spPr>
              <a:solidFill>
                <a:schemeClr val="bg1"/>
              </a:solidFill>
              <a:ln>
                <a:noFill/>
              </a:ln>
              <a:effectLst/>
            </c:spPr>
          </c:marker>
          <c:dLbls>
            <c:spPr>
              <a:solidFill>
                <a:sysClr val="windowText" lastClr="000000">
                  <a:alpha val="75000"/>
                </a:sysClr>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xVal>
            <c:numRef>
              <c:f>'PROCCESSING '!$HT$8</c:f>
              <c:numCache>
                <c:formatCode>General</c:formatCode>
                <c:ptCount val="1"/>
                <c:pt idx="0">
                  <c:v>8</c:v>
                </c:pt>
              </c:numCache>
            </c:numRef>
          </c:xVal>
          <c:yVal>
            <c:numRef>
              <c:f>'PROCCESSING '!$HT$10</c:f>
              <c:numCache>
                <c:formatCode>_(* #,##0.00_);_(* \(#,##0.00\);_(* "-"??_);_(@_)</c:formatCode>
                <c:ptCount val="1"/>
                <c:pt idx="0">
                  <c:v>4656258.3599999994</c:v>
                </c:pt>
              </c:numCache>
            </c:numRef>
          </c:yVal>
          <c:smooth val="0"/>
          <c:extLst>
            <c:ext xmlns:c16="http://schemas.microsoft.com/office/drawing/2014/chart" uri="{C3380CC4-5D6E-409C-BE32-E72D297353CC}">
              <c16:uniqueId val="{00000004-9A5E-44D8-94CE-ACB241D79099}"/>
            </c:ext>
          </c:extLst>
        </c:ser>
        <c:dLbls>
          <c:showLegendKey val="0"/>
          <c:showVal val="0"/>
          <c:showCatName val="0"/>
          <c:showSerName val="0"/>
          <c:showPercent val="0"/>
          <c:showBubbleSize val="0"/>
        </c:dLbls>
        <c:axId val="1189665807"/>
        <c:axId val="1189663311"/>
      </c:scatterChart>
      <c:catAx>
        <c:axId val="1189665807"/>
        <c:scaling>
          <c:orientation val="minMax"/>
        </c:scaling>
        <c:delete val="0"/>
        <c:axPos val="b"/>
        <c:majorGridlines>
          <c:spPr>
            <a:ln w="6350" cap="flat" cmpd="sng" algn="ctr">
              <a:solidFill>
                <a:schemeClr val="bg1">
                  <a:lumMod val="85000"/>
                  <a:alpha val="0"/>
                </a:schemeClr>
              </a:solidFill>
              <a:round/>
            </a:ln>
            <a:effectLst/>
          </c:spPr>
        </c:majorGridlines>
        <c:numFmt formatCode="General" sourceLinked="1"/>
        <c:majorTickMark val="none"/>
        <c:minorTickMark val="none"/>
        <c:tickLblPos val="none"/>
        <c:spPr>
          <a:noFill/>
          <a:ln w="19050" cap="flat" cmpd="sng" algn="ctr">
            <a:solidFill>
              <a:schemeClr val="bg1"/>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9663311"/>
        <c:crosses val="autoZero"/>
        <c:auto val="1"/>
        <c:lblAlgn val="ctr"/>
        <c:lblOffset val="100"/>
        <c:noMultiLvlLbl val="0"/>
      </c:catAx>
      <c:valAx>
        <c:axId val="1189663311"/>
        <c:scaling>
          <c:orientation val="minMax"/>
          <c:max val="30000000"/>
          <c:min val="-40000000"/>
        </c:scaling>
        <c:delete val="1"/>
        <c:axPos val="l"/>
        <c:numFmt formatCode="General" sourceLinked="1"/>
        <c:majorTickMark val="none"/>
        <c:minorTickMark val="none"/>
        <c:tickLblPos val="nextTo"/>
        <c:crossAx val="118966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alpha val="8000"/>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tx>
            <c:strRef>
              <c:f>'PROCCESSING '!$II$3</c:f>
              <c:strCache>
                <c:ptCount val="1"/>
                <c:pt idx="0">
                  <c:v>CURSOR </c:v>
                </c:pt>
              </c:strCache>
            </c:strRef>
          </c:tx>
          <c:spPr>
            <a:solidFill>
              <a:srgbClr val="00B0F0">
                <a:alpha val="40000"/>
              </a:srgbClr>
            </a:solidFill>
            <a:ln>
              <a:noFill/>
            </a:ln>
            <a:effectLst/>
          </c:spPr>
          <c:invertIfNegative val="0"/>
          <c:dPt>
            <c:idx val="5"/>
            <c:invertIfNegative val="0"/>
            <c:bubble3D val="0"/>
            <c:spPr>
              <a:solidFill>
                <a:srgbClr val="00B0F0">
                  <a:alpha val="40000"/>
                </a:srgbClr>
              </a:solidFill>
              <a:ln>
                <a:noFill/>
              </a:ln>
              <a:effectLst/>
            </c:spPr>
            <c:extLst>
              <c:ext xmlns:c16="http://schemas.microsoft.com/office/drawing/2014/chart" uri="{C3380CC4-5D6E-409C-BE32-E72D297353CC}">
                <c16:uniqueId val="{00000001-8EEB-4584-A98D-0F97E3A454C2}"/>
              </c:ext>
            </c:extLst>
          </c:dPt>
          <c:val>
            <c:numRef>
              <c:f>'PROCCESSING '!$II$4:$II$15</c:f>
              <c:numCache>
                <c:formatCode>0%</c:formatCode>
                <c:ptCount val="12"/>
                <c:pt idx="0">
                  <c:v>#N/A</c:v>
                </c:pt>
                <c:pt idx="1">
                  <c:v>#N/A</c:v>
                </c:pt>
                <c:pt idx="2">
                  <c:v>#N/A</c:v>
                </c:pt>
                <c:pt idx="3">
                  <c:v>#N/A</c:v>
                </c:pt>
                <c:pt idx="4">
                  <c:v>#N/A</c:v>
                </c:pt>
                <c:pt idx="5">
                  <c:v>#N/A</c:v>
                </c:pt>
                <c:pt idx="6">
                  <c:v>#N/A</c:v>
                </c:pt>
                <c:pt idx="7">
                  <c:v>1</c:v>
                </c:pt>
                <c:pt idx="8">
                  <c:v>#N/A</c:v>
                </c:pt>
                <c:pt idx="9">
                  <c:v>#N/A</c:v>
                </c:pt>
                <c:pt idx="10">
                  <c:v>#N/A</c:v>
                </c:pt>
                <c:pt idx="11">
                  <c:v>#N/A</c:v>
                </c:pt>
              </c:numCache>
            </c:numRef>
          </c:val>
          <c:extLst>
            <c:ext xmlns:c16="http://schemas.microsoft.com/office/drawing/2014/chart" uri="{C3380CC4-5D6E-409C-BE32-E72D297353CC}">
              <c16:uniqueId val="{00000002-8EEB-4584-A98D-0F97E3A454C2}"/>
            </c:ext>
          </c:extLst>
        </c:ser>
        <c:dLbls>
          <c:showLegendKey val="0"/>
          <c:showVal val="0"/>
          <c:showCatName val="0"/>
          <c:showSerName val="0"/>
          <c:showPercent val="0"/>
          <c:showBubbleSize val="0"/>
        </c:dLbls>
        <c:gapWidth val="0"/>
        <c:axId val="539914496"/>
        <c:axId val="539914912"/>
      </c:barChart>
      <c:lineChart>
        <c:grouping val="standard"/>
        <c:varyColors val="0"/>
        <c:ser>
          <c:idx val="0"/>
          <c:order val="0"/>
          <c:tx>
            <c:strRef>
              <c:f>'PROCCESSING '!$IE$3</c:f>
              <c:strCache>
                <c:ptCount val="1"/>
                <c:pt idx="0">
                  <c:v>2021</c:v>
                </c:pt>
              </c:strCache>
            </c:strRef>
          </c:tx>
          <c:spPr>
            <a:ln w="15875" cap="rnd">
              <a:solidFill>
                <a:srgbClr val="00FF00"/>
              </a:solidFill>
              <a:prstDash val="dash"/>
              <a:round/>
            </a:ln>
            <a:effectLst/>
          </c:spPr>
          <c:marker>
            <c:symbol val="none"/>
          </c:marker>
          <c:val>
            <c:numRef>
              <c:f>'PROCCESSING '!$IE$4:$IE$15</c:f>
              <c:numCache>
                <c:formatCode>0%</c:formatCode>
                <c:ptCount val="12"/>
                <c:pt idx="0">
                  <c:v>0.46468503721447862</c:v>
                </c:pt>
                <c:pt idx="1">
                  <c:v>0.41577271121693821</c:v>
                </c:pt>
                <c:pt idx="2">
                  <c:v>0.4816907001322841</c:v>
                </c:pt>
                <c:pt idx="3">
                  <c:v>0.40509155968430843</c:v>
                </c:pt>
                <c:pt idx="4">
                  <c:v>0.5138079386952159</c:v>
                </c:pt>
                <c:pt idx="5">
                  <c:v>0.70571136818229885</c:v>
                </c:pt>
                <c:pt idx="6">
                  <c:v>0.61962146574104748</c:v>
                </c:pt>
                <c:pt idx="7">
                  <c:v>0.48148849965451163</c:v>
                </c:pt>
                <c:pt idx="8">
                  <c:v>0.42792891440346137</c:v>
                </c:pt>
                <c:pt idx="9">
                  <c:v>0.45149987618289422</c:v>
                </c:pt>
                <c:pt idx="10">
                  <c:v>0.39528353586347181</c:v>
                </c:pt>
                <c:pt idx="11">
                  <c:v>0.32597241551214945</c:v>
                </c:pt>
              </c:numCache>
            </c:numRef>
          </c:val>
          <c:smooth val="1"/>
          <c:extLst>
            <c:ext xmlns:c16="http://schemas.microsoft.com/office/drawing/2014/chart" uri="{C3380CC4-5D6E-409C-BE32-E72D297353CC}">
              <c16:uniqueId val="{00000003-8EEB-4584-A98D-0F97E3A454C2}"/>
            </c:ext>
          </c:extLst>
        </c:ser>
        <c:ser>
          <c:idx val="1"/>
          <c:order val="1"/>
          <c:tx>
            <c:strRef>
              <c:f>'PROCCESSING '!$IF$3</c:f>
              <c:strCache>
                <c:ptCount val="1"/>
                <c:pt idx="0">
                  <c:v>2020</c:v>
                </c:pt>
              </c:strCache>
            </c:strRef>
          </c:tx>
          <c:spPr>
            <a:ln w="22225" cap="rnd">
              <a:solidFill>
                <a:srgbClr val="FF00FF"/>
              </a:solidFill>
              <a:prstDash val="dash"/>
              <a:round/>
            </a:ln>
            <a:effectLst/>
          </c:spPr>
          <c:marker>
            <c:symbol val="none"/>
          </c:marker>
          <c:val>
            <c:numRef>
              <c:f>'PROCCESSING '!$IF$4:$IF$15</c:f>
              <c:numCache>
                <c:formatCode>0%</c:formatCode>
                <c:ptCount val="12"/>
                <c:pt idx="0">
                  <c:v>0.16678653819690564</c:v>
                </c:pt>
                <c:pt idx="1">
                  <c:v>0.15997330613387226</c:v>
                </c:pt>
                <c:pt idx="2">
                  <c:v>0.15534745731517818</c:v>
                </c:pt>
                <c:pt idx="3">
                  <c:v>-0.30276422919264928</c:v>
                </c:pt>
                <c:pt idx="4">
                  <c:v>-0.56576308321084479</c:v>
                </c:pt>
                <c:pt idx="5">
                  <c:v>0.31197521843696335</c:v>
                </c:pt>
                <c:pt idx="6">
                  <c:v>0.30704615475355695</c:v>
                </c:pt>
                <c:pt idx="7">
                  <c:v>0.18930094610290299</c:v>
                </c:pt>
                <c:pt idx="8">
                  <c:v>0.22296040830400674</c:v>
                </c:pt>
                <c:pt idx="9">
                  <c:v>0.10023509383425981</c:v>
                </c:pt>
                <c:pt idx="10">
                  <c:v>0.21131318941407679</c:v>
                </c:pt>
                <c:pt idx="11">
                  <c:v>-0.18801703784728063</c:v>
                </c:pt>
              </c:numCache>
            </c:numRef>
          </c:val>
          <c:smooth val="1"/>
          <c:extLst>
            <c:ext xmlns:c16="http://schemas.microsoft.com/office/drawing/2014/chart" uri="{C3380CC4-5D6E-409C-BE32-E72D297353CC}">
              <c16:uniqueId val="{00000004-8EEB-4584-A98D-0F97E3A454C2}"/>
            </c:ext>
          </c:extLst>
        </c:ser>
        <c:dLbls>
          <c:showLegendKey val="0"/>
          <c:showVal val="0"/>
          <c:showCatName val="0"/>
          <c:showSerName val="0"/>
          <c:showPercent val="0"/>
          <c:showBubbleSize val="0"/>
        </c:dLbls>
        <c:marker val="1"/>
        <c:smooth val="0"/>
        <c:axId val="539914496"/>
        <c:axId val="539914912"/>
      </c:lineChart>
      <c:scatterChart>
        <c:scatterStyle val="lineMarker"/>
        <c:varyColors val="0"/>
        <c:ser>
          <c:idx val="3"/>
          <c:order val="3"/>
          <c:tx>
            <c:strRef>
              <c:f>'PROCCESSING '!$IJ$5</c:f>
              <c:strCache>
                <c:ptCount val="1"/>
                <c:pt idx="0">
                  <c:v>Y1</c:v>
                </c:pt>
              </c:strCache>
            </c:strRef>
          </c:tx>
          <c:spPr>
            <a:ln w="28575" cap="rnd">
              <a:solidFill>
                <a:schemeClr val="accent4"/>
              </a:solidFill>
              <a:round/>
            </a:ln>
            <a:effectLst/>
          </c:spPr>
          <c:marker>
            <c:symbol val="circle"/>
            <c:size val="7"/>
            <c:spPr>
              <a:solidFill>
                <a:schemeClr val="bg1"/>
              </a:solidFill>
              <a:ln w="9525">
                <a:solidFill>
                  <a:schemeClr val="bg1"/>
                </a:solidFill>
              </a:ln>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'!$IJ$4</c:f>
              <c:numCache>
                <c:formatCode>General</c:formatCode>
                <c:ptCount val="1"/>
                <c:pt idx="0">
                  <c:v>8</c:v>
                </c:pt>
              </c:numCache>
            </c:numRef>
          </c:xVal>
          <c:yVal>
            <c:numRef>
              <c:f>'PROCCESSING '!$IJ$6</c:f>
              <c:numCache>
                <c:formatCode>0%</c:formatCode>
                <c:ptCount val="1"/>
                <c:pt idx="0">
                  <c:v>0.48148849965451163</c:v>
                </c:pt>
              </c:numCache>
            </c:numRef>
          </c:yVal>
          <c:smooth val="0"/>
          <c:extLst>
            <c:ext xmlns:c16="http://schemas.microsoft.com/office/drawing/2014/chart" uri="{C3380CC4-5D6E-409C-BE32-E72D297353CC}">
              <c16:uniqueId val="{00000005-8EEB-4584-A98D-0F97E3A454C2}"/>
            </c:ext>
          </c:extLst>
        </c:ser>
        <c:ser>
          <c:idx val="4"/>
          <c:order val="4"/>
          <c:tx>
            <c:strRef>
              <c:f>'PROCCESSING '!$IJ$9</c:f>
              <c:strCache>
                <c:ptCount val="1"/>
                <c:pt idx="0">
                  <c:v>Y2</c:v>
                </c:pt>
              </c:strCache>
            </c:strRef>
          </c:tx>
          <c:spPr>
            <a:ln w="28575" cap="rnd">
              <a:solidFill>
                <a:schemeClr val="accent5"/>
              </a:solidFill>
              <a:round/>
            </a:ln>
            <a:effectLst/>
          </c:spPr>
          <c:marker>
            <c:symbol val="circle"/>
            <c:size val="7"/>
            <c:spPr>
              <a:solidFill>
                <a:schemeClr val="bg1"/>
              </a:solidFill>
              <a:ln w="9525">
                <a:solidFill>
                  <a:schemeClr val="bg1"/>
                </a:solidFill>
              </a:ln>
              <a:effectLst/>
            </c:spPr>
          </c:marke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'!$IJ$8</c:f>
              <c:numCache>
                <c:formatCode>General</c:formatCode>
                <c:ptCount val="1"/>
                <c:pt idx="0">
                  <c:v>8</c:v>
                </c:pt>
              </c:numCache>
            </c:numRef>
          </c:xVal>
          <c:yVal>
            <c:numRef>
              <c:f>'PROCCESSING '!$IJ$10</c:f>
              <c:numCache>
                <c:formatCode>0%</c:formatCode>
                <c:ptCount val="1"/>
                <c:pt idx="0">
                  <c:v>0.18930094610290299</c:v>
                </c:pt>
              </c:numCache>
            </c:numRef>
          </c:yVal>
          <c:smooth val="0"/>
          <c:extLst>
            <c:ext xmlns:c16="http://schemas.microsoft.com/office/drawing/2014/chart" uri="{C3380CC4-5D6E-409C-BE32-E72D297353CC}">
              <c16:uniqueId val="{00000006-8EEB-4584-A98D-0F97E3A454C2}"/>
            </c:ext>
          </c:extLst>
        </c:ser>
        <c:dLbls>
          <c:showLegendKey val="0"/>
          <c:showVal val="0"/>
          <c:showCatName val="0"/>
          <c:showSerName val="0"/>
          <c:showPercent val="0"/>
          <c:showBubbleSize val="0"/>
        </c:dLbls>
        <c:axId val="539914496"/>
        <c:axId val="539914912"/>
      </c:scatterChart>
      <c:catAx>
        <c:axId val="539914496"/>
        <c:scaling>
          <c:orientation val="minMax"/>
        </c:scaling>
        <c:delete val="1"/>
        <c:axPos val="b"/>
        <c:majorGridlines>
          <c:spPr>
            <a:ln w="6350" cap="flat" cmpd="sng" algn="ctr">
              <a:solidFill>
                <a:schemeClr val="bg1">
                  <a:lumMod val="85000"/>
                  <a:alpha val="0"/>
                </a:schemeClr>
              </a:solidFill>
              <a:round/>
            </a:ln>
            <a:effectLst/>
          </c:spPr>
        </c:majorGridlines>
        <c:majorTickMark val="out"/>
        <c:minorTickMark val="none"/>
        <c:tickLblPos val="nextTo"/>
        <c:crossAx val="539914912"/>
        <c:crosses val="autoZero"/>
        <c:auto val="1"/>
        <c:lblAlgn val="ctr"/>
        <c:lblOffset val="100"/>
        <c:noMultiLvlLbl val="0"/>
      </c:catAx>
      <c:valAx>
        <c:axId val="539914912"/>
        <c:scaling>
          <c:orientation val="minMax"/>
          <c:max val="1"/>
          <c:min val="-2"/>
        </c:scaling>
        <c:delete val="1"/>
        <c:axPos val="l"/>
        <c:numFmt formatCode="0%" sourceLinked="1"/>
        <c:majorTickMark val="out"/>
        <c:minorTickMark val="none"/>
        <c:tickLblPos val="nextTo"/>
        <c:crossAx val="53991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'PROCCESSING '!$CV$2:$DA$2</c:f>
          <c:strCache>
            <c:ptCount val="6"/>
            <c:pt idx="0">
              <c:v>COMPARATIVE ADMISSIONS </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rgbClr val="FF00FF"/>
              </a:solidFill>
              <a:latin typeface="+mn-lt"/>
              <a:ea typeface="+mn-ea"/>
              <a:cs typeface="+mn-cs"/>
            </a:defRPr>
          </a:pPr>
          <a:endParaRPr lang="en-US"/>
        </a:p>
      </c:txPr>
    </c:title>
    <c:autoTitleDeleted val="0"/>
    <c:plotArea>
      <c:layout/>
      <c:lineChart>
        <c:grouping val="standard"/>
        <c:varyColors val="0"/>
        <c:ser>
          <c:idx val="0"/>
          <c:order val="0"/>
          <c:tx>
            <c:strRef>
              <c:f>'PROCCESSING '!$DD$3</c:f>
              <c:strCache>
                <c:ptCount val="1"/>
                <c:pt idx="0">
                  <c:v>2021</c:v>
                </c:pt>
              </c:strCache>
            </c:strRef>
          </c:tx>
          <c:spPr>
            <a:ln w="22225" cap="rnd">
              <a:solidFill>
                <a:srgbClr val="00B0F0"/>
              </a:solidFill>
              <a:round/>
            </a:ln>
            <a:effectLst/>
          </c:spPr>
          <c:marker>
            <c:symbol val="none"/>
          </c:marker>
          <c:cat>
            <c:strRef>
              <c:f>'PROCCESSING '!$CU$4:$CU$15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'!$DD$4:$DD$15</c:f>
              <c:numCache>
                <c:formatCode>General</c:formatCode>
                <c:ptCount val="12"/>
                <c:pt idx="0">
                  <c:v>868</c:v>
                </c:pt>
                <c:pt idx="1">
                  <c:v>867</c:v>
                </c:pt>
                <c:pt idx="2">
                  <c:v>984</c:v>
                </c:pt>
                <c:pt idx="3">
                  <c:v>888</c:v>
                </c:pt>
                <c:pt idx="4">
                  <c:v>873</c:v>
                </c:pt>
                <c:pt idx="5">
                  <c:v>1238</c:v>
                </c:pt>
                <c:pt idx="6">
                  <c:v>1016</c:v>
                </c:pt>
                <c:pt idx="7">
                  <c:v>1064</c:v>
                </c:pt>
                <c:pt idx="8">
                  <c:v>890</c:v>
                </c:pt>
                <c:pt idx="9">
                  <c:v>879</c:v>
                </c:pt>
                <c:pt idx="10">
                  <c:v>679</c:v>
                </c:pt>
                <c:pt idx="11">
                  <c:v>822</c:v>
                </c:pt>
              </c:numCache>
            </c:numRef>
          </c:val>
          <c:smooth val="1"/>
          <c:extLst>
            <c:ext xmlns:c16="http://schemas.microsoft.com/office/drawing/2014/chart" uri="{C3380CC4-5D6E-409C-BE32-E72D297353CC}">
              <c16:uniqueId val="{00000000-CD9C-4580-891D-C628142A77FE}"/>
            </c:ext>
          </c:extLst>
        </c:ser>
        <c:ser>
          <c:idx val="1"/>
          <c:order val="1"/>
          <c:tx>
            <c:strRef>
              <c:f>'PROCCESSING '!$DE$3</c:f>
              <c:strCache>
                <c:ptCount val="1"/>
                <c:pt idx="0">
                  <c:v>2020</c:v>
                </c:pt>
              </c:strCache>
            </c:strRef>
          </c:tx>
          <c:spPr>
            <a:ln w="22225" cap="rnd">
              <a:solidFill>
                <a:srgbClr val="FF00FF"/>
              </a:solidFill>
              <a:round/>
            </a:ln>
            <a:effectLst/>
          </c:spPr>
          <c:marker>
            <c:symbol val="none"/>
          </c:marker>
          <c:cat>
            <c:strRef>
              <c:f>'PROCCESSING '!$CU$4:$CU$15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'PROCCESSING '!$DE$4:$DE$15</c:f>
              <c:numCache>
                <c:formatCode>General</c:formatCode>
                <c:ptCount val="12"/>
                <c:pt idx="0">
                  <c:v>925</c:v>
                </c:pt>
                <c:pt idx="1">
                  <c:v>991</c:v>
                </c:pt>
                <c:pt idx="2">
                  <c:v>989</c:v>
                </c:pt>
                <c:pt idx="3">
                  <c:v>410</c:v>
                </c:pt>
                <c:pt idx="4">
                  <c:v>514</c:v>
                </c:pt>
                <c:pt idx="5">
                  <c:v>1093</c:v>
                </c:pt>
                <c:pt idx="6">
                  <c:v>1227</c:v>
                </c:pt>
                <c:pt idx="7">
                  <c:v>1074</c:v>
                </c:pt>
                <c:pt idx="8">
                  <c:v>1110</c:v>
                </c:pt>
                <c:pt idx="9">
                  <c:v>982</c:v>
                </c:pt>
                <c:pt idx="10">
                  <c:v>1000</c:v>
                </c:pt>
                <c:pt idx="11">
                  <c:v>887</c:v>
                </c:pt>
              </c:numCache>
            </c:numRef>
          </c:val>
          <c:smooth val="1"/>
          <c:extLst>
            <c:ext xmlns:c16="http://schemas.microsoft.com/office/drawing/2014/chart" uri="{C3380CC4-5D6E-409C-BE32-E72D297353CC}">
              <c16:uniqueId val="{00000001-CD9C-4580-891D-C628142A77FE}"/>
            </c:ext>
          </c:extLst>
        </c:ser>
        <c:dLbls>
          <c:showLegendKey val="0"/>
          <c:showVal val="0"/>
          <c:showCatName val="0"/>
          <c:showSerName val="0"/>
          <c:showPercent val="0"/>
          <c:showBubbleSize val="0"/>
        </c:dLbls>
        <c:marker val="1"/>
        <c:smooth val="0"/>
        <c:axId val="1787607807"/>
        <c:axId val="1787617375"/>
      </c:lineChart>
      <c:scatterChart>
        <c:scatterStyle val="lineMarker"/>
        <c:varyColors val="0"/>
        <c:ser>
          <c:idx val="2"/>
          <c:order val="2"/>
          <c:spPr>
            <a:ln w="28575" cap="rnd">
              <a:solidFill>
                <a:schemeClr val="accent3"/>
              </a:solidFill>
              <a:round/>
            </a:ln>
            <a:effectLst>
              <a:glow rad="101600">
                <a:schemeClr val="accent5">
                  <a:satMod val="175000"/>
                  <a:alpha val="40000"/>
                </a:schemeClr>
              </a:glow>
            </a:effectLst>
          </c:spPr>
          <c:marker>
            <c:symbol val="circle"/>
            <c:size val="10"/>
            <c:spPr>
              <a:solidFill>
                <a:srgbClr val="00B0F0"/>
              </a:solidFill>
              <a:ln w="9525">
                <a:noFill/>
              </a:ln>
              <a:effectLst>
                <a:glow rad="101600">
                  <a:schemeClr val="accent5">
                    <a:satMod val="175000"/>
                    <a:alpha val="40000"/>
                  </a:schemeClr>
                </a:glow>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Ellipse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'!$DI$20</c:f>
              <c:numCache>
                <c:formatCode>General</c:formatCode>
                <c:ptCount val="1"/>
                <c:pt idx="0">
                  <c:v>8</c:v>
                </c:pt>
              </c:numCache>
            </c:numRef>
          </c:xVal>
          <c:yVal>
            <c:numRef>
              <c:f>'PROCCESSING '!$DI$21</c:f>
              <c:numCache>
                <c:formatCode>General</c:formatCode>
                <c:ptCount val="1"/>
                <c:pt idx="0">
                  <c:v>1064</c:v>
                </c:pt>
              </c:numCache>
            </c:numRef>
          </c:yVal>
          <c:smooth val="0"/>
          <c:extLst>
            <c:ext xmlns:c16="http://schemas.microsoft.com/office/drawing/2014/chart" uri="{C3380CC4-5D6E-409C-BE32-E72D297353CC}">
              <c16:uniqueId val="{00000002-CD9C-4580-891D-C628142A77FE}"/>
            </c:ext>
          </c:extLst>
        </c:ser>
        <c:ser>
          <c:idx val="3"/>
          <c:order val="3"/>
          <c:spPr>
            <a:ln w="28575" cap="rnd">
              <a:solidFill>
                <a:schemeClr val="accent4"/>
              </a:solidFill>
              <a:round/>
            </a:ln>
            <a:effectLst>
              <a:glow rad="139700">
                <a:srgbClr val="FF00FF">
                  <a:alpha val="40000"/>
                </a:srgbClr>
              </a:glow>
            </a:effectLst>
          </c:spPr>
          <c:marker>
            <c:symbol val="circle"/>
            <c:size val="10"/>
            <c:spPr>
              <a:solidFill>
                <a:srgbClr val="FF00FF"/>
              </a:solidFill>
              <a:ln w="9525">
                <a:noFill/>
              </a:ln>
              <a:effectLst>
                <a:glow rad="139700">
                  <a:srgbClr val="FF00FF">
                    <a:alpha val="40000"/>
                  </a:srgbClr>
                </a:glow>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Ellipse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'PROCCESSING '!$DI$20</c:f>
              <c:numCache>
                <c:formatCode>General</c:formatCode>
                <c:ptCount val="1"/>
                <c:pt idx="0">
                  <c:v>8</c:v>
                </c:pt>
              </c:numCache>
            </c:numRef>
          </c:xVal>
          <c:yVal>
            <c:numRef>
              <c:f>'PROCCESSING '!$DK$21</c:f>
              <c:numCache>
                <c:formatCode>General</c:formatCode>
                <c:ptCount val="1"/>
                <c:pt idx="0">
                  <c:v>1074</c:v>
                </c:pt>
              </c:numCache>
            </c:numRef>
          </c:yVal>
          <c:smooth val="0"/>
          <c:extLst>
            <c:ext xmlns:c16="http://schemas.microsoft.com/office/drawing/2014/chart" uri="{C3380CC4-5D6E-409C-BE32-E72D297353CC}">
              <c16:uniqueId val="{00000003-CD9C-4580-891D-C628142A77FE}"/>
            </c:ext>
          </c:extLst>
        </c:ser>
        <c:dLbls>
          <c:showLegendKey val="0"/>
          <c:showVal val="0"/>
          <c:showCatName val="0"/>
          <c:showSerName val="0"/>
          <c:showPercent val="0"/>
          <c:showBubbleSize val="0"/>
        </c:dLbls>
        <c:axId val="1787607807"/>
        <c:axId val="1787617375"/>
      </c:scatterChart>
      <c:catAx>
        <c:axId val="1787607807"/>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787617375"/>
        <c:crosses val="autoZero"/>
        <c:auto val="1"/>
        <c:lblAlgn val="ctr"/>
        <c:lblOffset val="100"/>
        <c:noMultiLvlLbl val="0"/>
      </c:catAx>
      <c:valAx>
        <c:axId val="1787617375"/>
        <c:scaling>
          <c:orientation val="minMax"/>
        </c:scaling>
        <c:delete val="1"/>
        <c:axPos val="l"/>
        <c:numFmt formatCode="General" sourceLinked="1"/>
        <c:majorTickMark val="none"/>
        <c:minorTickMark val="none"/>
        <c:tickLblPos val="nextTo"/>
        <c:crossAx val="1787607807"/>
        <c:crosses val="autoZero"/>
        <c:crossBetween val="between"/>
      </c:valAx>
      <c:spPr>
        <a:solidFill>
          <a:schemeClr val="accent5">
            <a:lumMod val="20000"/>
            <a:lumOff val="80000"/>
            <a:alpha val="5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LINK" lockText="1" noThreeD="1"/>
</file>

<file path=xl/ctrlProps/ctrlProp2.xml><?xml version="1.0" encoding="utf-8"?>
<formControlPr xmlns="http://schemas.microsoft.com/office/spreadsheetml/2009/9/main" objectType="Scroll" dx="22" fmlaLink="SCROLL" horiz="1" max="12" min="1" page="10" val="8"/>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Scroll" dx="22" fmlaLink="SCROLL" horiz="1" max="12" min="1" page="10" val="8"/>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chart" Target="../charts/chart9.xml"/><Relationship Id="rId3" Type="http://schemas.openxmlformats.org/officeDocument/2006/relationships/image" Target="../media/image1.emf"/><Relationship Id="rId7" Type="http://schemas.openxmlformats.org/officeDocument/2006/relationships/image" Target="../media/image4.emf"/><Relationship Id="rId12" Type="http://schemas.openxmlformats.org/officeDocument/2006/relationships/chart" Target="../charts/chart7.xml"/><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image" Target="../media/image8.emf"/><Relationship Id="rId1" Type="http://schemas.openxmlformats.org/officeDocument/2006/relationships/chart" Target="../charts/chart1.xml"/><Relationship Id="rId6" Type="http://schemas.openxmlformats.org/officeDocument/2006/relationships/image" Target="../media/image3.emf"/><Relationship Id="rId11" Type="http://schemas.openxmlformats.org/officeDocument/2006/relationships/chart" Target="../charts/chart6.xml"/><Relationship Id="rId5" Type="http://schemas.openxmlformats.org/officeDocument/2006/relationships/chart" Target="../charts/chart3.xml"/><Relationship Id="rId15" Type="http://schemas.openxmlformats.org/officeDocument/2006/relationships/image" Target="../media/image7.emf"/><Relationship Id="rId10" Type="http://schemas.openxmlformats.org/officeDocument/2006/relationships/chart" Target="../charts/chart5.xml"/><Relationship Id="rId4" Type="http://schemas.openxmlformats.org/officeDocument/2006/relationships/image" Target="../media/image2.emf"/><Relationship Id="rId9" Type="http://schemas.openxmlformats.org/officeDocument/2006/relationships/image" Target="../media/image5.emf"/><Relationship Id="rId1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46</xdr:col>
      <xdr:colOff>428625</xdr:colOff>
      <xdr:row>60</xdr:row>
      <xdr:rowOff>171450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0" y="0"/>
          <a:ext cx="28470225" cy="11601450"/>
        </a:xfrm>
        <a:prstGeom prst="rect">
          <a:avLst/>
        </a:prstGeom>
        <a:solidFill>
          <a:schemeClr val="bg1">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4</xdr:row>
      <xdr:rowOff>19051</xdr:rowOff>
    </xdr:from>
    <xdr:to>
      <xdr:col>11</xdr:col>
      <xdr:colOff>514350</xdr:colOff>
      <xdr:row>17</xdr:row>
      <xdr:rowOff>171451</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142875</xdr:colOff>
          <xdr:row>18</xdr:row>
          <xdr:rowOff>0</xdr:rowOff>
        </xdr:from>
        <xdr:to>
          <xdr:col>11</xdr:col>
          <xdr:colOff>466725</xdr:colOff>
          <xdr:row>18</xdr:row>
          <xdr:rowOff>161925</xdr:rowOff>
        </xdr:to>
        <xdr:sp macro="" textlink="">
          <xdr:nvSpPr>
            <xdr:cNvPr id="5121" name="Scroll Bar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19050</xdr:colOff>
      <xdr:row>3</xdr:row>
      <xdr:rowOff>161925</xdr:rowOff>
    </xdr:from>
    <xdr:to>
      <xdr:col>21</xdr:col>
      <xdr:colOff>314325</xdr:colOff>
      <xdr:row>17</xdr:row>
      <xdr:rowOff>123825</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48</xdr:col>
      <xdr:colOff>66674</xdr:colOff>
      <xdr:row>2</xdr:row>
      <xdr:rowOff>38100</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0" y="0"/>
          <a:ext cx="29327474" cy="419100"/>
        </a:xfrm>
        <a:prstGeom prst="rect">
          <a:avLst/>
        </a:prstGeom>
        <a:solidFill>
          <a:schemeClr val="tx1"/>
        </a:solidFill>
        <a:ln>
          <a:noFill/>
        </a:ln>
        <a:effectLst>
          <a:glow rad="127000">
            <a:schemeClr val="bg1">
              <a:alpha val="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xdr:colOff>
      <xdr:row>2</xdr:row>
      <xdr:rowOff>76200</xdr:rowOff>
    </xdr:from>
    <xdr:to>
      <xdr:col>48</xdr:col>
      <xdr:colOff>161925</xdr:colOff>
      <xdr:row>2</xdr:row>
      <xdr:rowOff>133354</xdr:rowOff>
    </xdr:to>
    <xdr:cxnSp macro="">
      <xdr:nvCxnSpPr>
        <xdr:cNvPr id="7" name="Straight Connector 6">
          <a:extLst>
            <a:ext uri="{FF2B5EF4-FFF2-40B4-BE49-F238E27FC236}">
              <a16:creationId xmlns:a16="http://schemas.microsoft.com/office/drawing/2014/main" id="{00000000-0008-0000-0100-000007000000}"/>
            </a:ext>
          </a:extLst>
        </xdr:cNvPr>
        <xdr:cNvCxnSpPr/>
      </xdr:nvCxnSpPr>
      <xdr:spPr>
        <a:xfrm flipV="1">
          <a:off x="9525" y="457200"/>
          <a:ext cx="29413200" cy="57154"/>
        </a:xfrm>
        <a:prstGeom prst="line">
          <a:avLst/>
        </a:prstGeom>
        <a:ln w="12700" cmpd="sng">
          <a:solidFill>
            <a:srgbClr val="FF00FF"/>
          </a:solidFill>
          <a:beve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114300</xdr:colOff>
      <xdr:row>3</xdr:row>
      <xdr:rowOff>19050</xdr:rowOff>
    </xdr:from>
    <xdr:to>
      <xdr:col>6</xdr:col>
      <xdr:colOff>142875</xdr:colOff>
      <xdr:row>4</xdr:row>
      <xdr:rowOff>47625</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1333500" y="590550"/>
          <a:ext cx="24669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pPr algn="ctr"/>
          <a:r>
            <a:rPr lang="en-US" sz="1100" b="1" cap="none" spc="0">
              <a:ln/>
              <a:solidFill>
                <a:srgbClr val="FF00FF"/>
              </a:solidFill>
              <a:effectLst/>
            </a:rPr>
            <a:t> </a:t>
          </a:r>
          <a:r>
            <a:rPr lang="en-US" sz="1100" b="1" cap="none" spc="0" baseline="0">
              <a:ln/>
              <a:solidFill>
                <a:srgbClr val="FF00FF"/>
              </a:solidFill>
              <a:effectLst/>
            </a:rPr>
            <a:t> </a:t>
          </a:r>
          <a:r>
            <a:rPr lang="en-US" sz="1100" b="1" cap="none" spc="0" baseline="0">
              <a:ln/>
              <a:solidFill>
                <a:srgbClr val="FF00FF"/>
              </a:solidFill>
              <a:effectLst/>
              <a:latin typeface="Arial Black" panose="020B0A04020102020204" pitchFamily="34" charset="0"/>
            </a:rPr>
            <a:t>COMPARATIVE REVENUES </a:t>
          </a:r>
          <a:endParaRPr lang="en-US" sz="1100" b="1" cap="none" spc="0">
            <a:ln/>
            <a:solidFill>
              <a:srgbClr val="FF00FF"/>
            </a:solidFill>
            <a:effectLst/>
            <a:latin typeface="Arial Black" panose="020B0A04020102020204" pitchFamily="34" charset="0"/>
          </a:endParaRPr>
        </a:p>
      </xdr:txBody>
    </xdr:sp>
    <xdr:clientData/>
  </xdr:twoCellAnchor>
  <xdr:twoCellAnchor>
    <xdr:from>
      <xdr:col>11</xdr:col>
      <xdr:colOff>438150</xdr:colOff>
      <xdr:row>3</xdr:row>
      <xdr:rowOff>85726</xdr:rowOff>
    </xdr:from>
    <xdr:to>
      <xdr:col>17</xdr:col>
      <xdr:colOff>371475</xdr:colOff>
      <xdr:row>4</xdr:row>
      <xdr:rowOff>104776</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7143750" y="657226"/>
          <a:ext cx="35909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pPr algn="ctr"/>
          <a:r>
            <a:rPr lang="en-US" sz="1100" b="1" cap="none" spc="0">
              <a:ln/>
              <a:solidFill>
                <a:srgbClr val="FF00FF"/>
              </a:solidFill>
              <a:effectLst/>
            </a:rPr>
            <a:t> </a:t>
          </a:r>
          <a:r>
            <a:rPr lang="en-US" sz="1100" b="1" cap="none" spc="0" baseline="0">
              <a:ln/>
              <a:solidFill>
                <a:srgbClr val="FF00FF"/>
              </a:solidFill>
              <a:effectLst/>
            </a:rPr>
            <a:t> </a:t>
          </a:r>
          <a:r>
            <a:rPr lang="en-US" sz="1100" b="1" cap="none" spc="0" baseline="0">
              <a:ln/>
              <a:solidFill>
                <a:srgbClr val="FF00FF"/>
              </a:solidFill>
              <a:effectLst/>
              <a:latin typeface="Arial Black" panose="020B0A04020102020204" pitchFamily="34" charset="0"/>
            </a:rPr>
            <a:t>COMPARATIVE  NUMBER OF PATIENTS</a:t>
          </a:r>
          <a:endParaRPr lang="en-US" sz="1100" b="1" cap="none" spc="0">
            <a:ln/>
            <a:solidFill>
              <a:srgbClr val="FF00FF"/>
            </a:solidFill>
            <a:effectLst/>
            <a:latin typeface="Arial Black" panose="020B0A04020102020204" pitchFamily="34" charset="0"/>
          </a:endParaRPr>
        </a:p>
      </xdr:txBody>
    </xdr:sp>
    <xdr:clientData/>
  </xdr:twoCellAnchor>
  <xdr:twoCellAnchor>
    <xdr:from>
      <xdr:col>2</xdr:col>
      <xdr:colOff>258762</xdr:colOff>
      <xdr:row>0</xdr:row>
      <xdr:rowOff>133349</xdr:rowOff>
    </xdr:from>
    <xdr:to>
      <xdr:col>4</xdr:col>
      <xdr:colOff>542925</xdr:colOff>
      <xdr:row>2</xdr:row>
      <xdr:rowOff>9524</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1477962" y="133349"/>
          <a:ext cx="1503363" cy="257175"/>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latin typeface="Arial Black" panose="020B0A04020102020204" pitchFamily="34" charset="0"/>
            </a:rPr>
            <a:t>REVENUE</a:t>
          </a:r>
          <a:r>
            <a:rPr lang="en-US" sz="800" baseline="0">
              <a:solidFill>
                <a:schemeClr val="bg1"/>
              </a:solidFill>
              <a:latin typeface="Arial Black" panose="020B0A04020102020204" pitchFamily="34" charset="0"/>
            </a:rPr>
            <a:t> CHANGES</a:t>
          </a:r>
          <a:endParaRPr lang="en-US" sz="800">
            <a:solidFill>
              <a:schemeClr val="bg1"/>
            </a:solidFill>
            <a:latin typeface="Arial Black" panose="020B0A040201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3</xdr:col>
          <xdr:colOff>603250</xdr:colOff>
          <xdr:row>0</xdr:row>
          <xdr:rowOff>95250</xdr:rowOff>
        </xdr:from>
        <xdr:to>
          <xdr:col>5</xdr:col>
          <xdr:colOff>498475</xdr:colOff>
          <xdr:row>2</xdr:row>
          <xdr:rowOff>38100</xdr:rowOff>
        </xdr:to>
        <xdr:pic>
          <xdr:nvPicPr>
            <xdr:cNvPr id="26" name="Picture 25">
              <a:extLst>
                <a:ext uri="{FF2B5EF4-FFF2-40B4-BE49-F238E27FC236}">
                  <a16:creationId xmlns:a16="http://schemas.microsoft.com/office/drawing/2014/main" id="{00000000-0008-0000-0100-00001A000000}"/>
                </a:ext>
              </a:extLst>
            </xdr:cNvPr>
            <xdr:cNvPicPr>
              <a:picLocks noChangeAspect="1" noChangeArrowheads="1"/>
              <a:extLst>
                <a:ext uri="{84589F7E-364E-4C9E-8A38-B11213B215E9}">
                  <a14:cameraTool cellRange="'PROCCESSING '!$I$29" spid="_x0000_s12207"/>
                </a:ext>
              </a:extLst>
            </xdr:cNvPicPr>
          </xdr:nvPicPr>
          <xdr:blipFill>
            <a:blip xmlns:r="http://schemas.openxmlformats.org/officeDocument/2006/relationships" r:embed="rId3"/>
            <a:srcRect/>
            <a:stretch>
              <a:fillRect/>
            </a:stretch>
          </xdr:blipFill>
          <xdr:spPr bwMode="auto">
            <a:xfrm>
              <a:off x="2432050" y="95250"/>
              <a:ext cx="1114425" cy="3238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452437</xdr:colOff>
      <xdr:row>0</xdr:row>
      <xdr:rowOff>133349</xdr:rowOff>
    </xdr:from>
    <xdr:to>
      <xdr:col>8</xdr:col>
      <xdr:colOff>423863</xdr:colOff>
      <xdr:row>2</xdr:row>
      <xdr:rowOff>9524</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3500437" y="133349"/>
          <a:ext cx="1800226" cy="257175"/>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latin typeface="Arial Black" panose="020B0A04020102020204" pitchFamily="34" charset="0"/>
            </a:rPr>
            <a:t>REVENUE</a:t>
          </a:r>
          <a:r>
            <a:rPr lang="en-US" sz="800" baseline="0">
              <a:solidFill>
                <a:schemeClr val="bg1"/>
              </a:solidFill>
              <a:latin typeface="Arial Black" panose="020B0A04020102020204" pitchFamily="34" charset="0"/>
            </a:rPr>
            <a:t> VARIANCE</a:t>
          </a:r>
          <a:endParaRPr lang="en-US" sz="800">
            <a:solidFill>
              <a:schemeClr val="bg1"/>
            </a:solidFill>
            <a:latin typeface="Arial Black" panose="020B0A04020102020204" pitchFamily="34" charset="0"/>
          </a:endParaRPr>
        </a:p>
      </xdr:txBody>
    </xdr:sp>
    <xdr:clientData/>
  </xdr:twoCellAnchor>
  <xdr:twoCellAnchor>
    <xdr:from>
      <xdr:col>7</xdr:col>
      <xdr:colOff>482600</xdr:colOff>
      <xdr:row>0</xdr:row>
      <xdr:rowOff>104774</xdr:rowOff>
    </xdr:from>
    <xdr:to>
      <xdr:col>10</xdr:col>
      <xdr:colOff>44451</xdr:colOff>
      <xdr:row>1</xdr:row>
      <xdr:rowOff>171449</xdr:rowOff>
    </xdr:to>
    <xdr:sp macro="" textlink="'PROCCESSING '!$J$29">
      <xdr:nvSpPr>
        <xdr:cNvPr id="28" name="TextBox 27">
          <a:extLst>
            <a:ext uri="{FF2B5EF4-FFF2-40B4-BE49-F238E27FC236}">
              <a16:creationId xmlns:a16="http://schemas.microsoft.com/office/drawing/2014/main" id="{00000000-0008-0000-0100-00001C000000}"/>
            </a:ext>
          </a:extLst>
        </xdr:cNvPr>
        <xdr:cNvSpPr txBox="1"/>
      </xdr:nvSpPr>
      <xdr:spPr>
        <a:xfrm>
          <a:off x="4749800" y="104774"/>
          <a:ext cx="1390651" cy="257175"/>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46143C-9674-4B0D-9037-FCA6E6FDD0FE}" type="TxLink">
            <a:rPr lang="en-US" sz="1100" b="0" i="0" u="none" strike="noStrike">
              <a:solidFill>
                <a:schemeClr val="bg1"/>
              </a:solidFill>
              <a:latin typeface="Arial Black" panose="020B0A04020102020204" pitchFamily="34" charset="0"/>
              <a:cs typeface="Calibri"/>
            </a:rPr>
            <a:pPr/>
            <a:t>-824,341.72 </a:t>
          </a:fld>
          <a:endParaRPr lang="en-US" sz="800">
            <a:solidFill>
              <a:schemeClr val="bg1"/>
            </a:solidFill>
            <a:latin typeface="Arial Black" panose="020B0A040201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542925</xdr:colOff>
          <xdr:row>0</xdr:row>
          <xdr:rowOff>85725</xdr:rowOff>
        </xdr:from>
        <xdr:to>
          <xdr:col>13</xdr:col>
          <xdr:colOff>361950</xdr:colOff>
          <xdr:row>2</xdr:row>
          <xdr:rowOff>28575</xdr:rowOff>
        </xdr:to>
        <xdr:pic>
          <xdr:nvPicPr>
            <xdr:cNvPr id="31" name="Picture 30">
              <a:extLst>
                <a:ext uri="{FF2B5EF4-FFF2-40B4-BE49-F238E27FC236}">
                  <a16:creationId xmlns:a16="http://schemas.microsoft.com/office/drawing/2014/main" id="{00000000-0008-0000-0100-00001F000000}"/>
                </a:ext>
              </a:extLst>
            </xdr:cNvPr>
            <xdr:cNvPicPr>
              <a:picLocks noChangeAspect="1" noChangeArrowheads="1"/>
              <a:extLst>
                <a:ext uri="{84589F7E-364E-4C9E-8A38-B11213B215E9}">
                  <a14:cameraTool cellRange="'PROCCESSING '!$O$29" spid="_x0000_s12208"/>
                </a:ext>
              </a:extLst>
            </xdr:cNvPicPr>
          </xdr:nvPicPr>
          <xdr:blipFill>
            <a:blip xmlns:r="http://schemas.openxmlformats.org/officeDocument/2006/relationships" r:embed="rId4"/>
            <a:srcRect/>
            <a:stretch>
              <a:fillRect/>
            </a:stretch>
          </xdr:blipFill>
          <xdr:spPr bwMode="auto">
            <a:xfrm>
              <a:off x="7248525" y="85725"/>
              <a:ext cx="1038225" cy="3238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9</xdr:col>
      <xdr:colOff>531813</xdr:colOff>
      <xdr:row>0</xdr:row>
      <xdr:rowOff>123824</xdr:rowOff>
    </xdr:from>
    <xdr:to>
      <xdr:col>12</xdr:col>
      <xdr:colOff>57150</xdr:colOff>
      <xdr:row>1</xdr:row>
      <xdr:rowOff>190499</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6018213" y="123824"/>
          <a:ext cx="1354137" cy="257175"/>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bg1"/>
              </a:solidFill>
              <a:latin typeface="Arial Black" panose="020B0A04020102020204" pitchFamily="34" charset="0"/>
            </a:rPr>
            <a:t>PATIENT CHANGES</a:t>
          </a:r>
          <a:endParaRPr lang="en-US" sz="800">
            <a:solidFill>
              <a:schemeClr val="bg1"/>
            </a:solidFill>
            <a:latin typeface="Arial Black" panose="020B0A04020102020204" pitchFamily="34" charset="0"/>
          </a:endParaRPr>
        </a:p>
      </xdr:txBody>
    </xdr:sp>
    <xdr:clientData/>
  </xdr:twoCellAnchor>
  <xdr:twoCellAnchor>
    <xdr:from>
      <xdr:col>13</xdr:col>
      <xdr:colOff>396876</xdr:colOff>
      <xdr:row>0</xdr:row>
      <xdr:rowOff>85724</xdr:rowOff>
    </xdr:from>
    <xdr:to>
      <xdr:col>14</xdr:col>
      <xdr:colOff>419100</xdr:colOff>
      <xdr:row>2</xdr:row>
      <xdr:rowOff>9525</xdr:rowOff>
    </xdr:to>
    <xdr:sp macro="" textlink="'PROCCESSING '!P29">
      <xdr:nvSpPr>
        <xdr:cNvPr id="33" name="TextBox 32">
          <a:extLst>
            <a:ext uri="{FF2B5EF4-FFF2-40B4-BE49-F238E27FC236}">
              <a16:creationId xmlns:a16="http://schemas.microsoft.com/office/drawing/2014/main" id="{00000000-0008-0000-0100-000021000000}"/>
            </a:ext>
          </a:extLst>
        </xdr:cNvPr>
        <xdr:cNvSpPr txBox="1"/>
      </xdr:nvSpPr>
      <xdr:spPr>
        <a:xfrm>
          <a:off x="8321676" y="85724"/>
          <a:ext cx="631824" cy="304801"/>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D9AE673-FE36-4DCA-A62B-D51BF77999CC}" type="TxLink">
            <a:rPr lang="en-US" sz="1100" b="0" i="0" u="none" strike="noStrike">
              <a:solidFill>
                <a:schemeClr val="bg1"/>
              </a:solidFill>
              <a:latin typeface="Arial Black" panose="020B0A04020102020204" pitchFamily="34" charset="0"/>
              <a:ea typeface="+mn-ea"/>
              <a:cs typeface="Calibri"/>
            </a:rPr>
            <a:pPr marL="0" indent="0"/>
            <a:t>4427</a:t>
          </a:fld>
          <a:endParaRPr lang="en-US" sz="1100" b="0" i="0" u="none" strike="noStrike">
            <a:solidFill>
              <a:schemeClr val="bg1"/>
            </a:solidFill>
            <a:latin typeface="Arial Black" panose="020B0A04020102020204" pitchFamily="34" charset="0"/>
            <a:ea typeface="+mn-ea"/>
            <a:cs typeface="Calibri"/>
          </a:endParaRPr>
        </a:p>
      </xdr:txBody>
    </xdr:sp>
    <xdr:clientData/>
  </xdr:twoCellAnchor>
  <xdr:twoCellAnchor>
    <xdr:from>
      <xdr:col>12</xdr:col>
      <xdr:colOff>19051</xdr:colOff>
      <xdr:row>33</xdr:row>
      <xdr:rowOff>0</xdr:rowOff>
    </xdr:from>
    <xdr:to>
      <xdr:col>21</xdr:col>
      <xdr:colOff>457201</xdr:colOff>
      <xdr:row>45</xdr:row>
      <xdr:rowOff>4762</xdr:rowOff>
    </xdr:to>
    <xdr:graphicFrame macro="">
      <xdr:nvGraphicFramePr>
        <xdr:cNvPr id="36" name="Chart 35">
          <a:extLst>
            <a:ext uri="{FF2B5EF4-FFF2-40B4-BE49-F238E27FC236}">
              <a16:creationId xmlns:a16="http://schemas.microsoft.com/office/drawing/2014/main" id="{00000000-0008-0000-01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9525</xdr:colOff>
      <xdr:row>32</xdr:row>
      <xdr:rowOff>114300</xdr:rowOff>
    </xdr:from>
    <xdr:to>
      <xdr:col>16</xdr:col>
      <xdr:colOff>38100</xdr:colOff>
      <xdr:row>33</xdr:row>
      <xdr:rowOff>142875</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324725" y="6210300"/>
          <a:ext cx="24669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pPr marL="0" indent="0" algn="ctr"/>
          <a:r>
            <a:rPr lang="en-US" sz="1200" b="0" cap="none" spc="0">
              <a:ln/>
              <a:solidFill>
                <a:srgbClr val="FF00FF"/>
              </a:solidFill>
              <a:effectLst/>
              <a:latin typeface="Arial Black" panose="020B0A04020102020204" pitchFamily="34" charset="0"/>
              <a:ea typeface="+mn-ea"/>
              <a:cs typeface="+mn-cs"/>
            </a:rPr>
            <a:t>  BED OCCUPANCY RATE</a:t>
          </a:r>
        </a:p>
      </xdr:txBody>
    </xdr:sp>
    <xdr:clientData/>
  </xdr:twoCellAnchor>
  <xdr:twoCellAnchor>
    <xdr:from>
      <xdr:col>14</xdr:col>
      <xdr:colOff>333375</xdr:colOff>
      <xdr:row>0</xdr:row>
      <xdr:rowOff>114299</xdr:rowOff>
    </xdr:from>
    <xdr:to>
      <xdr:col>16</xdr:col>
      <xdr:colOff>371476</xdr:colOff>
      <xdr:row>2</xdr:row>
      <xdr:rowOff>38100</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8867775" y="114299"/>
          <a:ext cx="1257301" cy="304801"/>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latin typeface="Arial Black" panose="020B0A04020102020204" pitchFamily="34" charset="0"/>
            </a:rPr>
            <a:t>BED OCCUPANCY </a:t>
          </a:r>
        </a:p>
      </xdr:txBody>
    </xdr:sp>
    <xdr:clientData/>
  </xdr:twoCellAnchor>
  <mc:AlternateContent xmlns:mc="http://schemas.openxmlformats.org/markup-compatibility/2006">
    <mc:Choice xmlns:a14="http://schemas.microsoft.com/office/drawing/2010/main" Requires="a14">
      <xdr:twoCellAnchor editAs="oneCell">
        <xdr:from>
          <xdr:col>16</xdr:col>
          <xdr:colOff>9525</xdr:colOff>
          <xdr:row>0</xdr:row>
          <xdr:rowOff>66675</xdr:rowOff>
        </xdr:from>
        <xdr:to>
          <xdr:col>17</xdr:col>
          <xdr:colOff>447675</xdr:colOff>
          <xdr:row>2</xdr:row>
          <xdr:rowOff>9525</xdr:rowOff>
        </xdr:to>
        <xdr:pic>
          <xdr:nvPicPr>
            <xdr:cNvPr id="40" name="Picture 39">
              <a:extLst>
                <a:ext uri="{FF2B5EF4-FFF2-40B4-BE49-F238E27FC236}">
                  <a16:creationId xmlns:a16="http://schemas.microsoft.com/office/drawing/2014/main" id="{00000000-0008-0000-0100-000028000000}"/>
                </a:ext>
              </a:extLst>
            </xdr:cNvPr>
            <xdr:cNvPicPr>
              <a:picLocks noChangeAspect="1" noChangeArrowheads="1"/>
              <a:extLst>
                <a:ext uri="{84589F7E-364E-4C9E-8A38-B11213B215E9}">
                  <a14:cameraTool cellRange="'PROCCESSING '!$R$29" spid="_x0000_s12209"/>
                </a:ext>
              </a:extLst>
            </xdr:cNvPicPr>
          </xdr:nvPicPr>
          <xdr:blipFill>
            <a:blip xmlns:r="http://schemas.openxmlformats.org/officeDocument/2006/relationships" r:embed="rId6"/>
            <a:srcRect/>
            <a:stretch>
              <a:fillRect/>
            </a:stretch>
          </xdr:blipFill>
          <xdr:spPr bwMode="auto">
            <a:xfrm>
              <a:off x="9763125" y="66675"/>
              <a:ext cx="1047750" cy="3238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419100</xdr:colOff>
          <xdr:row>0</xdr:row>
          <xdr:rowOff>66675</xdr:rowOff>
        </xdr:from>
        <xdr:to>
          <xdr:col>21</xdr:col>
          <xdr:colOff>114300</xdr:colOff>
          <xdr:row>2</xdr:row>
          <xdr:rowOff>9525</xdr:rowOff>
        </xdr:to>
        <xdr:pic>
          <xdr:nvPicPr>
            <xdr:cNvPr id="46" name="Picture 45">
              <a:extLst>
                <a:ext uri="{FF2B5EF4-FFF2-40B4-BE49-F238E27FC236}">
                  <a16:creationId xmlns:a16="http://schemas.microsoft.com/office/drawing/2014/main" id="{00000000-0008-0000-0100-00002E000000}"/>
                </a:ext>
              </a:extLst>
            </xdr:cNvPr>
            <xdr:cNvPicPr>
              <a:picLocks noChangeAspect="1" noChangeArrowheads="1"/>
              <a:extLst>
                <a:ext uri="{84589F7E-364E-4C9E-8A38-B11213B215E9}">
                  <a14:cameraTool cellRange="'PROCCESSING '!$S$29" spid="_x0000_s12210"/>
                </a:ext>
              </a:extLst>
            </xdr:cNvPicPr>
          </xdr:nvPicPr>
          <xdr:blipFill>
            <a:blip xmlns:r="http://schemas.openxmlformats.org/officeDocument/2006/relationships" r:embed="rId7"/>
            <a:srcRect/>
            <a:stretch>
              <a:fillRect/>
            </a:stretch>
          </xdr:blipFill>
          <xdr:spPr bwMode="auto">
            <a:xfrm>
              <a:off x="12001500" y="66675"/>
              <a:ext cx="914400" cy="3238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17</xdr:col>
      <xdr:colOff>382587</xdr:colOff>
      <xdr:row>0</xdr:row>
      <xdr:rowOff>114299</xdr:rowOff>
    </xdr:from>
    <xdr:to>
      <xdr:col>20</xdr:col>
      <xdr:colOff>57150</xdr:colOff>
      <xdr:row>1</xdr:row>
      <xdr:rowOff>180974</xdr:rowOff>
    </xdr:to>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10745787" y="114299"/>
          <a:ext cx="1503363" cy="257175"/>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latin typeface="Arial Black" panose="020B0A04020102020204" pitchFamily="34" charset="0"/>
            </a:rPr>
            <a:t>ADMISSIONS</a:t>
          </a:r>
          <a:r>
            <a:rPr lang="en-US" sz="800" baseline="0">
              <a:solidFill>
                <a:schemeClr val="bg1"/>
              </a:solidFill>
              <a:latin typeface="Arial Black" panose="020B0A04020102020204" pitchFamily="34" charset="0"/>
            </a:rPr>
            <a:t> CHANGES</a:t>
          </a:r>
          <a:endParaRPr lang="en-US" sz="800">
            <a:solidFill>
              <a:schemeClr val="bg1"/>
            </a:solidFill>
            <a:latin typeface="Arial Black" panose="020B0A04020102020204" pitchFamily="34" charset="0"/>
          </a:endParaRPr>
        </a:p>
      </xdr:txBody>
    </xdr:sp>
    <xdr:clientData/>
  </xdr:twoCellAnchor>
  <xdr:twoCellAnchor editAs="absolute">
    <xdr:from>
      <xdr:col>12</xdr:col>
      <xdr:colOff>47626</xdr:colOff>
      <xdr:row>18</xdr:row>
      <xdr:rowOff>114300</xdr:rowOff>
    </xdr:from>
    <xdr:to>
      <xdr:col>21</xdr:col>
      <xdr:colOff>342900</xdr:colOff>
      <xdr:row>32</xdr:row>
      <xdr:rowOff>75300</xdr:rowOff>
    </xdr:to>
    <xdr:graphicFrame macro="">
      <xdr:nvGraphicFramePr>
        <xdr:cNvPr id="39" name="Chart 38">
          <a:extLst>
            <a:ext uri="{FF2B5EF4-FFF2-40B4-BE49-F238E27FC236}">
              <a16:creationId xmlns:a16="http://schemas.microsoft.com/office/drawing/2014/main" id="{00000000-0008-0000-01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xdr:from>
          <xdr:col>0</xdr:col>
          <xdr:colOff>133350</xdr:colOff>
          <xdr:row>5</xdr:row>
          <xdr:rowOff>0</xdr:rowOff>
        </xdr:from>
        <xdr:to>
          <xdr:col>2</xdr:col>
          <xdr:colOff>38100</xdr:colOff>
          <xdr:row>11</xdr:row>
          <xdr:rowOff>66675</xdr:rowOff>
        </xdr:to>
        <xdr:pic>
          <xdr:nvPicPr>
            <xdr:cNvPr id="41" name="Picture 40">
              <a:extLst>
                <a:ext uri="{FF2B5EF4-FFF2-40B4-BE49-F238E27FC236}">
                  <a16:creationId xmlns:a16="http://schemas.microsoft.com/office/drawing/2014/main" id="{00000000-0008-0000-0100-000029000000}"/>
                </a:ext>
              </a:extLst>
            </xdr:cNvPr>
            <xdr:cNvPicPr>
              <a:picLocks noChangeAspect="1" noChangeArrowheads="1"/>
              <a:extLst>
                <a:ext uri="{84589F7E-364E-4C9E-8A38-B11213B215E9}">
                  <a14:cameraTool cellRange="'PROCCESSING '!$BB$24:$BB$26" spid="_x0000_s12211"/>
                </a:ext>
              </a:extLst>
            </xdr:cNvPicPr>
          </xdr:nvPicPr>
          <xdr:blipFill>
            <a:blip xmlns:r="http://schemas.openxmlformats.org/officeDocument/2006/relationships" r:embed="rId9"/>
            <a:srcRect/>
            <a:stretch>
              <a:fillRect/>
            </a:stretch>
          </xdr:blipFill>
          <xdr:spPr bwMode="auto">
            <a:xfrm>
              <a:off x="133350" y="952500"/>
              <a:ext cx="1123950" cy="12096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xdr:row>
          <xdr:rowOff>95250</xdr:rowOff>
        </xdr:from>
        <xdr:to>
          <xdr:col>2</xdr:col>
          <xdr:colOff>76200</xdr:colOff>
          <xdr:row>11</xdr:row>
          <xdr:rowOff>161925</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0" y="857250"/>
              <a:ext cx="1295400" cy="1400175"/>
              <a:chOff x="512445" y="819150"/>
              <a:chExt cx="686436" cy="676270"/>
            </a:xfrm>
          </xdr:grpSpPr>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512445" y="819150"/>
                <a:ext cx="679451" cy="2420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2018</a:t>
                </a:r>
              </a:p>
            </xdr:txBody>
          </xdr:sp>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523875" y="1047750"/>
                <a:ext cx="668021" cy="219075"/>
              </a:xfrm>
              <a:prstGeom prst="rect">
                <a:avLst/>
              </a:prstGeom>
              <a:noFill/>
              <a:ln>
                <a:noFill/>
              </a:ln>
              <a:extLst>
                <a:ext uri="{909E8E84-426E-40DD-AFC4-6F175D3DCCD1}">
                  <a14:hiddenFill>
                    <a:solidFill>
                      <a:srgbClr val="00FF00" mc:Ignorable="a14" a14:legacySpreadsheetColorIndex="1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2019</a:t>
                </a:r>
              </a:p>
            </xdr:txBody>
          </xdr:sp>
          <xdr:sp macro="" textlink="">
            <xdr:nvSpPr>
              <xdr:cNvPr id="5124" name="Option Button 4"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514351" y="1276345"/>
                <a:ext cx="684530" cy="219075"/>
              </a:xfrm>
              <a:prstGeom prst="rect">
                <a:avLst/>
              </a:prstGeom>
              <a:noFill/>
              <a:ln>
                <a:noFill/>
              </a:ln>
              <a:extLst>
                <a:ext uri="{909E8E84-426E-40DD-AFC4-6F175D3DCCD1}">
                  <a14:hiddenFill>
                    <a:solidFill>
                      <a:srgbClr val="FF00FF" mc:Ignorable="a14" a14:legacySpreadsheetColorIndex="14"/>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2020</a:t>
                </a:r>
              </a:p>
            </xdr:txBody>
          </xdr:sp>
        </xdr:grpSp>
        <xdr:clientData/>
      </xdr:twoCellAnchor>
    </mc:Choice>
    <mc:Fallback/>
  </mc:AlternateContent>
  <xdr:twoCellAnchor>
    <xdr:from>
      <xdr:col>0</xdr:col>
      <xdr:colOff>266701</xdr:colOff>
      <xdr:row>12</xdr:row>
      <xdr:rowOff>161926</xdr:rowOff>
    </xdr:from>
    <xdr:to>
      <xdr:col>0</xdr:col>
      <xdr:colOff>400051</xdr:colOff>
      <xdr:row>13</xdr:row>
      <xdr:rowOff>104776</xdr:rowOff>
    </xdr:to>
    <xdr:sp macro="" textlink="">
      <xdr:nvSpPr>
        <xdr:cNvPr id="12" name="Oval 11">
          <a:extLst>
            <a:ext uri="{FF2B5EF4-FFF2-40B4-BE49-F238E27FC236}">
              <a16:creationId xmlns:a16="http://schemas.microsoft.com/office/drawing/2014/main" id="{00000000-0008-0000-0100-00000C000000}"/>
            </a:ext>
          </a:extLst>
        </xdr:cNvPr>
        <xdr:cNvSpPr/>
      </xdr:nvSpPr>
      <xdr:spPr>
        <a:xfrm>
          <a:off x="266701" y="2447926"/>
          <a:ext cx="133350" cy="133350"/>
        </a:xfrm>
        <a:prstGeom prst="ellipse">
          <a:avLst/>
        </a:prstGeom>
        <a:solidFill>
          <a:srgbClr val="FF00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514351</xdr:colOff>
      <xdr:row>12</xdr:row>
      <xdr:rowOff>161926</xdr:rowOff>
    </xdr:from>
    <xdr:to>
      <xdr:col>1</xdr:col>
      <xdr:colOff>38101</xdr:colOff>
      <xdr:row>13</xdr:row>
      <xdr:rowOff>104776</xdr:rowOff>
    </xdr:to>
    <xdr:sp macro="" textlink="">
      <xdr:nvSpPr>
        <xdr:cNvPr id="49" name="Oval 48">
          <a:extLst>
            <a:ext uri="{FF2B5EF4-FFF2-40B4-BE49-F238E27FC236}">
              <a16:creationId xmlns:a16="http://schemas.microsoft.com/office/drawing/2014/main" id="{00000000-0008-0000-0100-000031000000}"/>
            </a:ext>
          </a:extLst>
        </xdr:cNvPr>
        <xdr:cNvSpPr/>
      </xdr:nvSpPr>
      <xdr:spPr>
        <a:xfrm>
          <a:off x="514351" y="2447926"/>
          <a:ext cx="133350" cy="133350"/>
        </a:xfrm>
        <a:prstGeom prst="ellipse">
          <a:avLst/>
        </a:prstGeom>
        <a:solidFill>
          <a:srgbClr val="FF00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114301</xdr:colOff>
      <xdr:row>12</xdr:row>
      <xdr:rowOff>152401</xdr:rowOff>
    </xdr:from>
    <xdr:to>
      <xdr:col>1</xdr:col>
      <xdr:colOff>247651</xdr:colOff>
      <xdr:row>13</xdr:row>
      <xdr:rowOff>95251</xdr:rowOff>
    </xdr:to>
    <xdr:sp macro="" textlink="">
      <xdr:nvSpPr>
        <xdr:cNvPr id="50" name="Oval 49">
          <a:extLst>
            <a:ext uri="{FF2B5EF4-FFF2-40B4-BE49-F238E27FC236}">
              <a16:creationId xmlns:a16="http://schemas.microsoft.com/office/drawing/2014/main" id="{00000000-0008-0000-0100-000032000000}"/>
            </a:ext>
          </a:extLst>
        </xdr:cNvPr>
        <xdr:cNvSpPr/>
      </xdr:nvSpPr>
      <xdr:spPr>
        <a:xfrm>
          <a:off x="723901" y="2438401"/>
          <a:ext cx="133350" cy="133350"/>
        </a:xfrm>
        <a:prstGeom prst="ellipse">
          <a:avLst/>
        </a:prstGeom>
        <a:solidFill>
          <a:srgbClr val="FF00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333376</xdr:colOff>
      <xdr:row>12</xdr:row>
      <xdr:rowOff>161926</xdr:rowOff>
    </xdr:from>
    <xdr:to>
      <xdr:col>1</xdr:col>
      <xdr:colOff>466726</xdr:colOff>
      <xdr:row>13</xdr:row>
      <xdr:rowOff>104776</xdr:rowOff>
    </xdr:to>
    <xdr:sp macro="" textlink="">
      <xdr:nvSpPr>
        <xdr:cNvPr id="51" name="Oval 50">
          <a:extLst>
            <a:ext uri="{FF2B5EF4-FFF2-40B4-BE49-F238E27FC236}">
              <a16:creationId xmlns:a16="http://schemas.microsoft.com/office/drawing/2014/main" id="{00000000-0008-0000-0100-000033000000}"/>
            </a:ext>
          </a:extLst>
        </xdr:cNvPr>
        <xdr:cNvSpPr/>
      </xdr:nvSpPr>
      <xdr:spPr>
        <a:xfrm>
          <a:off x="942976" y="2447926"/>
          <a:ext cx="133350" cy="133350"/>
        </a:xfrm>
        <a:prstGeom prst="ellipse">
          <a:avLst/>
        </a:prstGeom>
        <a:solidFill>
          <a:srgbClr val="FF00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104775</xdr:colOff>
          <xdr:row>5</xdr:row>
          <xdr:rowOff>0</xdr:rowOff>
        </xdr:from>
        <xdr:to>
          <xdr:col>0</xdr:col>
          <xdr:colOff>419100</xdr:colOff>
          <xdr:row>11</xdr:row>
          <xdr:rowOff>76200</xdr:rowOff>
        </xdr:to>
        <xdr:pic>
          <xdr:nvPicPr>
            <xdr:cNvPr id="54" name="Picture 53">
              <a:extLst>
                <a:ext uri="{FF2B5EF4-FFF2-40B4-BE49-F238E27FC236}">
                  <a16:creationId xmlns:a16="http://schemas.microsoft.com/office/drawing/2014/main" id="{00000000-0008-0000-0100-000036000000}"/>
                </a:ext>
              </a:extLst>
            </xdr:cNvPr>
            <xdr:cNvPicPr>
              <a:picLocks noChangeAspect="1" noChangeArrowheads="1"/>
              <a:extLst>
                <a:ext uri="{84589F7E-364E-4C9E-8A38-B11213B215E9}">
                  <a14:cameraTool cellRange="'PROCCESSING '!$BB$24:$BB$26" spid="_x0000_s12212"/>
                </a:ext>
              </a:extLst>
            </xdr:cNvPicPr>
          </xdr:nvPicPr>
          <xdr:blipFill rotWithShape="1">
            <a:blip xmlns:r="http://schemas.openxmlformats.org/officeDocument/2006/relationships" r:embed="rId9"/>
            <a:srcRect r="72269"/>
            <a:stretch>
              <a:fillRect/>
            </a:stretch>
          </xdr:blipFill>
          <xdr:spPr bwMode="auto">
            <a:xfrm>
              <a:off x="104775" y="952500"/>
              <a:ext cx="314325" cy="12192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21</xdr:col>
      <xdr:colOff>381000</xdr:colOff>
      <xdr:row>32</xdr:row>
      <xdr:rowOff>133350</xdr:rowOff>
    </xdr:from>
    <xdr:to>
      <xdr:col>31</xdr:col>
      <xdr:colOff>133350</xdr:colOff>
      <xdr:row>44</xdr:row>
      <xdr:rowOff>138112</xdr:rowOff>
    </xdr:to>
    <xdr:graphicFrame macro="">
      <xdr:nvGraphicFramePr>
        <xdr:cNvPr id="57" name="Chart 56">
          <a:extLst>
            <a:ext uri="{FF2B5EF4-FFF2-40B4-BE49-F238E27FC236}">
              <a16:creationId xmlns:a16="http://schemas.microsoft.com/office/drawing/2014/main" id="{00000000-0008-0000-01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285750</xdr:colOff>
      <xdr:row>31</xdr:row>
      <xdr:rowOff>114300</xdr:rowOff>
    </xdr:from>
    <xdr:to>
      <xdr:col>29</xdr:col>
      <xdr:colOff>285750</xdr:colOff>
      <xdr:row>32</xdr:row>
      <xdr:rowOff>161925</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13087350" y="6019800"/>
          <a:ext cx="48768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pPr algn="ctr"/>
          <a:r>
            <a:rPr lang="en-US" sz="1100" b="1" cap="none" spc="0">
              <a:ln/>
              <a:solidFill>
                <a:srgbClr val="FF00FF"/>
              </a:solidFill>
              <a:effectLst/>
            </a:rPr>
            <a:t> </a:t>
          </a:r>
          <a:r>
            <a:rPr lang="en-US" sz="1100" b="1" cap="none" spc="0" baseline="0">
              <a:ln/>
              <a:solidFill>
                <a:srgbClr val="FF00FF"/>
              </a:solidFill>
              <a:effectLst/>
            </a:rPr>
            <a:t> </a:t>
          </a:r>
          <a:r>
            <a:rPr lang="en-US" sz="1100" b="1" cap="none" spc="0" baseline="0">
              <a:ln/>
              <a:solidFill>
                <a:srgbClr val="FF00FF"/>
              </a:solidFill>
              <a:effectLst/>
              <a:latin typeface="Arial Black" panose="020B0A04020102020204" pitchFamily="34" charset="0"/>
            </a:rPr>
            <a:t>COMPARATIVE  AVERAGE LENGTH OF STAY PER PATIENT </a:t>
          </a:r>
          <a:endParaRPr lang="en-US" sz="1100" b="1" cap="none" spc="0">
            <a:ln/>
            <a:solidFill>
              <a:srgbClr val="FF00FF"/>
            </a:solidFill>
            <a:effectLst/>
            <a:latin typeface="Arial Black" panose="020B0A040201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28575</xdr:colOff>
          <xdr:row>17</xdr:row>
          <xdr:rowOff>114300</xdr:rowOff>
        </xdr:from>
        <xdr:to>
          <xdr:col>21</xdr:col>
          <xdr:colOff>323850</xdr:colOff>
          <xdr:row>18</xdr:row>
          <xdr:rowOff>104775</xdr:rowOff>
        </xdr:to>
        <xdr:sp macro="" textlink="">
          <xdr:nvSpPr>
            <xdr:cNvPr id="6081" name="Scroll Bar 961" hidden="1">
              <a:extLst>
                <a:ext uri="{63B3BB69-23CF-44E3-9099-C40C66FF867C}">
                  <a14:compatExt spid="_x0000_s6081"/>
                </a:ext>
                <a:ext uri="{FF2B5EF4-FFF2-40B4-BE49-F238E27FC236}">
                  <a16:creationId xmlns:a16="http://schemas.microsoft.com/office/drawing/2014/main" id="{00000000-0008-0000-0100-0000C11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21</xdr:col>
      <xdr:colOff>100012</xdr:colOff>
      <xdr:row>0</xdr:row>
      <xdr:rowOff>95249</xdr:rowOff>
    </xdr:from>
    <xdr:to>
      <xdr:col>24</xdr:col>
      <xdr:colOff>71438</xdr:colOff>
      <xdr:row>1</xdr:row>
      <xdr:rowOff>161924</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12901612" y="95249"/>
          <a:ext cx="1800226" cy="257175"/>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bg1"/>
              </a:solidFill>
              <a:latin typeface="Arial Black" panose="020B0A04020102020204" pitchFamily="34" charset="0"/>
            </a:rPr>
            <a:t>ADMISSIONS VARIANCE</a:t>
          </a:r>
          <a:endParaRPr lang="en-US" sz="800">
            <a:solidFill>
              <a:schemeClr val="bg1"/>
            </a:solidFill>
            <a:latin typeface="Arial Black" panose="020B0A04020102020204" pitchFamily="34" charset="0"/>
          </a:endParaRPr>
        </a:p>
      </xdr:txBody>
    </xdr:sp>
    <xdr:clientData/>
  </xdr:twoCellAnchor>
  <xdr:twoCellAnchor>
    <xdr:from>
      <xdr:col>23</xdr:col>
      <xdr:colOff>328613</xdr:colOff>
      <xdr:row>0</xdr:row>
      <xdr:rowOff>66674</xdr:rowOff>
    </xdr:from>
    <xdr:to>
      <xdr:col>24</xdr:col>
      <xdr:colOff>400051</xdr:colOff>
      <xdr:row>1</xdr:row>
      <xdr:rowOff>133349</xdr:rowOff>
    </xdr:to>
    <xdr:sp macro="" textlink="'PROCCESSING '!S28">
      <xdr:nvSpPr>
        <xdr:cNvPr id="48" name="TextBox 47">
          <a:extLst>
            <a:ext uri="{FF2B5EF4-FFF2-40B4-BE49-F238E27FC236}">
              <a16:creationId xmlns:a16="http://schemas.microsoft.com/office/drawing/2014/main" id="{00000000-0008-0000-0100-000030000000}"/>
            </a:ext>
          </a:extLst>
        </xdr:cNvPr>
        <xdr:cNvSpPr txBox="1"/>
      </xdr:nvSpPr>
      <xdr:spPr>
        <a:xfrm>
          <a:off x="14349413" y="66674"/>
          <a:ext cx="681038" cy="257175"/>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53131C-3799-430B-BCD0-6C90E87499B6}" type="TxLink">
            <a:rPr lang="en-US" sz="1100" b="0" i="0" u="none" strike="noStrike">
              <a:solidFill>
                <a:schemeClr val="bg1"/>
              </a:solidFill>
              <a:latin typeface="Arial Black" panose="020B0A04020102020204" pitchFamily="34" charset="0"/>
              <a:ea typeface="+mn-ea"/>
              <a:cs typeface="Calibri"/>
            </a:rPr>
            <a:pPr marL="0" indent="0"/>
            <a:t>-10</a:t>
          </a:fld>
          <a:endParaRPr lang="en-US" sz="1100" b="0" i="0" u="none" strike="noStrike">
            <a:solidFill>
              <a:schemeClr val="bg1"/>
            </a:solidFill>
            <a:latin typeface="Arial Black" panose="020B0A04020102020204" pitchFamily="34" charset="0"/>
            <a:ea typeface="+mn-ea"/>
            <a:cs typeface="Calibri"/>
          </a:endParaRPr>
        </a:p>
      </xdr:txBody>
    </xdr:sp>
    <xdr:clientData/>
  </xdr:twoCellAnchor>
  <xdr:twoCellAnchor editAs="absolute">
    <xdr:from>
      <xdr:col>2</xdr:col>
      <xdr:colOff>114301</xdr:colOff>
      <xdr:row>19</xdr:row>
      <xdr:rowOff>9525</xdr:rowOff>
    </xdr:from>
    <xdr:to>
      <xdr:col>11</xdr:col>
      <xdr:colOff>552451</xdr:colOff>
      <xdr:row>32</xdr:row>
      <xdr:rowOff>161025</xdr:rowOff>
    </xdr:to>
    <xdr:graphicFrame macro="">
      <xdr:nvGraphicFramePr>
        <xdr:cNvPr id="52" name="Chart 51">
          <a:extLst>
            <a:ext uri="{FF2B5EF4-FFF2-40B4-BE49-F238E27FC236}">
              <a16:creationId xmlns:a16="http://schemas.microsoft.com/office/drawing/2014/main" id="{00000000-0008-0000-01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9525</xdr:colOff>
      <xdr:row>18</xdr:row>
      <xdr:rowOff>123825</xdr:rowOff>
    </xdr:from>
    <xdr:to>
      <xdr:col>7</xdr:col>
      <xdr:colOff>28575</xdr:colOff>
      <xdr:row>19</xdr:row>
      <xdr:rowOff>161925</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1228725" y="3552825"/>
          <a:ext cx="30670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pPr algn="ctr"/>
          <a:r>
            <a:rPr lang="en-US" sz="1100" b="1" cap="none" spc="0">
              <a:ln/>
              <a:solidFill>
                <a:srgbClr val="CC00CC"/>
              </a:solidFill>
              <a:effectLst/>
            </a:rPr>
            <a:t> </a:t>
          </a:r>
          <a:r>
            <a:rPr lang="en-US" sz="1100" b="1" cap="none" spc="0" baseline="0">
              <a:ln/>
              <a:solidFill>
                <a:srgbClr val="CC00CC"/>
              </a:solidFill>
              <a:effectLst/>
            </a:rPr>
            <a:t> </a:t>
          </a:r>
          <a:r>
            <a:rPr lang="en-US" sz="1100" b="1" cap="none" spc="0" baseline="0">
              <a:ln/>
              <a:solidFill>
                <a:srgbClr val="CC00CC"/>
              </a:solidFill>
              <a:effectLst/>
              <a:latin typeface="Arial Black" panose="020B0A04020102020204" pitchFamily="34" charset="0"/>
            </a:rPr>
            <a:t>COMPARATIVE OPERATING COSTS</a:t>
          </a:r>
          <a:endParaRPr lang="en-US" sz="1100" b="1" cap="none" spc="0">
            <a:ln/>
            <a:solidFill>
              <a:srgbClr val="CC00CC"/>
            </a:solidFill>
            <a:effectLst/>
            <a:latin typeface="Arial Black" panose="020B0A04020102020204" pitchFamily="34" charset="0"/>
          </a:endParaRPr>
        </a:p>
      </xdr:txBody>
    </xdr:sp>
    <xdr:clientData/>
  </xdr:twoCellAnchor>
  <xdr:twoCellAnchor editAs="absolute">
    <xdr:from>
      <xdr:col>2</xdr:col>
      <xdr:colOff>57150</xdr:colOff>
      <xdr:row>32</xdr:row>
      <xdr:rowOff>142875</xdr:rowOff>
    </xdr:from>
    <xdr:to>
      <xdr:col>11</xdr:col>
      <xdr:colOff>485775</xdr:colOff>
      <xdr:row>45</xdr:row>
      <xdr:rowOff>57150</xdr:rowOff>
    </xdr:to>
    <xdr:graphicFrame macro="">
      <xdr:nvGraphicFramePr>
        <xdr:cNvPr id="59" name="Chart 58">
          <a:extLst>
            <a:ext uri="{FF2B5EF4-FFF2-40B4-BE49-F238E27FC236}">
              <a16:creationId xmlns:a16="http://schemas.microsoft.com/office/drawing/2014/main" id="{00000000-0008-0000-01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47625</xdr:colOff>
      <xdr:row>32</xdr:row>
      <xdr:rowOff>114300</xdr:rowOff>
    </xdr:from>
    <xdr:to>
      <xdr:col>7</xdr:col>
      <xdr:colOff>66675</xdr:colOff>
      <xdr:row>33</xdr:row>
      <xdr:rowOff>152400</xdr:rowOff>
    </xdr:to>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1266825" y="6210300"/>
          <a:ext cx="30670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pPr algn="ctr"/>
          <a:r>
            <a:rPr lang="en-US" sz="1050" b="1" cap="none" spc="0">
              <a:ln/>
              <a:solidFill>
                <a:srgbClr val="CC00CC"/>
              </a:solidFill>
              <a:effectLst/>
            </a:rPr>
            <a:t> </a:t>
          </a:r>
          <a:r>
            <a:rPr lang="en-US" sz="1050" b="1" cap="none" spc="0" baseline="0">
              <a:ln/>
              <a:solidFill>
                <a:srgbClr val="CC00CC"/>
              </a:solidFill>
              <a:effectLst/>
            </a:rPr>
            <a:t> </a:t>
          </a:r>
          <a:r>
            <a:rPr lang="en-US" sz="1050" b="1" cap="none" spc="0" baseline="0">
              <a:ln/>
              <a:solidFill>
                <a:srgbClr val="CC00CC"/>
              </a:solidFill>
              <a:effectLst/>
              <a:latin typeface="Arial Black" panose="020B0A04020102020204" pitchFamily="34" charset="0"/>
            </a:rPr>
            <a:t>COMPARATIVE OPERATING PROFIT</a:t>
          </a:r>
          <a:endParaRPr lang="en-US" sz="1050" b="1" cap="none" spc="0">
            <a:ln/>
            <a:solidFill>
              <a:srgbClr val="CC00CC"/>
            </a:solidFill>
            <a:effectLst/>
            <a:latin typeface="Arial Black" panose="020B0A04020102020204" pitchFamily="34" charset="0"/>
          </a:endParaRPr>
        </a:p>
      </xdr:txBody>
    </xdr:sp>
    <xdr:clientData/>
  </xdr:twoCellAnchor>
  <xdr:twoCellAnchor>
    <xdr:from>
      <xdr:col>2</xdr:col>
      <xdr:colOff>76200</xdr:colOff>
      <xdr:row>39</xdr:row>
      <xdr:rowOff>180976</xdr:rowOff>
    </xdr:from>
    <xdr:to>
      <xdr:col>11</xdr:col>
      <xdr:colOff>485775</xdr:colOff>
      <xdr:row>47</xdr:row>
      <xdr:rowOff>0</xdr:rowOff>
    </xdr:to>
    <xdr:graphicFrame macro="">
      <xdr:nvGraphicFramePr>
        <xdr:cNvPr id="70" name="Chart 69">
          <a:extLst>
            <a:ext uri="{FF2B5EF4-FFF2-40B4-BE49-F238E27FC236}">
              <a16:creationId xmlns:a16="http://schemas.microsoft.com/office/drawing/2014/main" id="{00000000-0008-0000-01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523875</xdr:colOff>
      <xdr:row>2</xdr:row>
      <xdr:rowOff>133350</xdr:rowOff>
    </xdr:from>
    <xdr:to>
      <xdr:col>11</xdr:col>
      <xdr:colOff>552450</xdr:colOff>
      <xdr:row>3</xdr:row>
      <xdr:rowOff>161925</xdr:rowOff>
    </xdr:to>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791075" y="514350"/>
          <a:ext cx="24669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pPr algn="ctr"/>
          <a:r>
            <a:rPr lang="en-US" sz="1400" b="1" cap="none" spc="0">
              <a:ln/>
              <a:solidFill>
                <a:schemeClr val="accent4"/>
              </a:solidFill>
              <a:effectLst/>
            </a:rPr>
            <a:t> </a:t>
          </a:r>
          <a:r>
            <a:rPr lang="en-US" sz="1400" b="1" cap="none" spc="0" baseline="0">
              <a:ln/>
              <a:solidFill>
                <a:schemeClr val="accent4"/>
              </a:solidFill>
              <a:effectLst/>
            </a:rPr>
            <a:t> </a:t>
          </a:r>
          <a:r>
            <a:rPr lang="en-US" sz="1400" b="1" cap="none" spc="0" baseline="0">
              <a:ln/>
              <a:solidFill>
                <a:schemeClr val="accent4"/>
              </a:solidFill>
              <a:effectLst/>
              <a:latin typeface="Arial Black" panose="020B0A04020102020204" pitchFamily="34" charset="0"/>
            </a:rPr>
            <a:t>FINANCIAL ASPECT </a:t>
          </a:r>
          <a:endParaRPr lang="en-US" sz="1400" b="1" cap="none" spc="0">
            <a:ln/>
            <a:solidFill>
              <a:schemeClr val="accent4"/>
            </a:solidFill>
            <a:effectLst/>
            <a:latin typeface="Arial Black" panose="020B0A04020102020204" pitchFamily="34" charset="0"/>
          </a:endParaRPr>
        </a:p>
      </xdr:txBody>
    </xdr:sp>
    <xdr:clientData/>
  </xdr:twoCellAnchor>
  <xdr:twoCellAnchor>
    <xdr:from>
      <xdr:col>17</xdr:col>
      <xdr:colOff>485775</xdr:colOff>
      <xdr:row>2</xdr:row>
      <xdr:rowOff>114300</xdr:rowOff>
    </xdr:from>
    <xdr:to>
      <xdr:col>21</xdr:col>
      <xdr:colOff>571500</xdr:colOff>
      <xdr:row>3</xdr:row>
      <xdr:rowOff>142875</xdr:rowOff>
    </xdr:to>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10848975" y="495300"/>
          <a:ext cx="25241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pPr marL="0" indent="0" algn="ctr"/>
          <a:r>
            <a:rPr lang="en-US" sz="1400" b="1" cap="none" spc="0">
              <a:ln/>
              <a:solidFill>
                <a:schemeClr val="accent4"/>
              </a:solidFill>
              <a:effectLst/>
              <a:latin typeface="Arial Black" panose="020B0A04020102020204" pitchFamily="34" charset="0"/>
              <a:ea typeface="+mn-ea"/>
              <a:cs typeface="+mn-cs"/>
            </a:rPr>
            <a:t>TECHNICAL</a:t>
          </a:r>
          <a:r>
            <a:rPr lang="en-US" sz="1400" b="1" cap="none" spc="0" baseline="0">
              <a:ln/>
              <a:solidFill>
                <a:schemeClr val="accent4"/>
              </a:solidFill>
              <a:effectLst/>
              <a:latin typeface="Arial Black" panose="020B0A04020102020204" pitchFamily="34" charset="0"/>
              <a:ea typeface="+mn-ea"/>
              <a:cs typeface="+mn-cs"/>
            </a:rPr>
            <a:t> </a:t>
          </a:r>
          <a:r>
            <a:rPr lang="en-US" sz="1400" b="1" cap="none" spc="0">
              <a:ln/>
              <a:solidFill>
                <a:schemeClr val="accent4"/>
              </a:solidFill>
              <a:effectLst/>
              <a:latin typeface="Arial Black" panose="020B0A04020102020204" pitchFamily="34" charset="0"/>
              <a:ea typeface="+mn-ea"/>
              <a:cs typeface="+mn-cs"/>
            </a:rPr>
            <a:t>ASPECT</a:t>
          </a:r>
        </a:p>
      </xdr:txBody>
    </xdr:sp>
    <xdr:clientData/>
  </xdr:twoCellAnchor>
  <xdr:twoCellAnchor>
    <xdr:from>
      <xdr:col>0</xdr:col>
      <xdr:colOff>0</xdr:colOff>
      <xdr:row>0</xdr:row>
      <xdr:rowOff>19050</xdr:rowOff>
    </xdr:from>
    <xdr:to>
      <xdr:col>2</xdr:col>
      <xdr:colOff>152400</xdr:colOff>
      <xdr:row>60</xdr:row>
      <xdr:rowOff>19050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0" y="19050"/>
          <a:ext cx="1371600" cy="11430000"/>
        </a:xfrm>
        <a:prstGeom prst="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20</xdr:row>
      <xdr:rowOff>161924</xdr:rowOff>
    </xdr:from>
    <xdr:to>
      <xdr:col>2</xdr:col>
      <xdr:colOff>133350</xdr:colOff>
      <xdr:row>22</xdr:row>
      <xdr:rowOff>85725</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7625" y="3971924"/>
          <a:ext cx="1304925" cy="304801"/>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Arial Black" panose="020B0A04020102020204" pitchFamily="34" charset="0"/>
            </a:rPr>
            <a:t>COSTS </a:t>
          </a:r>
          <a:r>
            <a:rPr lang="en-US" sz="800" baseline="0">
              <a:solidFill>
                <a:schemeClr val="bg1"/>
              </a:solidFill>
              <a:latin typeface="Arial Black" panose="020B0A04020102020204" pitchFamily="34" charset="0"/>
            </a:rPr>
            <a:t>CHANGES</a:t>
          </a:r>
          <a:endParaRPr lang="en-US" sz="800">
            <a:solidFill>
              <a:schemeClr val="bg1"/>
            </a:solidFill>
            <a:latin typeface="Arial Black" panose="020B0A040201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47625</xdr:colOff>
          <xdr:row>22</xdr:row>
          <xdr:rowOff>76200</xdr:rowOff>
        </xdr:from>
        <xdr:to>
          <xdr:col>2</xdr:col>
          <xdr:colOff>19050</xdr:colOff>
          <xdr:row>24</xdr:row>
          <xdr:rowOff>19050</xdr:rowOff>
        </xdr:to>
        <xdr:pic>
          <xdr:nvPicPr>
            <xdr:cNvPr id="62" name="Picture 61">
              <a:extLst>
                <a:ext uri="{FF2B5EF4-FFF2-40B4-BE49-F238E27FC236}">
                  <a16:creationId xmlns:a16="http://schemas.microsoft.com/office/drawing/2014/main" id="{00000000-0008-0000-0100-00003E000000}"/>
                </a:ext>
              </a:extLst>
            </xdr:cNvPr>
            <xdr:cNvPicPr>
              <a:picLocks noChangeAspect="1" noChangeArrowheads="1"/>
              <a:extLst>
                <a:ext uri="{84589F7E-364E-4C9E-8A38-B11213B215E9}">
                  <a14:cameraTool cellRange="'PROCCESSING '!$T$29" spid="_x0000_s12213"/>
                </a:ext>
              </a:extLst>
            </xdr:cNvPicPr>
          </xdr:nvPicPr>
          <xdr:blipFill>
            <a:blip xmlns:r="http://schemas.openxmlformats.org/officeDocument/2006/relationships" r:embed="rId14"/>
            <a:srcRect/>
            <a:stretch>
              <a:fillRect/>
            </a:stretch>
          </xdr:blipFill>
          <xdr:spPr bwMode="auto">
            <a:xfrm>
              <a:off x="47625" y="4267200"/>
              <a:ext cx="1190625" cy="3238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85726</xdr:colOff>
      <xdr:row>24</xdr:row>
      <xdr:rowOff>9525</xdr:rowOff>
    </xdr:from>
    <xdr:to>
      <xdr:col>2</xdr:col>
      <xdr:colOff>66675</xdr:colOff>
      <xdr:row>25</xdr:row>
      <xdr:rowOff>76201</xdr:rowOff>
    </xdr:to>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85726" y="4581525"/>
          <a:ext cx="1200149" cy="257176"/>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latin typeface="Arial Black" panose="020B0A04020102020204" pitchFamily="34" charset="0"/>
            </a:rPr>
            <a:t>COST</a:t>
          </a:r>
          <a:r>
            <a:rPr lang="en-US" sz="800" baseline="0">
              <a:solidFill>
                <a:schemeClr val="tx1"/>
              </a:solidFill>
              <a:latin typeface="Arial Black" panose="020B0A04020102020204" pitchFamily="34" charset="0"/>
            </a:rPr>
            <a:t> </a:t>
          </a:r>
          <a:r>
            <a:rPr lang="en-US" sz="800" baseline="0">
              <a:solidFill>
                <a:schemeClr val="bg1"/>
              </a:solidFill>
              <a:latin typeface="Arial Black" panose="020B0A04020102020204" pitchFamily="34" charset="0"/>
            </a:rPr>
            <a:t>VARIANCE</a:t>
          </a:r>
          <a:endParaRPr lang="en-US" sz="800">
            <a:solidFill>
              <a:schemeClr val="bg1"/>
            </a:solidFill>
            <a:latin typeface="Arial Black" panose="020B0A04020102020204" pitchFamily="34" charset="0"/>
          </a:endParaRPr>
        </a:p>
      </xdr:txBody>
    </xdr:sp>
    <xdr:clientData/>
  </xdr:twoCellAnchor>
  <xdr:twoCellAnchor>
    <xdr:from>
      <xdr:col>0</xdr:col>
      <xdr:colOff>114300</xdr:colOff>
      <xdr:row>13</xdr:row>
      <xdr:rowOff>47625</xdr:rowOff>
    </xdr:from>
    <xdr:to>
      <xdr:col>1</xdr:col>
      <xdr:colOff>590550</xdr:colOff>
      <xdr:row>13</xdr:row>
      <xdr:rowOff>47625</xdr:rowOff>
    </xdr:to>
    <xdr:cxnSp macro="">
      <xdr:nvCxnSpPr>
        <xdr:cNvPr id="11" name="Straight Connector 10">
          <a:extLst>
            <a:ext uri="{FF2B5EF4-FFF2-40B4-BE49-F238E27FC236}">
              <a16:creationId xmlns:a16="http://schemas.microsoft.com/office/drawing/2014/main" id="{00000000-0008-0000-0100-00000B000000}"/>
            </a:ext>
          </a:extLst>
        </xdr:cNvPr>
        <xdr:cNvCxnSpPr/>
      </xdr:nvCxnSpPr>
      <xdr:spPr>
        <a:xfrm>
          <a:off x="114300" y="2524125"/>
          <a:ext cx="1085850" cy="0"/>
        </a:xfrm>
        <a:prstGeom prst="line">
          <a:avLst/>
        </a:prstGeom>
        <a:ln w="12700">
          <a:solidFill>
            <a:srgbClr val="FF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27</xdr:row>
      <xdr:rowOff>47624</xdr:rowOff>
    </xdr:from>
    <xdr:to>
      <xdr:col>2</xdr:col>
      <xdr:colOff>85725</xdr:colOff>
      <xdr:row>28</xdr:row>
      <xdr:rowOff>161925</xdr:rowOff>
    </xdr:to>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0" y="5191124"/>
          <a:ext cx="1304925" cy="304801"/>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Arial Black" panose="020B0A04020102020204" pitchFamily="34" charset="0"/>
            </a:rPr>
            <a:t>PROFIT </a:t>
          </a:r>
          <a:r>
            <a:rPr lang="en-US" sz="800" baseline="0">
              <a:solidFill>
                <a:schemeClr val="bg1"/>
              </a:solidFill>
              <a:latin typeface="Arial Black" panose="020B0A04020102020204" pitchFamily="34" charset="0"/>
            </a:rPr>
            <a:t>CHANGES</a:t>
          </a:r>
          <a:endParaRPr lang="en-US" sz="800">
            <a:solidFill>
              <a:schemeClr val="bg1"/>
            </a:solidFill>
            <a:latin typeface="Arial Black" panose="020B0A04020102020204" pitchFamily="34" charset="0"/>
          </a:endParaRPr>
        </a:p>
      </xdr:txBody>
    </xdr:sp>
    <xdr:clientData/>
  </xdr:twoCellAnchor>
  <xdr:twoCellAnchor>
    <xdr:from>
      <xdr:col>0</xdr:col>
      <xdr:colOff>9525</xdr:colOff>
      <xdr:row>31</xdr:row>
      <xdr:rowOff>114299</xdr:rowOff>
    </xdr:from>
    <xdr:to>
      <xdr:col>2</xdr:col>
      <xdr:colOff>95250</xdr:colOff>
      <xdr:row>33</xdr:row>
      <xdr:rowOff>38100</xdr:rowOff>
    </xdr:to>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525" y="6019799"/>
          <a:ext cx="1304925" cy="304801"/>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Arial Black" panose="020B0A04020102020204" pitchFamily="34" charset="0"/>
            </a:rPr>
            <a:t>PROFIT </a:t>
          </a:r>
          <a:r>
            <a:rPr lang="en-US" sz="800" baseline="0">
              <a:solidFill>
                <a:schemeClr val="bg1"/>
              </a:solidFill>
              <a:latin typeface="Arial Black" panose="020B0A04020102020204" pitchFamily="34" charset="0"/>
            </a:rPr>
            <a:t>VARIANCE</a:t>
          </a:r>
          <a:endParaRPr lang="en-US" sz="800">
            <a:solidFill>
              <a:schemeClr val="bg1"/>
            </a:solidFill>
            <a:latin typeface="Arial Black" panose="020B0A04020102020204" pitchFamily="34" charset="0"/>
          </a:endParaRPr>
        </a:p>
      </xdr:txBody>
    </xdr:sp>
    <xdr:clientData/>
  </xdr:twoCellAnchor>
  <xdr:twoCellAnchor>
    <xdr:from>
      <xdr:col>0</xdr:col>
      <xdr:colOff>0</xdr:colOff>
      <xdr:row>33</xdr:row>
      <xdr:rowOff>28574</xdr:rowOff>
    </xdr:from>
    <xdr:to>
      <xdr:col>2</xdr:col>
      <xdr:colOff>104775</xdr:colOff>
      <xdr:row>34</xdr:row>
      <xdr:rowOff>142875</xdr:rowOff>
    </xdr:to>
    <xdr:sp macro="" textlink="'PROCCESSING '!U23">
      <xdr:nvSpPr>
        <xdr:cNvPr id="68" name="TextBox 67">
          <a:extLst>
            <a:ext uri="{FF2B5EF4-FFF2-40B4-BE49-F238E27FC236}">
              <a16:creationId xmlns:a16="http://schemas.microsoft.com/office/drawing/2014/main" id="{00000000-0008-0000-0100-000044000000}"/>
            </a:ext>
          </a:extLst>
        </xdr:cNvPr>
        <xdr:cNvSpPr txBox="1"/>
      </xdr:nvSpPr>
      <xdr:spPr>
        <a:xfrm>
          <a:off x="0" y="6315074"/>
          <a:ext cx="1323975" cy="304801"/>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DCF5B1E-BE15-48B8-9B68-FDA32F2ED334}" type="TxLink">
            <a:rPr lang="en-US" sz="1200" b="1" i="0" u="none" strike="noStrike">
              <a:solidFill>
                <a:srgbClr val="00FF00"/>
              </a:solidFill>
              <a:latin typeface="Arial Black" panose="020B0A04020102020204" pitchFamily="34" charset="0"/>
              <a:ea typeface="+mn-ea"/>
              <a:cs typeface="Calibri"/>
            </a:rPr>
            <a:pPr marL="0" indent="0" algn="ctr"/>
            <a:t> 6,790,061.68       </a:t>
          </a:fld>
          <a:endParaRPr lang="en-US" sz="1200" b="1" i="0" u="none" strike="noStrike">
            <a:solidFill>
              <a:srgbClr val="00FF00"/>
            </a:solidFill>
            <a:latin typeface="Arial Black" panose="020B0A04020102020204" pitchFamily="34" charset="0"/>
            <a:ea typeface="+mn-ea"/>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29</xdr:row>
          <xdr:rowOff>66675</xdr:rowOff>
        </xdr:from>
        <xdr:to>
          <xdr:col>2</xdr:col>
          <xdr:colOff>209550</xdr:colOff>
          <xdr:row>31</xdr:row>
          <xdr:rowOff>9525</xdr:rowOff>
        </xdr:to>
        <xdr:pic>
          <xdr:nvPicPr>
            <xdr:cNvPr id="66" name="Picture 65">
              <a:extLst>
                <a:ext uri="{FF2B5EF4-FFF2-40B4-BE49-F238E27FC236}">
                  <a16:creationId xmlns:a16="http://schemas.microsoft.com/office/drawing/2014/main" id="{00000000-0008-0000-0100-000042000000}"/>
                </a:ext>
              </a:extLst>
            </xdr:cNvPr>
            <xdr:cNvPicPr>
              <a:picLocks noChangeAspect="1" noChangeArrowheads="1"/>
              <a:extLst>
                <a:ext uri="{84589F7E-364E-4C9E-8A38-B11213B215E9}">
                  <a14:cameraTool cellRange="'PROCCESSING '!$U$29" spid="_x0000_s12214"/>
                </a:ext>
              </a:extLst>
            </xdr:cNvPicPr>
          </xdr:nvPicPr>
          <xdr:blipFill>
            <a:blip xmlns:r="http://schemas.openxmlformats.org/officeDocument/2006/relationships" r:embed="rId15"/>
            <a:srcRect/>
            <a:stretch>
              <a:fillRect/>
            </a:stretch>
          </xdr:blipFill>
          <xdr:spPr bwMode="auto">
            <a:xfrm>
              <a:off x="0" y="5591175"/>
              <a:ext cx="1428750" cy="3238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0</xdr:colOff>
      <xdr:row>25</xdr:row>
      <xdr:rowOff>28574</xdr:rowOff>
    </xdr:from>
    <xdr:to>
      <xdr:col>2</xdr:col>
      <xdr:colOff>333375</xdr:colOff>
      <xdr:row>26</xdr:row>
      <xdr:rowOff>142875</xdr:rowOff>
    </xdr:to>
    <xdr:sp macro="" textlink="'PROCCESSING '!T23">
      <xdr:nvSpPr>
        <xdr:cNvPr id="61" name="TextBox 60">
          <a:extLst>
            <a:ext uri="{FF2B5EF4-FFF2-40B4-BE49-F238E27FC236}">
              <a16:creationId xmlns:a16="http://schemas.microsoft.com/office/drawing/2014/main" id="{00000000-0008-0000-0100-00003D000000}"/>
            </a:ext>
          </a:extLst>
        </xdr:cNvPr>
        <xdr:cNvSpPr txBox="1"/>
      </xdr:nvSpPr>
      <xdr:spPr>
        <a:xfrm>
          <a:off x="0" y="4791074"/>
          <a:ext cx="1552575" cy="304801"/>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4FD828-19D3-4B51-95CC-72717BC8166F}" type="TxLink">
            <a:rPr lang="en-US" sz="1200" b="1" i="0" u="none" strike="noStrike">
              <a:solidFill>
                <a:srgbClr val="FF0000"/>
              </a:solidFill>
              <a:latin typeface="Arial Black" panose="020B0A04020102020204" pitchFamily="34" charset="0"/>
              <a:cs typeface="Calibri"/>
            </a:rPr>
            <a:pPr algn="ctr"/>
            <a:t>-7,614,403.40       </a:t>
          </a:fld>
          <a:endParaRPr lang="en-US" sz="900" b="1">
            <a:solidFill>
              <a:srgbClr val="FF0000"/>
            </a:solidFill>
            <a:latin typeface="Arial Black" panose="020B0A04020102020204" pitchFamily="34" charset="0"/>
          </a:endParaRPr>
        </a:p>
      </xdr:txBody>
    </xdr:sp>
    <xdr:clientData/>
  </xdr:twoCellAnchor>
  <xdr:twoCellAnchor editAs="oneCell">
    <xdr:from>
      <xdr:col>0</xdr:col>
      <xdr:colOff>0</xdr:colOff>
      <xdr:row>14</xdr:row>
      <xdr:rowOff>57150</xdr:rowOff>
    </xdr:from>
    <xdr:to>
      <xdr:col>2</xdr:col>
      <xdr:colOff>161925</xdr:colOff>
      <xdr:row>20</xdr:row>
      <xdr:rowOff>9524</xdr:rowOff>
    </xdr:to>
    <mc:AlternateContent xmlns:mc="http://schemas.openxmlformats.org/markup-compatibility/2006" xmlns:a14="http://schemas.microsoft.com/office/drawing/2010/main">
      <mc:Choice Requires="a14">
        <xdr:graphicFrame macro="">
          <xdr:nvGraphicFramePr>
            <xdr:cNvPr id="72" name="YEAR ">
              <a:extLst>
                <a:ext uri="{FF2B5EF4-FFF2-40B4-BE49-F238E27FC236}">
                  <a16:creationId xmlns:a16="http://schemas.microsoft.com/office/drawing/2014/main" id="{00000000-0008-0000-0100-000048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0" y="2724150"/>
              <a:ext cx="1381125"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14</xdr:row>
      <xdr:rowOff>47624</xdr:rowOff>
    </xdr:from>
    <xdr:to>
      <xdr:col>2</xdr:col>
      <xdr:colOff>161925</xdr:colOff>
      <xdr:row>20</xdr:row>
      <xdr:rowOff>38099</xdr:rowOff>
    </xdr:to>
    <xdr:sp macro="" textlink="">
      <xdr:nvSpPr>
        <xdr:cNvPr id="9" name="Frame 8">
          <a:extLst>
            <a:ext uri="{FF2B5EF4-FFF2-40B4-BE49-F238E27FC236}">
              <a16:creationId xmlns:a16="http://schemas.microsoft.com/office/drawing/2014/main" id="{00000000-0008-0000-0100-000009000000}"/>
            </a:ext>
          </a:extLst>
        </xdr:cNvPr>
        <xdr:cNvSpPr/>
      </xdr:nvSpPr>
      <xdr:spPr>
        <a:xfrm>
          <a:off x="0" y="2714624"/>
          <a:ext cx="1381125" cy="1133475"/>
        </a:xfrm>
        <a:prstGeom prst="frame">
          <a:avLst>
            <a:gd name="adj1" fmla="val 5946"/>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28575</xdr:colOff>
      <xdr:row>18</xdr:row>
      <xdr:rowOff>171450</xdr:rowOff>
    </xdr:from>
    <xdr:to>
      <xdr:col>2</xdr:col>
      <xdr:colOff>133350</xdr:colOff>
      <xdr:row>20</xdr:row>
      <xdr:rowOff>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28575" y="3600450"/>
          <a:ext cx="1323975" cy="2095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11</xdr:row>
      <xdr:rowOff>57151</xdr:rowOff>
    </xdr:from>
    <xdr:to>
      <xdr:col>2</xdr:col>
      <xdr:colOff>171450</xdr:colOff>
      <xdr:row>12</xdr:row>
      <xdr:rowOff>161925</xdr:rowOff>
    </xdr:to>
    <xdr:sp macro="" textlink="'PROCCESSING '!J27">
      <xdr:nvSpPr>
        <xdr:cNvPr id="29" name="TextBox 28">
          <a:extLst>
            <a:ext uri="{FF2B5EF4-FFF2-40B4-BE49-F238E27FC236}">
              <a16:creationId xmlns:a16="http://schemas.microsoft.com/office/drawing/2014/main" id="{00000000-0008-0000-0100-00001D000000}"/>
            </a:ext>
          </a:extLst>
        </xdr:cNvPr>
        <xdr:cNvSpPr txBox="1"/>
      </xdr:nvSpPr>
      <xdr:spPr>
        <a:xfrm>
          <a:off x="0" y="2152651"/>
          <a:ext cx="1390650" cy="295274"/>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1C92FC3-E146-4B49-8BD5-C1CE7C335D0F}" type="TxLink">
            <a:rPr lang="en-US" sz="1200">
              <a:solidFill>
                <a:srgbClr val="FF00FF"/>
              </a:solidFill>
              <a:latin typeface="Arial Black" panose="020B0A04020102020204" pitchFamily="34" charset="0"/>
              <a:ea typeface="+mn-ea"/>
              <a:cs typeface="+mn-cs"/>
            </a:rPr>
            <a:pPr marL="0" indent="0" algn="ctr"/>
            <a:t>AUGUST</a:t>
          </a:fld>
          <a:endParaRPr lang="en-US" sz="1200">
            <a:solidFill>
              <a:srgbClr val="FF00FF"/>
            </a:solidFill>
            <a:latin typeface="Arial Black" panose="020B0A04020102020204" pitchFamily="34" charset="0"/>
            <a:ea typeface="+mn-ea"/>
            <a:cs typeface="+mn-cs"/>
          </a:endParaRPr>
        </a:p>
      </xdr:txBody>
    </xdr:sp>
    <xdr:clientData/>
  </xdr:twoCellAnchor>
  <xdr:twoCellAnchor>
    <xdr:from>
      <xdr:col>0</xdr:col>
      <xdr:colOff>0</xdr:colOff>
      <xdr:row>36</xdr:row>
      <xdr:rowOff>171449</xdr:rowOff>
    </xdr:from>
    <xdr:to>
      <xdr:col>2</xdr:col>
      <xdr:colOff>228600</xdr:colOff>
      <xdr:row>39</xdr:row>
      <xdr:rowOff>123825</xdr:rowOff>
    </xdr:to>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0" y="7029449"/>
          <a:ext cx="1447800" cy="523876"/>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Arial Black" panose="020B0A04020102020204" pitchFamily="34" charset="0"/>
            </a:rPr>
            <a:t>OPERATING</a:t>
          </a:r>
          <a:r>
            <a:rPr lang="en-US" sz="800" baseline="0">
              <a:solidFill>
                <a:schemeClr val="bg1"/>
              </a:solidFill>
              <a:latin typeface="Arial Black" panose="020B0A04020102020204" pitchFamily="34" charset="0"/>
            </a:rPr>
            <a:t> PROFIT MARGIN SCALE </a:t>
          </a:r>
          <a:endParaRPr lang="en-US" sz="800">
            <a:solidFill>
              <a:schemeClr val="bg1"/>
            </a:solidFill>
            <a:latin typeface="Arial Black" panose="020B0A04020102020204" pitchFamily="34" charset="0"/>
          </a:endParaRPr>
        </a:p>
      </xdr:txBody>
    </xdr:sp>
    <xdr:clientData/>
  </xdr:twoCellAnchor>
  <xdr:twoCellAnchor>
    <xdr:from>
      <xdr:col>2</xdr:col>
      <xdr:colOff>514350</xdr:colOff>
      <xdr:row>44</xdr:row>
      <xdr:rowOff>9525</xdr:rowOff>
    </xdr:from>
    <xdr:to>
      <xdr:col>11</xdr:col>
      <xdr:colOff>295275</xdr:colOff>
      <xdr:row>44</xdr:row>
      <xdr:rowOff>9525</xdr:rowOff>
    </xdr:to>
    <xdr:cxnSp macro="">
      <xdr:nvCxnSpPr>
        <xdr:cNvPr id="20" name="Straight Connector 19">
          <a:extLst>
            <a:ext uri="{FF2B5EF4-FFF2-40B4-BE49-F238E27FC236}">
              <a16:creationId xmlns:a16="http://schemas.microsoft.com/office/drawing/2014/main" id="{00000000-0008-0000-0100-000014000000}"/>
            </a:ext>
          </a:extLst>
        </xdr:cNvPr>
        <xdr:cNvCxnSpPr/>
      </xdr:nvCxnSpPr>
      <xdr:spPr>
        <a:xfrm>
          <a:off x="1733550" y="8391525"/>
          <a:ext cx="5267325" cy="0"/>
        </a:xfrm>
        <a:prstGeom prst="line">
          <a:avLst/>
        </a:prstGeom>
        <a:ln>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21</xdr:col>
          <xdr:colOff>323850</xdr:colOff>
          <xdr:row>2</xdr:row>
          <xdr:rowOff>161925</xdr:rowOff>
        </xdr:from>
        <xdr:to>
          <xdr:col>29</xdr:col>
          <xdr:colOff>66675</xdr:colOff>
          <xdr:row>16</xdr:row>
          <xdr:rowOff>171450</xdr:rowOff>
        </xdr:to>
        <xdr:pic>
          <xdr:nvPicPr>
            <xdr:cNvPr id="74" name="Picture 73">
              <a:extLst>
                <a:ext uri="{FF2B5EF4-FFF2-40B4-BE49-F238E27FC236}">
                  <a16:creationId xmlns:a16="http://schemas.microsoft.com/office/drawing/2014/main" id="{00000000-0008-0000-0100-00004A000000}"/>
                </a:ext>
              </a:extLst>
            </xdr:cNvPr>
            <xdr:cNvPicPr>
              <a:picLocks noChangeAspect="1" noChangeArrowheads="1"/>
              <a:extLst>
                <a:ext uri="{84589F7E-364E-4C9E-8A38-B11213B215E9}">
                  <a14:cameraTool cellRange="Sheet1!$G$16:$M$29" spid="_x0000_s12215"/>
                </a:ext>
              </a:extLst>
            </xdr:cNvPicPr>
          </xdr:nvPicPr>
          <xdr:blipFill>
            <a:blip xmlns:r="http://schemas.openxmlformats.org/officeDocument/2006/relationships" r:embed="rId16"/>
            <a:srcRect/>
            <a:stretch>
              <a:fillRect/>
            </a:stretch>
          </xdr:blipFill>
          <xdr:spPr bwMode="auto">
            <a:xfrm>
              <a:off x="13125450" y="542925"/>
              <a:ext cx="4619625" cy="26765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114300</xdr:colOff>
      <xdr:row>1</xdr:row>
      <xdr:rowOff>38100</xdr:rowOff>
    </xdr:from>
    <xdr:to>
      <xdr:col>1</xdr:col>
      <xdr:colOff>304800</xdr:colOff>
      <xdr:row>5</xdr:row>
      <xdr:rowOff>76200</xdr:rowOff>
    </xdr:to>
    <xdr:pic>
      <xdr:nvPicPr>
        <xdr:cNvPr id="80" name="Picture 79" descr="Abha Private Hospital - Overview, Competitors, and Employees | Apollo.io">
          <a:extLst>
            <a:ext uri="{FF2B5EF4-FFF2-40B4-BE49-F238E27FC236}">
              <a16:creationId xmlns:a16="http://schemas.microsoft.com/office/drawing/2014/main" id="{00000000-0008-0000-0100-00005000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14300" y="228600"/>
          <a:ext cx="800100"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304799</xdr:colOff>
      <xdr:row>16</xdr:row>
      <xdr:rowOff>180975</xdr:rowOff>
    </xdr:from>
    <xdr:to>
      <xdr:col>30</xdr:col>
      <xdr:colOff>466724</xdr:colOff>
      <xdr:row>31</xdr:row>
      <xdr:rowOff>66675</xdr:rowOff>
    </xdr:to>
    <xdr:graphicFrame macro="">
      <xdr:nvGraphicFramePr>
        <xdr:cNvPr id="81" name="Chart 80">
          <a:extLst>
            <a:ext uri="{FF2B5EF4-FFF2-40B4-BE49-F238E27FC236}">
              <a16:creationId xmlns:a16="http://schemas.microsoft.com/office/drawing/2014/main" id="{00000000-0008-0000-0100-00005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6</xdr:row>
      <xdr:rowOff>19051</xdr:rowOff>
    </xdr:from>
    <xdr:to>
      <xdr:col>2</xdr:col>
      <xdr:colOff>142875</xdr:colOff>
      <xdr:row>10</xdr:row>
      <xdr:rowOff>19050</xdr:rowOff>
    </xdr:to>
    <xdr:sp macro="" textlink="'PROCCESSING '!CR30">
      <xdr:nvSpPr>
        <xdr:cNvPr id="21" name="TextBox 20">
          <a:extLst>
            <a:ext uri="{FF2B5EF4-FFF2-40B4-BE49-F238E27FC236}">
              <a16:creationId xmlns:a16="http://schemas.microsoft.com/office/drawing/2014/main" id="{00000000-0008-0000-0100-000015000000}"/>
            </a:ext>
          </a:extLst>
        </xdr:cNvPr>
        <xdr:cNvSpPr txBox="1"/>
      </xdr:nvSpPr>
      <xdr:spPr>
        <a:xfrm>
          <a:off x="0" y="1162051"/>
          <a:ext cx="1362075" cy="7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pPr algn="ctr"/>
          <a:fld id="{23D2C8A3-5E7E-4865-B7F0-93E434BAFE01}" type="TxLink">
            <a:rPr lang="en-US" sz="1400" b="1" i="0" u="none" strike="noStrike" cap="none" spc="0">
              <a:ln/>
              <a:solidFill>
                <a:schemeClr val="accent5">
                  <a:lumMod val="20000"/>
                  <a:lumOff val="80000"/>
                </a:schemeClr>
              </a:solidFill>
              <a:effectLst/>
              <a:latin typeface="Bernard MT Condensed" panose="02050806060905020404" pitchFamily="18" charset="0"/>
              <a:cs typeface="Calibri"/>
            </a:rPr>
            <a:pPr algn="ctr"/>
            <a:t>COMPARATIVE ANNUAL DASHBOARD </a:t>
          </a:fld>
          <a:endParaRPr lang="en-US" sz="1400" b="1" cap="none" spc="0">
            <a:ln/>
            <a:solidFill>
              <a:schemeClr val="accent5">
                <a:lumMod val="20000"/>
                <a:lumOff val="80000"/>
              </a:schemeClr>
            </a:solidFill>
            <a:effectLst/>
            <a:latin typeface="Bernard MT Condensed" panose="020508060609050204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04" refreshedDate="44543.552403240741" createdVersion="7" refreshedVersion="7" minRefreshableVersion="3" recordCount="3" xr:uid="{03C122AA-4BC8-465E-A45A-6D042464CAB1}">
  <cacheSource type="worksheet">
    <worksheetSource name="Table1"/>
  </cacheSource>
  <cacheFields count="2">
    <cacheField name="YEAR " numFmtId="0">
      <sharedItems containsSemiMixedTypes="0" containsString="0" containsNumber="1" containsInteger="1" minValue="2018" maxValue="2020" count="3">
        <n v="2018"/>
        <n v="2019"/>
        <n v="2020"/>
      </sharedItems>
    </cacheField>
    <cacheField name="INDEX"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482935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
  </r>
  <r>
    <x v="1"/>
    <n v="2"/>
  </r>
  <r>
    <x v="2"/>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1DB70-3C51-40D0-AC2C-B3BFD7FC9FCD}" name="PivotTable1"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B13:C14" firstHeaderRow="1" firstDataRow="1" firstDataCol="1"/>
  <pivotFields count="2">
    <pivotField axis="axisRow" showAll="0">
      <items count="4">
        <item h="1" x="0"/>
        <item h="1" x="1"/>
        <item x="2"/>
        <item t="default"/>
      </items>
    </pivotField>
    <pivotField dataField="1" showAll="0"/>
  </pivotFields>
  <rowFields count="1">
    <field x="0"/>
  </rowFields>
  <rowItems count="1">
    <i>
      <x v="2"/>
    </i>
  </rowItems>
  <colItems count="1">
    <i/>
  </colItems>
  <dataFields count="1">
    <dataField name="Sum of INDEX"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191431D-D3F3-4026-80F8-5465FCDD6C38}" sourceName="YEAR ">
  <pivotTables>
    <pivotTable tabId="5" name="PivotTable1"/>
  </pivotTables>
  <data>
    <tabular pivotCacheId="482935713">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 xr10:uid="{44B37B21-770C-4580-8F88-1F5BC8451300}" cache="Slicer_YEAR" caption="YEAR " showCaption="0" style="Slicer Style 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191CA7-DDAE-458E-A383-ED59F7A26EFD}" name="Table1" displayName="Table1" ref="B4:C7" totalsRowShown="0">
  <autoFilter ref="B4:C7" xr:uid="{C6191CA7-DDAE-458E-A383-ED59F7A26EFD}"/>
  <tableColumns count="2">
    <tableColumn id="1" xr3:uid="{6BDBD1EC-E4C3-4F74-A2FD-F8AABD68B035}" name="YEAR "/>
    <tableColumn id="2" xr3:uid="{2AE6672E-446F-4398-83D1-A950FC956BBF}" name="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6C2E6-AE15-4D00-8A22-CE8235A4370D}">
  <sheetPr codeName="Sheet1"/>
  <dimension ref="A1:Y52"/>
  <sheetViews>
    <sheetView topLeftCell="Q30" workbookViewId="0">
      <selection activeCell="X55" sqref="X55"/>
    </sheetView>
  </sheetViews>
  <sheetFormatPr defaultRowHeight="15" x14ac:dyDescent="0.25"/>
  <cols>
    <col min="1" max="1" width="16.140625" customWidth="1"/>
    <col min="2" max="2" width="18.140625" customWidth="1"/>
    <col min="3" max="3" width="26" customWidth="1"/>
    <col min="4" max="4" width="31.5703125" customWidth="1"/>
    <col min="5" max="5" width="27.140625" customWidth="1"/>
    <col min="6" max="6" width="17.42578125" customWidth="1"/>
    <col min="7" max="7" width="18.140625" customWidth="1"/>
    <col min="8" max="8" width="23.28515625" customWidth="1"/>
    <col min="9" max="9" width="21.85546875" customWidth="1"/>
    <col min="10" max="11" width="22.7109375" customWidth="1"/>
    <col min="12" max="12" width="27.28515625" customWidth="1"/>
    <col min="13" max="13" width="26.42578125" customWidth="1"/>
    <col min="14" max="14" width="35.5703125" customWidth="1"/>
    <col min="15" max="15" width="34.140625" customWidth="1"/>
    <col min="16" max="16" width="32.5703125" customWidth="1"/>
    <col min="17" max="17" width="35.42578125" customWidth="1"/>
    <col min="18" max="18" width="42.7109375" customWidth="1"/>
    <col min="19" max="19" width="30.42578125" customWidth="1"/>
    <col min="20" max="20" width="24.140625" customWidth="1"/>
    <col min="21" max="21" width="23.5703125" customWidth="1"/>
    <col min="22" max="22" width="18.85546875" customWidth="1"/>
    <col min="23" max="23" width="15.42578125" customWidth="1"/>
    <col min="24" max="24" width="18.7109375" customWidth="1"/>
    <col min="25" max="25" width="28.28515625" customWidth="1"/>
  </cols>
  <sheetData>
    <row r="1" spans="1:25" ht="18.75" x14ac:dyDescent="0.3">
      <c r="F1" s="41" t="s">
        <v>15</v>
      </c>
      <c r="G1" s="41"/>
      <c r="H1" s="41"/>
      <c r="I1" s="41"/>
      <c r="J1" s="41"/>
      <c r="K1" s="41"/>
      <c r="O1">
        <f>9*31</f>
        <v>279</v>
      </c>
    </row>
    <row r="2" spans="1:25" ht="28.5" x14ac:dyDescent="0.25">
      <c r="A2" s="17" t="s">
        <v>11</v>
      </c>
      <c r="B2" s="17" t="s">
        <v>12</v>
      </c>
      <c r="C2" s="17" t="s">
        <v>13</v>
      </c>
      <c r="D2" s="17" t="s">
        <v>16</v>
      </c>
      <c r="E2" s="17" t="s">
        <v>17</v>
      </c>
      <c r="F2" s="17" t="s">
        <v>18</v>
      </c>
      <c r="G2" s="17" t="s">
        <v>19</v>
      </c>
      <c r="H2" s="17" t="s">
        <v>20</v>
      </c>
      <c r="I2" s="17" t="s">
        <v>43</v>
      </c>
      <c r="J2" s="17" t="s">
        <v>44</v>
      </c>
      <c r="K2" s="17" t="s">
        <v>45</v>
      </c>
      <c r="L2" s="18" t="s">
        <v>56</v>
      </c>
      <c r="M2" s="19" t="s">
        <v>57</v>
      </c>
      <c r="N2" s="19" t="s">
        <v>58</v>
      </c>
      <c r="O2" s="20" t="s">
        <v>59</v>
      </c>
      <c r="P2" s="21" t="s">
        <v>60</v>
      </c>
      <c r="Q2" s="19" t="s">
        <v>61</v>
      </c>
      <c r="R2" s="22" t="s">
        <v>62</v>
      </c>
      <c r="S2" s="23" t="s">
        <v>63</v>
      </c>
      <c r="T2" s="25" t="s">
        <v>65</v>
      </c>
      <c r="U2" s="25" t="s">
        <v>66</v>
      </c>
      <c r="V2" s="26" t="s">
        <v>67</v>
      </c>
      <c r="W2" s="26" t="s">
        <v>68</v>
      </c>
      <c r="X2" s="26" t="s">
        <v>69</v>
      </c>
      <c r="Y2" s="26" t="s">
        <v>73</v>
      </c>
    </row>
    <row r="3" spans="1:25" x14ac:dyDescent="0.25">
      <c r="A3" s="2">
        <v>2018</v>
      </c>
      <c r="B3" t="s">
        <v>14</v>
      </c>
      <c r="C3" s="1">
        <v>17484112.960000001</v>
      </c>
      <c r="D3" s="1">
        <v>6542282.0199999996</v>
      </c>
      <c r="E3" s="3">
        <f t="shared" ref="E3:E15" si="0">C3-D3</f>
        <v>10941830.940000001</v>
      </c>
      <c r="F3">
        <v>20815</v>
      </c>
      <c r="G3">
        <v>1219</v>
      </c>
      <c r="H3" s="4">
        <v>0.93</v>
      </c>
      <c r="I3">
        <v>49</v>
      </c>
      <c r="J3">
        <v>108</v>
      </c>
      <c r="K3" s="5">
        <f t="shared" ref="K3:K43" si="1">I3/J3</f>
        <v>0.45370370370370372</v>
      </c>
      <c r="L3">
        <v>4102</v>
      </c>
      <c r="M3">
        <v>31</v>
      </c>
      <c r="N3">
        <f>IFERROR(L3/M3, " ")</f>
        <v>132.32258064516128</v>
      </c>
      <c r="O3">
        <v>279</v>
      </c>
      <c r="P3">
        <f>IFERROR(O3/M3, "")</f>
        <v>9</v>
      </c>
      <c r="Q3">
        <f>IFERROR(P3/24, "")</f>
        <v>0.375</v>
      </c>
      <c r="R3">
        <f>IFERROR(N3/Q3,"")</f>
        <v>352.8602150537634</v>
      </c>
      <c r="S3">
        <v>3.1</v>
      </c>
      <c r="T3">
        <v>1322</v>
      </c>
      <c r="U3">
        <v>5151</v>
      </c>
      <c r="V3" s="5">
        <f>T3/U3</f>
        <v>0.25664919433119782</v>
      </c>
      <c r="W3" s="1">
        <v>16070131.08</v>
      </c>
      <c r="X3" s="3">
        <f>C3-W3</f>
        <v>1413981.8800000008</v>
      </c>
      <c r="Y3" s="5">
        <f>X3/C3</f>
        <v>8.0872383016221419E-2</v>
      </c>
    </row>
    <row r="4" spans="1:25" x14ac:dyDescent="0.25">
      <c r="A4" s="2">
        <v>2018</v>
      </c>
      <c r="B4" t="s">
        <v>0</v>
      </c>
      <c r="C4" s="1">
        <v>24695942.75</v>
      </c>
      <c r="D4" s="1">
        <v>6925358.2999999998</v>
      </c>
      <c r="E4" s="3">
        <f t="shared" si="0"/>
        <v>17770584.449999999</v>
      </c>
      <c r="F4">
        <v>21501</v>
      </c>
      <c r="G4">
        <v>1164</v>
      </c>
      <c r="H4" s="4">
        <v>1</v>
      </c>
      <c r="I4">
        <v>50</v>
      </c>
      <c r="J4">
        <v>111</v>
      </c>
      <c r="K4" s="5">
        <f t="shared" si="1"/>
        <v>0.45045045045045046</v>
      </c>
      <c r="L4">
        <v>3877</v>
      </c>
      <c r="N4" t="str">
        <f t="shared" ref="N4:N50" si="2">IFERROR(L4/M4, " ")</f>
        <v xml:space="preserve"> </v>
      </c>
      <c r="P4" t="str">
        <f t="shared" ref="P4:P52" si="3">IFERROR(O4/M4, "")</f>
        <v/>
      </c>
      <c r="Q4" t="str">
        <f t="shared" ref="Q4:Q52" si="4">IFERROR(P4/24, "")</f>
        <v/>
      </c>
      <c r="R4" t="str">
        <f t="shared" ref="R4:R51" si="5">IFERROR(N4/Q4,"")</f>
        <v/>
      </c>
      <c r="S4">
        <v>3.05</v>
      </c>
      <c r="T4">
        <v>1272</v>
      </c>
      <c r="W4" s="1">
        <v>16424562.279999996</v>
      </c>
      <c r="X4" s="3">
        <f t="shared" ref="X4:X50" si="6">C4-W4</f>
        <v>8271380.4700000044</v>
      </c>
      <c r="Y4" s="5">
        <f t="shared" ref="Y4:Y49" si="7">X4/C4</f>
        <v>0.33492871900992743</v>
      </c>
    </row>
    <row r="5" spans="1:25" x14ac:dyDescent="0.25">
      <c r="A5" s="2">
        <v>2018</v>
      </c>
      <c r="B5" t="s">
        <v>1</v>
      </c>
      <c r="C5" s="1">
        <v>27509786.239999998</v>
      </c>
      <c r="D5" s="1">
        <v>7912941.9299999997</v>
      </c>
      <c r="E5" s="3">
        <f t="shared" si="0"/>
        <v>19596844.309999999</v>
      </c>
      <c r="F5">
        <v>24420</v>
      </c>
      <c r="G5">
        <v>1243</v>
      </c>
      <c r="H5" s="4">
        <v>1.04</v>
      </c>
      <c r="I5">
        <v>51</v>
      </c>
      <c r="J5">
        <v>111</v>
      </c>
      <c r="K5" s="5">
        <f t="shared" si="1"/>
        <v>0.45945945945945948</v>
      </c>
      <c r="N5" t="str">
        <f t="shared" si="2"/>
        <v xml:space="preserve"> </v>
      </c>
      <c r="P5" t="str">
        <f>IFERROR(O5/M5, "")</f>
        <v/>
      </c>
      <c r="Q5" t="str">
        <f t="shared" si="4"/>
        <v/>
      </c>
      <c r="R5" t="str">
        <f t="shared" si="5"/>
        <v/>
      </c>
      <c r="S5">
        <v>2.95</v>
      </c>
      <c r="T5">
        <v>1380</v>
      </c>
      <c r="W5" s="1">
        <v>17735429.390000004</v>
      </c>
      <c r="X5" s="3">
        <f t="shared" si="6"/>
        <v>9774356.849999994</v>
      </c>
      <c r="Y5" s="5">
        <f t="shared" si="7"/>
        <v>0.3553047182819547</v>
      </c>
    </row>
    <row r="6" spans="1:25" x14ac:dyDescent="0.25">
      <c r="A6" s="2">
        <v>2018</v>
      </c>
      <c r="B6" t="s">
        <v>2</v>
      </c>
      <c r="C6" s="1">
        <v>25240093.550000001</v>
      </c>
      <c r="D6" s="1">
        <v>7821803.7300000004</v>
      </c>
      <c r="E6" s="3">
        <f t="shared" si="0"/>
        <v>17418289.82</v>
      </c>
      <c r="F6">
        <v>23973</v>
      </c>
      <c r="G6">
        <v>1216</v>
      </c>
      <c r="H6" s="4">
        <v>1.06</v>
      </c>
      <c r="I6">
        <v>50</v>
      </c>
      <c r="J6">
        <v>111</v>
      </c>
      <c r="K6" s="5">
        <f t="shared" si="1"/>
        <v>0.45045045045045046</v>
      </c>
      <c r="N6" t="str">
        <f t="shared" si="2"/>
        <v xml:space="preserve"> </v>
      </c>
      <c r="P6" t="str">
        <f t="shared" si="3"/>
        <v/>
      </c>
      <c r="Q6" t="str">
        <f t="shared" si="4"/>
        <v/>
      </c>
      <c r="R6" t="str">
        <f t="shared" si="5"/>
        <v/>
      </c>
      <c r="S6">
        <v>2.86</v>
      </c>
      <c r="T6">
        <v>1375</v>
      </c>
      <c r="W6" s="1">
        <v>18761328.600000005</v>
      </c>
      <c r="X6" s="3">
        <f t="shared" si="6"/>
        <v>6478764.9499999955</v>
      </c>
      <c r="Y6" s="5">
        <f t="shared" si="7"/>
        <v>0.25668545709490825</v>
      </c>
    </row>
    <row r="7" spans="1:25" x14ac:dyDescent="0.25">
      <c r="A7" s="2">
        <v>2018</v>
      </c>
      <c r="B7" t="s">
        <v>3</v>
      </c>
      <c r="C7" s="1">
        <v>23537538.969999999</v>
      </c>
      <c r="D7" s="1">
        <v>7313720.54</v>
      </c>
      <c r="E7" s="3">
        <f t="shared" si="0"/>
        <v>16223818.43</v>
      </c>
      <c r="F7">
        <v>22247</v>
      </c>
      <c r="G7">
        <v>1138</v>
      </c>
      <c r="H7" s="4">
        <v>0.95</v>
      </c>
      <c r="I7">
        <v>50</v>
      </c>
      <c r="J7">
        <v>111</v>
      </c>
      <c r="K7" s="5">
        <f t="shared" si="1"/>
        <v>0.45045045045045046</v>
      </c>
      <c r="N7" t="str">
        <f t="shared" si="2"/>
        <v xml:space="preserve"> </v>
      </c>
      <c r="P7" t="str">
        <f t="shared" si="3"/>
        <v/>
      </c>
      <c r="Q7" t="str">
        <f t="shared" si="4"/>
        <v/>
      </c>
      <c r="R7" t="str">
        <f t="shared" si="5"/>
        <v/>
      </c>
      <c r="S7">
        <v>2.9</v>
      </c>
      <c r="T7">
        <v>1308</v>
      </c>
      <c r="W7" s="1">
        <v>16878017.560000006</v>
      </c>
      <c r="X7" s="3">
        <f t="shared" si="6"/>
        <v>6659521.4099999927</v>
      </c>
      <c r="Y7" s="5">
        <f t="shared" si="7"/>
        <v>0.28293193347392653</v>
      </c>
    </row>
    <row r="8" spans="1:25" x14ac:dyDescent="0.25">
      <c r="A8" s="2">
        <v>2018</v>
      </c>
      <c r="B8" t="s">
        <v>4</v>
      </c>
      <c r="C8" s="1">
        <v>15783556.83</v>
      </c>
      <c r="D8" s="1">
        <v>5933142.9900000002</v>
      </c>
      <c r="E8" s="3">
        <f t="shared" si="0"/>
        <v>9850413.8399999999</v>
      </c>
      <c r="F8">
        <v>19758</v>
      </c>
      <c r="G8">
        <v>936</v>
      </c>
      <c r="H8" s="4">
        <v>0.92</v>
      </c>
      <c r="I8">
        <v>48</v>
      </c>
      <c r="J8">
        <v>109</v>
      </c>
      <c r="K8" s="5">
        <f t="shared" si="1"/>
        <v>0.44036697247706424</v>
      </c>
      <c r="N8" t="str">
        <f t="shared" si="2"/>
        <v xml:space="preserve"> </v>
      </c>
      <c r="P8" t="str">
        <f>IFERROR(O8/M8, "")</f>
        <v/>
      </c>
      <c r="Q8" t="str">
        <f t="shared" si="4"/>
        <v/>
      </c>
      <c r="R8" t="str">
        <f t="shared" si="5"/>
        <v/>
      </c>
      <c r="S8">
        <v>3.13</v>
      </c>
      <c r="T8">
        <v>1054</v>
      </c>
      <c r="W8" s="1">
        <v>15312890.609999998</v>
      </c>
      <c r="X8" s="3">
        <f t="shared" si="6"/>
        <v>470666.22000000253</v>
      </c>
      <c r="Y8" s="5">
        <f t="shared" si="7"/>
        <v>2.9820035184046821E-2</v>
      </c>
    </row>
    <row r="9" spans="1:25" x14ac:dyDescent="0.25">
      <c r="A9" s="2">
        <v>2018</v>
      </c>
      <c r="B9" t="s">
        <v>5</v>
      </c>
      <c r="C9" s="1">
        <v>30710105.659999996</v>
      </c>
      <c r="D9" s="1">
        <v>9691486.7599999998</v>
      </c>
      <c r="E9" s="3">
        <f t="shared" si="0"/>
        <v>21018618.899999999</v>
      </c>
      <c r="F9">
        <v>29115</v>
      </c>
      <c r="G9">
        <v>1496</v>
      </c>
      <c r="H9" s="4">
        <v>1.08</v>
      </c>
      <c r="I9">
        <v>51</v>
      </c>
      <c r="J9">
        <v>110</v>
      </c>
      <c r="K9" s="5">
        <f t="shared" si="1"/>
        <v>0.46363636363636362</v>
      </c>
      <c r="N9" t="str">
        <f t="shared" si="2"/>
        <v xml:space="preserve"> </v>
      </c>
      <c r="P9" t="str">
        <f t="shared" si="3"/>
        <v/>
      </c>
      <c r="Q9" t="str">
        <f t="shared" si="4"/>
        <v/>
      </c>
      <c r="R9" t="str">
        <f t="shared" si="5"/>
        <v/>
      </c>
      <c r="S9">
        <v>2.5</v>
      </c>
      <c r="T9">
        <v>1671</v>
      </c>
      <c r="W9" s="1">
        <v>18656661.219999995</v>
      </c>
      <c r="X9" s="3">
        <f t="shared" si="6"/>
        <v>12053444.440000001</v>
      </c>
      <c r="Y9" s="5">
        <f t="shared" si="7"/>
        <v>0.39249114195330331</v>
      </c>
    </row>
    <row r="10" spans="1:25" x14ac:dyDescent="0.25">
      <c r="A10" s="2">
        <v>2018</v>
      </c>
      <c r="B10" t="s">
        <v>6</v>
      </c>
      <c r="C10" s="1">
        <v>19427147.25</v>
      </c>
      <c r="D10" s="1">
        <v>7350038.2999999998</v>
      </c>
      <c r="E10" s="3">
        <f t="shared" si="0"/>
        <v>12077108.949999999</v>
      </c>
      <c r="F10">
        <v>23351</v>
      </c>
      <c r="G10">
        <v>1186</v>
      </c>
      <c r="H10" s="4">
        <v>0.95</v>
      </c>
      <c r="I10">
        <v>49</v>
      </c>
      <c r="J10">
        <v>111</v>
      </c>
      <c r="K10" s="5">
        <f t="shared" si="1"/>
        <v>0.44144144144144143</v>
      </c>
      <c r="N10" t="str">
        <f t="shared" si="2"/>
        <v xml:space="preserve"> </v>
      </c>
      <c r="P10" t="str">
        <f t="shared" si="3"/>
        <v/>
      </c>
      <c r="Q10" t="str">
        <f t="shared" si="4"/>
        <v/>
      </c>
      <c r="R10" t="str">
        <f t="shared" si="5"/>
        <v/>
      </c>
      <c r="S10">
        <v>2.2799999999999998</v>
      </c>
      <c r="T10">
        <v>1329</v>
      </c>
      <c r="W10" s="1">
        <v>16042829.749999998</v>
      </c>
      <c r="X10" s="3">
        <f t="shared" si="6"/>
        <v>3384317.5000000019</v>
      </c>
      <c r="Y10" s="5">
        <f t="shared" si="7"/>
        <v>0.17420558234560155</v>
      </c>
    </row>
    <row r="11" spans="1:25" x14ac:dyDescent="0.25">
      <c r="A11" s="2">
        <v>2018</v>
      </c>
      <c r="B11" t="s">
        <v>7</v>
      </c>
      <c r="C11" s="1">
        <v>23077255.530000001</v>
      </c>
      <c r="D11" s="1">
        <v>7909107.8399999999</v>
      </c>
      <c r="E11" s="3">
        <f t="shared" si="0"/>
        <v>15168147.690000001</v>
      </c>
      <c r="F11">
        <v>23132</v>
      </c>
      <c r="G11">
        <v>1151</v>
      </c>
      <c r="H11" s="4">
        <v>0.97</v>
      </c>
      <c r="I11">
        <v>51</v>
      </c>
      <c r="J11">
        <v>110</v>
      </c>
      <c r="K11" s="5">
        <f t="shared" si="1"/>
        <v>0.46363636363636362</v>
      </c>
      <c r="N11" t="str">
        <f t="shared" si="2"/>
        <v xml:space="preserve"> </v>
      </c>
      <c r="P11" t="str">
        <f t="shared" si="3"/>
        <v/>
      </c>
      <c r="Q11" t="str">
        <f t="shared" si="4"/>
        <v/>
      </c>
      <c r="R11" t="str">
        <f t="shared" si="5"/>
        <v/>
      </c>
      <c r="S11">
        <v>2.79</v>
      </c>
      <c r="T11">
        <v>1322</v>
      </c>
      <c r="W11" s="1">
        <v>18263188.869999994</v>
      </c>
      <c r="X11" s="3">
        <f t="shared" si="6"/>
        <v>4814066.6600000076</v>
      </c>
      <c r="Y11" s="5">
        <f t="shared" si="7"/>
        <v>0.20860655001812545</v>
      </c>
    </row>
    <row r="12" spans="1:25" x14ac:dyDescent="0.25">
      <c r="A12" s="2">
        <v>2018</v>
      </c>
      <c r="B12" t="s">
        <v>8</v>
      </c>
      <c r="C12" s="1">
        <v>23567276.469999999</v>
      </c>
      <c r="D12" s="1">
        <v>7784829.0599999996</v>
      </c>
      <c r="E12" s="3">
        <f t="shared" si="0"/>
        <v>15782447.41</v>
      </c>
      <c r="F12">
        <v>23170</v>
      </c>
      <c r="G12">
        <v>1221</v>
      </c>
      <c r="H12" s="4">
        <v>0.92</v>
      </c>
      <c r="I12">
        <v>59</v>
      </c>
      <c r="J12">
        <v>119</v>
      </c>
      <c r="K12" s="5">
        <f t="shared" si="1"/>
        <v>0.49579831932773111</v>
      </c>
      <c r="N12" t="str">
        <f t="shared" si="2"/>
        <v xml:space="preserve"> </v>
      </c>
      <c r="P12" t="str">
        <f t="shared" si="3"/>
        <v/>
      </c>
      <c r="Q12" t="str">
        <f t="shared" si="4"/>
        <v/>
      </c>
      <c r="R12" t="str">
        <f t="shared" si="5"/>
        <v/>
      </c>
      <c r="S12">
        <v>2.62</v>
      </c>
      <c r="T12">
        <v>1328</v>
      </c>
      <c r="W12" s="1">
        <v>17668021.73</v>
      </c>
      <c r="X12" s="3">
        <f t="shared" si="6"/>
        <v>5899254.7399999984</v>
      </c>
      <c r="Y12" s="5">
        <f t="shared" si="7"/>
        <v>0.25031550622786064</v>
      </c>
    </row>
    <row r="13" spans="1:25" x14ac:dyDescent="0.25">
      <c r="A13" s="2">
        <v>2018</v>
      </c>
      <c r="B13" t="s">
        <v>9</v>
      </c>
      <c r="C13" s="1">
        <v>20227413.789999999</v>
      </c>
      <c r="D13" s="1">
        <v>6896809.7300000004</v>
      </c>
      <c r="E13" s="3">
        <f t="shared" si="0"/>
        <v>13330604.059999999</v>
      </c>
      <c r="F13">
        <v>22209</v>
      </c>
      <c r="G13">
        <v>983</v>
      </c>
      <c r="H13" s="4">
        <v>0.82</v>
      </c>
      <c r="I13">
        <v>57</v>
      </c>
      <c r="J13">
        <v>118</v>
      </c>
      <c r="K13" s="5">
        <f t="shared" si="1"/>
        <v>0.48305084745762711</v>
      </c>
      <c r="N13" t="str">
        <f t="shared" si="2"/>
        <v xml:space="preserve"> </v>
      </c>
      <c r="P13" t="str">
        <f t="shared" si="3"/>
        <v/>
      </c>
      <c r="Q13" t="str">
        <f t="shared" si="4"/>
        <v/>
      </c>
      <c r="R13" t="str">
        <f t="shared" si="5"/>
        <v/>
      </c>
      <c r="S13">
        <v>2.58</v>
      </c>
      <c r="T13">
        <v>1125</v>
      </c>
      <c r="W13" s="1">
        <v>17814245.350000013</v>
      </c>
      <c r="X13" s="3">
        <f t="shared" si="6"/>
        <v>2413168.4399999864</v>
      </c>
      <c r="Y13" s="5">
        <f t="shared" si="7"/>
        <v>0.11930187739536952</v>
      </c>
    </row>
    <row r="14" spans="1:25" x14ac:dyDescent="0.25">
      <c r="A14" s="2">
        <v>2018</v>
      </c>
      <c r="B14" t="s">
        <v>10</v>
      </c>
      <c r="C14" s="1">
        <v>17522726.690000001</v>
      </c>
      <c r="D14" s="1">
        <v>6260831.1900000004</v>
      </c>
      <c r="E14" s="3">
        <f t="shared" si="0"/>
        <v>11261895.5</v>
      </c>
      <c r="F14">
        <v>20794</v>
      </c>
      <c r="G14">
        <v>949</v>
      </c>
      <c r="H14" s="4">
        <v>0.83</v>
      </c>
      <c r="I14">
        <v>54</v>
      </c>
      <c r="J14">
        <v>116</v>
      </c>
      <c r="K14" s="5">
        <f t="shared" si="1"/>
        <v>0.46551724137931033</v>
      </c>
      <c r="N14" t="str">
        <f t="shared" si="2"/>
        <v xml:space="preserve"> </v>
      </c>
      <c r="P14" t="str">
        <f t="shared" si="3"/>
        <v/>
      </c>
      <c r="Q14" t="str">
        <f t="shared" si="4"/>
        <v/>
      </c>
      <c r="R14" t="str">
        <f t="shared" si="5"/>
        <v/>
      </c>
      <c r="S14">
        <v>2.85</v>
      </c>
      <c r="T14">
        <v>1088</v>
      </c>
      <c r="W14" s="1">
        <v>46844803.189999998</v>
      </c>
      <c r="X14" s="3">
        <f t="shared" si="6"/>
        <v>-29322076.499999996</v>
      </c>
      <c r="Y14" s="5">
        <f t="shared" si="7"/>
        <v>-1.673374071213114</v>
      </c>
    </row>
    <row r="15" spans="1:25" x14ac:dyDescent="0.25">
      <c r="A15" s="2">
        <v>2019</v>
      </c>
      <c r="B15" t="s">
        <v>14</v>
      </c>
      <c r="C15" s="1">
        <v>21683272.789999999</v>
      </c>
      <c r="D15" s="1">
        <v>7179320.4199999999</v>
      </c>
      <c r="E15" s="3">
        <f t="shared" si="0"/>
        <v>14503952.369999999</v>
      </c>
      <c r="F15">
        <v>20689</v>
      </c>
      <c r="G15">
        <v>1147</v>
      </c>
      <c r="H15" s="4">
        <v>0.84</v>
      </c>
      <c r="I15">
        <v>54</v>
      </c>
      <c r="J15">
        <v>116</v>
      </c>
      <c r="K15" s="5">
        <f t="shared" si="1"/>
        <v>0.46551724137931033</v>
      </c>
      <c r="N15" t="str">
        <f t="shared" si="2"/>
        <v xml:space="preserve"> </v>
      </c>
      <c r="P15" t="str">
        <f t="shared" si="3"/>
        <v/>
      </c>
      <c r="Q15" t="str">
        <f t="shared" si="4"/>
        <v/>
      </c>
      <c r="R15" t="str">
        <f t="shared" si="5"/>
        <v/>
      </c>
      <c r="S15">
        <v>2.77</v>
      </c>
      <c r="T15">
        <v>1233</v>
      </c>
      <c r="W15" s="1">
        <v>17054833.700000003</v>
      </c>
      <c r="X15" s="3">
        <f t="shared" si="6"/>
        <v>4628439.0899999961</v>
      </c>
      <c r="Y15" s="5">
        <f t="shared" si="7"/>
        <v>0.21345666472150657</v>
      </c>
    </row>
    <row r="16" spans="1:25" x14ac:dyDescent="0.25">
      <c r="A16" s="2">
        <v>2019</v>
      </c>
      <c r="B16" t="s">
        <v>0</v>
      </c>
      <c r="C16" s="1">
        <v>20193286.620000001</v>
      </c>
      <c r="D16" s="1">
        <v>6782072.3200000003</v>
      </c>
      <c r="E16" s="3">
        <f t="shared" ref="E16:E50" si="8">C16-D16</f>
        <v>13411214.300000001</v>
      </c>
      <c r="F16">
        <v>19976</v>
      </c>
      <c r="G16">
        <v>1002</v>
      </c>
      <c r="H16" s="4">
        <v>0.79</v>
      </c>
      <c r="I16">
        <v>56</v>
      </c>
      <c r="J16">
        <v>115</v>
      </c>
      <c r="K16" s="5">
        <f t="shared" si="1"/>
        <v>0.48695652173913045</v>
      </c>
      <c r="N16" t="str">
        <f t="shared" si="2"/>
        <v xml:space="preserve"> </v>
      </c>
      <c r="P16" t="str">
        <f t="shared" si="3"/>
        <v/>
      </c>
      <c r="Q16" t="str">
        <f t="shared" si="4"/>
        <v/>
      </c>
      <c r="R16" t="str">
        <f t="shared" si="5"/>
        <v/>
      </c>
      <c r="S16">
        <v>2.41</v>
      </c>
      <c r="T16">
        <v>1110</v>
      </c>
      <c r="W16" s="1">
        <v>16174711.889999995</v>
      </c>
      <c r="X16" s="3">
        <f t="shared" si="6"/>
        <v>4018574.730000006</v>
      </c>
      <c r="Y16" s="5">
        <f t="shared" si="7"/>
        <v>0.19900548165447698</v>
      </c>
    </row>
    <row r="17" spans="1:25" x14ac:dyDescent="0.25">
      <c r="A17" s="2">
        <v>2019</v>
      </c>
      <c r="B17" t="s">
        <v>1</v>
      </c>
      <c r="C17" s="1">
        <v>22027850.870000001</v>
      </c>
      <c r="D17" s="1">
        <v>7678716.4900000002</v>
      </c>
      <c r="E17" s="3">
        <f t="shared" si="8"/>
        <v>14349134.380000001</v>
      </c>
      <c r="F17">
        <v>22288</v>
      </c>
      <c r="G17">
        <v>1119</v>
      </c>
      <c r="H17" s="4">
        <v>0.84</v>
      </c>
      <c r="I17">
        <v>55</v>
      </c>
      <c r="J17">
        <v>115</v>
      </c>
      <c r="K17" s="14">
        <f t="shared" si="1"/>
        <v>0.47826086956521741</v>
      </c>
      <c r="N17" t="str">
        <f t="shared" si="2"/>
        <v xml:space="preserve"> </v>
      </c>
      <c r="P17" t="str">
        <f t="shared" si="3"/>
        <v/>
      </c>
      <c r="Q17" t="str">
        <f t="shared" si="4"/>
        <v/>
      </c>
      <c r="R17" t="str">
        <f t="shared" si="5"/>
        <v/>
      </c>
      <c r="S17">
        <v>2.46</v>
      </c>
      <c r="T17">
        <v>1252</v>
      </c>
      <c r="W17" s="1">
        <v>16838844.370000001</v>
      </c>
      <c r="X17" s="3">
        <f t="shared" si="6"/>
        <v>5189006.5</v>
      </c>
      <c r="Y17" s="5">
        <f t="shared" si="7"/>
        <v>0.23556571771906135</v>
      </c>
    </row>
    <row r="18" spans="1:25" x14ac:dyDescent="0.25">
      <c r="A18" s="2">
        <v>2019</v>
      </c>
      <c r="B18" t="s">
        <v>2</v>
      </c>
      <c r="C18" s="1">
        <v>22528368.140000001</v>
      </c>
      <c r="D18" s="1">
        <v>8039690.3200000003</v>
      </c>
      <c r="E18" s="3">
        <f t="shared" si="8"/>
        <v>14488677.82</v>
      </c>
      <c r="F18">
        <v>22504</v>
      </c>
      <c r="G18">
        <v>1202</v>
      </c>
      <c r="H18" s="4">
        <v>0.88</v>
      </c>
      <c r="I18">
        <v>59</v>
      </c>
      <c r="J18">
        <v>121</v>
      </c>
      <c r="K18" s="14">
        <f t="shared" si="1"/>
        <v>0.48760330578512395</v>
      </c>
      <c r="N18" t="str">
        <f t="shared" si="2"/>
        <v xml:space="preserve"> </v>
      </c>
      <c r="P18" t="str">
        <f t="shared" si="3"/>
        <v/>
      </c>
      <c r="Q18" t="str">
        <f t="shared" si="4"/>
        <v/>
      </c>
      <c r="R18" t="str">
        <f t="shared" si="5"/>
        <v/>
      </c>
      <c r="S18">
        <v>2.37</v>
      </c>
      <c r="T18">
        <v>1276</v>
      </c>
      <c r="W18" s="1">
        <v>16254059.590000007</v>
      </c>
      <c r="X18" s="3">
        <f t="shared" si="6"/>
        <v>6274308.5499999933</v>
      </c>
      <c r="Y18" s="5">
        <f t="shared" si="7"/>
        <v>0.27850701440108805</v>
      </c>
    </row>
    <row r="19" spans="1:25" x14ac:dyDescent="0.25">
      <c r="A19" s="2">
        <v>2019</v>
      </c>
      <c r="B19" t="s">
        <v>3</v>
      </c>
      <c r="C19" s="1">
        <v>19981203.100000001</v>
      </c>
      <c r="D19" s="1">
        <v>6578542.2800000003</v>
      </c>
      <c r="E19" s="3">
        <f t="shared" si="8"/>
        <v>13402660.82</v>
      </c>
      <c r="F19">
        <v>19139</v>
      </c>
      <c r="G19">
        <v>1025</v>
      </c>
      <c r="H19" s="4">
        <v>0.9</v>
      </c>
      <c r="I19">
        <v>57</v>
      </c>
      <c r="J19">
        <v>121</v>
      </c>
      <c r="K19" s="14">
        <f t="shared" si="1"/>
        <v>0.47107438016528924</v>
      </c>
      <c r="N19" t="str">
        <f t="shared" si="2"/>
        <v xml:space="preserve"> </v>
      </c>
      <c r="P19" t="str">
        <f t="shared" si="3"/>
        <v/>
      </c>
      <c r="Q19" t="str">
        <f t="shared" si="4"/>
        <v/>
      </c>
      <c r="R19" t="str">
        <f t="shared" si="5"/>
        <v/>
      </c>
      <c r="S19">
        <v>2.69</v>
      </c>
      <c r="T19">
        <v>1201</v>
      </c>
      <c r="W19" s="1">
        <v>16633424.83</v>
      </c>
      <c r="X19" s="3">
        <f t="shared" si="6"/>
        <v>3347778.2700000014</v>
      </c>
      <c r="Y19" s="5">
        <f t="shared" si="7"/>
        <v>0.16754638112857184</v>
      </c>
    </row>
    <row r="20" spans="1:25" x14ac:dyDescent="0.25">
      <c r="A20" s="2">
        <v>2019</v>
      </c>
      <c r="B20" t="s">
        <v>4</v>
      </c>
      <c r="C20" s="1">
        <v>21336402.890000001</v>
      </c>
      <c r="D20" s="1">
        <v>7432017.21</v>
      </c>
      <c r="E20" s="3">
        <f t="shared" si="8"/>
        <v>13904385.68</v>
      </c>
      <c r="F20">
        <v>21852</v>
      </c>
      <c r="G20">
        <v>1084</v>
      </c>
      <c r="H20" s="4">
        <v>1.01</v>
      </c>
      <c r="I20">
        <v>55</v>
      </c>
      <c r="J20">
        <v>114</v>
      </c>
      <c r="K20" s="14">
        <f t="shared" si="1"/>
        <v>0.48245614035087719</v>
      </c>
      <c r="N20" t="str">
        <f t="shared" si="2"/>
        <v xml:space="preserve"> </v>
      </c>
      <c r="P20" t="str">
        <f t="shared" si="3"/>
        <v/>
      </c>
      <c r="Q20" t="str">
        <f t="shared" si="4"/>
        <v/>
      </c>
      <c r="R20" t="str">
        <f t="shared" si="5"/>
        <v/>
      </c>
      <c r="S20">
        <v>2.75</v>
      </c>
      <c r="T20">
        <v>1197</v>
      </c>
      <c r="W20" s="1">
        <v>15936837.370000001</v>
      </c>
      <c r="X20" s="3">
        <f t="shared" si="6"/>
        <v>5399565.5199999996</v>
      </c>
      <c r="Y20" s="5">
        <f t="shared" si="7"/>
        <v>0.25306822091040854</v>
      </c>
    </row>
    <row r="21" spans="1:25" x14ac:dyDescent="0.25">
      <c r="A21" s="2">
        <v>2019</v>
      </c>
      <c r="B21" t="s">
        <v>5</v>
      </c>
      <c r="C21" s="1">
        <v>26553820.030000001</v>
      </c>
      <c r="D21" s="1">
        <v>9951476.4000000004</v>
      </c>
      <c r="E21" s="3">
        <f t="shared" si="8"/>
        <v>16602343.630000001</v>
      </c>
      <c r="F21">
        <v>28928</v>
      </c>
      <c r="G21">
        <v>1461</v>
      </c>
      <c r="H21" s="4">
        <v>1.1000000000000001</v>
      </c>
      <c r="I21">
        <v>56</v>
      </c>
      <c r="J21">
        <v>119</v>
      </c>
      <c r="K21" s="14">
        <f t="shared" si="1"/>
        <v>0.47058823529411764</v>
      </c>
      <c r="N21" t="str">
        <f t="shared" si="2"/>
        <v xml:space="preserve"> </v>
      </c>
      <c r="P21" t="str">
        <f t="shared" si="3"/>
        <v/>
      </c>
      <c r="Q21" t="str">
        <f t="shared" si="4"/>
        <v/>
      </c>
      <c r="R21" t="str">
        <f t="shared" si="5"/>
        <v/>
      </c>
      <c r="S21">
        <v>2.46</v>
      </c>
      <c r="T21">
        <v>1615</v>
      </c>
      <c r="W21" s="1">
        <v>18179995.529999997</v>
      </c>
      <c r="X21" s="3">
        <f t="shared" si="6"/>
        <v>8373824.5000000037</v>
      </c>
      <c r="Y21" s="5">
        <f t="shared" si="7"/>
        <v>0.31535291308517627</v>
      </c>
    </row>
    <row r="22" spans="1:25" x14ac:dyDescent="0.25">
      <c r="A22" s="2">
        <v>2019</v>
      </c>
      <c r="B22" t="s">
        <v>6</v>
      </c>
      <c r="C22" s="1">
        <v>19180841.140000001</v>
      </c>
      <c r="D22" s="1">
        <v>7587781.4699999997</v>
      </c>
      <c r="E22" s="3">
        <f t="shared" si="8"/>
        <v>11593059.670000002</v>
      </c>
      <c r="F22">
        <v>21898</v>
      </c>
      <c r="G22">
        <v>1045</v>
      </c>
      <c r="H22" s="4">
        <v>0.94</v>
      </c>
      <c r="I22">
        <v>54</v>
      </c>
      <c r="J22">
        <v>119</v>
      </c>
      <c r="K22" s="14">
        <f t="shared" si="1"/>
        <v>0.45378151260504201</v>
      </c>
      <c r="N22" t="str">
        <f t="shared" si="2"/>
        <v xml:space="preserve"> </v>
      </c>
      <c r="P22" t="str">
        <f t="shared" si="3"/>
        <v/>
      </c>
      <c r="Q22" t="str">
        <f t="shared" si="4"/>
        <v/>
      </c>
      <c r="R22" t="str">
        <f t="shared" si="5"/>
        <v/>
      </c>
      <c r="S22">
        <v>2.34</v>
      </c>
      <c r="T22">
        <v>1165</v>
      </c>
      <c r="W22" s="1">
        <v>17324428.350000001</v>
      </c>
      <c r="X22" s="3">
        <f t="shared" si="6"/>
        <v>1856412.7899999991</v>
      </c>
      <c r="Y22" s="5">
        <f t="shared" si="7"/>
        <v>9.6784743507864701E-2</v>
      </c>
    </row>
    <row r="23" spans="1:25" x14ac:dyDescent="0.25">
      <c r="A23" s="2">
        <v>2019</v>
      </c>
      <c r="B23" t="s">
        <v>7</v>
      </c>
      <c r="C23" s="1">
        <v>22512802.299999997</v>
      </c>
      <c r="D23" s="1">
        <v>8430558.3599999994</v>
      </c>
      <c r="E23" s="3">
        <f t="shared" si="8"/>
        <v>14082243.939999998</v>
      </c>
      <c r="F23">
        <v>22791</v>
      </c>
      <c r="G23">
        <v>1006</v>
      </c>
      <c r="H23" s="4">
        <v>0.88</v>
      </c>
      <c r="I23">
        <v>56</v>
      </c>
      <c r="J23">
        <v>119</v>
      </c>
      <c r="K23" s="14">
        <f t="shared" si="1"/>
        <v>0.47058823529411764</v>
      </c>
      <c r="N23" t="str">
        <f t="shared" si="2"/>
        <v xml:space="preserve"> </v>
      </c>
      <c r="P23" t="str">
        <f t="shared" si="3"/>
        <v/>
      </c>
      <c r="Q23" t="str">
        <f t="shared" si="4"/>
        <v/>
      </c>
      <c r="R23" t="str">
        <f t="shared" si="5"/>
        <v/>
      </c>
      <c r="S23">
        <v>2.54</v>
      </c>
      <c r="T23">
        <v>1136</v>
      </c>
      <c r="W23" s="1">
        <v>16944115.189999994</v>
      </c>
      <c r="X23" s="3">
        <f t="shared" si="6"/>
        <v>5568687.1100000031</v>
      </c>
      <c r="Y23" s="5">
        <f t="shared" si="7"/>
        <v>0.24735646126115557</v>
      </c>
    </row>
    <row r="24" spans="1:25" x14ac:dyDescent="0.25">
      <c r="A24" s="2">
        <v>2019</v>
      </c>
      <c r="B24" t="s">
        <v>8</v>
      </c>
      <c r="C24" s="1">
        <v>22403204.699999999</v>
      </c>
      <c r="D24" s="1">
        <v>8831792.3499999996</v>
      </c>
      <c r="E24" s="3">
        <f t="shared" si="8"/>
        <v>13571412.35</v>
      </c>
      <c r="F24">
        <v>24429</v>
      </c>
      <c r="G24">
        <v>1131</v>
      </c>
      <c r="H24" s="4">
        <v>0.98</v>
      </c>
      <c r="I24">
        <v>56</v>
      </c>
      <c r="J24">
        <v>116</v>
      </c>
      <c r="K24" s="14">
        <f t="shared" si="1"/>
        <v>0.48275862068965519</v>
      </c>
      <c r="N24" t="str">
        <f t="shared" si="2"/>
        <v xml:space="preserve"> </v>
      </c>
      <c r="P24" t="str">
        <f t="shared" si="3"/>
        <v/>
      </c>
      <c r="Q24" t="str">
        <f t="shared" si="4"/>
        <v/>
      </c>
      <c r="R24" t="str">
        <f t="shared" si="5"/>
        <v/>
      </c>
      <c r="S24">
        <v>2.56</v>
      </c>
      <c r="T24">
        <v>1168</v>
      </c>
      <c r="W24" s="1">
        <v>17040476.159999996</v>
      </c>
      <c r="X24" s="3">
        <f t="shared" si="6"/>
        <v>5362728.5400000028</v>
      </c>
      <c r="Y24" s="5">
        <f t="shared" si="7"/>
        <v>0.23937327769897149</v>
      </c>
    </row>
    <row r="25" spans="1:25" x14ac:dyDescent="0.25">
      <c r="A25" s="2">
        <v>2019</v>
      </c>
      <c r="B25" t="s">
        <v>9</v>
      </c>
      <c r="C25" s="1">
        <v>22832946.109999999</v>
      </c>
      <c r="D25" s="1">
        <v>7677510.6100000003</v>
      </c>
      <c r="E25" s="3">
        <f t="shared" si="8"/>
        <v>15155435.5</v>
      </c>
      <c r="F25">
        <v>22418</v>
      </c>
      <c r="G25">
        <v>1113</v>
      </c>
      <c r="H25" s="4">
        <v>1.08</v>
      </c>
      <c r="I25">
        <v>58</v>
      </c>
      <c r="J25">
        <v>121</v>
      </c>
      <c r="K25" s="14">
        <f t="shared" si="1"/>
        <v>0.47933884297520662</v>
      </c>
      <c r="N25" t="str">
        <f t="shared" si="2"/>
        <v xml:space="preserve"> </v>
      </c>
      <c r="P25" t="str">
        <f t="shared" si="3"/>
        <v/>
      </c>
      <c r="Q25" t="str">
        <f t="shared" si="4"/>
        <v/>
      </c>
      <c r="R25" t="str">
        <f t="shared" si="5"/>
        <v/>
      </c>
      <c r="S25">
        <v>2.68</v>
      </c>
      <c r="T25">
        <v>1236</v>
      </c>
      <c r="W25" s="1">
        <v>18327004.439999998</v>
      </c>
      <c r="X25" s="3">
        <f t="shared" si="6"/>
        <v>4505941.6700000018</v>
      </c>
      <c r="Y25" s="5">
        <f t="shared" si="7"/>
        <v>0.19734385778743477</v>
      </c>
    </row>
    <row r="26" spans="1:25" x14ac:dyDescent="0.25">
      <c r="A26" s="2">
        <v>2019</v>
      </c>
      <c r="B26" t="s">
        <v>10</v>
      </c>
      <c r="C26" s="1">
        <v>23681810.890000001</v>
      </c>
      <c r="D26" s="1">
        <v>8015605.1200000001</v>
      </c>
      <c r="E26" s="3">
        <f t="shared" si="8"/>
        <v>15666205.77</v>
      </c>
      <c r="F26">
        <v>22532</v>
      </c>
      <c r="G26">
        <v>1112</v>
      </c>
      <c r="H26" s="4">
        <v>1.07</v>
      </c>
      <c r="I26">
        <v>60</v>
      </c>
      <c r="J26">
        <v>121</v>
      </c>
      <c r="K26" s="14">
        <f t="shared" si="1"/>
        <v>0.49586776859504134</v>
      </c>
      <c r="N26" t="str">
        <f t="shared" si="2"/>
        <v xml:space="preserve"> </v>
      </c>
      <c r="P26" t="str">
        <f t="shared" si="3"/>
        <v/>
      </c>
      <c r="Q26" t="str">
        <f t="shared" si="4"/>
        <v/>
      </c>
      <c r="R26" t="str">
        <f t="shared" si="5"/>
        <v/>
      </c>
      <c r="S26">
        <v>3.02</v>
      </c>
      <c r="T26">
        <v>1198</v>
      </c>
      <c r="W26" s="1">
        <v>42150279.639999978</v>
      </c>
      <c r="X26" s="3">
        <f t="shared" si="6"/>
        <v>-18468468.749999978</v>
      </c>
      <c r="Y26" s="5">
        <f t="shared" si="7"/>
        <v>-0.77985880538377939</v>
      </c>
    </row>
    <row r="27" spans="1:25" x14ac:dyDescent="0.25">
      <c r="A27" s="2">
        <v>2020</v>
      </c>
      <c r="B27" t="s">
        <v>14</v>
      </c>
      <c r="C27" s="1">
        <v>20779051.219999999</v>
      </c>
      <c r="D27" s="1">
        <v>6753382.5599999996</v>
      </c>
      <c r="E27" s="3">
        <f t="shared" si="8"/>
        <v>14025668.66</v>
      </c>
      <c r="F27">
        <v>18392</v>
      </c>
      <c r="G27">
        <v>925</v>
      </c>
      <c r="H27" s="4">
        <v>0.65</v>
      </c>
      <c r="I27">
        <v>57</v>
      </c>
      <c r="J27">
        <v>120</v>
      </c>
      <c r="K27" s="14">
        <f t="shared" si="1"/>
        <v>0.47499999999999998</v>
      </c>
      <c r="N27" t="str">
        <f t="shared" si="2"/>
        <v xml:space="preserve"> </v>
      </c>
      <c r="P27" t="str">
        <f t="shared" si="3"/>
        <v/>
      </c>
      <c r="Q27" t="str">
        <f t="shared" si="4"/>
        <v/>
      </c>
      <c r="R27" t="str">
        <f t="shared" si="5"/>
        <v/>
      </c>
      <c r="S27">
        <v>3.26</v>
      </c>
      <c r="T27">
        <v>1070</v>
      </c>
      <c r="W27" s="1">
        <v>17313385.20000001</v>
      </c>
      <c r="X27" s="3">
        <f t="shared" si="6"/>
        <v>3465666.0199999884</v>
      </c>
      <c r="Y27" s="5">
        <f t="shared" si="7"/>
        <v>0.16678653819690564</v>
      </c>
    </row>
    <row r="28" spans="1:25" x14ac:dyDescent="0.25">
      <c r="A28" s="2">
        <v>2020</v>
      </c>
      <c r="B28" t="s">
        <v>0</v>
      </c>
      <c r="C28" s="1">
        <v>20857795.469999999</v>
      </c>
      <c r="D28" s="1">
        <v>7961717.4299999997</v>
      </c>
      <c r="E28" s="3">
        <f t="shared" si="8"/>
        <v>12896078.039999999</v>
      </c>
      <c r="F28">
        <v>21575</v>
      </c>
      <c r="G28">
        <v>991</v>
      </c>
      <c r="H28" s="4">
        <v>0.9</v>
      </c>
      <c r="I28">
        <v>57</v>
      </c>
      <c r="J28">
        <v>115</v>
      </c>
      <c r="K28" s="14">
        <f t="shared" si="1"/>
        <v>0.4956521739130435</v>
      </c>
      <c r="N28" t="str">
        <f t="shared" si="2"/>
        <v xml:space="preserve"> </v>
      </c>
      <c r="P28" t="str">
        <f t="shared" si="3"/>
        <v/>
      </c>
      <c r="Q28" t="str">
        <f t="shared" si="4"/>
        <v/>
      </c>
      <c r="R28" t="str">
        <f t="shared" si="5"/>
        <v/>
      </c>
      <c r="S28">
        <v>2.91</v>
      </c>
      <c r="T28">
        <v>1056</v>
      </c>
      <c r="W28" s="1">
        <v>17521104.969999995</v>
      </c>
      <c r="X28" s="3">
        <f t="shared" si="6"/>
        <v>3336690.5000000037</v>
      </c>
      <c r="Y28" s="5">
        <f t="shared" si="7"/>
        <v>0.15997330613387226</v>
      </c>
    </row>
    <row r="29" spans="1:25" x14ac:dyDescent="0.25">
      <c r="A29" s="2">
        <v>2020</v>
      </c>
      <c r="B29" t="s">
        <v>1</v>
      </c>
      <c r="C29" s="1">
        <v>20867197.728399999</v>
      </c>
      <c r="D29" s="1">
        <v>6120327.2000000002</v>
      </c>
      <c r="E29" s="3">
        <f t="shared" si="8"/>
        <v>14746870.5284</v>
      </c>
      <c r="F29">
        <v>16924</v>
      </c>
      <c r="G29">
        <v>989</v>
      </c>
      <c r="H29" s="4">
        <v>0.9</v>
      </c>
      <c r="I29">
        <v>57</v>
      </c>
      <c r="J29">
        <v>118</v>
      </c>
      <c r="K29" s="14">
        <f t="shared" si="1"/>
        <v>0.48305084745762711</v>
      </c>
      <c r="N29" t="str">
        <f t="shared" si="2"/>
        <v xml:space="preserve"> </v>
      </c>
      <c r="P29" t="str">
        <f t="shared" si="3"/>
        <v/>
      </c>
      <c r="Q29" t="str">
        <f t="shared" si="4"/>
        <v/>
      </c>
      <c r="R29" t="str">
        <f t="shared" si="5"/>
        <v/>
      </c>
      <c r="S29">
        <v>2.98</v>
      </c>
      <c r="T29">
        <v>1157</v>
      </c>
      <c r="W29" s="1">
        <v>17625531.619999997</v>
      </c>
      <c r="X29" s="3">
        <f t="shared" si="6"/>
        <v>3241666.1084000021</v>
      </c>
      <c r="Y29" s="5">
        <f t="shared" si="7"/>
        <v>0.15534745731517818</v>
      </c>
    </row>
    <row r="30" spans="1:25" x14ac:dyDescent="0.25">
      <c r="A30" s="2">
        <v>2020</v>
      </c>
      <c r="B30" t="s">
        <v>2</v>
      </c>
      <c r="C30" s="1">
        <v>9135631.707799999</v>
      </c>
      <c r="D30" s="1">
        <v>1631242.61</v>
      </c>
      <c r="E30" s="3">
        <f t="shared" si="8"/>
        <v>7504389.0977999987</v>
      </c>
      <c r="F30">
        <v>4442</v>
      </c>
      <c r="G30">
        <v>410</v>
      </c>
      <c r="H30" s="4">
        <v>0.63</v>
      </c>
      <c r="I30">
        <v>46</v>
      </c>
      <c r="J30">
        <v>130</v>
      </c>
      <c r="K30" s="14">
        <f t="shared" si="1"/>
        <v>0.35384615384615387</v>
      </c>
      <c r="N30" t="str">
        <f t="shared" si="2"/>
        <v xml:space="preserve"> </v>
      </c>
      <c r="P30" t="str">
        <f t="shared" si="3"/>
        <v/>
      </c>
      <c r="Q30" t="str">
        <f t="shared" si="4"/>
        <v/>
      </c>
      <c r="R30" t="str">
        <f t="shared" si="5"/>
        <v/>
      </c>
      <c r="S30">
        <v>3.66</v>
      </c>
      <c r="T30">
        <v>512</v>
      </c>
      <c r="W30" s="1">
        <v>11901574.199999992</v>
      </c>
      <c r="X30" s="3">
        <f t="shared" si="6"/>
        <v>-2765942.4921999928</v>
      </c>
      <c r="Y30" s="5">
        <f t="shared" si="7"/>
        <v>-0.30276422919264928</v>
      </c>
    </row>
    <row r="31" spans="1:25" x14ac:dyDescent="0.25">
      <c r="A31" s="2">
        <v>2020</v>
      </c>
      <c r="B31" t="s">
        <v>3</v>
      </c>
      <c r="C31" s="1">
        <v>11102991.644400001</v>
      </c>
      <c r="D31" s="1">
        <v>2904764.14</v>
      </c>
      <c r="E31" s="3">
        <f t="shared" si="8"/>
        <v>8198227.5044</v>
      </c>
      <c r="F31">
        <v>6763</v>
      </c>
      <c r="G31">
        <v>514</v>
      </c>
      <c r="H31" s="4">
        <v>0.62</v>
      </c>
      <c r="I31">
        <v>49</v>
      </c>
      <c r="J31">
        <v>125</v>
      </c>
      <c r="K31" s="14">
        <f t="shared" si="1"/>
        <v>0.39200000000000002</v>
      </c>
      <c r="N31" t="str">
        <f t="shared" si="2"/>
        <v xml:space="preserve"> </v>
      </c>
      <c r="P31" t="str">
        <f t="shared" si="3"/>
        <v/>
      </c>
      <c r="Q31" t="str">
        <f t="shared" si="4"/>
        <v/>
      </c>
      <c r="R31" t="str">
        <f t="shared" si="5"/>
        <v/>
      </c>
      <c r="S31">
        <v>3.48</v>
      </c>
      <c r="T31">
        <v>578</v>
      </c>
      <c r="W31" s="1">
        <v>17384654.429999992</v>
      </c>
      <c r="X31" s="3">
        <f t="shared" si="6"/>
        <v>-6281662.7855999917</v>
      </c>
      <c r="Y31" s="5">
        <f t="shared" si="7"/>
        <v>-0.56576308321084479</v>
      </c>
    </row>
    <row r="32" spans="1:25" x14ac:dyDescent="0.25">
      <c r="A32" s="2">
        <v>2020</v>
      </c>
      <c r="B32" t="s">
        <v>4</v>
      </c>
      <c r="C32" s="1">
        <v>26569410.840800002</v>
      </c>
      <c r="D32" s="1">
        <v>7321944.8499999996</v>
      </c>
      <c r="E32" s="3">
        <f t="shared" si="8"/>
        <v>19247465.990800001</v>
      </c>
      <c r="F32">
        <v>16407</v>
      </c>
      <c r="G32">
        <v>1093</v>
      </c>
      <c r="H32" s="4">
        <v>0.93</v>
      </c>
      <c r="I32">
        <v>52</v>
      </c>
      <c r="J32">
        <v>116</v>
      </c>
      <c r="K32" s="14">
        <f t="shared" si="1"/>
        <v>0.44827586206896552</v>
      </c>
      <c r="N32" t="str">
        <f t="shared" si="2"/>
        <v xml:space="preserve"> </v>
      </c>
      <c r="P32" t="str">
        <f t="shared" si="3"/>
        <v/>
      </c>
      <c r="Q32" t="str">
        <f t="shared" si="4"/>
        <v/>
      </c>
      <c r="R32" t="str">
        <f t="shared" si="5"/>
        <v/>
      </c>
      <c r="S32">
        <v>2.86</v>
      </c>
      <c r="T32">
        <v>1201</v>
      </c>
      <c r="W32" s="1">
        <v>18280413.09</v>
      </c>
      <c r="X32" s="3">
        <f t="shared" si="6"/>
        <v>8288997.7508000024</v>
      </c>
      <c r="Y32" s="5">
        <f t="shared" si="7"/>
        <v>0.31197521843696335</v>
      </c>
    </row>
    <row r="33" spans="1:25" x14ac:dyDescent="0.25">
      <c r="A33" s="2">
        <v>2020</v>
      </c>
      <c r="B33" t="s">
        <v>5</v>
      </c>
      <c r="C33" s="1">
        <v>30253196.9969</v>
      </c>
      <c r="D33" s="1">
        <v>8547177.3399999999</v>
      </c>
      <c r="E33" s="3">
        <f t="shared" si="8"/>
        <v>21706019.6569</v>
      </c>
      <c r="F33">
        <v>20449</v>
      </c>
      <c r="G33">
        <v>1227</v>
      </c>
      <c r="H33" s="4">
        <v>1</v>
      </c>
      <c r="I33">
        <v>54</v>
      </c>
      <c r="J33">
        <v>114</v>
      </c>
      <c r="K33" s="14">
        <f t="shared" si="1"/>
        <v>0.47368421052631576</v>
      </c>
      <c r="N33" t="str">
        <f t="shared" si="2"/>
        <v xml:space="preserve"> </v>
      </c>
      <c r="P33" t="str">
        <f t="shared" si="3"/>
        <v/>
      </c>
      <c r="Q33" t="str">
        <f t="shared" si="4"/>
        <v/>
      </c>
      <c r="R33" t="str">
        <f t="shared" si="5"/>
        <v/>
      </c>
      <c r="S33">
        <v>2.83</v>
      </c>
      <c r="T33">
        <v>1387</v>
      </c>
      <c r="W33" s="1">
        <v>20964069.189999998</v>
      </c>
      <c r="X33" s="3">
        <f t="shared" si="6"/>
        <v>9289127.8069000021</v>
      </c>
      <c r="Y33" s="5">
        <f t="shared" si="7"/>
        <v>0.30704615475355695</v>
      </c>
    </row>
    <row r="34" spans="1:25" x14ac:dyDescent="0.25">
      <c r="A34" s="2">
        <v>2020</v>
      </c>
      <c r="B34" t="s">
        <v>6</v>
      </c>
      <c r="C34" s="1">
        <v>24597121.439999998</v>
      </c>
      <c r="D34" s="1">
        <v>8897472.3699999992</v>
      </c>
      <c r="E34" s="3">
        <f t="shared" si="8"/>
        <v>15699649.069999998</v>
      </c>
      <c r="F34">
        <v>20557</v>
      </c>
      <c r="G34">
        <v>1074</v>
      </c>
      <c r="H34" s="4">
        <v>0.97</v>
      </c>
      <c r="I34">
        <v>53</v>
      </c>
      <c r="J34">
        <v>112</v>
      </c>
      <c r="K34" s="14">
        <f t="shared" si="1"/>
        <v>0.4732142857142857</v>
      </c>
      <c r="N34" t="str">
        <f t="shared" si="2"/>
        <v xml:space="preserve"> </v>
      </c>
      <c r="P34" t="str">
        <f t="shared" si="3"/>
        <v/>
      </c>
      <c r="Q34" t="str">
        <f t="shared" si="4"/>
        <v/>
      </c>
      <c r="R34" t="str">
        <f t="shared" si="5"/>
        <v/>
      </c>
      <c r="S34">
        <v>2.36</v>
      </c>
      <c r="T34">
        <v>1163</v>
      </c>
      <c r="W34" s="1">
        <v>19940863.079999998</v>
      </c>
      <c r="X34" s="3">
        <f t="shared" si="6"/>
        <v>4656258.3599999994</v>
      </c>
      <c r="Y34" s="5">
        <f t="shared" si="7"/>
        <v>0.18930094610290299</v>
      </c>
    </row>
    <row r="35" spans="1:25" x14ac:dyDescent="0.25">
      <c r="A35" s="2">
        <v>2020</v>
      </c>
      <c r="B35" t="s">
        <v>7</v>
      </c>
      <c r="C35" s="1">
        <v>29245175.255999997</v>
      </c>
      <c r="D35" s="1">
        <v>9537161.3800000008</v>
      </c>
      <c r="E35" s="3">
        <f t="shared" si="8"/>
        <v>19708013.875999995</v>
      </c>
      <c r="F35">
        <v>22149</v>
      </c>
      <c r="G35">
        <v>1110</v>
      </c>
      <c r="H35" s="4">
        <v>0.95</v>
      </c>
      <c r="I35">
        <v>52</v>
      </c>
      <c r="J35">
        <v>112</v>
      </c>
      <c r="K35" s="14">
        <f t="shared" si="1"/>
        <v>0.4642857142857143</v>
      </c>
      <c r="N35" t="str">
        <f t="shared" si="2"/>
        <v xml:space="preserve"> </v>
      </c>
      <c r="P35" t="str">
        <f t="shared" si="3"/>
        <v/>
      </c>
      <c r="Q35" t="str">
        <f t="shared" si="4"/>
        <v/>
      </c>
      <c r="R35" t="str">
        <f t="shared" si="5"/>
        <v/>
      </c>
      <c r="S35">
        <v>2.86</v>
      </c>
      <c r="T35">
        <v>1239</v>
      </c>
      <c r="W35" s="1">
        <v>22724659.040000003</v>
      </c>
      <c r="X35" s="3">
        <f t="shared" si="6"/>
        <v>6520516.2159999944</v>
      </c>
      <c r="Y35" s="5">
        <f t="shared" si="7"/>
        <v>0.22296040830400674</v>
      </c>
    </row>
    <row r="36" spans="1:25" x14ac:dyDescent="0.25">
      <c r="A36" s="2">
        <v>2020</v>
      </c>
      <c r="B36" t="s">
        <v>8</v>
      </c>
      <c r="C36" s="1">
        <v>25752381.039999999</v>
      </c>
      <c r="D36" s="1">
        <v>8560767.6899999995</v>
      </c>
      <c r="E36" s="3">
        <f t="shared" si="8"/>
        <v>17191613.350000001</v>
      </c>
      <c r="F36">
        <v>20950</v>
      </c>
      <c r="G36">
        <v>982</v>
      </c>
      <c r="H36" s="4">
        <v>0.83</v>
      </c>
      <c r="I36">
        <v>51</v>
      </c>
      <c r="J36">
        <v>106</v>
      </c>
      <c r="K36" s="14">
        <f t="shared" si="1"/>
        <v>0.48113207547169812</v>
      </c>
      <c r="N36" t="str">
        <f t="shared" si="2"/>
        <v xml:space="preserve"> </v>
      </c>
      <c r="P36" t="str">
        <f t="shared" si="3"/>
        <v/>
      </c>
      <c r="Q36" t="str">
        <f t="shared" si="4"/>
        <v/>
      </c>
      <c r="R36" t="str">
        <f t="shared" si="5"/>
        <v/>
      </c>
      <c r="S36">
        <v>2.71</v>
      </c>
      <c r="T36">
        <v>1147</v>
      </c>
      <c r="W36" s="1">
        <v>23171088.709999986</v>
      </c>
      <c r="X36" s="3">
        <f t="shared" si="6"/>
        <v>2581292.3300000131</v>
      </c>
      <c r="Y36" s="5">
        <f t="shared" si="7"/>
        <v>0.10023509383425981</v>
      </c>
    </row>
    <row r="37" spans="1:25" x14ac:dyDescent="0.25">
      <c r="A37" s="2">
        <v>2020</v>
      </c>
      <c r="B37" t="s">
        <v>9</v>
      </c>
      <c r="C37" s="1">
        <v>23641848.272</v>
      </c>
      <c r="D37" s="1">
        <v>7980922.4100000001</v>
      </c>
      <c r="E37" s="3">
        <f t="shared" si="8"/>
        <v>15660925.862</v>
      </c>
      <c r="F37">
        <v>19107</v>
      </c>
      <c r="G37">
        <v>1000</v>
      </c>
      <c r="H37" s="4">
        <v>0.81</v>
      </c>
      <c r="I37">
        <v>53</v>
      </c>
      <c r="J37">
        <v>113</v>
      </c>
      <c r="K37" s="14">
        <f t="shared" si="1"/>
        <v>0.46902654867256638</v>
      </c>
      <c r="N37" t="str">
        <f t="shared" si="2"/>
        <v xml:space="preserve"> </v>
      </c>
      <c r="P37" t="str">
        <f t="shared" si="3"/>
        <v/>
      </c>
      <c r="Q37" t="str">
        <f t="shared" si="4"/>
        <v/>
      </c>
      <c r="R37" t="str">
        <f t="shared" si="5"/>
        <v/>
      </c>
      <c r="S37">
        <v>2.85</v>
      </c>
      <c r="T37">
        <v>1084</v>
      </c>
      <c r="W37" s="1">
        <v>18646013.91</v>
      </c>
      <c r="X37" s="3">
        <f t="shared" si="6"/>
        <v>4995834.3619999997</v>
      </c>
      <c r="Y37" s="5">
        <f t="shared" si="7"/>
        <v>0.21131318941407679</v>
      </c>
    </row>
    <row r="38" spans="1:25" x14ac:dyDescent="0.25">
      <c r="A38" s="2">
        <v>2020</v>
      </c>
      <c r="B38" t="s">
        <v>10</v>
      </c>
      <c r="C38" s="1">
        <v>25609041.377999999</v>
      </c>
      <c r="D38" s="1">
        <v>9483254.8399999999</v>
      </c>
      <c r="E38" s="3">
        <f t="shared" si="8"/>
        <v>16125786.537999999</v>
      </c>
      <c r="F38">
        <v>22766</v>
      </c>
      <c r="G38">
        <v>887</v>
      </c>
      <c r="H38" s="4">
        <v>0.73</v>
      </c>
      <c r="I38">
        <v>51</v>
      </c>
      <c r="J38">
        <v>159</v>
      </c>
      <c r="K38" s="14">
        <f t="shared" si="1"/>
        <v>0.32075471698113206</v>
      </c>
      <c r="N38" t="str">
        <f t="shared" si="2"/>
        <v xml:space="preserve"> </v>
      </c>
      <c r="P38" t="str">
        <f t="shared" si="3"/>
        <v/>
      </c>
      <c r="Q38" t="str">
        <f t="shared" si="4"/>
        <v/>
      </c>
      <c r="R38" t="str">
        <f t="shared" si="5"/>
        <v/>
      </c>
      <c r="S38">
        <v>2.77</v>
      </c>
      <c r="T38">
        <v>999</v>
      </c>
      <c r="W38" s="1">
        <v>30423977.48</v>
      </c>
      <c r="X38" s="3">
        <f t="shared" si="6"/>
        <v>-4814936.1020000018</v>
      </c>
      <c r="Y38" s="5">
        <f t="shared" si="7"/>
        <v>-0.18801703784728063</v>
      </c>
    </row>
    <row r="39" spans="1:25" x14ac:dyDescent="0.25">
      <c r="A39" s="2">
        <v>2021</v>
      </c>
      <c r="B39" t="s">
        <v>14</v>
      </c>
      <c r="C39" s="1">
        <v>20578225.167999998</v>
      </c>
      <c r="D39" s="1">
        <v>7221423.0199999996</v>
      </c>
      <c r="E39" s="3">
        <f t="shared" si="8"/>
        <v>13356802.147999998</v>
      </c>
      <c r="F39">
        <v>17847</v>
      </c>
      <c r="G39">
        <v>868</v>
      </c>
      <c r="H39" s="4">
        <v>0.59</v>
      </c>
      <c r="I39">
        <v>52</v>
      </c>
      <c r="J39">
        <v>107</v>
      </c>
      <c r="K39" s="14">
        <f t="shared" si="1"/>
        <v>0.48598130841121495</v>
      </c>
      <c r="N39" t="str">
        <f t="shared" si="2"/>
        <v xml:space="preserve"> </v>
      </c>
      <c r="P39" t="str">
        <f t="shared" si="3"/>
        <v/>
      </c>
      <c r="Q39" t="str">
        <f t="shared" si="4"/>
        <v/>
      </c>
      <c r="R39" t="str">
        <f t="shared" si="5"/>
        <v/>
      </c>
      <c r="S39">
        <v>2.93</v>
      </c>
      <c r="W39" s="1">
        <v>11015831.839999998</v>
      </c>
      <c r="X39" s="3">
        <f t="shared" si="6"/>
        <v>9562393.3279999997</v>
      </c>
      <c r="Y39" s="5">
        <f t="shared" si="7"/>
        <v>0.46468503721447862</v>
      </c>
    </row>
    <row r="40" spans="1:25" x14ac:dyDescent="0.25">
      <c r="A40" s="2">
        <v>2021</v>
      </c>
      <c r="B40" t="s">
        <v>0</v>
      </c>
      <c r="C40" s="1">
        <v>19743855.810000002</v>
      </c>
      <c r="D40" s="1">
        <v>6966114.3200000003</v>
      </c>
      <c r="E40" s="3">
        <f t="shared" si="8"/>
        <v>12777741.490000002</v>
      </c>
      <c r="F40">
        <v>16802</v>
      </c>
      <c r="G40">
        <v>867</v>
      </c>
      <c r="H40" s="5">
        <v>0.71</v>
      </c>
      <c r="I40">
        <v>54</v>
      </c>
      <c r="J40">
        <v>112</v>
      </c>
      <c r="K40" s="14">
        <f t="shared" si="1"/>
        <v>0.48214285714285715</v>
      </c>
      <c r="N40" t="str">
        <f t="shared" si="2"/>
        <v xml:space="preserve"> </v>
      </c>
      <c r="P40" t="str">
        <f t="shared" si="3"/>
        <v/>
      </c>
      <c r="Q40" t="str">
        <f t="shared" si="4"/>
        <v/>
      </c>
      <c r="R40" t="str">
        <f t="shared" si="5"/>
        <v/>
      </c>
      <c r="S40">
        <v>2.52</v>
      </c>
      <c r="W40" s="1">
        <v>11534899.350000003</v>
      </c>
      <c r="X40" s="3">
        <f t="shared" si="6"/>
        <v>8208956.459999999</v>
      </c>
      <c r="Y40" s="5">
        <f t="shared" si="7"/>
        <v>0.41577271121693821</v>
      </c>
    </row>
    <row r="41" spans="1:25" x14ac:dyDescent="0.25">
      <c r="A41" s="2">
        <v>2021</v>
      </c>
      <c r="B41" t="s">
        <v>1</v>
      </c>
      <c r="C41" s="1">
        <v>23580214.869999997</v>
      </c>
      <c r="D41" s="1">
        <v>9275883.4499999993</v>
      </c>
      <c r="E41" s="3">
        <f t="shared" si="8"/>
        <v>14304331.419999998</v>
      </c>
      <c r="F41">
        <v>21870</v>
      </c>
      <c r="G41">
        <v>984</v>
      </c>
      <c r="H41" s="5">
        <v>0.71</v>
      </c>
      <c r="I41">
        <v>53</v>
      </c>
      <c r="J41">
        <v>111</v>
      </c>
      <c r="K41" s="14">
        <f t="shared" si="1"/>
        <v>0.47747747747747749</v>
      </c>
      <c r="N41" t="str">
        <f t="shared" si="2"/>
        <v xml:space="preserve"> </v>
      </c>
      <c r="P41" t="str">
        <f t="shared" si="3"/>
        <v/>
      </c>
      <c r="Q41" t="str">
        <f t="shared" si="4"/>
        <v/>
      </c>
      <c r="R41" t="str">
        <f t="shared" si="5"/>
        <v/>
      </c>
      <c r="S41">
        <v>2.52</v>
      </c>
      <c r="W41" s="1">
        <v>12221844.660000002</v>
      </c>
      <c r="X41" s="3">
        <f t="shared" si="6"/>
        <v>11358370.209999995</v>
      </c>
      <c r="Y41" s="5">
        <f t="shared" si="7"/>
        <v>0.4816907001322841</v>
      </c>
    </row>
    <row r="42" spans="1:25" x14ac:dyDescent="0.25">
      <c r="A42" s="2">
        <v>2021</v>
      </c>
      <c r="B42" t="s">
        <v>2</v>
      </c>
      <c r="C42" s="1">
        <v>21948589.219999999</v>
      </c>
      <c r="D42" s="1">
        <v>7335381.5999999996</v>
      </c>
      <c r="E42" s="3">
        <f t="shared" si="8"/>
        <v>14613207.619999999</v>
      </c>
      <c r="F42">
        <v>18236</v>
      </c>
      <c r="G42">
        <v>888</v>
      </c>
      <c r="H42" s="5">
        <v>0.74</v>
      </c>
      <c r="I42">
        <v>54</v>
      </c>
      <c r="J42">
        <v>113</v>
      </c>
      <c r="K42" s="14">
        <f t="shared" si="1"/>
        <v>0.47787610619469029</v>
      </c>
      <c r="N42" t="str">
        <f t="shared" si="2"/>
        <v xml:space="preserve"> </v>
      </c>
      <c r="P42" t="str">
        <f t="shared" si="3"/>
        <v/>
      </c>
      <c r="Q42" t="str">
        <f t="shared" si="4"/>
        <v/>
      </c>
      <c r="R42" t="str">
        <f t="shared" si="5"/>
        <v/>
      </c>
      <c r="S42">
        <v>2.79</v>
      </c>
      <c r="W42" s="1">
        <v>13057400.98</v>
      </c>
      <c r="X42" s="3">
        <f t="shared" si="6"/>
        <v>8891188.2399999984</v>
      </c>
      <c r="Y42" s="5">
        <f t="shared" si="7"/>
        <v>0.40509155968430843</v>
      </c>
    </row>
    <row r="43" spans="1:25" x14ac:dyDescent="0.25">
      <c r="A43" s="2">
        <v>2021</v>
      </c>
      <c r="B43" t="s">
        <v>3</v>
      </c>
      <c r="C43" s="1">
        <v>22359108.539999999</v>
      </c>
      <c r="D43" s="1">
        <v>7739603.5899999999</v>
      </c>
      <c r="E43" s="3">
        <f t="shared" si="8"/>
        <v>14619504.949999999</v>
      </c>
      <c r="F43">
        <v>19570</v>
      </c>
      <c r="G43">
        <v>873</v>
      </c>
      <c r="H43" s="5">
        <v>0.82</v>
      </c>
      <c r="I43">
        <v>53</v>
      </c>
      <c r="J43">
        <v>108</v>
      </c>
      <c r="K43" s="14">
        <f t="shared" si="1"/>
        <v>0.49074074074074076</v>
      </c>
      <c r="N43" t="str">
        <f t="shared" si="2"/>
        <v xml:space="preserve"> </v>
      </c>
      <c r="P43" t="str">
        <f t="shared" si="3"/>
        <v/>
      </c>
      <c r="Q43" t="str">
        <f t="shared" si="4"/>
        <v/>
      </c>
      <c r="R43" t="str">
        <f t="shared" si="5"/>
        <v/>
      </c>
      <c r="S43">
        <v>3.32</v>
      </c>
      <c r="W43" s="1">
        <v>10870821.07</v>
      </c>
      <c r="X43" s="3">
        <f t="shared" si="6"/>
        <v>11488287.469999999</v>
      </c>
      <c r="Y43" s="5">
        <f t="shared" si="7"/>
        <v>0.5138079386952159</v>
      </c>
    </row>
    <row r="44" spans="1:25" x14ac:dyDescent="0.25">
      <c r="A44" s="2">
        <v>2021</v>
      </c>
      <c r="B44" t="s">
        <v>4</v>
      </c>
      <c r="C44" s="1">
        <v>31463667.769999996</v>
      </c>
      <c r="D44" s="1">
        <v>11344998.869999999</v>
      </c>
      <c r="E44" s="3">
        <f t="shared" si="8"/>
        <v>20118668.899999999</v>
      </c>
      <c r="F44">
        <v>25966</v>
      </c>
      <c r="G44">
        <v>1238</v>
      </c>
      <c r="H44" s="5">
        <v>0.99</v>
      </c>
      <c r="I44">
        <v>56</v>
      </c>
      <c r="J44">
        <v>114</v>
      </c>
      <c r="K44" s="14">
        <f>I44/J44</f>
        <v>0.49122807017543857</v>
      </c>
      <c r="N44" t="str">
        <f t="shared" si="2"/>
        <v xml:space="preserve"> </v>
      </c>
      <c r="P44" t="str">
        <f t="shared" si="3"/>
        <v/>
      </c>
      <c r="Q44" t="str">
        <f t="shared" si="4"/>
        <v/>
      </c>
      <c r="R44" t="str">
        <f t="shared" si="5"/>
        <v/>
      </c>
      <c r="S44">
        <v>2.87</v>
      </c>
      <c r="W44" s="1">
        <v>9259399.7399999984</v>
      </c>
      <c r="X44" s="3">
        <f t="shared" si="6"/>
        <v>22204268.029999997</v>
      </c>
      <c r="Y44" s="5">
        <f t="shared" si="7"/>
        <v>0.70571136818229885</v>
      </c>
    </row>
    <row r="45" spans="1:25" x14ac:dyDescent="0.25">
      <c r="A45" s="2">
        <v>2021</v>
      </c>
      <c r="B45" t="s">
        <v>5</v>
      </c>
      <c r="C45" s="1">
        <v>27067883.969999999</v>
      </c>
      <c r="D45" s="1">
        <v>8726878.2400000002</v>
      </c>
      <c r="E45" s="3">
        <f t="shared" si="8"/>
        <v>18341005.729999997</v>
      </c>
      <c r="F45">
        <v>22092</v>
      </c>
      <c r="G45">
        <v>1016</v>
      </c>
      <c r="H45" s="5">
        <v>0.94</v>
      </c>
      <c r="I45">
        <v>53</v>
      </c>
      <c r="J45">
        <v>113</v>
      </c>
      <c r="K45" s="14">
        <f>I45/J45</f>
        <v>0.46902654867256638</v>
      </c>
      <c r="N45" t="str">
        <f t="shared" si="2"/>
        <v xml:space="preserve"> </v>
      </c>
      <c r="P45" t="str">
        <f t="shared" si="3"/>
        <v/>
      </c>
      <c r="Q45" t="str">
        <f t="shared" si="4"/>
        <v/>
      </c>
      <c r="R45" t="str">
        <f t="shared" si="5"/>
        <v/>
      </c>
      <c r="S45">
        <v>3.23</v>
      </c>
      <c r="W45" s="1">
        <v>10296042.029999997</v>
      </c>
      <c r="X45" s="3">
        <f t="shared" si="6"/>
        <v>16771841.940000001</v>
      </c>
      <c r="Y45" s="5">
        <f t="shared" si="7"/>
        <v>0.61962146574104748</v>
      </c>
    </row>
    <row r="46" spans="1:25" x14ac:dyDescent="0.25">
      <c r="A46" s="2">
        <v>2021</v>
      </c>
      <c r="B46" t="s">
        <v>6</v>
      </c>
      <c r="C46" s="1">
        <v>23772779.719999999</v>
      </c>
      <c r="D46" s="1">
        <v>10429465.74</v>
      </c>
      <c r="E46" s="3">
        <f t="shared" si="8"/>
        <v>13343313.979999999</v>
      </c>
      <c r="F46">
        <v>24984</v>
      </c>
      <c r="G46">
        <v>1064</v>
      </c>
      <c r="H46" s="5">
        <v>0.92</v>
      </c>
      <c r="I46">
        <v>54</v>
      </c>
      <c r="J46">
        <v>108</v>
      </c>
      <c r="K46" s="14">
        <f>I46/J46</f>
        <v>0.5</v>
      </c>
      <c r="N46" t="str">
        <f t="shared" si="2"/>
        <v xml:space="preserve"> </v>
      </c>
      <c r="P46" t="str">
        <f t="shared" si="3"/>
        <v/>
      </c>
      <c r="Q46" t="str">
        <f t="shared" si="4"/>
        <v/>
      </c>
      <c r="R46" t="str">
        <f t="shared" si="5"/>
        <v/>
      </c>
      <c r="S46">
        <v>2.19</v>
      </c>
      <c r="W46" s="1">
        <v>12326459.679999998</v>
      </c>
      <c r="X46" s="3">
        <f t="shared" si="6"/>
        <v>11446320.040000001</v>
      </c>
      <c r="Y46" s="5">
        <f t="shared" si="7"/>
        <v>0.48148849965451163</v>
      </c>
    </row>
    <row r="47" spans="1:25" x14ac:dyDescent="0.25">
      <c r="A47" s="2">
        <v>2021</v>
      </c>
      <c r="B47" t="s">
        <v>7</v>
      </c>
      <c r="C47" s="1">
        <v>21266354.84</v>
      </c>
      <c r="D47" s="1">
        <v>9162713.7799999993</v>
      </c>
      <c r="E47" s="3">
        <f t="shared" si="8"/>
        <v>12103641.060000001</v>
      </c>
      <c r="F47">
        <v>20872</v>
      </c>
      <c r="G47">
        <v>890</v>
      </c>
      <c r="H47" s="5">
        <v>0.7</v>
      </c>
      <c r="I47">
        <v>56</v>
      </c>
      <c r="J47">
        <v>113</v>
      </c>
      <c r="K47" s="14">
        <f>I47/J47</f>
        <v>0.49557522123893805</v>
      </c>
      <c r="N47" t="str">
        <f t="shared" si="2"/>
        <v xml:space="preserve"> </v>
      </c>
      <c r="P47" t="str">
        <f t="shared" si="3"/>
        <v/>
      </c>
      <c r="Q47" t="str">
        <f t="shared" si="4"/>
        <v/>
      </c>
      <c r="R47" t="str">
        <f t="shared" si="5"/>
        <v/>
      </c>
      <c r="S47">
        <v>2.5499999999999998</v>
      </c>
      <c r="W47" s="1">
        <v>12165866.700000003</v>
      </c>
      <c r="X47" s="3">
        <f t="shared" si="6"/>
        <v>9100488.1399999969</v>
      </c>
      <c r="Y47" s="5">
        <f t="shared" si="7"/>
        <v>0.42792891440346137</v>
      </c>
    </row>
    <row r="48" spans="1:25" x14ac:dyDescent="0.25">
      <c r="A48" s="2">
        <v>2021</v>
      </c>
      <c r="B48" t="s">
        <v>8</v>
      </c>
      <c r="C48" s="1">
        <v>20410790.469999999</v>
      </c>
      <c r="D48" s="1">
        <v>8896396.3100000005</v>
      </c>
      <c r="E48" s="3">
        <f t="shared" si="8"/>
        <v>11514394.159999998</v>
      </c>
      <c r="F48">
        <v>20859</v>
      </c>
      <c r="G48">
        <v>879</v>
      </c>
      <c r="H48" s="4">
        <v>0.59</v>
      </c>
      <c r="I48">
        <v>60</v>
      </c>
      <c r="J48">
        <v>112</v>
      </c>
      <c r="K48" s="14">
        <f>I48/J48</f>
        <v>0.5357142857142857</v>
      </c>
      <c r="N48" t="str">
        <f t="shared" si="2"/>
        <v xml:space="preserve"> </v>
      </c>
      <c r="P48" t="str">
        <f t="shared" si="3"/>
        <v/>
      </c>
      <c r="Q48" t="str">
        <f t="shared" si="4"/>
        <v/>
      </c>
      <c r="R48" t="str">
        <f t="shared" si="5"/>
        <v/>
      </c>
      <c r="S48">
        <v>2.23</v>
      </c>
      <c r="W48" s="1">
        <v>11195321.100000001</v>
      </c>
      <c r="X48" s="3">
        <f t="shared" si="6"/>
        <v>9215469.3699999973</v>
      </c>
      <c r="Y48" s="5">
        <f t="shared" si="7"/>
        <v>0.45149987618289422</v>
      </c>
    </row>
    <row r="49" spans="1:25" x14ac:dyDescent="0.25">
      <c r="A49" s="2">
        <v>2021</v>
      </c>
      <c r="B49" t="s">
        <v>9</v>
      </c>
      <c r="C49" s="1">
        <v>19447870.129999999</v>
      </c>
      <c r="D49" s="1">
        <v>7910216.46</v>
      </c>
      <c r="E49" s="3">
        <f t="shared" si="8"/>
        <v>11537653.669999998</v>
      </c>
      <c r="F49">
        <v>19898</v>
      </c>
      <c r="G49">
        <v>679</v>
      </c>
      <c r="H49" s="4">
        <v>0.55000000000000004</v>
      </c>
      <c r="K49" s="4"/>
      <c r="N49" t="str">
        <f t="shared" si="2"/>
        <v xml:space="preserve"> </v>
      </c>
      <c r="P49" t="str">
        <f t="shared" si="3"/>
        <v/>
      </c>
      <c r="Q49" t="str">
        <f t="shared" si="4"/>
        <v/>
      </c>
      <c r="R49" t="str">
        <f t="shared" si="5"/>
        <v/>
      </c>
      <c r="S49">
        <v>2.4</v>
      </c>
      <c r="W49" s="1">
        <v>11760447.260000002</v>
      </c>
      <c r="X49" s="3">
        <f t="shared" si="6"/>
        <v>7687422.8699999973</v>
      </c>
      <c r="Y49" s="5">
        <f t="shared" si="7"/>
        <v>0.39528353586347181</v>
      </c>
    </row>
    <row r="50" spans="1:25" x14ac:dyDescent="0.25">
      <c r="A50" s="2">
        <v>2021</v>
      </c>
      <c r="B50" t="s">
        <v>10</v>
      </c>
      <c r="C50" s="1">
        <v>18906716.080000002</v>
      </c>
      <c r="D50" s="12">
        <v>7987874.5499999998</v>
      </c>
      <c r="E50" s="3">
        <f t="shared" si="8"/>
        <v>10918841.530000001</v>
      </c>
      <c r="F50" s="40">
        <v>20104</v>
      </c>
      <c r="G50">
        <v>822</v>
      </c>
      <c r="H50" s="4">
        <v>0.68</v>
      </c>
      <c r="N50" t="str">
        <f t="shared" si="2"/>
        <v xml:space="preserve"> </v>
      </c>
      <c r="P50" t="str">
        <f t="shared" si="3"/>
        <v/>
      </c>
      <c r="Q50" t="str">
        <f t="shared" si="4"/>
        <v/>
      </c>
      <c r="R50" t="str">
        <f t="shared" si="5"/>
        <v/>
      </c>
      <c r="S50">
        <v>2.9</v>
      </c>
      <c r="W50" s="1">
        <v>12743648.170000004</v>
      </c>
      <c r="X50" s="3">
        <f t="shared" si="6"/>
        <v>6163067.9099999983</v>
      </c>
      <c r="Y50" s="5">
        <f>X50/C50</f>
        <v>0.32597241551214945</v>
      </c>
    </row>
    <row r="51" spans="1:25" x14ac:dyDescent="0.25">
      <c r="A51" s="2"/>
      <c r="E51" s="3"/>
      <c r="P51" t="str">
        <f t="shared" si="3"/>
        <v/>
      </c>
      <c r="Q51" t="str">
        <f t="shared" si="4"/>
        <v/>
      </c>
      <c r="R51" t="str">
        <f t="shared" si="5"/>
        <v/>
      </c>
      <c r="X51" s="3">
        <f t="shared" ref="X51:X52" si="9">C51-W51</f>
        <v>0</v>
      </c>
    </row>
    <row r="52" spans="1:25" x14ac:dyDescent="0.25">
      <c r="A52" s="2"/>
      <c r="E52" s="3"/>
      <c r="P52" t="str">
        <f t="shared" si="3"/>
        <v/>
      </c>
      <c r="Q52" t="str">
        <f t="shared" si="4"/>
        <v/>
      </c>
      <c r="X52" s="3">
        <f t="shared" si="9"/>
        <v>0</v>
      </c>
    </row>
  </sheetData>
  <mergeCells count="1">
    <mergeCell ref="F1:K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8083-C11B-435C-9BB6-6313211E9B03}">
  <sheetPr codeName="Sheet2"/>
  <dimension ref="C1:H69"/>
  <sheetViews>
    <sheetView showGridLines="0" showRowColHeaders="0" tabSelected="1" zoomScaleNormal="100" workbookViewId="0">
      <selection activeCell="M18" sqref="M18"/>
    </sheetView>
  </sheetViews>
  <sheetFormatPr defaultRowHeight="15" x14ac:dyDescent="0.25"/>
  <cols>
    <col min="1" max="16384" width="9.140625" style="31"/>
  </cols>
  <sheetData>
    <row r="1" spans="3:5" x14ac:dyDescent="0.25">
      <c r="C1" s="31">
        <v>1</v>
      </c>
      <c r="E1" s="31">
        <v>2</v>
      </c>
    </row>
    <row r="64" spans="8:8" x14ac:dyDescent="0.25">
      <c r="H64"/>
    </row>
    <row r="69" spans="6:6" x14ac:dyDescent="0.25">
      <c r="F69"/>
    </row>
  </sheetData>
  <sheetProtection algorithmName="SHA-512" hashValue="zDxgXaADAWn+pWlfn6Jt6hN1iIw9mZM7xxtR/z/SxQopuzxemuwvpyuQDzJdJ8Uj8rxDeqdhZr08v7pkyJBAXQ==" saltValue="sNDEaFzNyutukiNydmvc0g==" spinCount="100000" sheet="1" objects="1" scenarios="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2" r:id="rId4" name="Option Button 2">
              <controlPr defaultSize="0" autoFill="0" autoLine="0" autoPict="0">
                <anchor moveWithCells="1">
                  <from>
                    <xdr:col>0</xdr:col>
                    <xdr:colOff>0</xdr:colOff>
                    <xdr:row>4</xdr:row>
                    <xdr:rowOff>95250</xdr:rowOff>
                  </from>
                  <to>
                    <xdr:col>2</xdr:col>
                    <xdr:colOff>66675</xdr:colOff>
                    <xdr:row>7</xdr:row>
                    <xdr:rowOff>28575</xdr:rowOff>
                  </to>
                </anchor>
              </controlPr>
            </control>
          </mc:Choice>
        </mc:AlternateContent>
        <mc:AlternateContent xmlns:mc="http://schemas.openxmlformats.org/markup-compatibility/2006">
          <mc:Choice Requires="x14">
            <control shapeId="5121" r:id="rId5" name="Scroll Bar 1">
              <controlPr defaultSize="0" autoPict="0">
                <anchor moveWithCells="1">
                  <from>
                    <xdr:col>2</xdr:col>
                    <xdr:colOff>142875</xdr:colOff>
                    <xdr:row>18</xdr:row>
                    <xdr:rowOff>0</xdr:rowOff>
                  </from>
                  <to>
                    <xdr:col>11</xdr:col>
                    <xdr:colOff>466725</xdr:colOff>
                    <xdr:row>18</xdr:row>
                    <xdr:rowOff>161925</xdr:rowOff>
                  </to>
                </anchor>
              </controlPr>
            </control>
          </mc:Choice>
        </mc:AlternateContent>
        <mc:AlternateContent xmlns:mc="http://schemas.openxmlformats.org/markup-compatibility/2006">
          <mc:Choice Requires="x14">
            <control shapeId="5123" r:id="rId6" name="Option Button 3">
              <controlPr defaultSize="0" autoFill="0" autoLine="0" autoPict="0">
                <anchor moveWithCells="1">
                  <from>
                    <xdr:col>0</xdr:col>
                    <xdr:colOff>19050</xdr:colOff>
                    <xdr:row>6</xdr:row>
                    <xdr:rowOff>190500</xdr:rowOff>
                  </from>
                  <to>
                    <xdr:col>2</xdr:col>
                    <xdr:colOff>66675</xdr:colOff>
                    <xdr:row>9</xdr:row>
                    <xdr:rowOff>66675</xdr:rowOff>
                  </to>
                </anchor>
              </controlPr>
            </control>
          </mc:Choice>
        </mc:AlternateContent>
        <mc:AlternateContent xmlns:mc="http://schemas.openxmlformats.org/markup-compatibility/2006">
          <mc:Choice Requires="x14">
            <control shapeId="5124" r:id="rId7" name="Option Button 4">
              <controlPr defaultSize="0" autoFill="0" autoLine="0" autoPict="0">
                <anchor moveWithCells="1">
                  <from>
                    <xdr:col>0</xdr:col>
                    <xdr:colOff>0</xdr:colOff>
                    <xdr:row>9</xdr:row>
                    <xdr:rowOff>85725</xdr:rowOff>
                  </from>
                  <to>
                    <xdr:col>2</xdr:col>
                    <xdr:colOff>76200</xdr:colOff>
                    <xdr:row>11</xdr:row>
                    <xdr:rowOff>161925</xdr:rowOff>
                  </to>
                </anchor>
              </controlPr>
            </control>
          </mc:Choice>
        </mc:AlternateContent>
        <mc:AlternateContent xmlns:mc="http://schemas.openxmlformats.org/markup-compatibility/2006">
          <mc:Choice Requires="x14">
            <control shapeId="6081" r:id="rId8" name="Scroll Bar 961">
              <controlPr defaultSize="0" autoPict="0">
                <anchor moveWithCells="1">
                  <from>
                    <xdr:col>12</xdr:col>
                    <xdr:colOff>28575</xdr:colOff>
                    <xdr:row>17</xdr:row>
                    <xdr:rowOff>114300</xdr:rowOff>
                  </from>
                  <to>
                    <xdr:col>21</xdr:col>
                    <xdr:colOff>323850</xdr:colOff>
                    <xdr:row>18</xdr:row>
                    <xdr:rowOff>104775</xdr:rowOff>
                  </to>
                </anchor>
              </controlPr>
            </control>
          </mc:Choice>
        </mc:AlternateContent>
      </controls>
    </mc:Choice>
  </mc:AlternateContent>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A8C0F-CE58-44D6-B2C9-4747338FD752}">
  <sheetPr codeName="Sheet3"/>
  <dimension ref="A1:IJ31"/>
  <sheetViews>
    <sheetView showGridLines="0" topLeftCell="X1" workbookViewId="0">
      <selection activeCell="G20" sqref="G20"/>
    </sheetView>
  </sheetViews>
  <sheetFormatPr defaultRowHeight="15" x14ac:dyDescent="0.25"/>
  <cols>
    <col min="1" max="1" width="10.85546875" customWidth="1"/>
    <col min="6" max="6" width="11.85546875" customWidth="1"/>
    <col min="7" max="7" width="13.140625" customWidth="1"/>
    <col min="8" max="8" width="16.28515625" customWidth="1"/>
    <col min="9" max="9" width="16.5703125" customWidth="1"/>
    <col min="10" max="10" width="15.85546875" customWidth="1"/>
    <col min="14" max="14" width="14.42578125" customWidth="1"/>
    <col min="15" max="15" width="15.42578125" customWidth="1"/>
    <col min="16" max="16" width="17.5703125" customWidth="1"/>
    <col min="17" max="17" width="13.42578125" customWidth="1"/>
    <col min="18" max="18" width="15.5703125" customWidth="1"/>
    <col min="19" max="19" width="13.5703125" customWidth="1"/>
    <col min="20" max="20" width="23.85546875" customWidth="1"/>
    <col min="21" max="21" width="21.28515625" customWidth="1"/>
    <col min="27" max="27" width="12.7109375" customWidth="1"/>
    <col min="39" max="39" width="11" bestFit="1" customWidth="1"/>
    <col min="40" max="40" width="14.28515625" bestFit="1" customWidth="1"/>
    <col min="42" max="42" width="14.28515625" bestFit="1" customWidth="1"/>
    <col min="49" max="50" width="16.85546875" customWidth="1"/>
    <col min="54" max="54" width="16.85546875" customWidth="1"/>
    <col min="123" max="123" width="11.85546875" customWidth="1"/>
    <col min="191" max="191" width="15.28515625" customWidth="1"/>
    <col min="192" max="192" width="14.140625" customWidth="1"/>
    <col min="193" max="193" width="16.5703125" customWidth="1"/>
    <col min="194" max="194" width="17" customWidth="1"/>
    <col min="197" max="197" width="17" customWidth="1"/>
    <col min="198" max="198" width="15.28515625" customWidth="1"/>
    <col min="203" max="203" width="14.28515625" bestFit="1" customWidth="1"/>
    <col min="204" max="204" width="11.5703125" customWidth="1"/>
    <col min="205" max="205" width="14.28515625" bestFit="1" customWidth="1"/>
    <col min="215" max="215" width="14.7109375" customWidth="1"/>
    <col min="216" max="216" width="14" customWidth="1"/>
    <col min="217" max="217" width="18" customWidth="1"/>
    <col min="218" max="218" width="16.5703125" customWidth="1"/>
    <col min="221" max="221" width="17.7109375" customWidth="1"/>
    <col min="222" max="222" width="12.42578125" customWidth="1"/>
    <col min="226" max="226" width="14.28515625" bestFit="1" customWidth="1"/>
    <col min="227" max="227" width="11.28515625" customWidth="1"/>
    <col min="228" max="228" width="13.28515625" bestFit="1" customWidth="1"/>
  </cols>
  <sheetData>
    <row r="1" spans="1:244" x14ac:dyDescent="0.25">
      <c r="C1" s="29">
        <f>Sheet1!$C$14</f>
        <v>3</v>
      </c>
      <c r="D1">
        <f>INDEX(A17:A19,LINK)</f>
        <v>2020</v>
      </c>
      <c r="E1" s="30">
        <v>8</v>
      </c>
      <c r="H1" s="43" t="s">
        <v>21</v>
      </c>
      <c r="I1" s="43"/>
      <c r="J1" s="43"/>
      <c r="K1" s="43"/>
      <c r="AB1" s="7" t="s">
        <v>27</v>
      </c>
      <c r="AC1" s="8" t="s">
        <v>28</v>
      </c>
      <c r="AD1" s="7" t="s">
        <v>27</v>
      </c>
      <c r="AE1" s="8" t="s">
        <v>28</v>
      </c>
      <c r="AF1" s="7" t="s">
        <v>27</v>
      </c>
      <c r="AG1" s="8" t="s">
        <v>28</v>
      </c>
      <c r="AH1" s="7" t="s">
        <v>27</v>
      </c>
      <c r="AI1" s="8" t="s">
        <v>28</v>
      </c>
      <c r="AM1" s="7" t="s">
        <v>27</v>
      </c>
      <c r="AN1" s="8" t="s">
        <v>28</v>
      </c>
      <c r="AT1" s="7" t="s">
        <v>27</v>
      </c>
      <c r="AU1" s="8" t="s">
        <v>28</v>
      </c>
      <c r="AY1" t="s">
        <v>23</v>
      </c>
      <c r="BG1" s="43" t="s">
        <v>31</v>
      </c>
      <c r="BH1" s="43"/>
      <c r="BI1" s="43"/>
      <c r="BJ1" s="43"/>
      <c r="DT1" s="44" t="s">
        <v>46</v>
      </c>
      <c r="DU1" s="44"/>
      <c r="DV1" s="44"/>
      <c r="DW1" s="44"/>
      <c r="DX1" s="44"/>
      <c r="EN1" s="43" t="s">
        <v>48</v>
      </c>
      <c r="EO1" s="43"/>
      <c r="EP1" s="43"/>
      <c r="EQ1" s="43"/>
      <c r="ER1" s="43"/>
      <c r="FD1" s="43" t="s">
        <v>50</v>
      </c>
      <c r="FE1" s="43"/>
      <c r="FF1" s="43"/>
      <c r="FG1" s="43"/>
      <c r="FH1" s="43"/>
      <c r="FQ1" s="43" t="s">
        <v>64</v>
      </c>
      <c r="FR1" s="43"/>
      <c r="FS1" s="43"/>
      <c r="FT1" s="43"/>
      <c r="FU1" s="43"/>
      <c r="HG1" s="42" t="s">
        <v>70</v>
      </c>
      <c r="HH1" s="42"/>
      <c r="HI1" s="42"/>
      <c r="HJ1" s="42"/>
      <c r="HK1" s="42"/>
      <c r="HL1" s="42"/>
    </row>
    <row r="2" spans="1:244" x14ac:dyDescent="0.25">
      <c r="AB2" s="2">
        <v>2018</v>
      </c>
      <c r="AC2">
        <v>2018</v>
      </c>
      <c r="AD2">
        <v>2019</v>
      </c>
      <c r="AE2">
        <v>2019</v>
      </c>
      <c r="AF2">
        <v>2020</v>
      </c>
      <c r="AG2">
        <v>2020</v>
      </c>
      <c r="AH2">
        <v>2021</v>
      </c>
      <c r="AI2">
        <v>2021</v>
      </c>
      <c r="AM2">
        <v>2021</v>
      </c>
      <c r="AN2">
        <v>2021</v>
      </c>
      <c r="AT2">
        <f>$D$1</f>
        <v>2020</v>
      </c>
      <c r="AU2">
        <f>$D$1</f>
        <v>2020</v>
      </c>
      <c r="AW2" t="s">
        <v>38</v>
      </c>
      <c r="AX2" t="s">
        <v>38</v>
      </c>
      <c r="AY2">
        <f>SCROLL</f>
        <v>8</v>
      </c>
      <c r="BG2">
        <v>2018</v>
      </c>
      <c r="BH2">
        <v>2019</v>
      </c>
      <c r="BI2">
        <v>2020</v>
      </c>
      <c r="BJ2">
        <v>2021</v>
      </c>
      <c r="BO2">
        <v>2021</v>
      </c>
      <c r="BP2">
        <f>$D$1</f>
        <v>2020</v>
      </c>
      <c r="BR2" t="s">
        <v>32</v>
      </c>
      <c r="BT2" t="s">
        <v>22</v>
      </c>
      <c r="BU2" t="s">
        <v>23</v>
      </c>
      <c r="CB2" s="44" t="s">
        <v>35</v>
      </c>
      <c r="CC2" s="44"/>
      <c r="CD2" s="44"/>
      <c r="CE2" s="44"/>
      <c r="CF2" s="44"/>
      <c r="CG2" s="44"/>
      <c r="CV2" s="44" t="s">
        <v>80</v>
      </c>
      <c r="CW2" s="44"/>
      <c r="CX2" s="44"/>
      <c r="CY2" s="44"/>
      <c r="CZ2" s="44"/>
      <c r="DA2" s="44"/>
      <c r="EC2" t="s">
        <v>46</v>
      </c>
      <c r="ED2" t="s">
        <v>46</v>
      </c>
      <c r="EO2" t="s">
        <v>49</v>
      </c>
      <c r="EP2" t="s">
        <v>49</v>
      </c>
      <c r="EQ2" t="s">
        <v>49</v>
      </c>
      <c r="ER2" t="s">
        <v>49</v>
      </c>
      <c r="EU2" t="s">
        <v>49</v>
      </c>
      <c r="EV2" t="s">
        <v>49</v>
      </c>
      <c r="FK2" t="s">
        <v>51</v>
      </c>
      <c r="FL2" t="s">
        <v>51</v>
      </c>
      <c r="FN2" t="s">
        <v>52</v>
      </c>
      <c r="GI2" s="6">
        <v>2018</v>
      </c>
      <c r="GJ2" s="6">
        <v>2019</v>
      </c>
      <c r="GK2" s="6">
        <v>2020</v>
      </c>
      <c r="GL2" s="6">
        <v>2021</v>
      </c>
      <c r="GO2" s="6">
        <v>2021</v>
      </c>
      <c r="GP2" s="6">
        <f>FY3</f>
        <v>2020</v>
      </c>
      <c r="GU2" s="27" t="s">
        <v>38</v>
      </c>
      <c r="GV2" s="27" t="s">
        <v>38</v>
      </c>
      <c r="GW2" t="s">
        <v>23</v>
      </c>
    </row>
    <row r="3" spans="1:244" x14ac:dyDescent="0.25">
      <c r="A3" t="s">
        <v>14</v>
      </c>
      <c r="G3" s="6">
        <v>2018</v>
      </c>
      <c r="H3" s="6">
        <v>2019</v>
      </c>
      <c r="I3" s="6">
        <v>2020</v>
      </c>
      <c r="J3" s="6">
        <v>2021</v>
      </c>
      <c r="O3" s="6">
        <v>2021</v>
      </c>
      <c r="P3" s="6">
        <f>D1</f>
        <v>2020</v>
      </c>
      <c r="R3" t="s">
        <v>22</v>
      </c>
      <c r="T3" s="6" t="s">
        <v>22</v>
      </c>
      <c r="U3" s="6" t="s">
        <v>23</v>
      </c>
      <c r="AA3" t="s">
        <v>14</v>
      </c>
      <c r="AB3">
        <f>SUMIFS('COMPARATIVE ANNUAL DATA '!$D$3:$D$50,'COMPARATIVE ANNUAL DATA '!$A$3:$A$50,'PROCCESSING '!$AB$2,MONTHS,'PROCCESSING '!AA3)</f>
        <v>6542282.0199999996</v>
      </c>
      <c r="AC3">
        <f>SUMIFS('COMPARATIVE ANNUAL DATA '!$E$3:$E$50,'COMPARATIVE ANNUAL DATA '!$A$3:$A$50,'PROCCESSING '!$AC$2,MONTHS,'PROCCESSING '!AA3)</f>
        <v>10941830.940000001</v>
      </c>
      <c r="AD3">
        <f>SUMIFS('COMPARATIVE ANNUAL DATA '!$D$3:$D$50,'COMPARATIVE ANNUAL DATA '!$A$3:$A$50,'PROCCESSING '!$AD$2,MONTHS,'PROCCESSING '!AA3)</f>
        <v>7179320.4199999999</v>
      </c>
      <c r="AE3">
        <f>SUMIFS('COMPARATIVE ANNUAL DATA '!$E$3:$E$50,'COMPARATIVE ANNUAL DATA '!$A$3:$A$50,'PROCCESSING '!$AE$2,MONTHS,'PROCCESSING '!AA3)</f>
        <v>14503952.369999999</v>
      </c>
      <c r="AF3">
        <f>SUMIFS('COMPARATIVE ANNUAL DATA '!$D$3:$D$50,'COMPARATIVE ANNUAL DATA '!$A$3:$A$50,'PROCCESSING '!$AF$2,MONTHS,'PROCCESSING '!AA3)</f>
        <v>6753382.5599999996</v>
      </c>
      <c r="AG3">
        <f>SUMIFS('COMPARATIVE ANNUAL DATA '!$E$3:$E$50,'COMPARATIVE ANNUAL DATA '!$A$3:$A$50,'PROCCESSING '!$AG$2,MONTHS,'PROCCESSING '!AA3)</f>
        <v>14025668.66</v>
      </c>
      <c r="AH3">
        <f>SUMIFS('COMPARATIVE ANNUAL DATA '!$D$3:$D$50,'COMPARATIVE ANNUAL DATA '!$A$3:$A$50,'PROCCESSING '!$AH$2,MONTHS,'PROCCESSING '!AA3)</f>
        <v>7221423.0199999996</v>
      </c>
      <c r="AI3">
        <f>SUMIFS('COMPARATIVE ANNUAL DATA '!$E$3:$E$50,'COMPARATIVE ANNUAL DATA '!$A$3:$A$50,'PROCCESSING '!$AI$2,MONTHS,'PROCCESSING '!AA3)</f>
        <v>13356802.147999998</v>
      </c>
      <c r="AK3">
        <v>1</v>
      </c>
      <c r="AL3" t="s">
        <v>14</v>
      </c>
      <c r="AM3">
        <f>AH3</f>
        <v>7221423.0199999996</v>
      </c>
      <c r="AN3">
        <f>AI3</f>
        <v>13356802.147999998</v>
      </c>
      <c r="AT3">
        <f t="shared" ref="AT3:AT14" si="0">IF(LINK=1,AB3,IF(LINK=2,AD3,IF(LINK=3,AF3)))</f>
        <v>6753382.5599999996</v>
      </c>
      <c r="AU3">
        <f t="shared" ref="AU3:AU14" si="1">IF(LINK=1,AC3,IF(LINK=2,AE3,IF(LINK=3,AG3)))</f>
        <v>14025668.66</v>
      </c>
      <c r="AW3" s="13">
        <v>25000000</v>
      </c>
      <c r="AX3" s="12" t="e">
        <f t="shared" ref="AX3:AX14" si="2">IF(SCROLL=AK3,AW3, NA())</f>
        <v>#N/A</v>
      </c>
      <c r="AY3" t="s">
        <v>24</v>
      </c>
      <c r="BE3">
        <v>1</v>
      </c>
      <c r="BF3" t="s">
        <v>14</v>
      </c>
      <c r="BG3">
        <f>SUMIFS(TOTPATIENTS,'COMPARATIVE ANNUAL DATA '!$A$3:$A$50,'PROCCESSING '!BG$2,MONTHS,'PROCCESSING '!$BF3)</f>
        <v>20815</v>
      </c>
      <c r="BH3">
        <f>SUMIFS(TOTPATIENTS,'COMPARATIVE ANNUAL DATA '!$A$3:$A$50,'PROCCESSING '!BH$2,MONTHS,'PROCCESSING '!$BF3)</f>
        <v>20689</v>
      </c>
      <c r="BI3">
        <f>SUMIFS(TOTPATIENTS,'COMPARATIVE ANNUAL DATA '!$A$3:$A$50,'PROCCESSING '!BI$2,MONTHS,'PROCCESSING '!$BF3)</f>
        <v>18392</v>
      </c>
      <c r="BJ3">
        <f>SUMIFS(TOTPATIENTS,'COMPARATIVE ANNUAL DATA '!$A$3:$A$50,'PROCCESSING '!BJ$2,MONTHS,'PROCCESSING '!$BF3)</f>
        <v>17847</v>
      </c>
      <c r="BO3">
        <f>SUMIFS(TOTPATIENTS,'COMPARATIVE ANNUAL DATA '!$A$3:$A$50,'PROCCESSING '!BO$2,MONTHS,'PROCCESSING '!$BF3)</f>
        <v>17847</v>
      </c>
      <c r="BP3">
        <f t="shared" ref="BP3:BP14" si="3">IF(LINK=1,BG3,IF(LINK=2,BH3,IF(LINK=3,BI3)))</f>
        <v>18392</v>
      </c>
      <c r="BR3">
        <v>35000</v>
      </c>
      <c r="BT3" t="e">
        <f t="shared" ref="BT3:BT14" si="4">IF(SCROLL=BE3,BR3,NA())</f>
        <v>#N/A</v>
      </c>
      <c r="BU3">
        <f>SCROLL</f>
        <v>8</v>
      </c>
      <c r="CV3">
        <v>2018</v>
      </c>
      <c r="CW3">
        <v>2019</v>
      </c>
      <c r="CX3">
        <v>2020</v>
      </c>
      <c r="CY3">
        <v>2021</v>
      </c>
      <c r="DD3">
        <v>2021</v>
      </c>
      <c r="DE3">
        <f>D1</f>
        <v>2020</v>
      </c>
      <c r="DG3" t="s">
        <v>30</v>
      </c>
      <c r="DH3" t="s">
        <v>36</v>
      </c>
      <c r="DT3">
        <v>2018</v>
      </c>
      <c r="DU3">
        <v>2019</v>
      </c>
      <c r="DV3">
        <v>2020</v>
      </c>
      <c r="DW3">
        <v>2021</v>
      </c>
      <c r="EC3">
        <v>2021</v>
      </c>
      <c r="ED3">
        <f>D1</f>
        <v>2020</v>
      </c>
      <c r="EF3" t="s">
        <v>47</v>
      </c>
      <c r="EG3" t="s">
        <v>47</v>
      </c>
      <c r="EH3" t="s">
        <v>23</v>
      </c>
      <c r="EO3">
        <v>2018</v>
      </c>
      <c r="EP3">
        <v>2019</v>
      </c>
      <c r="EQ3">
        <v>2020</v>
      </c>
      <c r="ER3">
        <v>2021</v>
      </c>
      <c r="EU3">
        <v>2021</v>
      </c>
      <c r="EV3">
        <f>ED3</f>
        <v>2020</v>
      </c>
      <c r="EX3" t="s">
        <v>39</v>
      </c>
      <c r="FF3">
        <v>2018</v>
      </c>
      <c r="FG3">
        <v>2019</v>
      </c>
      <c r="FH3">
        <v>2020</v>
      </c>
      <c r="FI3">
        <v>2021</v>
      </c>
      <c r="FK3">
        <v>2021</v>
      </c>
      <c r="FL3">
        <f>EV3</f>
        <v>2020</v>
      </c>
      <c r="FN3">
        <f>SCROLL</f>
        <v>8</v>
      </c>
      <c r="FS3">
        <v>2018</v>
      </c>
      <c r="FT3">
        <v>2019</v>
      </c>
      <c r="FU3">
        <v>2020</v>
      </c>
      <c r="FV3">
        <v>2021</v>
      </c>
      <c r="FX3">
        <v>2021</v>
      </c>
      <c r="FY3">
        <f>FL3</f>
        <v>2020</v>
      </c>
      <c r="GA3" t="s">
        <v>47</v>
      </c>
      <c r="GB3" t="s">
        <v>47</v>
      </c>
      <c r="GC3" t="s">
        <v>23</v>
      </c>
      <c r="GG3">
        <v>1</v>
      </c>
      <c r="GH3" t="s">
        <v>14</v>
      </c>
      <c r="GI3" s="1">
        <f>SUMIFS('COMPARATIVE ANNUAL DATA '!$W$3:$W$50,'COMPARATIVE ANNUAL DATA '!$A$3:$A$50,'PROCCESSING '!GI$2,MONTHS,'PROCCESSING '!$GH3)</f>
        <v>16070131.08</v>
      </c>
      <c r="GJ3" s="1">
        <f>SUMIFS('COMPARATIVE ANNUAL DATA '!$W$3:$W$50,'COMPARATIVE ANNUAL DATA '!$A$3:$A$50,'PROCCESSING '!GJ$2,MONTHS,'PROCCESSING '!$GH3)</f>
        <v>17054833.700000003</v>
      </c>
      <c r="GK3" s="1">
        <f>SUMIFS('COMPARATIVE ANNUAL DATA '!$W$3:$W$50,'COMPARATIVE ANNUAL DATA '!$A$3:$A$50,'PROCCESSING '!GK$2,MONTHS,'PROCCESSING '!$GH3)</f>
        <v>17313385.20000001</v>
      </c>
      <c r="GL3" s="1">
        <f>SUMIFS('COMPARATIVE ANNUAL DATA '!$W$3:$W$50,'COMPARATIVE ANNUAL DATA '!$A$3:$A$50,'PROCCESSING '!GL$2,MONTHS,'PROCCESSING '!$GH3)</f>
        <v>11015831.839999998</v>
      </c>
      <c r="GO3" s="1">
        <f>SUMIFS('COMPARATIVE ANNUAL DATA '!$W$3:$W$50,'COMPARATIVE ANNUAL DATA '!$A$3:$A$50,'PROCCESSING '!GO$2,MONTHS,'PROCCESSING '!$GH3)</f>
        <v>11015831.839999998</v>
      </c>
      <c r="GP3">
        <f t="shared" ref="GP3:GP14" si="5">IF(LINK=1,GI3,IF(LINK=2,GJ3,IF(LINK=3,GK3)))</f>
        <v>17313385.20000001</v>
      </c>
      <c r="GU3" s="1">
        <v>50000000</v>
      </c>
      <c r="GV3" t="e">
        <f t="shared" ref="GV3:GV14" si="6">IF(SCROLL=GG3,GU3,NA())</f>
        <v>#N/A</v>
      </c>
      <c r="GW3">
        <f>SCROLL</f>
        <v>8</v>
      </c>
      <c r="HG3" s="6">
        <v>2018</v>
      </c>
      <c r="HH3" s="6">
        <v>2019</v>
      </c>
      <c r="HI3" s="6">
        <v>2020</v>
      </c>
      <c r="HJ3" s="6">
        <v>2021</v>
      </c>
      <c r="HM3" s="6">
        <v>2021</v>
      </c>
      <c r="HN3" s="27">
        <f>GP2</f>
        <v>2020</v>
      </c>
      <c r="HR3" s="27" t="s">
        <v>22</v>
      </c>
      <c r="HS3" s="27" t="s">
        <v>22</v>
      </c>
      <c r="HT3" t="s">
        <v>23</v>
      </c>
      <c r="HZ3" s="6">
        <v>2018</v>
      </c>
      <c r="IA3" s="6">
        <v>2019</v>
      </c>
      <c r="IB3" s="6">
        <v>2020</v>
      </c>
      <c r="IC3" s="6">
        <v>2021</v>
      </c>
      <c r="IE3" s="6">
        <v>2021</v>
      </c>
      <c r="IF3">
        <f>HN3</f>
        <v>2020</v>
      </c>
      <c r="IH3" t="s">
        <v>22</v>
      </c>
      <c r="II3" t="s">
        <v>22</v>
      </c>
      <c r="IJ3" t="s">
        <v>23</v>
      </c>
    </row>
    <row r="4" spans="1:244" x14ac:dyDescent="0.25">
      <c r="A4" t="s">
        <v>0</v>
      </c>
      <c r="E4">
        <v>1</v>
      </c>
      <c r="F4" t="s">
        <v>14</v>
      </c>
      <c r="G4">
        <f>SUMIFS(REVENUES,'COMPARATIVE ANNUAL DATA '!$A$3:$A$50,'PROCCESSING '!G$3,MONTHS,'PROCCESSING '!$F4)</f>
        <v>17484112.960000001</v>
      </c>
      <c r="H4">
        <f>SUMIFS(REVENUES,'COMPARATIVE ANNUAL DATA '!$A$3:$A$50,'PROCCESSING '!$H$3,MONTHS,'PROCCESSING '!F4)</f>
        <v>21683272.789999999</v>
      </c>
      <c r="I4">
        <f>SUMIFS(REVENUES,'COMPARATIVE ANNUAL DATA '!$A$3:$A$50,'PROCCESSING '!I$3,MONTHS,'PROCCESSING '!$F4)</f>
        <v>20779051.219999999</v>
      </c>
      <c r="J4">
        <f>SUMIFS(REVENUES,'COMPARATIVE ANNUAL DATA '!$A$3:$A$50,'PROCCESSING '!J$3,MONTHS,'PROCCESSING '!$F4)</f>
        <v>20578225.167999998</v>
      </c>
      <c r="M4">
        <v>1</v>
      </c>
      <c r="N4" t="s">
        <v>14</v>
      </c>
      <c r="O4" s="1">
        <f>SUMIFS(REVENUES,'COMPARATIVE ANNUAL DATA '!$A$3:$A$50,'PROCCESSING '!O$3,MONTHS,'PROCCESSING '!$F4)</f>
        <v>20578225.167999998</v>
      </c>
      <c r="P4" s="1">
        <f t="shared" ref="P4:P15" si="7">IF(LINK=1,G4,IF(LINK=2,H4,IF(LINK=3,I4)))</f>
        <v>20779051.219999999</v>
      </c>
      <c r="R4" s="1">
        <v>35000000</v>
      </c>
      <c r="T4" t="e">
        <f t="shared" ref="T4:T15" si="8">IF(SCROLL=M4,R4,NA())</f>
        <v>#N/A</v>
      </c>
      <c r="U4">
        <f>SCROLL</f>
        <v>8</v>
      </c>
      <c r="AA4" t="s">
        <v>0</v>
      </c>
      <c r="AB4">
        <f>SUMIFS('COMPARATIVE ANNUAL DATA '!$D$3:$D$50,'COMPARATIVE ANNUAL DATA '!$A$3:$A$50,'PROCCESSING '!$AB$2,MONTHS,'PROCCESSING '!AA4)</f>
        <v>6925358.2999999998</v>
      </c>
      <c r="AC4">
        <f>SUMIFS('COMPARATIVE ANNUAL DATA '!$E$3:$E$50,'COMPARATIVE ANNUAL DATA '!$A$3:$A$50,'PROCCESSING '!$AC$2,MONTHS,'PROCCESSING '!AA4)</f>
        <v>17770584.449999999</v>
      </c>
      <c r="AD4">
        <f>SUMIFS('COMPARATIVE ANNUAL DATA '!$D$3:$D$50,'COMPARATIVE ANNUAL DATA '!$A$3:$A$50,'PROCCESSING '!$AD$2,MONTHS,'PROCCESSING '!AA4)</f>
        <v>6782072.3200000003</v>
      </c>
      <c r="AE4">
        <f>SUMIFS('COMPARATIVE ANNUAL DATA '!$E$3:$E$50,'COMPARATIVE ANNUAL DATA '!$A$3:$A$50,'PROCCESSING '!$AE$2,MONTHS,'PROCCESSING '!AA4)</f>
        <v>13411214.300000001</v>
      </c>
      <c r="AF4">
        <f>SUMIFS('COMPARATIVE ANNUAL DATA '!$D$3:$D$50,'COMPARATIVE ANNUAL DATA '!$A$3:$A$50,'PROCCESSING '!$AF$2,MONTHS,'PROCCESSING '!AA4)</f>
        <v>7961717.4299999997</v>
      </c>
      <c r="AG4">
        <f>SUMIFS('COMPARATIVE ANNUAL DATA '!$E$3:$E$50,'COMPARATIVE ANNUAL DATA '!$A$3:$A$50,'PROCCESSING '!$AG$2,MONTHS,'PROCCESSING '!AA4)</f>
        <v>12896078.039999999</v>
      </c>
      <c r="AH4">
        <f>SUMIFS('COMPARATIVE ANNUAL DATA '!$D$3:$D$50,'COMPARATIVE ANNUAL DATA '!$A$3:$A$50,'PROCCESSING '!$AH$2,MONTHS,'PROCCESSING '!AA4)</f>
        <v>6966114.3200000003</v>
      </c>
      <c r="AI4">
        <f>SUMIFS('COMPARATIVE ANNUAL DATA '!$E$3:$E$50,'COMPARATIVE ANNUAL DATA '!$A$3:$A$50,'PROCCESSING '!$AI$2,MONTHS,'PROCCESSING '!AA4)</f>
        <v>12777741.490000002</v>
      </c>
      <c r="AK4">
        <v>2</v>
      </c>
      <c r="AL4" t="s">
        <v>0</v>
      </c>
      <c r="AM4">
        <f t="shared" ref="AM4:AM14" si="9">AH4</f>
        <v>6966114.3200000003</v>
      </c>
      <c r="AN4">
        <f t="shared" ref="AN4:AN14" si="10">AI4</f>
        <v>12777741.490000002</v>
      </c>
      <c r="AT4">
        <f t="shared" si="0"/>
        <v>7961717.4299999997</v>
      </c>
      <c r="AU4">
        <f t="shared" si="1"/>
        <v>12896078.039999999</v>
      </c>
      <c r="AW4" s="13">
        <v>25000000</v>
      </c>
      <c r="AX4" s="12" t="e">
        <f t="shared" si="2"/>
        <v>#N/A</v>
      </c>
      <c r="AY4">
        <f>INDEX($AH$3:$AH$14,SCROLL)</f>
        <v>10429465.74</v>
      </c>
      <c r="BE4">
        <v>2</v>
      </c>
      <c r="BF4" t="s">
        <v>0</v>
      </c>
      <c r="BG4">
        <f>SUMIFS(TOTPATIENTS,'COMPARATIVE ANNUAL DATA '!$A$3:$A$50,'PROCCESSING '!BG$2,MONTHS,'PROCCESSING '!$BF4)</f>
        <v>21501</v>
      </c>
      <c r="BH4">
        <f>SUMIFS(TOTPATIENTS,'COMPARATIVE ANNUAL DATA '!$A$3:$A$50,'PROCCESSING '!BH$2,MONTHS,'PROCCESSING '!$BF4)</f>
        <v>19976</v>
      </c>
      <c r="BI4">
        <f>SUMIFS(TOTPATIENTS,'COMPARATIVE ANNUAL DATA '!$A$3:$A$50,'PROCCESSING '!BI$2,MONTHS,'PROCCESSING '!$BF4)</f>
        <v>21575</v>
      </c>
      <c r="BJ4">
        <f>SUMIFS(TOTPATIENTS,'COMPARATIVE ANNUAL DATA '!$A$3:$A$50,'PROCCESSING '!BJ$2,MONTHS,'PROCCESSING '!$BF4)</f>
        <v>16802</v>
      </c>
      <c r="BO4">
        <f>SUMIFS(TOTPATIENTS,'COMPARATIVE ANNUAL DATA '!$A$3:$A$50,'PROCCESSING '!BO$2,MONTHS,'PROCCESSING '!$BF4)</f>
        <v>16802</v>
      </c>
      <c r="BP4">
        <f t="shared" si="3"/>
        <v>21575</v>
      </c>
      <c r="BR4">
        <v>35000</v>
      </c>
      <c r="BT4" t="e">
        <f t="shared" si="4"/>
        <v>#N/A</v>
      </c>
      <c r="BU4" t="s">
        <v>24</v>
      </c>
      <c r="CC4">
        <v>2018</v>
      </c>
      <c r="CD4">
        <v>2019</v>
      </c>
      <c r="CE4">
        <v>2020</v>
      </c>
      <c r="CF4">
        <v>2021</v>
      </c>
      <c r="CJ4">
        <v>2021</v>
      </c>
      <c r="CK4">
        <f>D1</f>
        <v>2020</v>
      </c>
      <c r="CM4" t="s">
        <v>32</v>
      </c>
      <c r="CN4" t="s">
        <v>32</v>
      </c>
      <c r="CO4" s="2" t="s">
        <v>23</v>
      </c>
      <c r="CT4">
        <v>1</v>
      </c>
      <c r="CU4" t="s">
        <v>14</v>
      </c>
      <c r="CV4">
        <f>SUMIFS(TOTADMISSIONS,'COMPARATIVE ANNUAL DATA '!$A$3:$A$50,'PROCCESSING '!CV$3,MONTHS,'PROCCESSING '!$CU4)</f>
        <v>1219</v>
      </c>
      <c r="CW4">
        <f>SUMIFS(TOTADMISSIONS,'COMPARATIVE ANNUAL DATA '!$A$3:$A$50,'PROCCESSING '!CW$3,MONTHS,'PROCCESSING '!$CU4)</f>
        <v>1147</v>
      </c>
      <c r="CX4">
        <f>SUMIFS(TOTADMISSIONS,'COMPARATIVE ANNUAL DATA '!$A$3:$A$50,'PROCCESSING '!CX$3,MONTHS,'PROCCESSING '!$CU4)</f>
        <v>925</v>
      </c>
      <c r="CY4">
        <f>SUMIFS(TOTADMISSIONS,'COMPARATIVE ANNUAL DATA '!$A$3:$A$50,'PROCCESSING '!CY$3,MONTHS,'PROCCESSING '!$CU4)</f>
        <v>868</v>
      </c>
      <c r="DD4">
        <f>SUMIFS(TOTADMISSIONS,'COMPARATIVE ANNUAL DATA '!$A$3:$A$50,'PROCCESSING '!DD$3,MONTHS,'PROCCESSING '!$CU4)</f>
        <v>868</v>
      </c>
      <c r="DE4">
        <f t="shared" ref="DE4:DE15" si="11">IF(LINK=1,CV4,IF(LINK=2,CW4,IF(LINK=3,CX4)))</f>
        <v>925</v>
      </c>
      <c r="DG4">
        <f>SUM(DD4:DE4)</f>
        <v>1793</v>
      </c>
      <c r="DH4">
        <v>0</v>
      </c>
      <c r="DR4">
        <v>1</v>
      </c>
      <c r="DS4" t="s">
        <v>14</v>
      </c>
      <c r="DT4">
        <f>SUMIFS('COMPARATIVE ANNUAL DATA '!$J$3:$J$50,'COMPARATIVE ANNUAL DATA '!$A$3:$A$50,'PROCCESSING '!DT$3,MONTHS,'PROCCESSING '!$DS4)</f>
        <v>108</v>
      </c>
      <c r="DU4">
        <f>SUMIFS('COMPARATIVE ANNUAL DATA '!$J$3:$J$50,'COMPARATIVE ANNUAL DATA '!$A$3:$A$50,'PROCCESSING '!DU$3,MONTHS,'PROCCESSING '!$DS4)</f>
        <v>116</v>
      </c>
      <c r="DV4">
        <f>SUMIFS('COMPARATIVE ANNUAL DATA '!$J$3:$J$50,'COMPARATIVE ANNUAL DATA '!$A$3:$A$50,'PROCCESSING '!DV$3,MONTHS,'PROCCESSING '!$DS4)</f>
        <v>120</v>
      </c>
      <c r="DW4">
        <f>SUMIFS('COMPARATIVE ANNUAL DATA '!$J$3:$J$50,'COMPARATIVE ANNUAL DATA '!$A$3:$A$50,'PROCCESSING '!DW$3,MONTHS,'PROCCESSING '!$DS4)</f>
        <v>107</v>
      </c>
      <c r="EC4">
        <f>SUMIFS('COMPARATIVE ANNUAL DATA '!$J$3:$J$50,'COMPARATIVE ANNUAL DATA '!$A$3:$A$50,'PROCCESSING '!EC$3,MONTHS,'PROCCESSING '!$DS4)</f>
        <v>107</v>
      </c>
      <c r="ED4">
        <f t="shared" ref="ED4:ED15" si="12">IF(LINK=1,DT4,IF(LINK=2,DU4,IF(LINK=3,DV4)))</f>
        <v>120</v>
      </c>
      <c r="EF4">
        <v>200</v>
      </c>
      <c r="EG4" t="e">
        <f t="shared" ref="EG4:EG15" si="13">IF(SCROLL=DR4,EF4, NA())</f>
        <v>#N/A</v>
      </c>
      <c r="EH4">
        <f>SCROLL</f>
        <v>8</v>
      </c>
      <c r="EM4">
        <v>1</v>
      </c>
      <c r="EN4" t="s">
        <v>14</v>
      </c>
      <c r="EO4">
        <f>SUMIFS('COMPARATIVE ANNUAL DATA '!$I$3:$I$50,'COMPARATIVE ANNUAL DATA '!$A$3:$A$50,'PROCCESSING '!EO$3,MONTHS,'PROCCESSING '!$DS4)</f>
        <v>49</v>
      </c>
      <c r="EP4">
        <f>SUMIFS('COMPARATIVE ANNUAL DATA '!$I$3:$I$50,'COMPARATIVE ANNUAL DATA '!$A$3:$A$50,'PROCCESSING '!EP$3,MONTHS,'PROCCESSING '!$DS4)</f>
        <v>54</v>
      </c>
      <c r="EQ4">
        <f>SUMIFS('COMPARATIVE ANNUAL DATA '!$I$3:$I$50,'COMPARATIVE ANNUAL DATA '!$A$3:$A$50,'PROCCESSING '!EQ$3,MONTHS,'PROCCESSING '!$DS4)</f>
        <v>57</v>
      </c>
      <c r="ER4">
        <f>SUMIFS('COMPARATIVE ANNUAL DATA '!$I$3:$I$50,'COMPARATIVE ANNUAL DATA '!$A$3:$A$50,'PROCCESSING '!ER$3,MONTHS,'PROCCESSING '!$DS4)</f>
        <v>52</v>
      </c>
      <c r="EU4">
        <f>SUMIFS('COMPARATIVE ANNUAL DATA '!$I$3:$I$50,'COMPARATIVE ANNUAL DATA '!$A$3:$A$50,'PROCCESSING '!EU$3,MONTHS,'PROCCESSING '!$DS4)</f>
        <v>52</v>
      </c>
      <c r="EV4">
        <f t="shared" ref="EV4:EV15" si="14">IF(LINK=1,EO4,IF(LINK=2,EP4,IF(LINK=3,EQ4)))</f>
        <v>57</v>
      </c>
      <c r="EX4">
        <f>SCROLL</f>
        <v>8</v>
      </c>
      <c r="FD4">
        <v>1</v>
      </c>
      <c r="FE4" t="s">
        <v>14</v>
      </c>
      <c r="FF4" s="5">
        <f>SUMIFS('COMPARATIVE ANNUAL DATA '!$K$3:$K$50,'COMPARATIVE ANNUAL DATA '!$A$3:$A$50,'PROCCESSING '!FF$3,MONTHS,'PROCCESSING '!$DS4)</f>
        <v>0.45370370370370372</v>
      </c>
      <c r="FG4" s="5">
        <f>SUMIFS('COMPARATIVE ANNUAL DATA '!$K$3:$K$50,'COMPARATIVE ANNUAL DATA '!$A$3:$A$50,'PROCCESSING '!FG$3,MONTHS,'PROCCESSING '!$DS4)</f>
        <v>0.46551724137931033</v>
      </c>
      <c r="FH4" s="5">
        <f>SUMIFS('COMPARATIVE ANNUAL DATA '!$K$3:$K$50,'COMPARATIVE ANNUAL DATA '!$A$3:$A$50,'PROCCESSING '!FH$3,MONTHS,'PROCCESSING '!$DS4)</f>
        <v>0.47499999999999998</v>
      </c>
      <c r="FI4" s="5">
        <f>SUMIFS('COMPARATIVE ANNUAL DATA '!$K$3:$K$50,'COMPARATIVE ANNUAL DATA '!$A$3:$A$50,'PROCCESSING '!FI$3,MONTHS,'PROCCESSING '!$DS4)</f>
        <v>0.48598130841121495</v>
      </c>
      <c r="FK4" s="5">
        <f>SUMIFS('COMPARATIVE ANNUAL DATA '!$K$3:$K$50,'COMPARATIVE ANNUAL DATA '!$A$3:$A$50,'PROCCESSING '!FK$3,MONTHS,'PROCCESSING '!$DS4)</f>
        <v>0.48598130841121495</v>
      </c>
      <c r="FL4" s="5">
        <f t="shared" ref="FL4:FL15" si="15">IF(LINK=1,FF4,IF(LINK=2,FG4,IF(LINK=3,FH4)))</f>
        <v>0.47499999999999998</v>
      </c>
      <c r="FN4" t="s">
        <v>53</v>
      </c>
      <c r="FQ4">
        <v>1</v>
      </c>
      <c r="FR4" t="s">
        <v>14</v>
      </c>
      <c r="FS4">
        <f>SUMIFS('COMPARATIVE ANNUAL DATA '!$S$3:$S$50,'COMPARATIVE ANNUAL DATA '!$A$3:$A$50,'PROCCESSING '!FS$3,MONTHS,'PROCCESSING '!$DS4)</f>
        <v>3.1</v>
      </c>
      <c r="FT4">
        <f>SUMIFS('COMPARATIVE ANNUAL DATA '!$S$3:$S$50,'COMPARATIVE ANNUAL DATA '!$A$3:$A$50,'PROCCESSING '!FT$3,MONTHS,'PROCCESSING '!$DS4)</f>
        <v>2.77</v>
      </c>
      <c r="FU4">
        <f>SUMIFS('COMPARATIVE ANNUAL DATA '!$S$3:$S$50,'COMPARATIVE ANNUAL DATA '!$A$3:$A$50,'PROCCESSING '!FU$3,MONTHS,'PROCCESSING '!$DS4)</f>
        <v>3.26</v>
      </c>
      <c r="FV4">
        <f>SUMIFS('COMPARATIVE ANNUAL DATA '!$S$3:$S$50,'COMPARATIVE ANNUAL DATA '!$A$3:$A$50,'PROCCESSING '!FV$3,MONTHS,'PROCCESSING '!$DS4)</f>
        <v>2.93</v>
      </c>
      <c r="FX4">
        <f>SUMIFS('COMPARATIVE ANNUAL DATA '!$S$3:$S$50,'COMPARATIVE ANNUAL DATA '!$A$3:$A$50,'PROCCESSING '!FX$3,MONTHS,'PROCCESSING '!$DS4)</f>
        <v>2.93</v>
      </c>
      <c r="FY4" s="24">
        <f>IF(LINK=1,FS4,IF(LINK=2,FT4,IF(LINK=3,FU4)))</f>
        <v>3.26</v>
      </c>
      <c r="GA4">
        <v>5</v>
      </c>
      <c r="GB4" t="e">
        <f t="shared" ref="GB4:GB14" si="16">IF(SCROLL=FQ4,GA4, NA())</f>
        <v>#N/A</v>
      </c>
      <c r="GC4">
        <f>SCROLL</f>
        <v>8</v>
      </c>
      <c r="GG4">
        <v>2</v>
      </c>
      <c r="GH4" t="s">
        <v>0</v>
      </c>
      <c r="GI4" s="1">
        <f>SUMIFS('COMPARATIVE ANNUAL DATA '!$W$3:$W$50,'COMPARATIVE ANNUAL DATA '!$A$3:$A$50,'PROCCESSING '!GI$2,MONTHS,'PROCCESSING '!$GH4)</f>
        <v>16424562.279999996</v>
      </c>
      <c r="GJ4" s="1">
        <f>SUMIFS('COMPARATIVE ANNUAL DATA '!$W$3:$W$50,'COMPARATIVE ANNUAL DATA '!$A$3:$A$50,'PROCCESSING '!GJ$2,MONTHS,'PROCCESSING '!$GH4)</f>
        <v>16174711.889999995</v>
      </c>
      <c r="GK4" s="1">
        <f>SUMIFS('COMPARATIVE ANNUAL DATA '!$W$3:$W$50,'COMPARATIVE ANNUAL DATA '!$A$3:$A$50,'PROCCESSING '!GK$2,MONTHS,'PROCCESSING '!$GH4)</f>
        <v>17521104.969999995</v>
      </c>
      <c r="GL4" s="1">
        <f>SUMIFS('COMPARATIVE ANNUAL DATA '!$W$3:$W$50,'COMPARATIVE ANNUAL DATA '!$A$3:$A$50,'PROCCESSING '!GL$2,MONTHS,'PROCCESSING '!$GH4)</f>
        <v>11534899.350000003</v>
      </c>
      <c r="GO4" s="1">
        <f>SUMIFS('COMPARATIVE ANNUAL DATA '!$W$3:$W$50,'COMPARATIVE ANNUAL DATA '!$A$3:$A$50,'PROCCESSING '!GO$2,MONTHS,'PROCCESSING '!$GH4)</f>
        <v>11534899.350000003</v>
      </c>
      <c r="GP4">
        <f t="shared" si="5"/>
        <v>17521104.969999995</v>
      </c>
      <c r="GU4" s="1">
        <v>50000000</v>
      </c>
      <c r="GV4" t="e">
        <f t="shared" si="6"/>
        <v>#N/A</v>
      </c>
      <c r="GW4" t="s">
        <v>24</v>
      </c>
      <c r="HE4">
        <v>1</v>
      </c>
      <c r="HF4" t="s">
        <v>14</v>
      </c>
      <c r="HG4" s="1">
        <f>SUMIFS('COMPARATIVE ANNUAL DATA '!$X$3:$X$50,'COMPARATIVE ANNUAL DATA '!$A$3:$A$50,'PROCCESSING '!HG$3,MONTHS,$HF4)</f>
        <v>1413981.8800000008</v>
      </c>
      <c r="HH4" s="1">
        <f>SUMIFS('COMPARATIVE ANNUAL DATA '!$X$3:$X$50,'COMPARATIVE ANNUAL DATA '!$A$3:$A$50,'PROCCESSING '!HH$3,MONTHS,$HF4)</f>
        <v>4628439.0899999961</v>
      </c>
      <c r="HI4" s="1">
        <f>SUMIFS('COMPARATIVE ANNUAL DATA '!$X$3:$X$50,'COMPARATIVE ANNUAL DATA '!$A$3:$A$50,'PROCCESSING '!HI$3,MONTHS,$HF4)</f>
        <v>3465666.0199999884</v>
      </c>
      <c r="HJ4" s="1">
        <f>SUMIFS('COMPARATIVE ANNUAL DATA '!$X$3:$X$50,'COMPARATIVE ANNUAL DATA '!$A$3:$A$50,'PROCCESSING '!HJ$3,MONTHS,$HF4)</f>
        <v>9562393.3279999997</v>
      </c>
      <c r="HM4" s="1">
        <f>SUMIFS('COMPARATIVE ANNUAL DATA '!$X$3:$X$50,'COMPARATIVE ANNUAL DATA '!$A$3:$A$50,'PROCCESSING '!HM$3,MONTHS,$HF4)</f>
        <v>9562393.3279999997</v>
      </c>
      <c r="HN4">
        <f>IF(LINK=1,HG4,IF(LINK=2,HH4,IF(LINK=3,HI4)))</f>
        <v>3465666.0199999884</v>
      </c>
      <c r="HR4" s="1">
        <v>30000000</v>
      </c>
      <c r="HS4" t="e">
        <f t="shared" ref="HS4:HS15" si="17">IF(SCROLL=HE4,HR4,NA())</f>
        <v>#N/A</v>
      </c>
      <c r="HT4">
        <f>SCROLL</f>
        <v>8</v>
      </c>
      <c r="HX4">
        <v>1</v>
      </c>
      <c r="HY4" t="s">
        <v>14</v>
      </c>
      <c r="HZ4" s="5">
        <f>SUMIFS('COMPARATIVE ANNUAL DATA '!$Y$3:$Y$50,'COMPARATIVE ANNUAL DATA '!$A$3:$A$50,'PROCCESSING '!HZ$3,MONTHS,$HF4)</f>
        <v>8.0872383016221419E-2</v>
      </c>
      <c r="IA4" s="5">
        <f>SUMIFS('COMPARATIVE ANNUAL DATA '!$Y$3:$Y$50,'COMPARATIVE ANNUAL DATA '!$A$3:$A$50,'PROCCESSING '!IA$3,MONTHS,$HF4)</f>
        <v>0.21345666472150657</v>
      </c>
      <c r="IB4" s="5">
        <f>SUMIFS('COMPARATIVE ANNUAL DATA '!$Y$3:$Y$50,'COMPARATIVE ANNUAL DATA '!$A$3:$A$50,'PROCCESSING '!IB$3,MONTHS,$HF4)</f>
        <v>0.16678653819690564</v>
      </c>
      <c r="IC4" s="5">
        <f>SUMIFS('COMPARATIVE ANNUAL DATA '!$Y$3:$Y$50,'COMPARATIVE ANNUAL DATA '!$A$3:$A$50,'PROCCESSING '!IC$3,MONTHS,$HF4)</f>
        <v>0.46468503721447862</v>
      </c>
      <c r="IE4" s="5">
        <f>SUMIFS('COMPARATIVE ANNUAL DATA '!$Y$3:$Y$50,'COMPARATIVE ANNUAL DATA '!$A$3:$A$50,'PROCCESSING '!IE$3,MONTHS,$HF4)</f>
        <v>0.46468503721447862</v>
      </c>
      <c r="IF4" s="5">
        <f t="shared" ref="IF4:IF15" si="18">IF(LINK=1,HZ4,IF(LINK=2,IA4,IF(LINK=3,IB4)))</f>
        <v>0.16678653819690564</v>
      </c>
      <c r="IH4" s="4">
        <v>1</v>
      </c>
      <c r="II4" s="5" t="e">
        <f t="shared" ref="II4:II15" si="19">IF(SCROLL=HX4,IH4,NA())</f>
        <v>#N/A</v>
      </c>
      <c r="IJ4">
        <f>SCROLL</f>
        <v>8</v>
      </c>
    </row>
    <row r="5" spans="1:244" x14ac:dyDescent="0.25">
      <c r="A5" t="s">
        <v>1</v>
      </c>
      <c r="E5">
        <v>2</v>
      </c>
      <c r="F5" t="s">
        <v>0</v>
      </c>
      <c r="G5">
        <f>SUMIFS(REVENUES,'COMPARATIVE ANNUAL DATA '!$A$3:$A$50,'PROCCESSING '!G$3,MONTHS,'PROCCESSING '!$F5)</f>
        <v>24695942.75</v>
      </c>
      <c r="H5">
        <f>SUMIFS(REVENUES,'COMPARATIVE ANNUAL DATA '!$A$3:$A$50,'PROCCESSING '!$H$3,MONTHS,'PROCCESSING '!F5)</f>
        <v>20193286.620000001</v>
      </c>
      <c r="I5">
        <f>SUMIFS(REVENUES,'COMPARATIVE ANNUAL DATA '!$A$3:$A$50,'PROCCESSING '!I$3,MONTHS,'PROCCESSING '!$F5)</f>
        <v>20857795.469999999</v>
      </c>
      <c r="J5">
        <f>SUMIFS(REVENUES,'COMPARATIVE ANNUAL DATA '!$A$3:$A$50,'PROCCESSING '!J$3,MONTHS,'PROCCESSING '!$F5)</f>
        <v>19743855.810000002</v>
      </c>
      <c r="M5">
        <v>2</v>
      </c>
      <c r="N5" t="s">
        <v>0</v>
      </c>
      <c r="O5" s="1">
        <f>SUMIFS(REVENUES,'COMPARATIVE ANNUAL DATA '!$A$3:$A$50,'PROCCESSING '!O$3,MONTHS,'PROCCESSING '!$F5)</f>
        <v>19743855.810000002</v>
      </c>
      <c r="P5" s="1">
        <f t="shared" si="7"/>
        <v>20857795.469999999</v>
      </c>
      <c r="R5" s="1">
        <v>35000000</v>
      </c>
      <c r="T5" t="e">
        <f t="shared" si="8"/>
        <v>#N/A</v>
      </c>
      <c r="AA5" t="s">
        <v>1</v>
      </c>
      <c r="AB5">
        <f>SUMIFS('COMPARATIVE ANNUAL DATA '!$D$3:$D$50,'COMPARATIVE ANNUAL DATA '!$A$3:$A$50,'PROCCESSING '!$AB$2,MONTHS,'PROCCESSING '!AA5)</f>
        <v>7912941.9299999997</v>
      </c>
      <c r="AC5">
        <f>SUMIFS('COMPARATIVE ANNUAL DATA '!$E$3:$E$50,'COMPARATIVE ANNUAL DATA '!$A$3:$A$50,'PROCCESSING '!$AC$2,MONTHS,'PROCCESSING '!AA5)</f>
        <v>19596844.309999999</v>
      </c>
      <c r="AD5">
        <f>SUMIFS('COMPARATIVE ANNUAL DATA '!$D$3:$D$50,'COMPARATIVE ANNUAL DATA '!$A$3:$A$50,'PROCCESSING '!$AD$2,MONTHS,'PROCCESSING '!AA5)</f>
        <v>7678716.4900000002</v>
      </c>
      <c r="AE5">
        <f>SUMIFS('COMPARATIVE ANNUAL DATA '!$E$3:$E$50,'COMPARATIVE ANNUAL DATA '!$A$3:$A$50,'PROCCESSING '!$AE$2,MONTHS,'PROCCESSING '!AA5)</f>
        <v>14349134.380000001</v>
      </c>
      <c r="AF5">
        <f>SUMIFS('COMPARATIVE ANNUAL DATA '!$D$3:$D$50,'COMPARATIVE ANNUAL DATA '!$A$3:$A$50,'PROCCESSING '!$AF$2,MONTHS,'PROCCESSING '!AA5)</f>
        <v>6120327.2000000002</v>
      </c>
      <c r="AG5">
        <f>SUMIFS('COMPARATIVE ANNUAL DATA '!$E$3:$E$50,'COMPARATIVE ANNUAL DATA '!$A$3:$A$50,'PROCCESSING '!$AG$2,MONTHS,'PROCCESSING '!AA5)</f>
        <v>14746870.5284</v>
      </c>
      <c r="AH5">
        <f>SUMIFS('COMPARATIVE ANNUAL DATA '!$D$3:$D$50,'COMPARATIVE ANNUAL DATA '!$A$3:$A$50,'PROCCESSING '!$AH$2,MONTHS,'PROCCESSING '!AA5)</f>
        <v>9275883.4499999993</v>
      </c>
      <c r="AI5">
        <f>SUMIFS('COMPARATIVE ANNUAL DATA '!$E$3:$E$50,'COMPARATIVE ANNUAL DATA '!$A$3:$A$50,'PROCCESSING '!$AI$2,MONTHS,'PROCCESSING '!AA5)</f>
        <v>14304331.419999998</v>
      </c>
      <c r="AK5">
        <v>3</v>
      </c>
      <c r="AL5" t="s">
        <v>1</v>
      </c>
      <c r="AM5">
        <f t="shared" si="9"/>
        <v>9275883.4499999993</v>
      </c>
      <c r="AN5">
        <f t="shared" si="10"/>
        <v>14304331.419999998</v>
      </c>
      <c r="AT5">
        <f t="shared" si="0"/>
        <v>6120327.2000000002</v>
      </c>
      <c r="AU5">
        <f t="shared" si="1"/>
        <v>14746870.5284</v>
      </c>
      <c r="AW5" s="13">
        <v>25000000</v>
      </c>
      <c r="AX5" s="12" t="e">
        <f t="shared" si="2"/>
        <v>#N/A</v>
      </c>
      <c r="AY5" t="s">
        <v>25</v>
      </c>
      <c r="BE5">
        <v>3</v>
      </c>
      <c r="BF5" t="s">
        <v>1</v>
      </c>
      <c r="BG5">
        <f>SUMIFS(TOTPATIENTS,'COMPARATIVE ANNUAL DATA '!$A$3:$A$50,'PROCCESSING '!BG$2,MONTHS,'PROCCESSING '!$BF5)</f>
        <v>24420</v>
      </c>
      <c r="BH5">
        <f>SUMIFS(TOTPATIENTS,'COMPARATIVE ANNUAL DATA '!$A$3:$A$50,'PROCCESSING '!BH$2,MONTHS,'PROCCESSING '!$BF5)</f>
        <v>22288</v>
      </c>
      <c r="BI5">
        <f>SUMIFS(TOTPATIENTS,'COMPARATIVE ANNUAL DATA '!$A$3:$A$50,'PROCCESSING '!BI$2,MONTHS,'PROCCESSING '!$BF5)</f>
        <v>16924</v>
      </c>
      <c r="BJ5">
        <f>SUMIFS(TOTPATIENTS,'COMPARATIVE ANNUAL DATA '!$A$3:$A$50,'PROCCESSING '!BJ$2,MONTHS,'PROCCESSING '!$BF5)</f>
        <v>21870</v>
      </c>
      <c r="BO5">
        <f>SUMIFS(TOTPATIENTS,'COMPARATIVE ANNUAL DATA '!$A$3:$A$50,'PROCCESSING '!BO$2,MONTHS,'PROCCESSING '!$BF5)</f>
        <v>21870</v>
      </c>
      <c r="BP5">
        <f t="shared" si="3"/>
        <v>16924</v>
      </c>
      <c r="BR5">
        <v>35000</v>
      </c>
      <c r="BT5" t="e">
        <f t="shared" si="4"/>
        <v>#N/A</v>
      </c>
      <c r="BU5">
        <f>INDEX($BG$3:$BJ$14,SCROLL,MATCH($BO$2,$BG$2:$BJ$2,2))</f>
        <v>24984</v>
      </c>
      <c r="CA5">
        <v>1</v>
      </c>
      <c r="CB5" t="s">
        <v>14</v>
      </c>
      <c r="CC5" s="5">
        <f>SUMIFS(BEDOCCUPANCY,'COMPARATIVE ANNUAL DATA '!$A$3:$A$50,'PROCCESSING '!CC$4,MONTHS,'PROCCESSING '!$CB5)</f>
        <v>0.93</v>
      </c>
      <c r="CD5" s="5">
        <f>SUMIFS(BEDOCCUPANCY,'COMPARATIVE ANNUAL DATA '!$A$3:$A$50,'PROCCESSING '!CD$4,MONTHS,'PROCCESSING '!$CB5)</f>
        <v>0.84</v>
      </c>
      <c r="CE5" s="5">
        <f>SUMIFS(BEDOCCUPANCY,'COMPARATIVE ANNUAL DATA '!$A$3:$A$50,'PROCCESSING '!CE$4,MONTHS,'PROCCESSING '!$CB5)</f>
        <v>0.65</v>
      </c>
      <c r="CF5" s="5">
        <f>SUMIFS(BEDOCCUPANCY,'COMPARATIVE ANNUAL DATA '!$A$3:$A$50,'PROCCESSING '!CF$4,MONTHS,'PROCCESSING '!$CB5)</f>
        <v>0.59</v>
      </c>
      <c r="CJ5" s="5">
        <f>SUMIFS(BEDOCCUPANCY,'COMPARATIVE ANNUAL DATA '!$A$3:$A$50,'PROCCESSING '!CJ$4,MONTHS,'PROCCESSING '!$CB5)</f>
        <v>0.59</v>
      </c>
      <c r="CK5" s="5">
        <f t="shared" ref="CK5:CK16" si="20">IF(LINK=1,CC5,IF(LINK=2,CD5,IF(LINK=3,CE5)))</f>
        <v>0.65</v>
      </c>
      <c r="CM5" s="4">
        <v>1.2</v>
      </c>
      <c r="CN5" s="5" t="e">
        <f t="shared" ref="CN5:CN16" si="21">IF(SCROLL=CA5,CM5,NA())</f>
        <v>#N/A</v>
      </c>
      <c r="CO5" s="2">
        <f>SCROLL</f>
        <v>8</v>
      </c>
      <c r="CT5">
        <v>2</v>
      </c>
      <c r="CU5" t="s">
        <v>0</v>
      </c>
      <c r="CV5">
        <f>SUMIFS(TOTADMISSIONS,'COMPARATIVE ANNUAL DATA '!$A$3:$A$50,'PROCCESSING '!CV$3,MONTHS,'PROCCESSING '!$CU5)</f>
        <v>1164</v>
      </c>
      <c r="CW5">
        <f>SUMIFS(TOTADMISSIONS,'COMPARATIVE ANNUAL DATA '!$A$3:$A$50,'PROCCESSING '!CW$3,MONTHS,'PROCCESSING '!$CU5)</f>
        <v>1002</v>
      </c>
      <c r="CX5">
        <f>SUMIFS(TOTADMISSIONS,'COMPARATIVE ANNUAL DATA '!$A$3:$A$50,'PROCCESSING '!CX$3,MONTHS,'PROCCESSING '!$CU5)</f>
        <v>991</v>
      </c>
      <c r="CY5">
        <f>SUMIFS(TOTADMISSIONS,'COMPARATIVE ANNUAL DATA '!$A$3:$A$50,'PROCCESSING '!CY$3,MONTHS,'PROCCESSING '!$CU5)</f>
        <v>867</v>
      </c>
      <c r="DD5">
        <f>SUMIFS(TOTADMISSIONS,'COMPARATIVE ANNUAL DATA '!$A$3:$A$50,'PROCCESSING '!DD$3,MONTHS,'PROCCESSING '!$CU5)</f>
        <v>867</v>
      </c>
      <c r="DE5">
        <f t="shared" si="11"/>
        <v>991</v>
      </c>
      <c r="DG5">
        <f t="shared" ref="DG5:DG15" si="22">SUM(DD5:DE5)</f>
        <v>1858</v>
      </c>
      <c r="DH5">
        <v>0</v>
      </c>
      <c r="DR5">
        <v>2</v>
      </c>
      <c r="DS5" t="s">
        <v>0</v>
      </c>
      <c r="DT5">
        <f>SUMIFS('COMPARATIVE ANNUAL DATA '!$J$3:$J$50,'COMPARATIVE ANNUAL DATA '!$A$3:$A$50,'PROCCESSING '!DT$3,MONTHS,'PROCCESSING '!$DS5)</f>
        <v>111</v>
      </c>
      <c r="DU5">
        <f>SUMIFS('COMPARATIVE ANNUAL DATA '!$J$3:$J$50,'COMPARATIVE ANNUAL DATA '!$A$3:$A$50,'PROCCESSING '!DU$3,MONTHS,'PROCCESSING '!$DS5)</f>
        <v>115</v>
      </c>
      <c r="DV5">
        <f>SUMIFS('COMPARATIVE ANNUAL DATA '!$J$3:$J$50,'COMPARATIVE ANNUAL DATA '!$A$3:$A$50,'PROCCESSING '!DV$3,MONTHS,'PROCCESSING '!$DS5)</f>
        <v>115</v>
      </c>
      <c r="DW5">
        <f>SUMIFS('COMPARATIVE ANNUAL DATA '!$J$3:$J$50,'COMPARATIVE ANNUAL DATA '!$A$3:$A$50,'PROCCESSING '!DW$3,MONTHS,'PROCCESSING '!$DS5)</f>
        <v>112</v>
      </c>
      <c r="EC5">
        <f>SUMIFS('COMPARATIVE ANNUAL DATA '!$J$3:$J$50,'COMPARATIVE ANNUAL DATA '!$A$3:$A$50,'PROCCESSING '!EC$3,MONTHS,'PROCCESSING '!$DS5)</f>
        <v>112</v>
      </c>
      <c r="ED5">
        <f t="shared" si="12"/>
        <v>115</v>
      </c>
      <c r="EF5">
        <v>200</v>
      </c>
      <c r="EG5" t="e">
        <f t="shared" si="13"/>
        <v>#N/A</v>
      </c>
      <c r="EH5" t="s">
        <v>24</v>
      </c>
      <c r="EM5">
        <v>2</v>
      </c>
      <c r="EN5" t="s">
        <v>0</v>
      </c>
      <c r="EO5">
        <f>SUMIFS('COMPARATIVE ANNUAL DATA '!$I$3:$I$50,'COMPARATIVE ANNUAL DATA '!$A$3:$A$50,'PROCCESSING '!EO$3,MONTHS,'PROCCESSING '!$DS5)</f>
        <v>50</v>
      </c>
      <c r="EP5">
        <f>SUMIFS('COMPARATIVE ANNUAL DATA '!$I$3:$I$50,'COMPARATIVE ANNUAL DATA '!$A$3:$A$50,'PROCCESSING '!EP$3,MONTHS,'PROCCESSING '!$DS5)</f>
        <v>56</v>
      </c>
      <c r="EQ5">
        <f>SUMIFS('COMPARATIVE ANNUAL DATA '!$I$3:$I$50,'COMPARATIVE ANNUAL DATA '!$A$3:$A$50,'PROCCESSING '!EQ$3,MONTHS,'PROCCESSING '!$DS5)</f>
        <v>57</v>
      </c>
      <c r="ER5">
        <f>SUMIFS('COMPARATIVE ANNUAL DATA '!$I$3:$I$50,'COMPARATIVE ANNUAL DATA '!$A$3:$A$50,'PROCCESSING '!ER$3,MONTHS,'PROCCESSING '!$DS5)</f>
        <v>54</v>
      </c>
      <c r="EU5">
        <f>SUMIFS('COMPARATIVE ANNUAL DATA '!$I$3:$I$50,'COMPARATIVE ANNUAL DATA '!$A$3:$A$50,'PROCCESSING '!EU$3,MONTHS,'PROCCESSING '!$DS5)</f>
        <v>54</v>
      </c>
      <c r="EV5">
        <f t="shared" si="14"/>
        <v>57</v>
      </c>
      <c r="EX5" t="s">
        <v>40</v>
      </c>
      <c r="FD5">
        <v>2</v>
      </c>
      <c r="FE5" t="s">
        <v>0</v>
      </c>
      <c r="FF5" s="5">
        <f>SUMIFS('COMPARATIVE ANNUAL DATA '!$K$3:$K$50,'COMPARATIVE ANNUAL DATA '!$A$3:$A$50,'PROCCESSING '!FF$3,MONTHS,'PROCCESSING '!$DS5)</f>
        <v>0.45045045045045046</v>
      </c>
      <c r="FG5" s="5">
        <f>SUMIFS('COMPARATIVE ANNUAL DATA '!$K$3:$K$50,'COMPARATIVE ANNUAL DATA '!$A$3:$A$50,'PROCCESSING '!FG$3,MONTHS,'PROCCESSING '!$DS5)</f>
        <v>0.48695652173913045</v>
      </c>
      <c r="FH5" s="5">
        <f>SUMIFS('COMPARATIVE ANNUAL DATA '!$K$3:$K$50,'COMPARATIVE ANNUAL DATA '!$A$3:$A$50,'PROCCESSING '!FH$3,MONTHS,'PROCCESSING '!$DS5)</f>
        <v>0.4956521739130435</v>
      </c>
      <c r="FI5" s="5">
        <f>SUMIFS('COMPARATIVE ANNUAL DATA '!$K$3:$K$50,'COMPARATIVE ANNUAL DATA '!$A$3:$A$50,'PROCCESSING '!FI$3,MONTHS,'PROCCESSING '!$DS5)</f>
        <v>0.48214285714285715</v>
      </c>
      <c r="FK5" s="5">
        <f>SUMIFS('COMPARATIVE ANNUAL DATA '!$K$3:$K$50,'COMPARATIVE ANNUAL DATA '!$A$3:$A$50,'PROCCESSING '!FK$3,MONTHS,'PROCCESSING '!$DS5)</f>
        <v>0.48214285714285715</v>
      </c>
      <c r="FL5" s="5">
        <f t="shared" si="15"/>
        <v>0.4956521739130435</v>
      </c>
      <c r="FN5" s="5">
        <f>INDEX(FF4:FI15,SCROLL,MATCH(FK3,$FF$3:$FI$3,2))</f>
        <v>0.5</v>
      </c>
      <c r="FQ5">
        <v>2</v>
      </c>
      <c r="FR5" t="s">
        <v>0</v>
      </c>
      <c r="FS5">
        <f>SUMIFS('COMPARATIVE ANNUAL DATA '!$S$3:$S$50,'COMPARATIVE ANNUAL DATA '!$A$3:$A$50,'PROCCESSING '!FS$3,MONTHS,'PROCCESSING '!$DS5)</f>
        <v>3.05</v>
      </c>
      <c r="FT5">
        <f>SUMIFS('COMPARATIVE ANNUAL DATA '!$S$3:$S$50,'COMPARATIVE ANNUAL DATA '!$A$3:$A$50,'PROCCESSING '!FT$3,MONTHS,'PROCCESSING '!$DS5)</f>
        <v>2.41</v>
      </c>
      <c r="FU5">
        <f>SUMIFS('COMPARATIVE ANNUAL DATA '!$S$3:$S$50,'COMPARATIVE ANNUAL DATA '!$A$3:$A$50,'PROCCESSING '!FU$3,MONTHS,'PROCCESSING '!$DS5)</f>
        <v>2.91</v>
      </c>
      <c r="FV5">
        <f>SUMIFS('COMPARATIVE ANNUAL DATA '!$S$3:$S$50,'COMPARATIVE ANNUAL DATA '!$A$3:$A$50,'PROCCESSING '!FV$3,MONTHS,'PROCCESSING '!$DS5)</f>
        <v>2.52</v>
      </c>
      <c r="FX5">
        <f>SUMIFS('COMPARATIVE ANNUAL DATA '!$S$3:$S$50,'COMPARATIVE ANNUAL DATA '!$A$3:$A$50,'PROCCESSING '!FX$3,MONTHS,'PROCCESSING '!$DS5)</f>
        <v>2.52</v>
      </c>
      <c r="FY5" s="24">
        <f t="shared" ref="FY5:FY15" si="23">IF(LINK=1,FS5,IF(LINK=2,FT5,IF(LINK=3,FU5)))</f>
        <v>2.91</v>
      </c>
      <c r="GA5">
        <v>5</v>
      </c>
      <c r="GB5" t="e">
        <f t="shared" si="16"/>
        <v>#N/A</v>
      </c>
      <c r="GC5" t="s">
        <v>24</v>
      </c>
      <c r="GG5">
        <v>3</v>
      </c>
      <c r="GH5" t="s">
        <v>1</v>
      </c>
      <c r="GI5" s="1">
        <f>SUMIFS('COMPARATIVE ANNUAL DATA '!$W$3:$W$50,'COMPARATIVE ANNUAL DATA '!$A$3:$A$50,'PROCCESSING '!GI$2,MONTHS,'PROCCESSING '!$GH5)</f>
        <v>17735429.390000004</v>
      </c>
      <c r="GJ5" s="1">
        <f>SUMIFS('COMPARATIVE ANNUAL DATA '!$W$3:$W$50,'COMPARATIVE ANNUAL DATA '!$A$3:$A$50,'PROCCESSING '!GJ$2,MONTHS,'PROCCESSING '!$GH5)</f>
        <v>16838844.370000001</v>
      </c>
      <c r="GK5" s="1">
        <f>SUMIFS('COMPARATIVE ANNUAL DATA '!$W$3:$W$50,'COMPARATIVE ANNUAL DATA '!$A$3:$A$50,'PROCCESSING '!GK$2,MONTHS,'PROCCESSING '!$GH5)</f>
        <v>17625531.619999997</v>
      </c>
      <c r="GL5" s="1">
        <f>SUMIFS('COMPARATIVE ANNUAL DATA '!$W$3:$W$50,'COMPARATIVE ANNUAL DATA '!$A$3:$A$50,'PROCCESSING '!GL$2,MONTHS,'PROCCESSING '!$GH5)</f>
        <v>12221844.660000002</v>
      </c>
      <c r="GO5" s="1">
        <f>SUMIFS('COMPARATIVE ANNUAL DATA '!$W$3:$W$50,'COMPARATIVE ANNUAL DATA '!$A$3:$A$50,'PROCCESSING '!GO$2,MONTHS,'PROCCESSING '!$GH5)</f>
        <v>12221844.660000002</v>
      </c>
      <c r="GP5">
        <f t="shared" si="5"/>
        <v>17625531.619999997</v>
      </c>
      <c r="GU5" s="1">
        <v>50000000</v>
      </c>
      <c r="GV5" t="e">
        <f t="shared" si="6"/>
        <v>#N/A</v>
      </c>
      <c r="GW5" s="1">
        <f>INDEX($GI$3:$GL$14,SCROLL,MATCH($GO$2,$GI$2:$GL$2,2))</f>
        <v>12326459.679999998</v>
      </c>
      <c r="HE5">
        <v>2</v>
      </c>
      <c r="HF5" t="s">
        <v>0</v>
      </c>
      <c r="HG5" s="1">
        <f>SUMIFS('COMPARATIVE ANNUAL DATA '!$X$3:$X$50,'COMPARATIVE ANNUAL DATA '!$A$3:$A$50,'PROCCESSING '!HG$3,MONTHS,$HF5)</f>
        <v>8271380.4700000044</v>
      </c>
      <c r="HH5" s="1">
        <f>SUMIFS('COMPARATIVE ANNUAL DATA '!$X$3:$X$50,'COMPARATIVE ANNUAL DATA '!$A$3:$A$50,'PROCCESSING '!HH$3,MONTHS,$HF5)</f>
        <v>4018574.730000006</v>
      </c>
      <c r="HI5" s="1">
        <f>SUMIFS('COMPARATIVE ANNUAL DATA '!$X$3:$X$50,'COMPARATIVE ANNUAL DATA '!$A$3:$A$50,'PROCCESSING '!HI$3,MONTHS,$HF5)</f>
        <v>3336690.5000000037</v>
      </c>
      <c r="HJ5" s="1">
        <f>SUMIFS('COMPARATIVE ANNUAL DATA '!$X$3:$X$50,'COMPARATIVE ANNUAL DATA '!$A$3:$A$50,'PROCCESSING '!HJ$3,MONTHS,$HF5)</f>
        <v>8208956.459999999</v>
      </c>
      <c r="HM5" s="1">
        <f>SUMIFS('COMPARATIVE ANNUAL DATA '!$X$3:$X$50,'COMPARATIVE ANNUAL DATA '!$A$3:$A$50,'PROCCESSING '!HM$3,MONTHS,$HF5)</f>
        <v>8208956.459999999</v>
      </c>
      <c r="HN5">
        <f t="shared" ref="HN5:HN15" si="24">IF(LINK=1,HG5,IF(LINK=2,HH5,IF(LINK=3,HI5)))</f>
        <v>3336690.5000000037</v>
      </c>
      <c r="HR5" s="1">
        <v>30000000</v>
      </c>
      <c r="HS5" t="e">
        <f t="shared" si="17"/>
        <v>#N/A</v>
      </c>
      <c r="HT5" t="s">
        <v>24</v>
      </c>
      <c r="HX5">
        <v>2</v>
      </c>
      <c r="HY5" t="s">
        <v>0</v>
      </c>
      <c r="HZ5" s="5">
        <f>SUMIFS('COMPARATIVE ANNUAL DATA '!$Y$3:$Y$50,'COMPARATIVE ANNUAL DATA '!$A$3:$A$50,'PROCCESSING '!HZ$3,MONTHS,$HF5)</f>
        <v>0.33492871900992743</v>
      </c>
      <c r="IA5" s="5">
        <f>SUMIFS('COMPARATIVE ANNUAL DATA '!$Y$3:$Y$50,'COMPARATIVE ANNUAL DATA '!$A$3:$A$50,'PROCCESSING '!IA$3,MONTHS,$HF5)</f>
        <v>0.19900548165447698</v>
      </c>
      <c r="IB5" s="5">
        <f>SUMIFS('COMPARATIVE ANNUAL DATA '!$Y$3:$Y$50,'COMPARATIVE ANNUAL DATA '!$A$3:$A$50,'PROCCESSING '!IB$3,MONTHS,$HF5)</f>
        <v>0.15997330613387226</v>
      </c>
      <c r="IC5" s="5">
        <f>SUMIFS('COMPARATIVE ANNUAL DATA '!$Y$3:$Y$50,'COMPARATIVE ANNUAL DATA '!$A$3:$A$50,'PROCCESSING '!IC$3,MONTHS,$HF5)</f>
        <v>0.41577271121693821</v>
      </c>
      <c r="IE5" s="5">
        <f>SUMIFS('COMPARATIVE ANNUAL DATA '!$Y$3:$Y$50,'COMPARATIVE ANNUAL DATA '!$A$3:$A$50,'PROCCESSING '!IE$3,MONTHS,$HF5)</f>
        <v>0.41577271121693821</v>
      </c>
      <c r="IF5" s="5">
        <f t="shared" si="18"/>
        <v>0.15997330613387226</v>
      </c>
      <c r="IH5" s="4">
        <v>1</v>
      </c>
      <c r="II5" s="5" t="e">
        <f t="shared" si="19"/>
        <v>#N/A</v>
      </c>
      <c r="IJ5" t="s">
        <v>24</v>
      </c>
    </row>
    <row r="6" spans="1:244" x14ac:dyDescent="0.25">
      <c r="A6" t="s">
        <v>2</v>
      </c>
      <c r="E6">
        <v>3</v>
      </c>
      <c r="F6" t="s">
        <v>1</v>
      </c>
      <c r="G6">
        <f>SUMIFS(REVENUES,'COMPARATIVE ANNUAL DATA '!$A$3:$A$50,'PROCCESSING '!G$3,MONTHS,'PROCCESSING '!$F6)</f>
        <v>27509786.239999998</v>
      </c>
      <c r="H6">
        <f>SUMIFS(REVENUES,'COMPARATIVE ANNUAL DATA '!$A$3:$A$50,'PROCCESSING '!$H$3,MONTHS,'PROCCESSING '!F6)</f>
        <v>22027850.870000001</v>
      </c>
      <c r="I6">
        <f>SUMIFS(REVENUES,'COMPARATIVE ANNUAL DATA '!$A$3:$A$50,'PROCCESSING '!I$3,MONTHS,'PROCCESSING '!$F6)</f>
        <v>20867197.728399999</v>
      </c>
      <c r="J6">
        <f>SUMIFS(REVENUES,'COMPARATIVE ANNUAL DATA '!$A$3:$A$50,'PROCCESSING '!J$3,MONTHS,'PROCCESSING '!$F6)</f>
        <v>23580214.869999997</v>
      </c>
      <c r="M6">
        <v>3</v>
      </c>
      <c r="N6" t="s">
        <v>1</v>
      </c>
      <c r="O6" s="1">
        <f>SUMIFS(REVENUES,'COMPARATIVE ANNUAL DATA '!$A$3:$A$50,'PROCCESSING '!O$3,MONTHS,'PROCCESSING '!$F6)</f>
        <v>23580214.869999997</v>
      </c>
      <c r="P6" s="1">
        <f t="shared" si="7"/>
        <v>20867197.728399999</v>
      </c>
      <c r="R6" s="1">
        <v>35000000</v>
      </c>
      <c r="T6" t="e">
        <f t="shared" si="8"/>
        <v>#N/A</v>
      </c>
      <c r="U6" s="6" t="s">
        <v>24</v>
      </c>
      <c r="AA6" t="s">
        <v>2</v>
      </c>
      <c r="AB6">
        <f>SUMIFS('COMPARATIVE ANNUAL DATA '!$D$3:$D$50,'COMPARATIVE ANNUAL DATA '!$A$3:$A$50,'PROCCESSING '!$AB$2,MONTHS,'PROCCESSING '!AA6)</f>
        <v>7821803.7300000004</v>
      </c>
      <c r="AC6">
        <f>SUMIFS('COMPARATIVE ANNUAL DATA '!$E$3:$E$50,'COMPARATIVE ANNUAL DATA '!$A$3:$A$50,'PROCCESSING '!$AC$2,MONTHS,'PROCCESSING '!AA6)</f>
        <v>17418289.82</v>
      </c>
      <c r="AD6">
        <f>SUMIFS('COMPARATIVE ANNUAL DATA '!$D$3:$D$50,'COMPARATIVE ANNUAL DATA '!$A$3:$A$50,'PROCCESSING '!$AD$2,MONTHS,'PROCCESSING '!AA6)</f>
        <v>8039690.3200000003</v>
      </c>
      <c r="AE6">
        <f>SUMIFS('COMPARATIVE ANNUAL DATA '!$E$3:$E$50,'COMPARATIVE ANNUAL DATA '!$A$3:$A$50,'PROCCESSING '!$AE$2,MONTHS,'PROCCESSING '!AA6)</f>
        <v>14488677.82</v>
      </c>
      <c r="AF6">
        <f>SUMIFS('COMPARATIVE ANNUAL DATA '!$D$3:$D$50,'COMPARATIVE ANNUAL DATA '!$A$3:$A$50,'PROCCESSING '!$AF$2,MONTHS,'PROCCESSING '!AA6)</f>
        <v>1631242.61</v>
      </c>
      <c r="AG6">
        <f>SUMIFS('COMPARATIVE ANNUAL DATA '!$E$3:$E$50,'COMPARATIVE ANNUAL DATA '!$A$3:$A$50,'PROCCESSING '!$AG$2,MONTHS,'PROCCESSING '!AA6)</f>
        <v>7504389.0977999987</v>
      </c>
      <c r="AH6">
        <f>SUMIFS('COMPARATIVE ANNUAL DATA '!$D$3:$D$50,'COMPARATIVE ANNUAL DATA '!$A$3:$A$50,'PROCCESSING '!$AH$2,MONTHS,'PROCCESSING '!AA6)</f>
        <v>7335381.5999999996</v>
      </c>
      <c r="AI6">
        <f>SUMIFS('COMPARATIVE ANNUAL DATA '!$E$3:$E$50,'COMPARATIVE ANNUAL DATA '!$A$3:$A$50,'PROCCESSING '!$AI$2,MONTHS,'PROCCESSING '!AA6)</f>
        <v>14613207.619999999</v>
      </c>
      <c r="AK6">
        <v>4</v>
      </c>
      <c r="AL6" t="s">
        <v>2</v>
      </c>
      <c r="AM6">
        <f t="shared" si="9"/>
        <v>7335381.5999999996</v>
      </c>
      <c r="AN6">
        <f t="shared" si="10"/>
        <v>14613207.619999999</v>
      </c>
      <c r="AT6">
        <f t="shared" si="0"/>
        <v>1631242.61</v>
      </c>
      <c r="AU6">
        <f t="shared" si="1"/>
        <v>7504389.0977999987</v>
      </c>
      <c r="AW6" s="13">
        <v>25000000</v>
      </c>
      <c r="AX6" s="12" t="e">
        <f t="shared" si="2"/>
        <v>#N/A</v>
      </c>
      <c r="AY6">
        <f>SCROLL</f>
        <v>8</v>
      </c>
      <c r="BE6">
        <v>4</v>
      </c>
      <c r="BF6" t="s">
        <v>2</v>
      </c>
      <c r="BG6">
        <f>SUMIFS(TOTPATIENTS,'COMPARATIVE ANNUAL DATA '!$A$3:$A$50,'PROCCESSING '!BG$2,MONTHS,'PROCCESSING '!$BF6)</f>
        <v>23973</v>
      </c>
      <c r="BH6">
        <f>SUMIFS(TOTPATIENTS,'COMPARATIVE ANNUAL DATA '!$A$3:$A$50,'PROCCESSING '!BH$2,MONTHS,'PROCCESSING '!$BF6)</f>
        <v>22504</v>
      </c>
      <c r="BI6">
        <f>SUMIFS(TOTPATIENTS,'COMPARATIVE ANNUAL DATA '!$A$3:$A$50,'PROCCESSING '!BI$2,MONTHS,'PROCCESSING '!$BF6)</f>
        <v>4442</v>
      </c>
      <c r="BJ6">
        <f>SUMIFS(TOTPATIENTS,'COMPARATIVE ANNUAL DATA '!$A$3:$A$50,'PROCCESSING '!BJ$2,MONTHS,'PROCCESSING '!$BF6)</f>
        <v>18236</v>
      </c>
      <c r="BO6">
        <f>SUMIFS(TOTPATIENTS,'COMPARATIVE ANNUAL DATA '!$A$3:$A$50,'PROCCESSING '!BO$2,MONTHS,'PROCCESSING '!$BF6)</f>
        <v>18236</v>
      </c>
      <c r="BP6">
        <f t="shared" si="3"/>
        <v>4442</v>
      </c>
      <c r="BR6">
        <v>35000</v>
      </c>
      <c r="BT6" t="e">
        <f t="shared" si="4"/>
        <v>#N/A</v>
      </c>
      <c r="BU6" t="s">
        <v>25</v>
      </c>
      <c r="CA6">
        <v>2</v>
      </c>
      <c r="CB6" t="s">
        <v>0</v>
      </c>
      <c r="CC6" s="5">
        <f>SUMIFS(BEDOCCUPANCY,'COMPARATIVE ANNUAL DATA '!$A$3:$A$50,'PROCCESSING '!CC$4,MONTHS,'PROCCESSING '!$CB6)</f>
        <v>1</v>
      </c>
      <c r="CD6" s="5">
        <f>SUMIFS(BEDOCCUPANCY,'COMPARATIVE ANNUAL DATA '!$A$3:$A$50,'PROCCESSING '!CD$4,MONTHS,'PROCCESSING '!$CB6)</f>
        <v>0.79</v>
      </c>
      <c r="CE6" s="5">
        <f>SUMIFS(BEDOCCUPANCY,'COMPARATIVE ANNUAL DATA '!$A$3:$A$50,'PROCCESSING '!CE$4,MONTHS,'PROCCESSING '!$CB6)</f>
        <v>0.9</v>
      </c>
      <c r="CF6" s="5">
        <f>SUMIFS(BEDOCCUPANCY,'COMPARATIVE ANNUAL DATA '!$A$3:$A$50,'PROCCESSING '!CF$4,MONTHS,'PROCCESSING '!$CB6)</f>
        <v>0.71</v>
      </c>
      <c r="CJ6" s="5">
        <f>SUMIFS(BEDOCCUPANCY,'COMPARATIVE ANNUAL DATA '!$A$3:$A$50,'PROCCESSING '!CJ$4,MONTHS,'PROCCESSING '!$CB6)</f>
        <v>0.71</v>
      </c>
      <c r="CK6" s="5">
        <f t="shared" si="20"/>
        <v>0.9</v>
      </c>
      <c r="CM6" s="4">
        <v>1.2</v>
      </c>
      <c r="CN6" s="5" t="e">
        <f t="shared" si="21"/>
        <v>#N/A</v>
      </c>
      <c r="CO6" s="2" t="s">
        <v>24</v>
      </c>
      <c r="CT6">
        <v>3</v>
      </c>
      <c r="CU6" t="s">
        <v>1</v>
      </c>
      <c r="CV6">
        <f>SUMIFS(TOTADMISSIONS,'COMPARATIVE ANNUAL DATA '!$A$3:$A$50,'PROCCESSING '!CV$3,MONTHS,'PROCCESSING '!$CU6)</f>
        <v>1243</v>
      </c>
      <c r="CW6">
        <f>SUMIFS(TOTADMISSIONS,'COMPARATIVE ANNUAL DATA '!$A$3:$A$50,'PROCCESSING '!CW$3,MONTHS,'PROCCESSING '!$CU6)</f>
        <v>1119</v>
      </c>
      <c r="CX6">
        <f>SUMIFS(TOTADMISSIONS,'COMPARATIVE ANNUAL DATA '!$A$3:$A$50,'PROCCESSING '!CX$3,MONTHS,'PROCCESSING '!$CU6)</f>
        <v>989</v>
      </c>
      <c r="CY6">
        <f>SUMIFS(TOTADMISSIONS,'COMPARATIVE ANNUAL DATA '!$A$3:$A$50,'PROCCESSING '!CY$3,MONTHS,'PROCCESSING '!$CU6)</f>
        <v>984</v>
      </c>
      <c r="DD6">
        <f>SUMIFS(TOTADMISSIONS,'COMPARATIVE ANNUAL DATA '!$A$3:$A$50,'PROCCESSING '!DD$3,MONTHS,'PROCCESSING '!$CU6)</f>
        <v>984</v>
      </c>
      <c r="DE6">
        <f t="shared" si="11"/>
        <v>989</v>
      </c>
      <c r="DG6">
        <f t="shared" si="22"/>
        <v>1973</v>
      </c>
      <c r="DH6">
        <v>0</v>
      </c>
      <c r="DR6">
        <v>3</v>
      </c>
      <c r="DS6" t="s">
        <v>1</v>
      </c>
      <c r="DT6">
        <f>SUMIFS('COMPARATIVE ANNUAL DATA '!$J$3:$J$50,'COMPARATIVE ANNUAL DATA '!$A$3:$A$50,'PROCCESSING '!DT$3,MONTHS,'PROCCESSING '!$DS6)</f>
        <v>111</v>
      </c>
      <c r="DU6">
        <f>SUMIFS('COMPARATIVE ANNUAL DATA '!$J$3:$J$50,'COMPARATIVE ANNUAL DATA '!$A$3:$A$50,'PROCCESSING '!DU$3,MONTHS,'PROCCESSING '!$DS6)</f>
        <v>115</v>
      </c>
      <c r="DV6">
        <f>SUMIFS('COMPARATIVE ANNUAL DATA '!$J$3:$J$50,'COMPARATIVE ANNUAL DATA '!$A$3:$A$50,'PROCCESSING '!DV$3,MONTHS,'PROCCESSING '!$DS6)</f>
        <v>118</v>
      </c>
      <c r="DW6">
        <f>SUMIFS('COMPARATIVE ANNUAL DATA '!$J$3:$J$50,'COMPARATIVE ANNUAL DATA '!$A$3:$A$50,'PROCCESSING '!DW$3,MONTHS,'PROCCESSING '!$DS6)</f>
        <v>111</v>
      </c>
      <c r="EC6">
        <f>SUMIFS('COMPARATIVE ANNUAL DATA '!$J$3:$J$50,'COMPARATIVE ANNUAL DATA '!$A$3:$A$50,'PROCCESSING '!EC$3,MONTHS,'PROCCESSING '!$DS6)</f>
        <v>111</v>
      </c>
      <c r="ED6">
        <f t="shared" si="12"/>
        <v>118</v>
      </c>
      <c r="EF6">
        <v>200</v>
      </c>
      <c r="EG6" t="e">
        <f t="shared" si="13"/>
        <v>#N/A</v>
      </c>
      <c r="EH6">
        <f>INDEX($DT$4:$DW$15,SCROLL,MATCH($EC$3,$DT$3:$DW$3,2))</f>
        <v>108</v>
      </c>
      <c r="EM6">
        <v>3</v>
      </c>
      <c r="EN6" t="s">
        <v>1</v>
      </c>
      <c r="EO6">
        <f>SUMIFS('COMPARATIVE ANNUAL DATA '!$I$3:$I$50,'COMPARATIVE ANNUAL DATA '!$A$3:$A$50,'PROCCESSING '!EO$3,MONTHS,'PROCCESSING '!$DS6)</f>
        <v>51</v>
      </c>
      <c r="EP6">
        <f>SUMIFS('COMPARATIVE ANNUAL DATA '!$I$3:$I$50,'COMPARATIVE ANNUAL DATA '!$A$3:$A$50,'PROCCESSING '!EP$3,MONTHS,'PROCCESSING '!$DS6)</f>
        <v>55</v>
      </c>
      <c r="EQ6">
        <f>SUMIFS('COMPARATIVE ANNUAL DATA '!$I$3:$I$50,'COMPARATIVE ANNUAL DATA '!$A$3:$A$50,'PROCCESSING '!EQ$3,MONTHS,'PROCCESSING '!$DS6)</f>
        <v>57</v>
      </c>
      <c r="ER6">
        <f>SUMIFS('COMPARATIVE ANNUAL DATA '!$I$3:$I$50,'COMPARATIVE ANNUAL DATA '!$A$3:$A$50,'PROCCESSING '!ER$3,MONTHS,'PROCCESSING '!$DS6)</f>
        <v>53</v>
      </c>
      <c r="EU6">
        <f>SUMIFS('COMPARATIVE ANNUAL DATA '!$I$3:$I$50,'COMPARATIVE ANNUAL DATA '!$A$3:$A$50,'PROCCESSING '!EU$3,MONTHS,'PROCCESSING '!$DS6)</f>
        <v>53</v>
      </c>
      <c r="EV6">
        <f t="shared" si="14"/>
        <v>57</v>
      </c>
      <c r="EX6">
        <f>INDEX($EO$4:$ER$15,SCROLL,MATCH($EU$3,$EO$3:$ER$3,2))</f>
        <v>54</v>
      </c>
      <c r="FD6">
        <v>3</v>
      </c>
      <c r="FE6" t="s">
        <v>1</v>
      </c>
      <c r="FF6" s="5">
        <f>SUMIFS('COMPARATIVE ANNUAL DATA '!$K$3:$K$50,'COMPARATIVE ANNUAL DATA '!$A$3:$A$50,'PROCCESSING '!FF$3,MONTHS,'PROCCESSING '!$DS6)</f>
        <v>0.45945945945945948</v>
      </c>
      <c r="FG6" s="5">
        <f>SUMIFS('COMPARATIVE ANNUAL DATA '!$K$3:$K$50,'COMPARATIVE ANNUAL DATA '!$A$3:$A$50,'PROCCESSING '!FG$3,MONTHS,'PROCCESSING '!$DS6)</f>
        <v>0.47826086956521741</v>
      </c>
      <c r="FH6" s="5">
        <f>SUMIFS('COMPARATIVE ANNUAL DATA '!$K$3:$K$50,'COMPARATIVE ANNUAL DATA '!$A$3:$A$50,'PROCCESSING '!FH$3,MONTHS,'PROCCESSING '!$DS6)</f>
        <v>0.48305084745762711</v>
      </c>
      <c r="FI6" s="5">
        <f>SUMIFS('COMPARATIVE ANNUAL DATA '!$K$3:$K$50,'COMPARATIVE ANNUAL DATA '!$A$3:$A$50,'PROCCESSING '!FI$3,MONTHS,'PROCCESSING '!$DS6)</f>
        <v>0.47747747747747749</v>
      </c>
      <c r="FK6" s="5">
        <f>SUMIFS('COMPARATIVE ANNUAL DATA '!$K$3:$K$50,'COMPARATIVE ANNUAL DATA '!$A$3:$A$50,'PROCCESSING '!FK$3,MONTHS,'PROCCESSING '!$DS6)</f>
        <v>0.47747747747747749</v>
      </c>
      <c r="FL6" s="5">
        <f t="shared" si="15"/>
        <v>0.48305084745762711</v>
      </c>
      <c r="FN6" t="s">
        <v>54</v>
      </c>
      <c r="FQ6">
        <v>3</v>
      </c>
      <c r="FR6" t="s">
        <v>1</v>
      </c>
      <c r="FS6">
        <f>SUMIFS('COMPARATIVE ANNUAL DATA '!$S$3:$S$50,'COMPARATIVE ANNUAL DATA '!$A$3:$A$50,'PROCCESSING '!FS$3,MONTHS,'PROCCESSING '!$DS6)</f>
        <v>2.95</v>
      </c>
      <c r="FT6">
        <f>SUMIFS('COMPARATIVE ANNUAL DATA '!$S$3:$S$50,'COMPARATIVE ANNUAL DATA '!$A$3:$A$50,'PROCCESSING '!FT$3,MONTHS,'PROCCESSING '!$DS6)</f>
        <v>2.46</v>
      </c>
      <c r="FU6">
        <f>SUMIFS('COMPARATIVE ANNUAL DATA '!$S$3:$S$50,'COMPARATIVE ANNUAL DATA '!$A$3:$A$50,'PROCCESSING '!FU$3,MONTHS,'PROCCESSING '!$DS6)</f>
        <v>2.98</v>
      </c>
      <c r="FV6">
        <f>SUMIFS('COMPARATIVE ANNUAL DATA '!$S$3:$S$50,'COMPARATIVE ANNUAL DATA '!$A$3:$A$50,'PROCCESSING '!FV$3,MONTHS,'PROCCESSING '!$DS6)</f>
        <v>2.52</v>
      </c>
      <c r="FX6">
        <f>SUMIFS('COMPARATIVE ANNUAL DATA '!$S$3:$S$50,'COMPARATIVE ANNUAL DATA '!$A$3:$A$50,'PROCCESSING '!FX$3,MONTHS,'PROCCESSING '!$DS6)</f>
        <v>2.52</v>
      </c>
      <c r="FY6" s="24">
        <f t="shared" si="23"/>
        <v>2.98</v>
      </c>
      <c r="GA6">
        <v>5</v>
      </c>
      <c r="GB6" t="e">
        <f t="shared" si="16"/>
        <v>#N/A</v>
      </c>
      <c r="GC6">
        <f>INDEX($FS$4:$FV$15,SCROLL,MATCH(FX3,$FS$3:$FV$3,2))</f>
        <v>2.19</v>
      </c>
      <c r="GG6">
        <v>4</v>
      </c>
      <c r="GH6" t="s">
        <v>2</v>
      </c>
      <c r="GI6" s="1">
        <f>SUMIFS('COMPARATIVE ANNUAL DATA '!$W$3:$W$50,'COMPARATIVE ANNUAL DATA '!$A$3:$A$50,'PROCCESSING '!GI$2,MONTHS,'PROCCESSING '!$GH6)</f>
        <v>18761328.600000005</v>
      </c>
      <c r="GJ6" s="1">
        <f>SUMIFS('COMPARATIVE ANNUAL DATA '!$W$3:$W$50,'COMPARATIVE ANNUAL DATA '!$A$3:$A$50,'PROCCESSING '!GJ$2,MONTHS,'PROCCESSING '!$GH6)</f>
        <v>16254059.590000007</v>
      </c>
      <c r="GK6" s="1">
        <f>SUMIFS('COMPARATIVE ANNUAL DATA '!$W$3:$W$50,'COMPARATIVE ANNUAL DATA '!$A$3:$A$50,'PROCCESSING '!GK$2,MONTHS,'PROCCESSING '!$GH6)</f>
        <v>11901574.199999992</v>
      </c>
      <c r="GL6" s="1">
        <f>SUMIFS('COMPARATIVE ANNUAL DATA '!$W$3:$W$50,'COMPARATIVE ANNUAL DATA '!$A$3:$A$50,'PROCCESSING '!GL$2,MONTHS,'PROCCESSING '!$GH6)</f>
        <v>13057400.98</v>
      </c>
      <c r="GO6" s="1">
        <f>SUMIFS('COMPARATIVE ANNUAL DATA '!$W$3:$W$50,'COMPARATIVE ANNUAL DATA '!$A$3:$A$50,'PROCCESSING '!GO$2,MONTHS,'PROCCESSING '!$GH6)</f>
        <v>13057400.98</v>
      </c>
      <c r="GP6">
        <f t="shared" si="5"/>
        <v>11901574.199999992</v>
      </c>
      <c r="GU6" s="1">
        <v>50000000</v>
      </c>
      <c r="GV6" t="e">
        <f t="shared" si="6"/>
        <v>#N/A</v>
      </c>
      <c r="HE6">
        <v>3</v>
      </c>
      <c r="HF6" t="s">
        <v>1</v>
      </c>
      <c r="HG6" s="1">
        <f>SUMIFS('COMPARATIVE ANNUAL DATA '!$X$3:$X$50,'COMPARATIVE ANNUAL DATA '!$A$3:$A$50,'PROCCESSING '!HG$3,MONTHS,$HF6)</f>
        <v>9774356.849999994</v>
      </c>
      <c r="HH6" s="1">
        <f>SUMIFS('COMPARATIVE ANNUAL DATA '!$X$3:$X$50,'COMPARATIVE ANNUAL DATA '!$A$3:$A$50,'PROCCESSING '!HH$3,MONTHS,$HF6)</f>
        <v>5189006.5</v>
      </c>
      <c r="HI6" s="1">
        <f>SUMIFS('COMPARATIVE ANNUAL DATA '!$X$3:$X$50,'COMPARATIVE ANNUAL DATA '!$A$3:$A$50,'PROCCESSING '!HI$3,MONTHS,$HF6)</f>
        <v>3241666.1084000021</v>
      </c>
      <c r="HJ6" s="1">
        <f>SUMIFS('COMPARATIVE ANNUAL DATA '!$X$3:$X$50,'COMPARATIVE ANNUAL DATA '!$A$3:$A$50,'PROCCESSING '!HJ$3,MONTHS,$HF6)</f>
        <v>11358370.209999995</v>
      </c>
      <c r="HM6" s="1">
        <f>SUMIFS('COMPARATIVE ANNUAL DATA '!$X$3:$X$50,'COMPARATIVE ANNUAL DATA '!$A$3:$A$50,'PROCCESSING '!HM$3,MONTHS,$HF6)</f>
        <v>11358370.209999995</v>
      </c>
      <c r="HN6">
        <f t="shared" si="24"/>
        <v>3241666.1084000021</v>
      </c>
      <c r="HR6" s="1">
        <v>30000000</v>
      </c>
      <c r="HS6" t="e">
        <f t="shared" si="17"/>
        <v>#N/A</v>
      </c>
      <c r="HT6" s="1">
        <f>INDEX($HG$4:$HJ$15,SCROLL,MATCH(HM3,$HG$3:$HJ$3,2))</f>
        <v>11446320.040000001</v>
      </c>
      <c r="HX6">
        <v>3</v>
      </c>
      <c r="HY6" t="s">
        <v>1</v>
      </c>
      <c r="HZ6" s="5">
        <f>SUMIFS('COMPARATIVE ANNUAL DATA '!$Y$3:$Y$50,'COMPARATIVE ANNUAL DATA '!$A$3:$A$50,'PROCCESSING '!HZ$3,MONTHS,$HF6)</f>
        <v>0.3553047182819547</v>
      </c>
      <c r="IA6" s="5">
        <f>SUMIFS('COMPARATIVE ANNUAL DATA '!$Y$3:$Y$50,'COMPARATIVE ANNUAL DATA '!$A$3:$A$50,'PROCCESSING '!IA$3,MONTHS,$HF6)</f>
        <v>0.23556571771906135</v>
      </c>
      <c r="IB6" s="5">
        <f>SUMIFS('COMPARATIVE ANNUAL DATA '!$Y$3:$Y$50,'COMPARATIVE ANNUAL DATA '!$A$3:$A$50,'PROCCESSING '!IB$3,MONTHS,$HF6)</f>
        <v>0.15534745731517818</v>
      </c>
      <c r="IC6" s="5">
        <f>SUMIFS('COMPARATIVE ANNUAL DATA '!$Y$3:$Y$50,'COMPARATIVE ANNUAL DATA '!$A$3:$A$50,'PROCCESSING '!IC$3,MONTHS,$HF6)</f>
        <v>0.4816907001322841</v>
      </c>
      <c r="IE6" s="5">
        <f>SUMIFS('COMPARATIVE ANNUAL DATA '!$Y$3:$Y$50,'COMPARATIVE ANNUAL DATA '!$A$3:$A$50,'PROCCESSING '!IE$3,MONTHS,$HF6)</f>
        <v>0.4816907001322841</v>
      </c>
      <c r="IF6" s="5">
        <f t="shared" si="18"/>
        <v>0.15534745731517818</v>
      </c>
      <c r="IH6" s="4">
        <v>1</v>
      </c>
      <c r="II6" s="5" t="e">
        <f t="shared" si="19"/>
        <v>#N/A</v>
      </c>
      <c r="IJ6" s="5">
        <f>INDEX(HZ4:IC15,SCROLL,MATCH(IE3,$HZ$3:$IC$3,2))</f>
        <v>0.48148849965451163</v>
      </c>
    </row>
    <row r="7" spans="1:244" x14ac:dyDescent="0.25">
      <c r="A7" t="s">
        <v>3</v>
      </c>
      <c r="E7">
        <v>4</v>
      </c>
      <c r="F7" t="s">
        <v>2</v>
      </c>
      <c r="G7">
        <f>SUMIFS(REVENUES,'COMPARATIVE ANNUAL DATA '!$A$3:$A$50,'PROCCESSING '!G$3,MONTHS,'PROCCESSING '!$F7)</f>
        <v>25240093.550000001</v>
      </c>
      <c r="H7">
        <f>SUMIFS(REVENUES,'COMPARATIVE ANNUAL DATA '!$A$3:$A$50,'PROCCESSING '!$H$3,MONTHS,'PROCCESSING '!F7)</f>
        <v>22528368.140000001</v>
      </c>
      <c r="I7">
        <f>SUMIFS(REVENUES,'COMPARATIVE ANNUAL DATA '!$A$3:$A$50,'PROCCESSING '!I$3,MONTHS,'PROCCESSING '!$F7)</f>
        <v>9135631.707799999</v>
      </c>
      <c r="J7">
        <f>SUMIFS(REVENUES,'COMPARATIVE ANNUAL DATA '!$A$3:$A$50,'PROCCESSING '!J$3,MONTHS,'PROCCESSING '!$F7)</f>
        <v>21948589.219999999</v>
      </c>
      <c r="M7">
        <v>4</v>
      </c>
      <c r="N7" t="s">
        <v>2</v>
      </c>
      <c r="O7" s="1">
        <f>SUMIFS(REVENUES,'COMPARATIVE ANNUAL DATA '!$A$3:$A$50,'PROCCESSING '!O$3,MONTHS,'PROCCESSING '!$F7)</f>
        <v>21948589.219999999</v>
      </c>
      <c r="P7" s="1">
        <f t="shared" si="7"/>
        <v>9135631.707799999</v>
      </c>
      <c r="R7" s="1">
        <v>35000000</v>
      </c>
      <c r="T7" t="e">
        <f t="shared" si="8"/>
        <v>#N/A</v>
      </c>
      <c r="U7" s="1">
        <f>INDEX($G$4:$J$15,SCROLL,MATCH($D$1,$G$3:$J$3,2))</f>
        <v>24597121.439999998</v>
      </c>
      <c r="AA7" t="s">
        <v>3</v>
      </c>
      <c r="AB7">
        <f>SUMIFS('COMPARATIVE ANNUAL DATA '!$D$3:$D$50,'COMPARATIVE ANNUAL DATA '!$A$3:$A$50,'PROCCESSING '!$AB$2,MONTHS,'PROCCESSING '!AA7)</f>
        <v>7313720.54</v>
      </c>
      <c r="AC7">
        <f>SUMIFS('COMPARATIVE ANNUAL DATA '!$E$3:$E$50,'COMPARATIVE ANNUAL DATA '!$A$3:$A$50,'PROCCESSING '!$AC$2,MONTHS,'PROCCESSING '!AA7)</f>
        <v>16223818.43</v>
      </c>
      <c r="AD7">
        <f>SUMIFS('COMPARATIVE ANNUAL DATA '!$D$3:$D$50,'COMPARATIVE ANNUAL DATA '!$A$3:$A$50,'PROCCESSING '!$AD$2,MONTHS,'PROCCESSING '!AA7)</f>
        <v>6578542.2800000003</v>
      </c>
      <c r="AE7">
        <f>SUMIFS('COMPARATIVE ANNUAL DATA '!$E$3:$E$50,'COMPARATIVE ANNUAL DATA '!$A$3:$A$50,'PROCCESSING '!$AE$2,MONTHS,'PROCCESSING '!AA7)</f>
        <v>13402660.82</v>
      </c>
      <c r="AF7">
        <f>SUMIFS('COMPARATIVE ANNUAL DATA '!$D$3:$D$50,'COMPARATIVE ANNUAL DATA '!$A$3:$A$50,'PROCCESSING '!$AF$2,MONTHS,'PROCCESSING '!AA7)</f>
        <v>2904764.14</v>
      </c>
      <c r="AG7">
        <f>SUMIFS('COMPARATIVE ANNUAL DATA '!$E$3:$E$50,'COMPARATIVE ANNUAL DATA '!$A$3:$A$50,'PROCCESSING '!$AG$2,MONTHS,'PROCCESSING '!AA7)</f>
        <v>8198227.5044</v>
      </c>
      <c r="AH7">
        <f>SUMIFS('COMPARATIVE ANNUAL DATA '!$D$3:$D$50,'COMPARATIVE ANNUAL DATA '!$A$3:$A$50,'PROCCESSING '!$AH$2,MONTHS,'PROCCESSING '!AA7)</f>
        <v>7739603.5899999999</v>
      </c>
      <c r="AI7">
        <f>SUMIFS('COMPARATIVE ANNUAL DATA '!$E$3:$E$50,'COMPARATIVE ANNUAL DATA '!$A$3:$A$50,'PROCCESSING '!$AI$2,MONTHS,'PROCCESSING '!AA7)</f>
        <v>14619504.949999999</v>
      </c>
      <c r="AK7">
        <v>5</v>
      </c>
      <c r="AL7" t="s">
        <v>3</v>
      </c>
      <c r="AM7">
        <f t="shared" si="9"/>
        <v>7739603.5899999999</v>
      </c>
      <c r="AN7">
        <f t="shared" si="10"/>
        <v>14619504.949999999</v>
      </c>
      <c r="AT7">
        <f t="shared" si="0"/>
        <v>2904764.14</v>
      </c>
      <c r="AU7">
        <f t="shared" si="1"/>
        <v>8198227.5044</v>
      </c>
      <c r="AW7" s="13">
        <v>25000000</v>
      </c>
      <c r="AX7" s="12" t="e">
        <f t="shared" si="2"/>
        <v>#N/A</v>
      </c>
      <c r="AY7" t="s">
        <v>26</v>
      </c>
      <c r="BE7">
        <v>5</v>
      </c>
      <c r="BF7" t="s">
        <v>3</v>
      </c>
      <c r="BG7">
        <f>SUMIFS(TOTPATIENTS,'COMPARATIVE ANNUAL DATA '!$A$3:$A$50,'PROCCESSING '!BG$2,MONTHS,'PROCCESSING '!$BF7)</f>
        <v>22247</v>
      </c>
      <c r="BH7">
        <f>SUMIFS(TOTPATIENTS,'COMPARATIVE ANNUAL DATA '!$A$3:$A$50,'PROCCESSING '!BH$2,MONTHS,'PROCCESSING '!$BF7)</f>
        <v>19139</v>
      </c>
      <c r="BI7">
        <f>SUMIFS(TOTPATIENTS,'COMPARATIVE ANNUAL DATA '!$A$3:$A$50,'PROCCESSING '!BI$2,MONTHS,'PROCCESSING '!$BF7)</f>
        <v>6763</v>
      </c>
      <c r="BJ7">
        <f>SUMIFS(TOTPATIENTS,'COMPARATIVE ANNUAL DATA '!$A$3:$A$50,'PROCCESSING '!BJ$2,MONTHS,'PROCCESSING '!$BF7)</f>
        <v>19570</v>
      </c>
      <c r="BO7">
        <f>SUMIFS(TOTPATIENTS,'COMPARATIVE ANNUAL DATA '!$A$3:$A$50,'PROCCESSING '!BO$2,MONTHS,'PROCCESSING '!$BF7)</f>
        <v>19570</v>
      </c>
      <c r="BP7">
        <f t="shared" si="3"/>
        <v>6763</v>
      </c>
      <c r="BR7">
        <v>35000</v>
      </c>
      <c r="BT7" t="e">
        <f t="shared" si="4"/>
        <v>#N/A</v>
      </c>
      <c r="BU7">
        <f>SCROLL</f>
        <v>8</v>
      </c>
      <c r="CA7">
        <v>3</v>
      </c>
      <c r="CB7" t="s">
        <v>1</v>
      </c>
      <c r="CC7" s="5">
        <f>SUMIFS(BEDOCCUPANCY,'COMPARATIVE ANNUAL DATA '!$A$3:$A$50,'PROCCESSING '!CC$4,MONTHS,'PROCCESSING '!$CB7)</f>
        <v>1.04</v>
      </c>
      <c r="CD7" s="5">
        <f>SUMIFS(BEDOCCUPANCY,'COMPARATIVE ANNUAL DATA '!$A$3:$A$50,'PROCCESSING '!CD$4,MONTHS,'PROCCESSING '!$CB7)</f>
        <v>0.84</v>
      </c>
      <c r="CE7" s="5">
        <f>SUMIFS(BEDOCCUPANCY,'COMPARATIVE ANNUAL DATA '!$A$3:$A$50,'PROCCESSING '!CE$4,MONTHS,'PROCCESSING '!$CB7)</f>
        <v>0.9</v>
      </c>
      <c r="CF7" s="5">
        <f>SUMIFS(BEDOCCUPANCY,'COMPARATIVE ANNUAL DATA '!$A$3:$A$50,'PROCCESSING '!CF$4,MONTHS,'PROCCESSING '!$CB7)</f>
        <v>0.71</v>
      </c>
      <c r="CJ7" s="5">
        <f>SUMIFS(BEDOCCUPANCY,'COMPARATIVE ANNUAL DATA '!$A$3:$A$50,'PROCCESSING '!CJ$4,MONTHS,'PROCCESSING '!$CB7)</f>
        <v>0.71</v>
      </c>
      <c r="CK7" s="5">
        <f t="shared" si="20"/>
        <v>0.9</v>
      </c>
      <c r="CM7" s="4">
        <v>1.2</v>
      </c>
      <c r="CN7" s="5" t="e">
        <f t="shared" si="21"/>
        <v>#N/A</v>
      </c>
      <c r="CO7" s="11">
        <f>INDEX($CC$5:$CF$16,SCROLL,MATCH($CJ$4,$CC$4:$CF$4,2))</f>
        <v>0.92</v>
      </c>
      <c r="CT7">
        <v>4</v>
      </c>
      <c r="CU7" t="s">
        <v>2</v>
      </c>
      <c r="CV7">
        <f>SUMIFS(TOTADMISSIONS,'COMPARATIVE ANNUAL DATA '!$A$3:$A$50,'PROCCESSING '!CV$3,MONTHS,'PROCCESSING '!$CU7)</f>
        <v>1216</v>
      </c>
      <c r="CW7">
        <f>SUMIFS(TOTADMISSIONS,'COMPARATIVE ANNUAL DATA '!$A$3:$A$50,'PROCCESSING '!CW$3,MONTHS,'PROCCESSING '!$CU7)</f>
        <v>1202</v>
      </c>
      <c r="CX7">
        <f>SUMIFS(TOTADMISSIONS,'COMPARATIVE ANNUAL DATA '!$A$3:$A$50,'PROCCESSING '!CX$3,MONTHS,'PROCCESSING '!$CU7)</f>
        <v>410</v>
      </c>
      <c r="CY7">
        <f>SUMIFS(TOTADMISSIONS,'COMPARATIVE ANNUAL DATA '!$A$3:$A$50,'PROCCESSING '!CY$3,MONTHS,'PROCCESSING '!$CU7)</f>
        <v>888</v>
      </c>
      <c r="DD7">
        <f>SUMIFS(TOTADMISSIONS,'COMPARATIVE ANNUAL DATA '!$A$3:$A$50,'PROCCESSING '!DD$3,MONTHS,'PROCCESSING '!$CU7)</f>
        <v>888</v>
      </c>
      <c r="DE7">
        <f t="shared" si="11"/>
        <v>410</v>
      </c>
      <c r="DG7">
        <f t="shared" si="22"/>
        <v>1298</v>
      </c>
      <c r="DH7">
        <v>0</v>
      </c>
      <c r="DR7">
        <v>4</v>
      </c>
      <c r="DS7" t="s">
        <v>2</v>
      </c>
      <c r="DT7">
        <f>SUMIFS('COMPARATIVE ANNUAL DATA '!$J$3:$J$50,'COMPARATIVE ANNUAL DATA '!$A$3:$A$50,'PROCCESSING '!DT$3,MONTHS,'PROCCESSING '!$DS7)</f>
        <v>111</v>
      </c>
      <c r="DU7">
        <f>SUMIFS('COMPARATIVE ANNUAL DATA '!$J$3:$J$50,'COMPARATIVE ANNUAL DATA '!$A$3:$A$50,'PROCCESSING '!DU$3,MONTHS,'PROCCESSING '!$DS7)</f>
        <v>121</v>
      </c>
      <c r="DV7">
        <f>SUMIFS('COMPARATIVE ANNUAL DATA '!$J$3:$J$50,'COMPARATIVE ANNUAL DATA '!$A$3:$A$50,'PROCCESSING '!DV$3,MONTHS,'PROCCESSING '!$DS7)</f>
        <v>130</v>
      </c>
      <c r="DW7">
        <f>SUMIFS('COMPARATIVE ANNUAL DATA '!$J$3:$J$50,'COMPARATIVE ANNUAL DATA '!$A$3:$A$50,'PROCCESSING '!DW$3,MONTHS,'PROCCESSING '!$DS7)</f>
        <v>113</v>
      </c>
      <c r="EC7">
        <f>SUMIFS('COMPARATIVE ANNUAL DATA '!$J$3:$J$50,'COMPARATIVE ANNUAL DATA '!$A$3:$A$50,'PROCCESSING '!EC$3,MONTHS,'PROCCESSING '!$DS7)</f>
        <v>113</v>
      </c>
      <c r="ED7">
        <f t="shared" si="12"/>
        <v>130</v>
      </c>
      <c r="EF7">
        <v>200</v>
      </c>
      <c r="EG7" t="e">
        <f t="shared" si="13"/>
        <v>#N/A</v>
      </c>
      <c r="EH7" t="s">
        <v>25</v>
      </c>
      <c r="EM7">
        <v>4</v>
      </c>
      <c r="EN7" t="s">
        <v>2</v>
      </c>
      <c r="EO7">
        <f>SUMIFS('COMPARATIVE ANNUAL DATA '!$I$3:$I$50,'COMPARATIVE ANNUAL DATA '!$A$3:$A$50,'PROCCESSING '!EO$3,MONTHS,'PROCCESSING '!$DS7)</f>
        <v>50</v>
      </c>
      <c r="EP7">
        <f>SUMIFS('COMPARATIVE ANNUAL DATA '!$I$3:$I$50,'COMPARATIVE ANNUAL DATA '!$A$3:$A$50,'PROCCESSING '!EP$3,MONTHS,'PROCCESSING '!$DS7)</f>
        <v>59</v>
      </c>
      <c r="EQ7">
        <f>SUMIFS('COMPARATIVE ANNUAL DATA '!$I$3:$I$50,'COMPARATIVE ANNUAL DATA '!$A$3:$A$50,'PROCCESSING '!EQ$3,MONTHS,'PROCCESSING '!$DS7)</f>
        <v>46</v>
      </c>
      <c r="ER7">
        <f>SUMIFS('COMPARATIVE ANNUAL DATA '!$I$3:$I$50,'COMPARATIVE ANNUAL DATA '!$A$3:$A$50,'PROCCESSING '!ER$3,MONTHS,'PROCCESSING '!$DS7)</f>
        <v>54</v>
      </c>
      <c r="EU7">
        <f>SUMIFS('COMPARATIVE ANNUAL DATA '!$I$3:$I$50,'COMPARATIVE ANNUAL DATA '!$A$3:$A$50,'PROCCESSING '!EU$3,MONTHS,'PROCCESSING '!$DS7)</f>
        <v>54</v>
      </c>
      <c r="EV7">
        <f t="shared" si="14"/>
        <v>46</v>
      </c>
      <c r="EX7" t="s">
        <v>41</v>
      </c>
      <c r="FD7">
        <v>4</v>
      </c>
      <c r="FE7" t="s">
        <v>2</v>
      </c>
      <c r="FF7" s="5">
        <f>SUMIFS('COMPARATIVE ANNUAL DATA '!$K$3:$K$50,'COMPARATIVE ANNUAL DATA '!$A$3:$A$50,'PROCCESSING '!FF$3,MONTHS,'PROCCESSING '!$DS7)</f>
        <v>0.45045045045045046</v>
      </c>
      <c r="FG7" s="5">
        <f>SUMIFS('COMPARATIVE ANNUAL DATA '!$K$3:$K$50,'COMPARATIVE ANNUAL DATA '!$A$3:$A$50,'PROCCESSING '!FG$3,MONTHS,'PROCCESSING '!$DS7)</f>
        <v>0.48760330578512395</v>
      </c>
      <c r="FH7" s="5">
        <f>SUMIFS('COMPARATIVE ANNUAL DATA '!$K$3:$K$50,'COMPARATIVE ANNUAL DATA '!$A$3:$A$50,'PROCCESSING '!FH$3,MONTHS,'PROCCESSING '!$DS7)</f>
        <v>0.35384615384615387</v>
      </c>
      <c r="FI7" s="5">
        <f>SUMIFS('COMPARATIVE ANNUAL DATA '!$K$3:$K$50,'COMPARATIVE ANNUAL DATA '!$A$3:$A$50,'PROCCESSING '!FI$3,MONTHS,'PROCCESSING '!$DS7)</f>
        <v>0.47787610619469029</v>
      </c>
      <c r="FK7" s="5">
        <f>SUMIFS('COMPARATIVE ANNUAL DATA '!$K$3:$K$50,'COMPARATIVE ANNUAL DATA '!$A$3:$A$50,'PROCCESSING '!FK$3,MONTHS,'PROCCESSING '!$DS7)</f>
        <v>0.47787610619469029</v>
      </c>
      <c r="FL7" s="5">
        <f t="shared" si="15"/>
        <v>0.35384615384615387</v>
      </c>
      <c r="FN7">
        <f>SCROLL</f>
        <v>8</v>
      </c>
      <c r="FQ7">
        <v>4</v>
      </c>
      <c r="FR7" t="s">
        <v>2</v>
      </c>
      <c r="FS7">
        <f>SUMIFS('COMPARATIVE ANNUAL DATA '!$S$3:$S$50,'COMPARATIVE ANNUAL DATA '!$A$3:$A$50,'PROCCESSING '!FS$3,MONTHS,'PROCCESSING '!$DS7)</f>
        <v>2.86</v>
      </c>
      <c r="FT7">
        <f>SUMIFS('COMPARATIVE ANNUAL DATA '!$S$3:$S$50,'COMPARATIVE ANNUAL DATA '!$A$3:$A$50,'PROCCESSING '!FT$3,MONTHS,'PROCCESSING '!$DS7)</f>
        <v>2.37</v>
      </c>
      <c r="FU7">
        <f>SUMIFS('COMPARATIVE ANNUAL DATA '!$S$3:$S$50,'COMPARATIVE ANNUAL DATA '!$A$3:$A$50,'PROCCESSING '!FU$3,MONTHS,'PROCCESSING '!$DS7)</f>
        <v>3.66</v>
      </c>
      <c r="FV7">
        <f>SUMIFS('COMPARATIVE ANNUAL DATA '!$S$3:$S$50,'COMPARATIVE ANNUAL DATA '!$A$3:$A$50,'PROCCESSING '!FV$3,MONTHS,'PROCCESSING '!$DS7)</f>
        <v>2.79</v>
      </c>
      <c r="FX7">
        <f>SUMIFS('COMPARATIVE ANNUAL DATA '!$S$3:$S$50,'COMPARATIVE ANNUAL DATA '!$A$3:$A$50,'PROCCESSING '!FX$3,MONTHS,'PROCCESSING '!$DS7)</f>
        <v>2.79</v>
      </c>
      <c r="FY7" s="24">
        <f t="shared" si="23"/>
        <v>3.66</v>
      </c>
      <c r="GA7">
        <v>5</v>
      </c>
      <c r="GB7" t="e">
        <f t="shared" si="16"/>
        <v>#N/A</v>
      </c>
      <c r="GC7" t="s">
        <v>25</v>
      </c>
      <c r="GG7">
        <v>5</v>
      </c>
      <c r="GH7" t="s">
        <v>3</v>
      </c>
      <c r="GI7" s="1">
        <f>SUMIFS('COMPARATIVE ANNUAL DATA '!$W$3:$W$50,'COMPARATIVE ANNUAL DATA '!$A$3:$A$50,'PROCCESSING '!GI$2,MONTHS,'PROCCESSING '!$GH7)</f>
        <v>16878017.560000006</v>
      </c>
      <c r="GJ7" s="1">
        <f>SUMIFS('COMPARATIVE ANNUAL DATA '!$W$3:$W$50,'COMPARATIVE ANNUAL DATA '!$A$3:$A$50,'PROCCESSING '!GJ$2,MONTHS,'PROCCESSING '!$GH7)</f>
        <v>16633424.83</v>
      </c>
      <c r="GK7" s="1">
        <f>SUMIFS('COMPARATIVE ANNUAL DATA '!$W$3:$W$50,'COMPARATIVE ANNUAL DATA '!$A$3:$A$50,'PROCCESSING '!GK$2,MONTHS,'PROCCESSING '!$GH7)</f>
        <v>17384654.429999992</v>
      </c>
      <c r="GL7" s="1">
        <f>SUMIFS('COMPARATIVE ANNUAL DATA '!$W$3:$W$50,'COMPARATIVE ANNUAL DATA '!$A$3:$A$50,'PROCCESSING '!GL$2,MONTHS,'PROCCESSING '!$GH7)</f>
        <v>10870821.07</v>
      </c>
      <c r="GO7" s="1">
        <f>SUMIFS('COMPARATIVE ANNUAL DATA '!$W$3:$W$50,'COMPARATIVE ANNUAL DATA '!$A$3:$A$50,'PROCCESSING '!GO$2,MONTHS,'PROCCESSING '!$GH7)</f>
        <v>10870821.07</v>
      </c>
      <c r="GP7">
        <f t="shared" si="5"/>
        <v>17384654.429999992</v>
      </c>
      <c r="GU7" s="1">
        <v>50000000</v>
      </c>
      <c r="GV7" t="e">
        <f t="shared" si="6"/>
        <v>#N/A</v>
      </c>
      <c r="GW7" t="s">
        <v>25</v>
      </c>
      <c r="HE7">
        <v>4</v>
      </c>
      <c r="HF7" t="s">
        <v>2</v>
      </c>
      <c r="HG7" s="1">
        <f>SUMIFS('COMPARATIVE ANNUAL DATA '!$X$3:$X$50,'COMPARATIVE ANNUAL DATA '!$A$3:$A$50,'PROCCESSING '!HG$3,MONTHS,$HF7)</f>
        <v>6478764.9499999955</v>
      </c>
      <c r="HH7" s="1">
        <f>SUMIFS('COMPARATIVE ANNUAL DATA '!$X$3:$X$50,'COMPARATIVE ANNUAL DATA '!$A$3:$A$50,'PROCCESSING '!HH$3,MONTHS,$HF7)</f>
        <v>6274308.5499999933</v>
      </c>
      <c r="HI7" s="1">
        <f>SUMIFS('COMPARATIVE ANNUAL DATA '!$X$3:$X$50,'COMPARATIVE ANNUAL DATA '!$A$3:$A$50,'PROCCESSING '!HI$3,MONTHS,$HF7)</f>
        <v>-2765942.4921999928</v>
      </c>
      <c r="HJ7" s="1">
        <f>SUMIFS('COMPARATIVE ANNUAL DATA '!$X$3:$X$50,'COMPARATIVE ANNUAL DATA '!$A$3:$A$50,'PROCCESSING '!HJ$3,MONTHS,$HF7)</f>
        <v>8891188.2399999984</v>
      </c>
      <c r="HM7" s="1">
        <f>SUMIFS('COMPARATIVE ANNUAL DATA '!$X$3:$X$50,'COMPARATIVE ANNUAL DATA '!$A$3:$A$50,'PROCCESSING '!HM$3,MONTHS,$HF7)</f>
        <v>8891188.2399999984</v>
      </c>
      <c r="HN7">
        <f t="shared" si="24"/>
        <v>-2765942.4921999928</v>
      </c>
      <c r="HR7" s="1">
        <v>30000000</v>
      </c>
      <c r="HS7" t="e">
        <f t="shared" si="17"/>
        <v>#N/A</v>
      </c>
      <c r="HT7" t="s">
        <v>25</v>
      </c>
      <c r="HX7">
        <v>4</v>
      </c>
      <c r="HY7" t="s">
        <v>2</v>
      </c>
      <c r="HZ7" s="5">
        <f>SUMIFS('COMPARATIVE ANNUAL DATA '!$Y$3:$Y$50,'COMPARATIVE ANNUAL DATA '!$A$3:$A$50,'PROCCESSING '!HZ$3,MONTHS,$HF7)</f>
        <v>0.25668545709490825</v>
      </c>
      <c r="IA7" s="5">
        <f>SUMIFS('COMPARATIVE ANNUAL DATA '!$Y$3:$Y$50,'COMPARATIVE ANNUAL DATA '!$A$3:$A$50,'PROCCESSING '!IA$3,MONTHS,$HF7)</f>
        <v>0.27850701440108805</v>
      </c>
      <c r="IB7" s="5">
        <f>SUMIFS('COMPARATIVE ANNUAL DATA '!$Y$3:$Y$50,'COMPARATIVE ANNUAL DATA '!$A$3:$A$50,'PROCCESSING '!IB$3,MONTHS,$HF7)</f>
        <v>-0.30276422919264928</v>
      </c>
      <c r="IC7" s="5">
        <f>SUMIFS('COMPARATIVE ANNUAL DATA '!$Y$3:$Y$50,'COMPARATIVE ANNUAL DATA '!$A$3:$A$50,'PROCCESSING '!IC$3,MONTHS,$HF7)</f>
        <v>0.40509155968430843</v>
      </c>
      <c r="IE7" s="5">
        <f>SUMIFS('COMPARATIVE ANNUAL DATA '!$Y$3:$Y$50,'COMPARATIVE ANNUAL DATA '!$A$3:$A$50,'PROCCESSING '!IE$3,MONTHS,$HF7)</f>
        <v>0.40509155968430843</v>
      </c>
      <c r="IF7" s="5">
        <f t="shared" si="18"/>
        <v>-0.30276422919264928</v>
      </c>
      <c r="IH7" s="4">
        <v>1</v>
      </c>
      <c r="II7" s="5" t="e">
        <f t="shared" si="19"/>
        <v>#N/A</v>
      </c>
      <c r="IJ7" t="s">
        <v>25</v>
      </c>
    </row>
    <row r="8" spans="1:244" x14ac:dyDescent="0.25">
      <c r="A8" t="s">
        <v>4</v>
      </c>
      <c r="E8">
        <v>5</v>
      </c>
      <c r="F8" t="s">
        <v>3</v>
      </c>
      <c r="G8">
        <f>SUMIFS(REVENUES,'COMPARATIVE ANNUAL DATA '!$A$3:$A$50,'PROCCESSING '!G$3,MONTHS,'PROCCESSING '!$F8)</f>
        <v>23537538.969999999</v>
      </c>
      <c r="H8">
        <f>SUMIFS(REVENUES,'COMPARATIVE ANNUAL DATA '!$A$3:$A$50,'PROCCESSING '!$H$3,MONTHS,'PROCCESSING '!F8)</f>
        <v>19981203.100000001</v>
      </c>
      <c r="I8">
        <f>SUMIFS(REVENUES,'COMPARATIVE ANNUAL DATA '!$A$3:$A$50,'PROCCESSING '!I$3,MONTHS,'PROCCESSING '!$F8)</f>
        <v>11102991.644400001</v>
      </c>
      <c r="J8">
        <f>SUMIFS(REVENUES,'COMPARATIVE ANNUAL DATA '!$A$3:$A$50,'PROCCESSING '!J$3,MONTHS,'PROCCESSING '!$F8)</f>
        <v>22359108.539999999</v>
      </c>
      <c r="M8">
        <v>5</v>
      </c>
      <c r="N8" t="s">
        <v>3</v>
      </c>
      <c r="O8" s="1">
        <f>SUMIFS(REVENUES,'COMPARATIVE ANNUAL DATA '!$A$3:$A$50,'PROCCESSING '!O$3,MONTHS,'PROCCESSING '!$F8)</f>
        <v>22359108.539999999</v>
      </c>
      <c r="P8" s="1">
        <f t="shared" si="7"/>
        <v>11102991.644400001</v>
      </c>
      <c r="R8" s="1">
        <v>35000000</v>
      </c>
      <c r="T8" t="e">
        <f t="shared" si="8"/>
        <v>#N/A</v>
      </c>
      <c r="AA8" t="s">
        <v>4</v>
      </c>
      <c r="AB8">
        <f>SUMIFS('COMPARATIVE ANNUAL DATA '!$D$3:$D$50,'COMPARATIVE ANNUAL DATA '!$A$3:$A$50,'PROCCESSING '!$AB$2,MONTHS,'PROCCESSING '!AA8)</f>
        <v>5933142.9900000002</v>
      </c>
      <c r="AC8">
        <f>SUMIFS('COMPARATIVE ANNUAL DATA '!$E$3:$E$50,'COMPARATIVE ANNUAL DATA '!$A$3:$A$50,'PROCCESSING '!$AC$2,MONTHS,'PROCCESSING '!AA8)</f>
        <v>9850413.8399999999</v>
      </c>
      <c r="AD8">
        <f>SUMIFS('COMPARATIVE ANNUAL DATA '!$D$3:$D$50,'COMPARATIVE ANNUAL DATA '!$A$3:$A$50,'PROCCESSING '!$AD$2,MONTHS,'PROCCESSING '!AA8)</f>
        <v>7432017.21</v>
      </c>
      <c r="AE8">
        <f>SUMIFS('COMPARATIVE ANNUAL DATA '!$E$3:$E$50,'COMPARATIVE ANNUAL DATA '!$A$3:$A$50,'PROCCESSING '!$AE$2,MONTHS,'PROCCESSING '!AA8)</f>
        <v>13904385.68</v>
      </c>
      <c r="AF8">
        <f>SUMIFS('COMPARATIVE ANNUAL DATA '!$D$3:$D$50,'COMPARATIVE ANNUAL DATA '!$A$3:$A$50,'PROCCESSING '!$AF$2,MONTHS,'PROCCESSING '!AA8)</f>
        <v>7321944.8499999996</v>
      </c>
      <c r="AG8">
        <f>SUMIFS('COMPARATIVE ANNUAL DATA '!$E$3:$E$50,'COMPARATIVE ANNUAL DATA '!$A$3:$A$50,'PROCCESSING '!$AG$2,MONTHS,'PROCCESSING '!AA8)</f>
        <v>19247465.990800001</v>
      </c>
      <c r="AH8">
        <f>SUMIFS('COMPARATIVE ANNUAL DATA '!$D$3:$D$50,'COMPARATIVE ANNUAL DATA '!$A$3:$A$50,'PROCCESSING '!$AH$2,MONTHS,'PROCCESSING '!AA8)</f>
        <v>11344998.869999999</v>
      </c>
      <c r="AI8">
        <f>SUMIFS('COMPARATIVE ANNUAL DATA '!$E$3:$E$50,'COMPARATIVE ANNUAL DATA '!$A$3:$A$50,'PROCCESSING '!$AI$2,MONTHS,'PROCCESSING '!AA8)</f>
        <v>20118668.899999999</v>
      </c>
      <c r="AK8">
        <v>6</v>
      </c>
      <c r="AL8" t="s">
        <v>4</v>
      </c>
      <c r="AM8">
        <f t="shared" si="9"/>
        <v>11344998.869999999</v>
      </c>
      <c r="AN8">
        <f t="shared" si="10"/>
        <v>20118668.899999999</v>
      </c>
      <c r="AT8">
        <f t="shared" si="0"/>
        <v>7321944.8499999996</v>
      </c>
      <c r="AU8">
        <f t="shared" si="1"/>
        <v>19247465.990800001</v>
      </c>
      <c r="AW8" s="13">
        <v>25000000</v>
      </c>
      <c r="AX8" s="12" t="e">
        <f t="shared" si="2"/>
        <v>#N/A</v>
      </c>
      <c r="AY8">
        <f>INDEX(AN3:AN14,SCROLL)</f>
        <v>13343313.979999999</v>
      </c>
      <c r="BE8">
        <v>6</v>
      </c>
      <c r="BF8" t="s">
        <v>4</v>
      </c>
      <c r="BG8">
        <f>SUMIFS(TOTPATIENTS,'COMPARATIVE ANNUAL DATA '!$A$3:$A$50,'PROCCESSING '!BG$2,MONTHS,'PROCCESSING '!$BF8)</f>
        <v>19758</v>
      </c>
      <c r="BH8">
        <f>SUMIFS(TOTPATIENTS,'COMPARATIVE ANNUAL DATA '!$A$3:$A$50,'PROCCESSING '!BH$2,MONTHS,'PROCCESSING '!$BF8)</f>
        <v>21852</v>
      </c>
      <c r="BI8">
        <f>SUMIFS(TOTPATIENTS,'COMPARATIVE ANNUAL DATA '!$A$3:$A$50,'PROCCESSING '!BI$2,MONTHS,'PROCCESSING '!$BF8)</f>
        <v>16407</v>
      </c>
      <c r="BJ8">
        <f>SUMIFS(TOTPATIENTS,'COMPARATIVE ANNUAL DATA '!$A$3:$A$50,'PROCCESSING '!BJ$2,MONTHS,'PROCCESSING '!$BF8)</f>
        <v>25966</v>
      </c>
      <c r="BO8">
        <f>SUMIFS(TOTPATIENTS,'COMPARATIVE ANNUAL DATA '!$A$3:$A$50,'PROCCESSING '!BO$2,MONTHS,'PROCCESSING '!$BF8)</f>
        <v>25966</v>
      </c>
      <c r="BP8">
        <f t="shared" si="3"/>
        <v>16407</v>
      </c>
      <c r="BR8">
        <v>35000</v>
      </c>
      <c r="BT8" t="e">
        <f t="shared" si="4"/>
        <v>#N/A</v>
      </c>
      <c r="BU8" t="s">
        <v>26</v>
      </c>
      <c r="CA8">
        <v>4</v>
      </c>
      <c r="CB8" t="s">
        <v>2</v>
      </c>
      <c r="CC8" s="5">
        <f>SUMIFS(BEDOCCUPANCY,'COMPARATIVE ANNUAL DATA '!$A$3:$A$50,'PROCCESSING '!CC$4,MONTHS,'PROCCESSING '!$CB8)</f>
        <v>1.06</v>
      </c>
      <c r="CD8" s="5">
        <f>SUMIFS(BEDOCCUPANCY,'COMPARATIVE ANNUAL DATA '!$A$3:$A$50,'PROCCESSING '!CD$4,MONTHS,'PROCCESSING '!$CB8)</f>
        <v>0.88</v>
      </c>
      <c r="CE8" s="5">
        <f>SUMIFS(BEDOCCUPANCY,'COMPARATIVE ANNUAL DATA '!$A$3:$A$50,'PROCCESSING '!CE$4,MONTHS,'PROCCESSING '!$CB8)</f>
        <v>0.63</v>
      </c>
      <c r="CF8" s="5">
        <f>SUMIFS(BEDOCCUPANCY,'COMPARATIVE ANNUAL DATA '!$A$3:$A$50,'PROCCESSING '!CF$4,MONTHS,'PROCCESSING '!$CB8)</f>
        <v>0.74</v>
      </c>
      <c r="CJ8" s="5">
        <f>SUMIFS(BEDOCCUPANCY,'COMPARATIVE ANNUAL DATA '!$A$3:$A$50,'PROCCESSING '!CJ$4,MONTHS,'PROCCESSING '!$CB8)</f>
        <v>0.74</v>
      </c>
      <c r="CK8" s="5">
        <f t="shared" si="20"/>
        <v>0.63</v>
      </c>
      <c r="CM8" s="4">
        <v>1.2</v>
      </c>
      <c r="CN8" s="5" t="e">
        <f t="shared" si="21"/>
        <v>#N/A</v>
      </c>
      <c r="CO8" s="2" t="s">
        <v>25</v>
      </c>
      <c r="CT8">
        <v>5</v>
      </c>
      <c r="CU8" t="s">
        <v>3</v>
      </c>
      <c r="CV8">
        <f>SUMIFS(TOTADMISSIONS,'COMPARATIVE ANNUAL DATA '!$A$3:$A$50,'PROCCESSING '!CV$3,MONTHS,'PROCCESSING '!$CU8)</f>
        <v>1138</v>
      </c>
      <c r="CW8">
        <f>SUMIFS(TOTADMISSIONS,'COMPARATIVE ANNUAL DATA '!$A$3:$A$50,'PROCCESSING '!CW$3,MONTHS,'PROCCESSING '!$CU8)</f>
        <v>1025</v>
      </c>
      <c r="CX8">
        <f>SUMIFS(TOTADMISSIONS,'COMPARATIVE ANNUAL DATA '!$A$3:$A$50,'PROCCESSING '!CX$3,MONTHS,'PROCCESSING '!$CU8)</f>
        <v>514</v>
      </c>
      <c r="CY8">
        <f>SUMIFS(TOTADMISSIONS,'COMPARATIVE ANNUAL DATA '!$A$3:$A$50,'PROCCESSING '!CY$3,MONTHS,'PROCCESSING '!$CU8)</f>
        <v>873</v>
      </c>
      <c r="DD8">
        <f>SUMIFS(TOTADMISSIONS,'COMPARATIVE ANNUAL DATA '!$A$3:$A$50,'PROCCESSING '!DD$3,MONTHS,'PROCCESSING '!$CU8)</f>
        <v>873</v>
      </c>
      <c r="DE8">
        <f t="shared" si="11"/>
        <v>514</v>
      </c>
      <c r="DG8">
        <f t="shared" si="22"/>
        <v>1387</v>
      </c>
      <c r="DH8">
        <v>0</v>
      </c>
      <c r="DR8">
        <v>5</v>
      </c>
      <c r="DS8" t="s">
        <v>3</v>
      </c>
      <c r="DT8">
        <f>SUMIFS('COMPARATIVE ANNUAL DATA '!$J$3:$J$50,'COMPARATIVE ANNUAL DATA '!$A$3:$A$50,'PROCCESSING '!DT$3,MONTHS,'PROCCESSING '!$DS8)</f>
        <v>111</v>
      </c>
      <c r="DU8">
        <f>SUMIFS('COMPARATIVE ANNUAL DATA '!$J$3:$J$50,'COMPARATIVE ANNUAL DATA '!$A$3:$A$50,'PROCCESSING '!DU$3,MONTHS,'PROCCESSING '!$DS8)</f>
        <v>121</v>
      </c>
      <c r="DV8">
        <f>SUMIFS('COMPARATIVE ANNUAL DATA '!$J$3:$J$50,'COMPARATIVE ANNUAL DATA '!$A$3:$A$50,'PROCCESSING '!DV$3,MONTHS,'PROCCESSING '!$DS8)</f>
        <v>125</v>
      </c>
      <c r="DW8">
        <f>SUMIFS('COMPARATIVE ANNUAL DATA '!$J$3:$J$50,'COMPARATIVE ANNUAL DATA '!$A$3:$A$50,'PROCCESSING '!DW$3,MONTHS,'PROCCESSING '!$DS8)</f>
        <v>108</v>
      </c>
      <c r="EC8">
        <f>SUMIFS('COMPARATIVE ANNUAL DATA '!$J$3:$J$50,'COMPARATIVE ANNUAL DATA '!$A$3:$A$50,'PROCCESSING '!EC$3,MONTHS,'PROCCESSING '!$DS8)</f>
        <v>108</v>
      </c>
      <c r="ED8">
        <f t="shared" si="12"/>
        <v>125</v>
      </c>
      <c r="EF8">
        <v>200</v>
      </c>
      <c r="EG8" t="e">
        <f t="shared" si="13"/>
        <v>#N/A</v>
      </c>
      <c r="EH8">
        <f>SCROLL</f>
        <v>8</v>
      </c>
      <c r="EM8">
        <v>5</v>
      </c>
      <c r="EN8" t="s">
        <v>3</v>
      </c>
      <c r="EO8">
        <f>SUMIFS('COMPARATIVE ANNUAL DATA '!$I$3:$I$50,'COMPARATIVE ANNUAL DATA '!$A$3:$A$50,'PROCCESSING '!EO$3,MONTHS,'PROCCESSING '!$DS8)</f>
        <v>50</v>
      </c>
      <c r="EP8">
        <f>SUMIFS('COMPARATIVE ANNUAL DATA '!$I$3:$I$50,'COMPARATIVE ANNUAL DATA '!$A$3:$A$50,'PROCCESSING '!EP$3,MONTHS,'PROCCESSING '!$DS8)</f>
        <v>57</v>
      </c>
      <c r="EQ8">
        <f>SUMIFS('COMPARATIVE ANNUAL DATA '!$I$3:$I$50,'COMPARATIVE ANNUAL DATA '!$A$3:$A$50,'PROCCESSING '!EQ$3,MONTHS,'PROCCESSING '!$DS8)</f>
        <v>49</v>
      </c>
      <c r="ER8">
        <f>SUMIFS('COMPARATIVE ANNUAL DATA '!$I$3:$I$50,'COMPARATIVE ANNUAL DATA '!$A$3:$A$50,'PROCCESSING '!ER$3,MONTHS,'PROCCESSING '!$DS8)</f>
        <v>53</v>
      </c>
      <c r="EU8">
        <f>SUMIFS('COMPARATIVE ANNUAL DATA '!$I$3:$I$50,'COMPARATIVE ANNUAL DATA '!$A$3:$A$50,'PROCCESSING '!EU$3,MONTHS,'PROCCESSING '!$DS8)</f>
        <v>53</v>
      </c>
      <c r="EV8">
        <f t="shared" si="14"/>
        <v>49</v>
      </c>
      <c r="EX8">
        <f>SCROLL</f>
        <v>8</v>
      </c>
      <c r="FD8">
        <v>5</v>
      </c>
      <c r="FE8" t="s">
        <v>3</v>
      </c>
      <c r="FF8" s="5">
        <f>SUMIFS('COMPARATIVE ANNUAL DATA '!$K$3:$K$50,'COMPARATIVE ANNUAL DATA '!$A$3:$A$50,'PROCCESSING '!FF$3,MONTHS,'PROCCESSING '!$DS8)</f>
        <v>0.45045045045045046</v>
      </c>
      <c r="FG8" s="5">
        <f>SUMIFS('COMPARATIVE ANNUAL DATA '!$K$3:$K$50,'COMPARATIVE ANNUAL DATA '!$A$3:$A$50,'PROCCESSING '!FG$3,MONTHS,'PROCCESSING '!$DS8)</f>
        <v>0.47107438016528924</v>
      </c>
      <c r="FH8" s="5">
        <f>SUMIFS('COMPARATIVE ANNUAL DATA '!$K$3:$K$50,'COMPARATIVE ANNUAL DATA '!$A$3:$A$50,'PROCCESSING '!FH$3,MONTHS,'PROCCESSING '!$DS8)</f>
        <v>0.39200000000000002</v>
      </c>
      <c r="FI8" s="5">
        <f>SUMIFS('COMPARATIVE ANNUAL DATA '!$K$3:$K$50,'COMPARATIVE ANNUAL DATA '!$A$3:$A$50,'PROCCESSING '!FI$3,MONTHS,'PROCCESSING '!$DS8)</f>
        <v>0.49074074074074076</v>
      </c>
      <c r="FK8" s="5">
        <f>SUMIFS('COMPARATIVE ANNUAL DATA '!$K$3:$K$50,'COMPARATIVE ANNUAL DATA '!$A$3:$A$50,'PROCCESSING '!FK$3,MONTHS,'PROCCESSING '!$DS8)</f>
        <v>0.49074074074074076</v>
      </c>
      <c r="FL8" s="5">
        <f t="shared" si="15"/>
        <v>0.39200000000000002</v>
      </c>
      <c r="FN8" t="s">
        <v>55</v>
      </c>
      <c r="FQ8">
        <v>5</v>
      </c>
      <c r="FR8" t="s">
        <v>3</v>
      </c>
      <c r="FS8">
        <f>SUMIFS('COMPARATIVE ANNUAL DATA '!$S$3:$S$50,'COMPARATIVE ANNUAL DATA '!$A$3:$A$50,'PROCCESSING '!FS$3,MONTHS,'PROCCESSING '!$DS8)</f>
        <v>2.9</v>
      </c>
      <c r="FT8">
        <f>SUMIFS('COMPARATIVE ANNUAL DATA '!$S$3:$S$50,'COMPARATIVE ANNUAL DATA '!$A$3:$A$50,'PROCCESSING '!FT$3,MONTHS,'PROCCESSING '!$DS8)</f>
        <v>2.69</v>
      </c>
      <c r="FU8">
        <f>SUMIFS('COMPARATIVE ANNUAL DATA '!$S$3:$S$50,'COMPARATIVE ANNUAL DATA '!$A$3:$A$50,'PROCCESSING '!FU$3,MONTHS,'PROCCESSING '!$DS8)</f>
        <v>3.48</v>
      </c>
      <c r="FV8">
        <f>SUMIFS('COMPARATIVE ANNUAL DATA '!$S$3:$S$50,'COMPARATIVE ANNUAL DATA '!$A$3:$A$50,'PROCCESSING '!FV$3,MONTHS,'PROCCESSING '!$DS8)</f>
        <v>3.32</v>
      </c>
      <c r="FX8">
        <f>SUMIFS('COMPARATIVE ANNUAL DATA '!$S$3:$S$50,'COMPARATIVE ANNUAL DATA '!$A$3:$A$50,'PROCCESSING '!FX$3,MONTHS,'PROCCESSING '!$DS8)</f>
        <v>3.32</v>
      </c>
      <c r="FY8" s="24">
        <f t="shared" si="23"/>
        <v>3.48</v>
      </c>
      <c r="GA8">
        <v>5</v>
      </c>
      <c r="GB8" t="e">
        <f t="shared" si="16"/>
        <v>#N/A</v>
      </c>
      <c r="GC8">
        <f>SCROLL</f>
        <v>8</v>
      </c>
      <c r="GG8">
        <v>6</v>
      </c>
      <c r="GH8" t="s">
        <v>4</v>
      </c>
      <c r="GI8" s="1">
        <f>SUMIFS('COMPARATIVE ANNUAL DATA '!$W$3:$W$50,'COMPARATIVE ANNUAL DATA '!$A$3:$A$50,'PROCCESSING '!GI$2,MONTHS,'PROCCESSING '!$GH8)</f>
        <v>15312890.609999998</v>
      </c>
      <c r="GJ8" s="1">
        <f>SUMIFS('COMPARATIVE ANNUAL DATA '!$W$3:$W$50,'COMPARATIVE ANNUAL DATA '!$A$3:$A$50,'PROCCESSING '!GJ$2,MONTHS,'PROCCESSING '!$GH8)</f>
        <v>15936837.370000001</v>
      </c>
      <c r="GK8" s="1">
        <f>SUMIFS('COMPARATIVE ANNUAL DATA '!$W$3:$W$50,'COMPARATIVE ANNUAL DATA '!$A$3:$A$50,'PROCCESSING '!GK$2,MONTHS,'PROCCESSING '!$GH8)</f>
        <v>18280413.09</v>
      </c>
      <c r="GL8" s="1">
        <f>SUMIFS('COMPARATIVE ANNUAL DATA '!$W$3:$W$50,'COMPARATIVE ANNUAL DATA '!$A$3:$A$50,'PROCCESSING '!GL$2,MONTHS,'PROCCESSING '!$GH8)</f>
        <v>9259399.7399999984</v>
      </c>
      <c r="GO8" s="1">
        <f>SUMIFS('COMPARATIVE ANNUAL DATA '!$W$3:$W$50,'COMPARATIVE ANNUAL DATA '!$A$3:$A$50,'PROCCESSING '!GO$2,MONTHS,'PROCCESSING '!$GH8)</f>
        <v>9259399.7399999984</v>
      </c>
      <c r="GP8">
        <f t="shared" si="5"/>
        <v>18280413.09</v>
      </c>
      <c r="GU8" s="1">
        <v>50000000</v>
      </c>
      <c r="GV8" t="e">
        <f t="shared" si="6"/>
        <v>#N/A</v>
      </c>
      <c r="GW8">
        <f>SCROLL</f>
        <v>8</v>
      </c>
      <c r="HE8">
        <v>5</v>
      </c>
      <c r="HF8" t="s">
        <v>3</v>
      </c>
      <c r="HG8" s="1">
        <f>SUMIFS('COMPARATIVE ANNUAL DATA '!$X$3:$X$50,'COMPARATIVE ANNUAL DATA '!$A$3:$A$50,'PROCCESSING '!HG$3,MONTHS,$HF8)</f>
        <v>6659521.4099999927</v>
      </c>
      <c r="HH8" s="1">
        <f>SUMIFS('COMPARATIVE ANNUAL DATA '!$X$3:$X$50,'COMPARATIVE ANNUAL DATA '!$A$3:$A$50,'PROCCESSING '!HH$3,MONTHS,$HF8)</f>
        <v>3347778.2700000014</v>
      </c>
      <c r="HI8" s="1">
        <f>SUMIFS('COMPARATIVE ANNUAL DATA '!$X$3:$X$50,'COMPARATIVE ANNUAL DATA '!$A$3:$A$50,'PROCCESSING '!HI$3,MONTHS,$HF8)</f>
        <v>-6281662.7855999917</v>
      </c>
      <c r="HJ8" s="1">
        <f>SUMIFS('COMPARATIVE ANNUAL DATA '!$X$3:$X$50,'COMPARATIVE ANNUAL DATA '!$A$3:$A$50,'PROCCESSING '!HJ$3,MONTHS,$HF8)</f>
        <v>11488287.469999999</v>
      </c>
      <c r="HM8" s="1">
        <f>SUMIFS('COMPARATIVE ANNUAL DATA '!$X$3:$X$50,'COMPARATIVE ANNUAL DATA '!$A$3:$A$50,'PROCCESSING '!HM$3,MONTHS,$HF8)</f>
        <v>11488287.469999999</v>
      </c>
      <c r="HN8">
        <f t="shared" si="24"/>
        <v>-6281662.7855999917</v>
      </c>
      <c r="HR8" s="1">
        <v>30000000</v>
      </c>
      <c r="HS8" t="e">
        <f t="shared" si="17"/>
        <v>#N/A</v>
      </c>
      <c r="HT8">
        <f>SCROLL</f>
        <v>8</v>
      </c>
      <c r="HX8">
        <v>5</v>
      </c>
      <c r="HY8" t="s">
        <v>3</v>
      </c>
      <c r="HZ8" s="5">
        <f>SUMIFS('COMPARATIVE ANNUAL DATA '!$Y$3:$Y$50,'COMPARATIVE ANNUAL DATA '!$A$3:$A$50,'PROCCESSING '!HZ$3,MONTHS,$HF8)</f>
        <v>0.28293193347392653</v>
      </c>
      <c r="IA8" s="5">
        <f>SUMIFS('COMPARATIVE ANNUAL DATA '!$Y$3:$Y$50,'COMPARATIVE ANNUAL DATA '!$A$3:$A$50,'PROCCESSING '!IA$3,MONTHS,$HF8)</f>
        <v>0.16754638112857184</v>
      </c>
      <c r="IB8" s="5">
        <f>SUMIFS('COMPARATIVE ANNUAL DATA '!$Y$3:$Y$50,'COMPARATIVE ANNUAL DATA '!$A$3:$A$50,'PROCCESSING '!IB$3,MONTHS,$HF8)</f>
        <v>-0.56576308321084479</v>
      </c>
      <c r="IC8" s="5">
        <f>SUMIFS('COMPARATIVE ANNUAL DATA '!$Y$3:$Y$50,'COMPARATIVE ANNUAL DATA '!$A$3:$A$50,'PROCCESSING '!IC$3,MONTHS,$HF8)</f>
        <v>0.5138079386952159</v>
      </c>
      <c r="IE8" s="5">
        <f>SUMIFS('COMPARATIVE ANNUAL DATA '!$Y$3:$Y$50,'COMPARATIVE ANNUAL DATA '!$A$3:$A$50,'PROCCESSING '!IE$3,MONTHS,$HF8)</f>
        <v>0.5138079386952159</v>
      </c>
      <c r="IF8" s="5">
        <f t="shared" si="18"/>
        <v>-0.56576308321084479</v>
      </c>
      <c r="IH8" s="4">
        <v>1</v>
      </c>
      <c r="II8" s="5" t="e">
        <f t="shared" si="19"/>
        <v>#N/A</v>
      </c>
      <c r="IJ8">
        <f>SCROLL</f>
        <v>8</v>
      </c>
    </row>
    <row r="9" spans="1:244" x14ac:dyDescent="0.25">
      <c r="A9" t="s">
        <v>5</v>
      </c>
      <c r="E9">
        <v>6</v>
      </c>
      <c r="F9" t="s">
        <v>4</v>
      </c>
      <c r="G9">
        <f>SUMIFS(REVENUES,'COMPARATIVE ANNUAL DATA '!$A$3:$A$50,'PROCCESSING '!G$3,MONTHS,'PROCCESSING '!$F9)</f>
        <v>15783556.83</v>
      </c>
      <c r="H9">
        <f>SUMIFS(REVENUES,'COMPARATIVE ANNUAL DATA '!$A$3:$A$50,'PROCCESSING '!$H$3,MONTHS,'PROCCESSING '!F9)</f>
        <v>21336402.890000001</v>
      </c>
      <c r="I9">
        <f>SUMIFS(REVENUES,'COMPARATIVE ANNUAL DATA '!$A$3:$A$50,'PROCCESSING '!I$3,MONTHS,'PROCCESSING '!$F9)</f>
        <v>26569410.840800002</v>
      </c>
      <c r="J9">
        <f>SUMIFS(REVENUES,'COMPARATIVE ANNUAL DATA '!$A$3:$A$50,'PROCCESSING '!J$3,MONTHS,'PROCCESSING '!$F9)</f>
        <v>31463667.769999996</v>
      </c>
      <c r="M9">
        <v>6</v>
      </c>
      <c r="N9" t="s">
        <v>4</v>
      </c>
      <c r="O9" s="1">
        <f>SUMIFS(REVENUES,'COMPARATIVE ANNUAL DATA '!$A$3:$A$50,'PROCCESSING '!O$3,MONTHS,'PROCCESSING '!$F9)</f>
        <v>31463667.769999996</v>
      </c>
      <c r="P9" s="1">
        <f t="shared" si="7"/>
        <v>26569410.840800002</v>
      </c>
      <c r="R9" s="1">
        <v>35000000</v>
      </c>
      <c r="T9" t="e">
        <f t="shared" si="8"/>
        <v>#N/A</v>
      </c>
      <c r="U9" s="6" t="s">
        <v>25</v>
      </c>
      <c r="AA9" t="s">
        <v>5</v>
      </c>
      <c r="AB9">
        <f>SUMIFS('COMPARATIVE ANNUAL DATA '!$D$3:$D$50,'COMPARATIVE ANNUAL DATA '!$A$3:$A$50,'PROCCESSING '!$AB$2,MONTHS,'PROCCESSING '!AA9)</f>
        <v>9691486.7599999998</v>
      </c>
      <c r="AC9">
        <f>SUMIFS('COMPARATIVE ANNUAL DATA '!$E$3:$E$50,'COMPARATIVE ANNUAL DATA '!$A$3:$A$50,'PROCCESSING '!$AC$2,MONTHS,'PROCCESSING '!AA9)</f>
        <v>21018618.899999999</v>
      </c>
      <c r="AD9">
        <f>SUMIFS('COMPARATIVE ANNUAL DATA '!$D$3:$D$50,'COMPARATIVE ANNUAL DATA '!$A$3:$A$50,'PROCCESSING '!$AD$2,MONTHS,'PROCCESSING '!AA9)</f>
        <v>9951476.4000000004</v>
      </c>
      <c r="AE9">
        <f>SUMIFS('COMPARATIVE ANNUAL DATA '!$E$3:$E$50,'COMPARATIVE ANNUAL DATA '!$A$3:$A$50,'PROCCESSING '!$AE$2,MONTHS,'PROCCESSING '!AA9)</f>
        <v>16602343.630000001</v>
      </c>
      <c r="AF9">
        <f>SUMIFS('COMPARATIVE ANNUAL DATA '!$D$3:$D$50,'COMPARATIVE ANNUAL DATA '!$A$3:$A$50,'PROCCESSING '!$AF$2,MONTHS,'PROCCESSING '!AA9)</f>
        <v>8547177.3399999999</v>
      </c>
      <c r="AG9">
        <f>SUMIFS('COMPARATIVE ANNUAL DATA '!$E$3:$E$50,'COMPARATIVE ANNUAL DATA '!$A$3:$A$50,'PROCCESSING '!$AG$2,MONTHS,'PROCCESSING '!AA9)</f>
        <v>21706019.6569</v>
      </c>
      <c r="AH9">
        <f>SUMIFS('COMPARATIVE ANNUAL DATA '!$D$3:$D$50,'COMPARATIVE ANNUAL DATA '!$A$3:$A$50,'PROCCESSING '!$AH$2,MONTHS,'PROCCESSING '!AA9)</f>
        <v>8726878.2400000002</v>
      </c>
      <c r="AI9">
        <f>SUMIFS('COMPARATIVE ANNUAL DATA '!$E$3:$E$50,'COMPARATIVE ANNUAL DATA '!$A$3:$A$50,'PROCCESSING '!$AI$2,MONTHS,'PROCCESSING '!AA9)</f>
        <v>18341005.729999997</v>
      </c>
      <c r="AK9">
        <v>7</v>
      </c>
      <c r="AL9" t="s">
        <v>5</v>
      </c>
      <c r="AM9">
        <f t="shared" si="9"/>
        <v>8726878.2400000002</v>
      </c>
      <c r="AN9">
        <f t="shared" si="10"/>
        <v>18341005.729999997</v>
      </c>
      <c r="AT9">
        <f t="shared" si="0"/>
        <v>8547177.3399999999</v>
      </c>
      <c r="AU9">
        <f t="shared" si="1"/>
        <v>21706019.6569</v>
      </c>
      <c r="AW9" s="13">
        <v>25000000</v>
      </c>
      <c r="AX9" s="12" t="e">
        <f t="shared" si="2"/>
        <v>#N/A</v>
      </c>
      <c r="AY9" t="s">
        <v>39</v>
      </c>
      <c r="BE9">
        <v>7</v>
      </c>
      <c r="BF9" t="s">
        <v>5</v>
      </c>
      <c r="BG9">
        <f>SUMIFS(TOTPATIENTS,'COMPARATIVE ANNUAL DATA '!$A$3:$A$50,'PROCCESSING '!BG$2,MONTHS,'PROCCESSING '!$BF9)</f>
        <v>29115</v>
      </c>
      <c r="BH9">
        <f>SUMIFS(TOTPATIENTS,'COMPARATIVE ANNUAL DATA '!$A$3:$A$50,'PROCCESSING '!BH$2,MONTHS,'PROCCESSING '!$BF9)</f>
        <v>28928</v>
      </c>
      <c r="BI9">
        <f>SUMIFS(TOTPATIENTS,'COMPARATIVE ANNUAL DATA '!$A$3:$A$50,'PROCCESSING '!BI$2,MONTHS,'PROCCESSING '!$BF9)</f>
        <v>20449</v>
      </c>
      <c r="BJ9">
        <f>SUMIFS(TOTPATIENTS,'COMPARATIVE ANNUAL DATA '!$A$3:$A$50,'PROCCESSING '!BJ$2,MONTHS,'PROCCESSING '!$BF9)</f>
        <v>22092</v>
      </c>
      <c r="BO9">
        <f>SUMIFS(TOTPATIENTS,'COMPARATIVE ANNUAL DATA '!$A$3:$A$50,'PROCCESSING '!BO$2,MONTHS,'PROCCESSING '!$BF9)</f>
        <v>22092</v>
      </c>
      <c r="BP9">
        <f t="shared" si="3"/>
        <v>20449</v>
      </c>
      <c r="BR9">
        <v>35000</v>
      </c>
      <c r="BT9" t="e">
        <f t="shared" si="4"/>
        <v>#N/A</v>
      </c>
      <c r="BU9">
        <f>INDEX($BG$3:$BJ$14,SCROLL,MATCH($BP$2,$BG$2:$BJ$2,2))</f>
        <v>20557</v>
      </c>
      <c r="CA9">
        <v>5</v>
      </c>
      <c r="CB9" t="s">
        <v>3</v>
      </c>
      <c r="CC9" s="5">
        <f>SUMIFS(BEDOCCUPANCY,'COMPARATIVE ANNUAL DATA '!$A$3:$A$50,'PROCCESSING '!CC$4,MONTHS,'PROCCESSING '!$CB9)</f>
        <v>0.95</v>
      </c>
      <c r="CD9" s="5">
        <f>SUMIFS(BEDOCCUPANCY,'COMPARATIVE ANNUAL DATA '!$A$3:$A$50,'PROCCESSING '!CD$4,MONTHS,'PROCCESSING '!$CB9)</f>
        <v>0.9</v>
      </c>
      <c r="CE9" s="5">
        <f>SUMIFS(BEDOCCUPANCY,'COMPARATIVE ANNUAL DATA '!$A$3:$A$50,'PROCCESSING '!CE$4,MONTHS,'PROCCESSING '!$CB9)</f>
        <v>0.62</v>
      </c>
      <c r="CF9" s="5">
        <f>SUMIFS(BEDOCCUPANCY,'COMPARATIVE ANNUAL DATA '!$A$3:$A$50,'PROCCESSING '!CF$4,MONTHS,'PROCCESSING '!$CB9)</f>
        <v>0.82</v>
      </c>
      <c r="CJ9" s="5">
        <f>SUMIFS(BEDOCCUPANCY,'COMPARATIVE ANNUAL DATA '!$A$3:$A$50,'PROCCESSING '!CJ$4,MONTHS,'PROCCESSING '!$CB9)</f>
        <v>0.82</v>
      </c>
      <c r="CK9" s="5">
        <f t="shared" si="20"/>
        <v>0.62</v>
      </c>
      <c r="CM9" s="4">
        <v>1.2</v>
      </c>
      <c r="CN9" s="5" t="e">
        <f t="shared" si="21"/>
        <v>#N/A</v>
      </c>
      <c r="CO9" s="2">
        <f>SCROLL</f>
        <v>8</v>
      </c>
      <c r="CT9">
        <v>6</v>
      </c>
      <c r="CU9" t="s">
        <v>4</v>
      </c>
      <c r="CV9">
        <f>SUMIFS(TOTADMISSIONS,'COMPARATIVE ANNUAL DATA '!$A$3:$A$50,'PROCCESSING '!CV$3,MONTHS,'PROCCESSING '!$CU9)</f>
        <v>936</v>
      </c>
      <c r="CW9">
        <f>SUMIFS(TOTADMISSIONS,'COMPARATIVE ANNUAL DATA '!$A$3:$A$50,'PROCCESSING '!CW$3,MONTHS,'PROCCESSING '!$CU9)</f>
        <v>1084</v>
      </c>
      <c r="CX9">
        <f>SUMIFS(TOTADMISSIONS,'COMPARATIVE ANNUAL DATA '!$A$3:$A$50,'PROCCESSING '!CX$3,MONTHS,'PROCCESSING '!$CU9)</f>
        <v>1093</v>
      </c>
      <c r="CY9">
        <f>SUMIFS(TOTADMISSIONS,'COMPARATIVE ANNUAL DATA '!$A$3:$A$50,'PROCCESSING '!CY$3,MONTHS,'PROCCESSING '!$CU9)</f>
        <v>1238</v>
      </c>
      <c r="DD9">
        <f>SUMIFS(TOTADMISSIONS,'COMPARATIVE ANNUAL DATA '!$A$3:$A$50,'PROCCESSING '!DD$3,MONTHS,'PROCCESSING '!$CU9)</f>
        <v>1238</v>
      </c>
      <c r="DE9">
        <f t="shared" si="11"/>
        <v>1093</v>
      </c>
      <c r="DG9">
        <f t="shared" si="22"/>
        <v>2331</v>
      </c>
      <c r="DH9">
        <v>0</v>
      </c>
      <c r="DR9">
        <v>6</v>
      </c>
      <c r="DS9" t="s">
        <v>4</v>
      </c>
      <c r="DT9">
        <f>SUMIFS('COMPARATIVE ANNUAL DATA '!$J$3:$J$50,'COMPARATIVE ANNUAL DATA '!$A$3:$A$50,'PROCCESSING '!DT$3,MONTHS,'PROCCESSING '!$DS9)</f>
        <v>109</v>
      </c>
      <c r="DU9">
        <f>SUMIFS('COMPARATIVE ANNUAL DATA '!$J$3:$J$50,'COMPARATIVE ANNUAL DATA '!$A$3:$A$50,'PROCCESSING '!DU$3,MONTHS,'PROCCESSING '!$DS9)</f>
        <v>114</v>
      </c>
      <c r="DV9">
        <f>SUMIFS('COMPARATIVE ANNUAL DATA '!$J$3:$J$50,'COMPARATIVE ANNUAL DATA '!$A$3:$A$50,'PROCCESSING '!DV$3,MONTHS,'PROCCESSING '!$DS9)</f>
        <v>116</v>
      </c>
      <c r="DW9">
        <f>SUMIFS('COMPARATIVE ANNUAL DATA '!$J$3:$J$50,'COMPARATIVE ANNUAL DATA '!$A$3:$A$50,'PROCCESSING '!DW$3,MONTHS,'PROCCESSING '!$DS9)</f>
        <v>114</v>
      </c>
      <c r="EC9">
        <f>SUMIFS('COMPARATIVE ANNUAL DATA '!$J$3:$J$50,'COMPARATIVE ANNUAL DATA '!$A$3:$A$50,'PROCCESSING '!EC$3,MONTHS,'PROCCESSING '!$DS9)</f>
        <v>114</v>
      </c>
      <c r="ED9">
        <f t="shared" si="12"/>
        <v>116</v>
      </c>
      <c r="EF9">
        <v>200</v>
      </c>
      <c r="EG9" t="e">
        <f t="shared" si="13"/>
        <v>#N/A</v>
      </c>
      <c r="EH9" t="s">
        <v>26</v>
      </c>
      <c r="EM9">
        <v>6</v>
      </c>
      <c r="EN9" t="s">
        <v>4</v>
      </c>
      <c r="EO9">
        <f>SUMIFS('COMPARATIVE ANNUAL DATA '!$I$3:$I$50,'COMPARATIVE ANNUAL DATA '!$A$3:$A$50,'PROCCESSING '!EO$3,MONTHS,'PROCCESSING '!$DS9)</f>
        <v>48</v>
      </c>
      <c r="EP9">
        <f>SUMIFS('COMPARATIVE ANNUAL DATA '!$I$3:$I$50,'COMPARATIVE ANNUAL DATA '!$A$3:$A$50,'PROCCESSING '!EP$3,MONTHS,'PROCCESSING '!$DS9)</f>
        <v>55</v>
      </c>
      <c r="EQ9">
        <f>SUMIFS('COMPARATIVE ANNUAL DATA '!$I$3:$I$50,'COMPARATIVE ANNUAL DATA '!$A$3:$A$50,'PROCCESSING '!EQ$3,MONTHS,'PROCCESSING '!$DS9)</f>
        <v>52</v>
      </c>
      <c r="ER9">
        <f>SUMIFS('COMPARATIVE ANNUAL DATA '!$I$3:$I$50,'COMPARATIVE ANNUAL DATA '!$A$3:$A$50,'PROCCESSING '!ER$3,MONTHS,'PROCCESSING '!$DS9)</f>
        <v>56</v>
      </c>
      <c r="EU9">
        <f>SUMIFS('COMPARATIVE ANNUAL DATA '!$I$3:$I$50,'COMPARATIVE ANNUAL DATA '!$A$3:$A$50,'PROCCESSING '!EU$3,MONTHS,'PROCCESSING '!$DS9)</f>
        <v>56</v>
      </c>
      <c r="EV9">
        <f t="shared" si="14"/>
        <v>52</v>
      </c>
      <c r="EX9" t="s">
        <v>42</v>
      </c>
      <c r="FD9">
        <v>6</v>
      </c>
      <c r="FE9" t="s">
        <v>4</v>
      </c>
      <c r="FF9" s="5">
        <f>SUMIFS('COMPARATIVE ANNUAL DATA '!$K$3:$K$50,'COMPARATIVE ANNUAL DATA '!$A$3:$A$50,'PROCCESSING '!FF$3,MONTHS,'PROCCESSING '!$DS9)</f>
        <v>0.44036697247706424</v>
      </c>
      <c r="FG9" s="5">
        <f>SUMIFS('COMPARATIVE ANNUAL DATA '!$K$3:$K$50,'COMPARATIVE ANNUAL DATA '!$A$3:$A$50,'PROCCESSING '!FG$3,MONTHS,'PROCCESSING '!$DS9)</f>
        <v>0.48245614035087719</v>
      </c>
      <c r="FH9" s="5">
        <f>SUMIFS('COMPARATIVE ANNUAL DATA '!$K$3:$K$50,'COMPARATIVE ANNUAL DATA '!$A$3:$A$50,'PROCCESSING '!FH$3,MONTHS,'PROCCESSING '!$DS9)</f>
        <v>0.44827586206896552</v>
      </c>
      <c r="FI9" s="5">
        <f>SUMIFS('COMPARATIVE ANNUAL DATA '!$K$3:$K$50,'COMPARATIVE ANNUAL DATA '!$A$3:$A$50,'PROCCESSING '!FI$3,MONTHS,'PROCCESSING '!$DS9)</f>
        <v>0.49122807017543857</v>
      </c>
      <c r="FK9" s="5">
        <f>SUMIFS('COMPARATIVE ANNUAL DATA '!$K$3:$K$50,'COMPARATIVE ANNUAL DATA '!$A$3:$A$50,'PROCCESSING '!FK$3,MONTHS,'PROCCESSING '!$DS9)</f>
        <v>0.49122807017543857</v>
      </c>
      <c r="FL9" s="5">
        <f t="shared" si="15"/>
        <v>0.44827586206896552</v>
      </c>
      <c r="FN9" s="5">
        <f>INDEX($FF$4:$FI$15,SCROLL,MATCH($FL$3,$FF$3:$FI$3,2))</f>
        <v>0.4732142857142857</v>
      </c>
      <c r="FQ9">
        <v>6</v>
      </c>
      <c r="FR9" t="s">
        <v>4</v>
      </c>
      <c r="FS9">
        <f>SUMIFS('COMPARATIVE ANNUAL DATA '!$S$3:$S$50,'COMPARATIVE ANNUAL DATA '!$A$3:$A$50,'PROCCESSING '!FS$3,MONTHS,'PROCCESSING '!$DS9)</f>
        <v>3.13</v>
      </c>
      <c r="FT9">
        <f>SUMIFS('COMPARATIVE ANNUAL DATA '!$S$3:$S$50,'COMPARATIVE ANNUAL DATA '!$A$3:$A$50,'PROCCESSING '!FT$3,MONTHS,'PROCCESSING '!$DS9)</f>
        <v>2.75</v>
      </c>
      <c r="FU9">
        <f>SUMIFS('COMPARATIVE ANNUAL DATA '!$S$3:$S$50,'COMPARATIVE ANNUAL DATA '!$A$3:$A$50,'PROCCESSING '!FU$3,MONTHS,'PROCCESSING '!$DS9)</f>
        <v>2.86</v>
      </c>
      <c r="FV9">
        <f>SUMIFS('COMPARATIVE ANNUAL DATA '!$S$3:$S$50,'COMPARATIVE ANNUAL DATA '!$A$3:$A$50,'PROCCESSING '!FV$3,MONTHS,'PROCCESSING '!$DS9)</f>
        <v>2.87</v>
      </c>
      <c r="FX9">
        <f>SUMIFS('COMPARATIVE ANNUAL DATA '!$S$3:$S$50,'COMPARATIVE ANNUAL DATA '!$A$3:$A$50,'PROCCESSING '!FX$3,MONTHS,'PROCCESSING '!$DS9)</f>
        <v>2.87</v>
      </c>
      <c r="FY9" s="24">
        <f t="shared" si="23"/>
        <v>2.86</v>
      </c>
      <c r="GA9">
        <v>5</v>
      </c>
      <c r="GB9" t="e">
        <f t="shared" si="16"/>
        <v>#N/A</v>
      </c>
      <c r="GC9" t="s">
        <v>26</v>
      </c>
      <c r="GG9">
        <v>7</v>
      </c>
      <c r="GH9" t="s">
        <v>5</v>
      </c>
      <c r="GI9" s="1">
        <f>SUMIFS('COMPARATIVE ANNUAL DATA '!$W$3:$W$50,'COMPARATIVE ANNUAL DATA '!$A$3:$A$50,'PROCCESSING '!GI$2,MONTHS,'PROCCESSING '!$GH9)</f>
        <v>18656661.219999995</v>
      </c>
      <c r="GJ9" s="1">
        <f>SUMIFS('COMPARATIVE ANNUAL DATA '!$W$3:$W$50,'COMPARATIVE ANNUAL DATA '!$A$3:$A$50,'PROCCESSING '!GJ$2,MONTHS,'PROCCESSING '!$GH9)</f>
        <v>18179995.529999997</v>
      </c>
      <c r="GK9" s="1">
        <f>SUMIFS('COMPARATIVE ANNUAL DATA '!$W$3:$W$50,'COMPARATIVE ANNUAL DATA '!$A$3:$A$50,'PROCCESSING '!GK$2,MONTHS,'PROCCESSING '!$GH9)</f>
        <v>20964069.189999998</v>
      </c>
      <c r="GL9" s="1">
        <f>SUMIFS('COMPARATIVE ANNUAL DATA '!$W$3:$W$50,'COMPARATIVE ANNUAL DATA '!$A$3:$A$50,'PROCCESSING '!GL$2,MONTHS,'PROCCESSING '!$GH9)</f>
        <v>10296042.029999997</v>
      </c>
      <c r="GO9" s="1">
        <f>SUMIFS('COMPARATIVE ANNUAL DATA '!$W$3:$W$50,'COMPARATIVE ANNUAL DATA '!$A$3:$A$50,'PROCCESSING '!GO$2,MONTHS,'PROCCESSING '!$GH9)</f>
        <v>10296042.029999997</v>
      </c>
      <c r="GP9">
        <f t="shared" si="5"/>
        <v>20964069.189999998</v>
      </c>
      <c r="GU9" s="1">
        <v>50000000</v>
      </c>
      <c r="GV9" t="e">
        <f t="shared" si="6"/>
        <v>#N/A</v>
      </c>
      <c r="GW9" t="s">
        <v>26</v>
      </c>
      <c r="HE9">
        <v>6</v>
      </c>
      <c r="HF9" t="s">
        <v>4</v>
      </c>
      <c r="HG9" s="1">
        <f>SUMIFS('COMPARATIVE ANNUAL DATA '!$X$3:$X$50,'COMPARATIVE ANNUAL DATA '!$A$3:$A$50,'PROCCESSING '!HG$3,MONTHS,$HF9)</f>
        <v>470666.22000000253</v>
      </c>
      <c r="HH9" s="1">
        <f>SUMIFS('COMPARATIVE ANNUAL DATA '!$X$3:$X$50,'COMPARATIVE ANNUAL DATA '!$A$3:$A$50,'PROCCESSING '!HH$3,MONTHS,$HF9)</f>
        <v>5399565.5199999996</v>
      </c>
      <c r="HI9" s="1">
        <f>SUMIFS('COMPARATIVE ANNUAL DATA '!$X$3:$X$50,'COMPARATIVE ANNUAL DATA '!$A$3:$A$50,'PROCCESSING '!HI$3,MONTHS,$HF9)</f>
        <v>8288997.7508000024</v>
      </c>
      <c r="HJ9" s="1">
        <f>SUMIFS('COMPARATIVE ANNUAL DATA '!$X$3:$X$50,'COMPARATIVE ANNUAL DATA '!$A$3:$A$50,'PROCCESSING '!HJ$3,MONTHS,$HF9)</f>
        <v>22204268.029999997</v>
      </c>
      <c r="HM9" s="1">
        <f>SUMIFS('COMPARATIVE ANNUAL DATA '!$X$3:$X$50,'COMPARATIVE ANNUAL DATA '!$A$3:$A$50,'PROCCESSING '!HM$3,MONTHS,$HF9)</f>
        <v>22204268.029999997</v>
      </c>
      <c r="HN9">
        <f t="shared" si="24"/>
        <v>8288997.7508000024</v>
      </c>
      <c r="HR9" s="1">
        <v>30000000</v>
      </c>
      <c r="HS9" t="e">
        <f t="shared" si="17"/>
        <v>#N/A</v>
      </c>
      <c r="HT9" t="s">
        <v>26</v>
      </c>
      <c r="HX9">
        <v>6</v>
      </c>
      <c r="HY9" t="s">
        <v>4</v>
      </c>
      <c r="HZ9" s="5">
        <f>SUMIFS('COMPARATIVE ANNUAL DATA '!$Y$3:$Y$50,'COMPARATIVE ANNUAL DATA '!$A$3:$A$50,'PROCCESSING '!HZ$3,MONTHS,$HF9)</f>
        <v>2.9820035184046821E-2</v>
      </c>
      <c r="IA9" s="5">
        <f>SUMIFS('COMPARATIVE ANNUAL DATA '!$Y$3:$Y$50,'COMPARATIVE ANNUAL DATA '!$A$3:$A$50,'PROCCESSING '!IA$3,MONTHS,$HF9)</f>
        <v>0.25306822091040854</v>
      </c>
      <c r="IB9" s="5">
        <f>SUMIFS('COMPARATIVE ANNUAL DATA '!$Y$3:$Y$50,'COMPARATIVE ANNUAL DATA '!$A$3:$A$50,'PROCCESSING '!IB$3,MONTHS,$HF9)</f>
        <v>0.31197521843696335</v>
      </c>
      <c r="IC9" s="5">
        <f>SUMIFS('COMPARATIVE ANNUAL DATA '!$Y$3:$Y$50,'COMPARATIVE ANNUAL DATA '!$A$3:$A$50,'PROCCESSING '!IC$3,MONTHS,$HF9)</f>
        <v>0.70571136818229885</v>
      </c>
      <c r="IE9" s="5">
        <f>SUMIFS('COMPARATIVE ANNUAL DATA '!$Y$3:$Y$50,'COMPARATIVE ANNUAL DATA '!$A$3:$A$50,'PROCCESSING '!IE$3,MONTHS,$HF9)</f>
        <v>0.70571136818229885</v>
      </c>
      <c r="IF9" s="5">
        <f t="shared" si="18"/>
        <v>0.31197521843696335</v>
      </c>
      <c r="IH9" s="4">
        <v>1</v>
      </c>
      <c r="II9" s="5" t="e">
        <f t="shared" si="19"/>
        <v>#N/A</v>
      </c>
      <c r="IJ9" t="s">
        <v>26</v>
      </c>
    </row>
    <row r="10" spans="1:244" x14ac:dyDescent="0.25">
      <c r="A10" t="s">
        <v>6</v>
      </c>
      <c r="E10">
        <v>7</v>
      </c>
      <c r="F10" t="s">
        <v>5</v>
      </c>
      <c r="G10">
        <f>SUMIFS(REVENUES,'COMPARATIVE ANNUAL DATA '!$A$3:$A$50,'PROCCESSING '!G$3,MONTHS,'PROCCESSING '!$F10)</f>
        <v>30710105.659999996</v>
      </c>
      <c r="H10">
        <f>SUMIFS(REVENUES,'COMPARATIVE ANNUAL DATA '!$A$3:$A$50,'PROCCESSING '!$H$3,MONTHS,'PROCCESSING '!F10)</f>
        <v>26553820.030000001</v>
      </c>
      <c r="I10">
        <f>SUMIFS(REVENUES,'COMPARATIVE ANNUAL DATA '!$A$3:$A$50,'PROCCESSING '!I$3,MONTHS,'PROCCESSING '!$F10)</f>
        <v>30253196.9969</v>
      </c>
      <c r="J10">
        <f>SUMIFS(REVENUES,'COMPARATIVE ANNUAL DATA '!$A$3:$A$50,'PROCCESSING '!J$3,MONTHS,'PROCCESSING '!$F10)</f>
        <v>27067883.969999999</v>
      </c>
      <c r="M10">
        <v>7</v>
      </c>
      <c r="N10" t="s">
        <v>5</v>
      </c>
      <c r="O10" s="1">
        <f>SUMIFS(REVENUES,'COMPARATIVE ANNUAL DATA '!$A$3:$A$50,'PROCCESSING '!O$3,MONTHS,'PROCCESSING '!$F10)</f>
        <v>27067883.969999999</v>
      </c>
      <c r="P10" s="1">
        <f t="shared" si="7"/>
        <v>30253196.9969</v>
      </c>
      <c r="R10" s="1">
        <v>35000000</v>
      </c>
      <c r="T10" t="e">
        <f t="shared" si="8"/>
        <v>#N/A</v>
      </c>
      <c r="U10">
        <f>SCROLL</f>
        <v>8</v>
      </c>
      <c r="AA10" t="s">
        <v>6</v>
      </c>
      <c r="AB10">
        <f>SUMIFS('COMPARATIVE ANNUAL DATA '!$D$3:$D$50,'COMPARATIVE ANNUAL DATA '!$A$3:$A$50,'PROCCESSING '!$AB$2,MONTHS,'PROCCESSING '!AA10)</f>
        <v>7350038.2999999998</v>
      </c>
      <c r="AC10">
        <f>SUMIFS('COMPARATIVE ANNUAL DATA '!$E$3:$E$50,'COMPARATIVE ANNUAL DATA '!$A$3:$A$50,'PROCCESSING '!$AC$2,MONTHS,'PROCCESSING '!AA10)</f>
        <v>12077108.949999999</v>
      </c>
      <c r="AD10">
        <f>SUMIFS('COMPARATIVE ANNUAL DATA '!$D$3:$D$50,'COMPARATIVE ANNUAL DATA '!$A$3:$A$50,'PROCCESSING '!$AD$2,MONTHS,'PROCCESSING '!AA10)</f>
        <v>7587781.4699999997</v>
      </c>
      <c r="AE10">
        <f>SUMIFS('COMPARATIVE ANNUAL DATA '!$E$3:$E$50,'COMPARATIVE ANNUAL DATA '!$A$3:$A$50,'PROCCESSING '!$AE$2,MONTHS,'PROCCESSING '!AA10)</f>
        <v>11593059.670000002</v>
      </c>
      <c r="AF10">
        <f>SUMIFS('COMPARATIVE ANNUAL DATA '!$D$3:$D$50,'COMPARATIVE ANNUAL DATA '!$A$3:$A$50,'PROCCESSING '!$AF$2,MONTHS,'PROCCESSING '!AA10)</f>
        <v>8897472.3699999992</v>
      </c>
      <c r="AG10">
        <f>SUMIFS('COMPARATIVE ANNUAL DATA '!$E$3:$E$50,'COMPARATIVE ANNUAL DATA '!$A$3:$A$50,'PROCCESSING '!$AG$2,MONTHS,'PROCCESSING '!AA10)</f>
        <v>15699649.069999998</v>
      </c>
      <c r="AH10">
        <f>SUMIFS('COMPARATIVE ANNUAL DATA '!$D$3:$D$50,'COMPARATIVE ANNUAL DATA '!$A$3:$A$50,'PROCCESSING '!$AH$2,MONTHS,'PROCCESSING '!AA10)</f>
        <v>10429465.74</v>
      </c>
      <c r="AI10">
        <f>SUMIFS('COMPARATIVE ANNUAL DATA '!$E$3:$E$50,'COMPARATIVE ANNUAL DATA '!$A$3:$A$50,'PROCCESSING '!$AI$2,MONTHS,'PROCCESSING '!AA10)</f>
        <v>13343313.979999999</v>
      </c>
      <c r="AK10">
        <v>8</v>
      </c>
      <c r="AL10" t="s">
        <v>6</v>
      </c>
      <c r="AM10">
        <f t="shared" si="9"/>
        <v>10429465.74</v>
      </c>
      <c r="AN10">
        <f t="shared" si="10"/>
        <v>13343313.979999999</v>
      </c>
      <c r="AT10">
        <f t="shared" si="0"/>
        <v>8897472.3699999992</v>
      </c>
      <c r="AU10">
        <f t="shared" si="1"/>
        <v>15699649.069999998</v>
      </c>
      <c r="AW10" s="13">
        <v>25000000</v>
      </c>
      <c r="AX10" s="12">
        <f t="shared" si="2"/>
        <v>25000000</v>
      </c>
      <c r="AY10">
        <f>SCROLL</f>
        <v>8</v>
      </c>
      <c r="BE10">
        <v>8</v>
      </c>
      <c r="BF10" t="s">
        <v>6</v>
      </c>
      <c r="BG10">
        <f>SUMIFS(TOTPATIENTS,'COMPARATIVE ANNUAL DATA '!$A$3:$A$50,'PROCCESSING '!BG$2,MONTHS,'PROCCESSING '!$BF10)</f>
        <v>23351</v>
      </c>
      <c r="BH10">
        <f>SUMIFS(TOTPATIENTS,'COMPARATIVE ANNUAL DATA '!$A$3:$A$50,'PROCCESSING '!BH$2,MONTHS,'PROCCESSING '!$BF10)</f>
        <v>21898</v>
      </c>
      <c r="BI10">
        <f>SUMIFS(TOTPATIENTS,'COMPARATIVE ANNUAL DATA '!$A$3:$A$50,'PROCCESSING '!BI$2,MONTHS,'PROCCESSING '!$BF10)</f>
        <v>20557</v>
      </c>
      <c r="BJ10">
        <f>SUMIFS(TOTPATIENTS,'COMPARATIVE ANNUAL DATA '!$A$3:$A$50,'PROCCESSING '!BJ$2,MONTHS,'PROCCESSING '!$BF10)</f>
        <v>24984</v>
      </c>
      <c r="BO10">
        <f>SUMIFS(TOTPATIENTS,'COMPARATIVE ANNUAL DATA '!$A$3:$A$50,'PROCCESSING '!BO$2,MONTHS,'PROCCESSING '!$BF10)</f>
        <v>24984</v>
      </c>
      <c r="BP10">
        <f t="shared" si="3"/>
        <v>20557</v>
      </c>
      <c r="BR10">
        <v>35000</v>
      </c>
      <c r="BT10">
        <f t="shared" si="4"/>
        <v>35000</v>
      </c>
      <c r="CA10">
        <v>6</v>
      </c>
      <c r="CB10" t="s">
        <v>4</v>
      </c>
      <c r="CC10" s="5">
        <f>SUMIFS(BEDOCCUPANCY,'COMPARATIVE ANNUAL DATA '!$A$3:$A$50,'PROCCESSING '!CC$4,MONTHS,'PROCCESSING '!$CB10)</f>
        <v>0.92</v>
      </c>
      <c r="CD10" s="5">
        <f>SUMIFS(BEDOCCUPANCY,'COMPARATIVE ANNUAL DATA '!$A$3:$A$50,'PROCCESSING '!CD$4,MONTHS,'PROCCESSING '!$CB10)</f>
        <v>1.01</v>
      </c>
      <c r="CE10" s="5">
        <f>SUMIFS(BEDOCCUPANCY,'COMPARATIVE ANNUAL DATA '!$A$3:$A$50,'PROCCESSING '!CE$4,MONTHS,'PROCCESSING '!$CB10)</f>
        <v>0.93</v>
      </c>
      <c r="CF10" s="5">
        <f>SUMIFS(BEDOCCUPANCY,'COMPARATIVE ANNUAL DATA '!$A$3:$A$50,'PROCCESSING '!CF$4,MONTHS,'PROCCESSING '!$CB10)</f>
        <v>0.99</v>
      </c>
      <c r="CJ10" s="5">
        <f>SUMIFS(BEDOCCUPANCY,'COMPARATIVE ANNUAL DATA '!$A$3:$A$50,'PROCCESSING '!CJ$4,MONTHS,'PROCCESSING '!$CB10)</f>
        <v>0.99</v>
      </c>
      <c r="CK10" s="5">
        <f t="shared" si="20"/>
        <v>0.93</v>
      </c>
      <c r="CM10" s="4">
        <v>1.2</v>
      </c>
      <c r="CN10" s="5" t="e">
        <f t="shared" si="21"/>
        <v>#N/A</v>
      </c>
      <c r="CO10" s="2" t="s">
        <v>26</v>
      </c>
      <c r="CT10">
        <v>7</v>
      </c>
      <c r="CU10" t="s">
        <v>5</v>
      </c>
      <c r="CV10">
        <f>SUMIFS(TOTADMISSIONS,'COMPARATIVE ANNUAL DATA '!$A$3:$A$50,'PROCCESSING '!CV$3,MONTHS,'PROCCESSING '!$CU10)</f>
        <v>1496</v>
      </c>
      <c r="CW10">
        <f>SUMIFS(TOTADMISSIONS,'COMPARATIVE ANNUAL DATA '!$A$3:$A$50,'PROCCESSING '!CW$3,MONTHS,'PROCCESSING '!$CU10)</f>
        <v>1461</v>
      </c>
      <c r="CX10">
        <f>SUMIFS(TOTADMISSIONS,'COMPARATIVE ANNUAL DATA '!$A$3:$A$50,'PROCCESSING '!CX$3,MONTHS,'PROCCESSING '!$CU10)</f>
        <v>1227</v>
      </c>
      <c r="CY10">
        <f>SUMIFS(TOTADMISSIONS,'COMPARATIVE ANNUAL DATA '!$A$3:$A$50,'PROCCESSING '!CY$3,MONTHS,'PROCCESSING '!$CU10)</f>
        <v>1016</v>
      </c>
      <c r="DD10">
        <f>SUMIFS(TOTADMISSIONS,'COMPARATIVE ANNUAL DATA '!$A$3:$A$50,'PROCCESSING '!DD$3,MONTHS,'PROCCESSING '!$CU10)</f>
        <v>1016</v>
      </c>
      <c r="DE10">
        <f t="shared" si="11"/>
        <v>1227</v>
      </c>
      <c r="DG10">
        <f t="shared" si="22"/>
        <v>2243</v>
      </c>
      <c r="DH10">
        <v>0</v>
      </c>
      <c r="DR10">
        <v>7</v>
      </c>
      <c r="DS10" t="s">
        <v>5</v>
      </c>
      <c r="DT10">
        <f>SUMIFS('COMPARATIVE ANNUAL DATA '!$J$3:$J$50,'COMPARATIVE ANNUAL DATA '!$A$3:$A$50,'PROCCESSING '!DT$3,MONTHS,'PROCCESSING '!$DS10)</f>
        <v>110</v>
      </c>
      <c r="DU10">
        <f>SUMIFS('COMPARATIVE ANNUAL DATA '!$J$3:$J$50,'COMPARATIVE ANNUAL DATA '!$A$3:$A$50,'PROCCESSING '!DU$3,MONTHS,'PROCCESSING '!$DS10)</f>
        <v>119</v>
      </c>
      <c r="DV10">
        <f>SUMIFS('COMPARATIVE ANNUAL DATA '!$J$3:$J$50,'COMPARATIVE ANNUAL DATA '!$A$3:$A$50,'PROCCESSING '!DV$3,MONTHS,'PROCCESSING '!$DS10)</f>
        <v>114</v>
      </c>
      <c r="DW10">
        <f>SUMIFS('COMPARATIVE ANNUAL DATA '!$J$3:$J$50,'COMPARATIVE ANNUAL DATA '!$A$3:$A$50,'PROCCESSING '!DW$3,MONTHS,'PROCCESSING '!$DS10)</f>
        <v>113</v>
      </c>
      <c r="EC10">
        <f>SUMIFS('COMPARATIVE ANNUAL DATA '!$J$3:$J$50,'COMPARATIVE ANNUAL DATA '!$A$3:$A$50,'PROCCESSING '!EC$3,MONTHS,'PROCCESSING '!$DS10)</f>
        <v>113</v>
      </c>
      <c r="ED10">
        <f t="shared" si="12"/>
        <v>114</v>
      </c>
      <c r="EF10">
        <v>200</v>
      </c>
      <c r="EG10" t="e">
        <f t="shared" si="13"/>
        <v>#N/A</v>
      </c>
      <c r="EH10">
        <f>INDEX($DT$4:$DW$15,SCROLL,MATCH($ED$3,$DT$3:$DW$3,2))</f>
        <v>112</v>
      </c>
      <c r="EM10">
        <v>7</v>
      </c>
      <c r="EN10" t="s">
        <v>5</v>
      </c>
      <c r="EO10">
        <f>SUMIFS('COMPARATIVE ANNUAL DATA '!$I$3:$I$50,'COMPARATIVE ANNUAL DATA '!$A$3:$A$50,'PROCCESSING '!EO$3,MONTHS,'PROCCESSING '!$DS10)</f>
        <v>51</v>
      </c>
      <c r="EP10">
        <f>SUMIFS('COMPARATIVE ANNUAL DATA '!$I$3:$I$50,'COMPARATIVE ANNUAL DATA '!$A$3:$A$50,'PROCCESSING '!EP$3,MONTHS,'PROCCESSING '!$DS10)</f>
        <v>56</v>
      </c>
      <c r="EQ10">
        <f>SUMIFS('COMPARATIVE ANNUAL DATA '!$I$3:$I$50,'COMPARATIVE ANNUAL DATA '!$A$3:$A$50,'PROCCESSING '!EQ$3,MONTHS,'PROCCESSING '!$DS10)</f>
        <v>54</v>
      </c>
      <c r="ER10">
        <f>SUMIFS('COMPARATIVE ANNUAL DATA '!$I$3:$I$50,'COMPARATIVE ANNUAL DATA '!$A$3:$A$50,'PROCCESSING '!ER$3,MONTHS,'PROCCESSING '!$DS10)</f>
        <v>53</v>
      </c>
      <c r="EU10">
        <f>SUMIFS('COMPARATIVE ANNUAL DATA '!$I$3:$I$50,'COMPARATIVE ANNUAL DATA '!$A$3:$A$50,'PROCCESSING '!EU$3,MONTHS,'PROCCESSING '!$DS10)</f>
        <v>53</v>
      </c>
      <c r="EV10">
        <f t="shared" si="14"/>
        <v>54</v>
      </c>
      <c r="EX10">
        <f>INDEX($EO$4:$ER$15,SCROLL,MATCH($EV$3,$EO$3:$ER$3,2))</f>
        <v>53</v>
      </c>
      <c r="FD10">
        <v>7</v>
      </c>
      <c r="FE10" t="s">
        <v>5</v>
      </c>
      <c r="FF10" s="5">
        <f>SUMIFS('COMPARATIVE ANNUAL DATA '!$K$3:$K$50,'COMPARATIVE ANNUAL DATA '!$A$3:$A$50,'PROCCESSING '!FF$3,MONTHS,'PROCCESSING '!$DS10)</f>
        <v>0.46363636363636362</v>
      </c>
      <c r="FG10" s="5">
        <f>SUMIFS('COMPARATIVE ANNUAL DATA '!$K$3:$K$50,'COMPARATIVE ANNUAL DATA '!$A$3:$A$50,'PROCCESSING '!FG$3,MONTHS,'PROCCESSING '!$DS10)</f>
        <v>0.47058823529411764</v>
      </c>
      <c r="FH10" s="5">
        <f>SUMIFS('COMPARATIVE ANNUAL DATA '!$K$3:$K$50,'COMPARATIVE ANNUAL DATA '!$A$3:$A$50,'PROCCESSING '!FH$3,MONTHS,'PROCCESSING '!$DS10)</f>
        <v>0.47368421052631576</v>
      </c>
      <c r="FI10" s="5">
        <f>SUMIFS('COMPARATIVE ANNUAL DATA '!$K$3:$K$50,'COMPARATIVE ANNUAL DATA '!$A$3:$A$50,'PROCCESSING '!FI$3,MONTHS,'PROCCESSING '!$DS10)</f>
        <v>0.46902654867256638</v>
      </c>
      <c r="FK10" s="5">
        <f>SUMIFS('COMPARATIVE ANNUAL DATA '!$K$3:$K$50,'COMPARATIVE ANNUAL DATA '!$A$3:$A$50,'PROCCESSING '!FK$3,MONTHS,'PROCCESSING '!$DS10)</f>
        <v>0.46902654867256638</v>
      </c>
      <c r="FL10" s="5">
        <f t="shared" si="15"/>
        <v>0.47368421052631576</v>
      </c>
      <c r="FQ10">
        <v>7</v>
      </c>
      <c r="FR10" t="s">
        <v>5</v>
      </c>
      <c r="FS10">
        <f>SUMIFS('COMPARATIVE ANNUAL DATA '!$S$3:$S$50,'COMPARATIVE ANNUAL DATA '!$A$3:$A$50,'PROCCESSING '!FS$3,MONTHS,'PROCCESSING '!$DS10)</f>
        <v>2.5</v>
      </c>
      <c r="FT10">
        <f>SUMIFS('COMPARATIVE ANNUAL DATA '!$S$3:$S$50,'COMPARATIVE ANNUAL DATA '!$A$3:$A$50,'PROCCESSING '!FT$3,MONTHS,'PROCCESSING '!$DS10)</f>
        <v>2.46</v>
      </c>
      <c r="FU10">
        <f>SUMIFS('COMPARATIVE ANNUAL DATA '!$S$3:$S$50,'COMPARATIVE ANNUAL DATA '!$A$3:$A$50,'PROCCESSING '!FU$3,MONTHS,'PROCCESSING '!$DS10)</f>
        <v>2.83</v>
      </c>
      <c r="FV10">
        <f>SUMIFS('COMPARATIVE ANNUAL DATA '!$S$3:$S$50,'COMPARATIVE ANNUAL DATA '!$A$3:$A$50,'PROCCESSING '!FV$3,MONTHS,'PROCCESSING '!$DS10)</f>
        <v>3.23</v>
      </c>
      <c r="FX10">
        <f>SUMIFS('COMPARATIVE ANNUAL DATA '!$S$3:$S$50,'COMPARATIVE ANNUAL DATA '!$A$3:$A$50,'PROCCESSING '!FX$3,MONTHS,'PROCCESSING '!$DS10)</f>
        <v>3.23</v>
      </c>
      <c r="FY10" s="24">
        <f t="shared" si="23"/>
        <v>2.83</v>
      </c>
      <c r="GA10">
        <v>5</v>
      </c>
      <c r="GB10" t="e">
        <f t="shared" si="16"/>
        <v>#N/A</v>
      </c>
      <c r="GC10">
        <f>INDEX($FS$4:$FV$15,SCROLL,MATCH(FY3,$FS$3:$FV$3,2))</f>
        <v>2.36</v>
      </c>
      <c r="GG10">
        <v>8</v>
      </c>
      <c r="GH10" t="s">
        <v>6</v>
      </c>
      <c r="GI10" s="1">
        <f>SUMIFS('COMPARATIVE ANNUAL DATA '!$W$3:$W$50,'COMPARATIVE ANNUAL DATA '!$A$3:$A$50,'PROCCESSING '!GI$2,MONTHS,'PROCCESSING '!$GH10)</f>
        <v>16042829.749999998</v>
      </c>
      <c r="GJ10" s="1">
        <f>SUMIFS('COMPARATIVE ANNUAL DATA '!$W$3:$W$50,'COMPARATIVE ANNUAL DATA '!$A$3:$A$50,'PROCCESSING '!GJ$2,MONTHS,'PROCCESSING '!$GH10)</f>
        <v>17324428.350000001</v>
      </c>
      <c r="GK10" s="1">
        <f>SUMIFS('COMPARATIVE ANNUAL DATA '!$W$3:$W$50,'COMPARATIVE ANNUAL DATA '!$A$3:$A$50,'PROCCESSING '!GK$2,MONTHS,'PROCCESSING '!$GH10)</f>
        <v>19940863.079999998</v>
      </c>
      <c r="GL10" s="1">
        <f>SUMIFS('COMPARATIVE ANNUAL DATA '!$W$3:$W$50,'COMPARATIVE ANNUAL DATA '!$A$3:$A$50,'PROCCESSING '!GL$2,MONTHS,'PROCCESSING '!$GH10)</f>
        <v>12326459.679999998</v>
      </c>
      <c r="GO10" s="1">
        <f>SUMIFS('COMPARATIVE ANNUAL DATA '!$W$3:$W$50,'COMPARATIVE ANNUAL DATA '!$A$3:$A$50,'PROCCESSING '!GO$2,MONTHS,'PROCCESSING '!$GH10)</f>
        <v>12326459.679999998</v>
      </c>
      <c r="GP10">
        <f t="shared" si="5"/>
        <v>19940863.079999998</v>
      </c>
      <c r="GU10" s="1">
        <v>50000000</v>
      </c>
      <c r="GV10">
        <f t="shared" si="6"/>
        <v>50000000</v>
      </c>
      <c r="GW10" s="1">
        <f>INDEX($GI$3:$GL$14,SCROLL,MATCH($GP$2,$GI$2:$GL$2,2))</f>
        <v>19940863.079999998</v>
      </c>
      <c r="HE10">
        <v>7</v>
      </c>
      <c r="HF10" t="s">
        <v>5</v>
      </c>
      <c r="HG10" s="1">
        <f>SUMIFS('COMPARATIVE ANNUAL DATA '!$X$3:$X$50,'COMPARATIVE ANNUAL DATA '!$A$3:$A$50,'PROCCESSING '!HG$3,MONTHS,$HF10)</f>
        <v>12053444.440000001</v>
      </c>
      <c r="HH10" s="1">
        <f>SUMIFS('COMPARATIVE ANNUAL DATA '!$X$3:$X$50,'COMPARATIVE ANNUAL DATA '!$A$3:$A$50,'PROCCESSING '!HH$3,MONTHS,$HF10)</f>
        <v>8373824.5000000037</v>
      </c>
      <c r="HI10" s="1">
        <f>SUMIFS('COMPARATIVE ANNUAL DATA '!$X$3:$X$50,'COMPARATIVE ANNUAL DATA '!$A$3:$A$50,'PROCCESSING '!HI$3,MONTHS,$HF10)</f>
        <v>9289127.8069000021</v>
      </c>
      <c r="HJ10" s="1">
        <f>SUMIFS('COMPARATIVE ANNUAL DATA '!$X$3:$X$50,'COMPARATIVE ANNUAL DATA '!$A$3:$A$50,'PROCCESSING '!HJ$3,MONTHS,$HF10)</f>
        <v>16771841.940000001</v>
      </c>
      <c r="HM10" s="1">
        <f>SUMIFS('COMPARATIVE ANNUAL DATA '!$X$3:$X$50,'COMPARATIVE ANNUAL DATA '!$A$3:$A$50,'PROCCESSING '!HM$3,MONTHS,$HF10)</f>
        <v>16771841.940000001</v>
      </c>
      <c r="HN10">
        <f t="shared" si="24"/>
        <v>9289127.8069000021</v>
      </c>
      <c r="HR10" s="1">
        <v>30000000</v>
      </c>
      <c r="HS10" t="e">
        <f t="shared" si="17"/>
        <v>#N/A</v>
      </c>
      <c r="HT10" s="1">
        <f>INDEX($HG$4:$HJ$15,SCROLL,MATCH(HN3,$HG$3:$HJ$3,2))</f>
        <v>4656258.3599999994</v>
      </c>
      <c r="HX10">
        <v>7</v>
      </c>
      <c r="HY10" t="s">
        <v>5</v>
      </c>
      <c r="HZ10" s="5">
        <f>SUMIFS('COMPARATIVE ANNUAL DATA '!$Y$3:$Y$50,'COMPARATIVE ANNUAL DATA '!$A$3:$A$50,'PROCCESSING '!HZ$3,MONTHS,$HF10)</f>
        <v>0.39249114195330331</v>
      </c>
      <c r="IA10" s="5">
        <f>SUMIFS('COMPARATIVE ANNUAL DATA '!$Y$3:$Y$50,'COMPARATIVE ANNUAL DATA '!$A$3:$A$50,'PROCCESSING '!IA$3,MONTHS,$HF10)</f>
        <v>0.31535291308517627</v>
      </c>
      <c r="IB10" s="5">
        <f>SUMIFS('COMPARATIVE ANNUAL DATA '!$Y$3:$Y$50,'COMPARATIVE ANNUAL DATA '!$A$3:$A$50,'PROCCESSING '!IB$3,MONTHS,$HF10)</f>
        <v>0.30704615475355695</v>
      </c>
      <c r="IC10" s="5">
        <f>SUMIFS('COMPARATIVE ANNUAL DATA '!$Y$3:$Y$50,'COMPARATIVE ANNUAL DATA '!$A$3:$A$50,'PROCCESSING '!IC$3,MONTHS,$HF10)</f>
        <v>0.61962146574104748</v>
      </c>
      <c r="IE10" s="5">
        <f>SUMIFS('COMPARATIVE ANNUAL DATA '!$Y$3:$Y$50,'COMPARATIVE ANNUAL DATA '!$A$3:$A$50,'PROCCESSING '!IE$3,MONTHS,$HF10)</f>
        <v>0.61962146574104748</v>
      </c>
      <c r="IF10" s="5">
        <f t="shared" si="18"/>
        <v>0.30704615475355695</v>
      </c>
      <c r="IH10" s="4">
        <v>1</v>
      </c>
      <c r="II10" s="5" t="e">
        <f t="shared" si="19"/>
        <v>#N/A</v>
      </c>
      <c r="IJ10" s="5">
        <f>INDEX(HZ4:IC15,SCROLL,MATCH(IF3,HZ3:IC3,2))</f>
        <v>0.18930094610290299</v>
      </c>
    </row>
    <row r="11" spans="1:244" x14ac:dyDescent="0.25">
      <c r="A11" t="s">
        <v>7</v>
      </c>
      <c r="E11">
        <v>8</v>
      </c>
      <c r="F11" t="s">
        <v>6</v>
      </c>
      <c r="G11">
        <f>SUMIFS(REVENUES,'COMPARATIVE ANNUAL DATA '!$A$3:$A$50,'PROCCESSING '!G$3,MONTHS,'PROCCESSING '!$F11)</f>
        <v>19427147.25</v>
      </c>
      <c r="H11">
        <f>SUMIFS(REVENUES,'COMPARATIVE ANNUAL DATA '!$A$3:$A$50,'PROCCESSING '!$H$3,MONTHS,'PROCCESSING '!F11)</f>
        <v>19180841.140000001</v>
      </c>
      <c r="I11">
        <f>SUMIFS(REVENUES,'COMPARATIVE ANNUAL DATA '!$A$3:$A$50,'PROCCESSING '!I$3,MONTHS,'PROCCESSING '!$F11)</f>
        <v>24597121.439999998</v>
      </c>
      <c r="J11">
        <f>SUMIFS(REVENUES,'COMPARATIVE ANNUAL DATA '!$A$3:$A$50,'PROCCESSING '!J$3,MONTHS,'PROCCESSING '!$F11)</f>
        <v>23772779.719999999</v>
      </c>
      <c r="M11">
        <v>8</v>
      </c>
      <c r="N11" t="s">
        <v>6</v>
      </c>
      <c r="O11" s="1">
        <f>SUMIFS(REVENUES,'COMPARATIVE ANNUAL DATA '!$A$3:$A$50,'PROCCESSING '!O$3,MONTHS,'PROCCESSING '!$F11)</f>
        <v>23772779.719999999</v>
      </c>
      <c r="P11" s="1">
        <f t="shared" si="7"/>
        <v>24597121.439999998</v>
      </c>
      <c r="R11" s="1">
        <v>35000000</v>
      </c>
      <c r="T11">
        <f t="shared" si="8"/>
        <v>35000000</v>
      </c>
      <c r="U11" s="6" t="s">
        <v>26</v>
      </c>
      <c r="AA11" t="s">
        <v>7</v>
      </c>
      <c r="AB11">
        <f>SUMIFS('COMPARATIVE ANNUAL DATA '!$D$3:$D$50,'COMPARATIVE ANNUAL DATA '!$A$3:$A$50,'PROCCESSING '!$AB$2,MONTHS,'PROCCESSING '!AA11)</f>
        <v>7909107.8399999999</v>
      </c>
      <c r="AC11">
        <f>SUMIFS('COMPARATIVE ANNUAL DATA '!$E$3:$E$50,'COMPARATIVE ANNUAL DATA '!$A$3:$A$50,'PROCCESSING '!$AC$2,MONTHS,'PROCCESSING '!AA11)</f>
        <v>15168147.690000001</v>
      </c>
      <c r="AD11">
        <f>SUMIFS('COMPARATIVE ANNUAL DATA '!$D$3:$D$50,'COMPARATIVE ANNUAL DATA '!$A$3:$A$50,'PROCCESSING '!$AD$2,MONTHS,'PROCCESSING '!AA11)</f>
        <v>8430558.3599999994</v>
      </c>
      <c r="AE11">
        <f>SUMIFS('COMPARATIVE ANNUAL DATA '!$E$3:$E$50,'COMPARATIVE ANNUAL DATA '!$A$3:$A$50,'PROCCESSING '!$AE$2,MONTHS,'PROCCESSING '!AA11)</f>
        <v>14082243.939999998</v>
      </c>
      <c r="AF11">
        <f>SUMIFS('COMPARATIVE ANNUAL DATA '!$D$3:$D$50,'COMPARATIVE ANNUAL DATA '!$A$3:$A$50,'PROCCESSING '!$AF$2,MONTHS,'PROCCESSING '!AA11)</f>
        <v>9537161.3800000008</v>
      </c>
      <c r="AG11">
        <f>SUMIFS('COMPARATIVE ANNUAL DATA '!$E$3:$E$50,'COMPARATIVE ANNUAL DATA '!$A$3:$A$50,'PROCCESSING '!$AG$2,MONTHS,'PROCCESSING '!AA11)</f>
        <v>19708013.875999995</v>
      </c>
      <c r="AH11">
        <f>SUMIFS('COMPARATIVE ANNUAL DATA '!$D$3:$D$50,'COMPARATIVE ANNUAL DATA '!$A$3:$A$50,'PROCCESSING '!$AH$2,MONTHS,'PROCCESSING '!AA11)</f>
        <v>9162713.7799999993</v>
      </c>
      <c r="AI11">
        <f>SUMIFS('COMPARATIVE ANNUAL DATA '!$E$3:$E$50,'COMPARATIVE ANNUAL DATA '!$A$3:$A$50,'PROCCESSING '!$AI$2,MONTHS,'PROCCESSING '!AA11)</f>
        <v>12103641.060000001</v>
      </c>
      <c r="AK11">
        <v>9</v>
      </c>
      <c r="AL11" t="s">
        <v>7</v>
      </c>
      <c r="AM11">
        <f t="shared" si="9"/>
        <v>9162713.7799999993</v>
      </c>
      <c r="AN11">
        <f t="shared" si="10"/>
        <v>12103641.060000001</v>
      </c>
      <c r="AT11">
        <f t="shared" si="0"/>
        <v>9537161.3800000008</v>
      </c>
      <c r="AU11">
        <f t="shared" si="1"/>
        <v>19708013.875999995</v>
      </c>
      <c r="AW11" s="13">
        <v>25000000</v>
      </c>
      <c r="AX11" s="12" t="e">
        <f t="shared" si="2"/>
        <v>#N/A</v>
      </c>
      <c r="AY11" t="s">
        <v>40</v>
      </c>
      <c r="BE11">
        <v>9</v>
      </c>
      <c r="BF11" t="s">
        <v>7</v>
      </c>
      <c r="BG11">
        <f>SUMIFS(TOTPATIENTS,'COMPARATIVE ANNUAL DATA '!$A$3:$A$50,'PROCCESSING '!BG$2,MONTHS,'PROCCESSING '!$BF11)</f>
        <v>23132</v>
      </c>
      <c r="BH11">
        <f>SUMIFS(TOTPATIENTS,'COMPARATIVE ANNUAL DATA '!$A$3:$A$50,'PROCCESSING '!BH$2,MONTHS,'PROCCESSING '!$BF11)</f>
        <v>22791</v>
      </c>
      <c r="BI11">
        <f>SUMIFS(TOTPATIENTS,'COMPARATIVE ANNUAL DATA '!$A$3:$A$50,'PROCCESSING '!BI$2,MONTHS,'PROCCESSING '!$BF11)</f>
        <v>22149</v>
      </c>
      <c r="BJ11">
        <f>SUMIFS(TOTPATIENTS,'COMPARATIVE ANNUAL DATA '!$A$3:$A$50,'PROCCESSING '!BJ$2,MONTHS,'PROCCESSING '!$BF11)</f>
        <v>20872</v>
      </c>
      <c r="BO11">
        <f>SUMIFS(TOTPATIENTS,'COMPARATIVE ANNUAL DATA '!$A$3:$A$50,'PROCCESSING '!BO$2,MONTHS,'PROCCESSING '!$BF11)</f>
        <v>20872</v>
      </c>
      <c r="BP11">
        <f t="shared" si="3"/>
        <v>22149</v>
      </c>
      <c r="BR11">
        <v>35000</v>
      </c>
      <c r="BT11" t="e">
        <f t="shared" si="4"/>
        <v>#N/A</v>
      </c>
      <c r="CA11">
        <v>7</v>
      </c>
      <c r="CB11" t="s">
        <v>5</v>
      </c>
      <c r="CC11" s="5">
        <f>SUMIFS(BEDOCCUPANCY,'COMPARATIVE ANNUAL DATA '!$A$3:$A$50,'PROCCESSING '!CC$4,MONTHS,'PROCCESSING '!$CB11)</f>
        <v>1.08</v>
      </c>
      <c r="CD11" s="5">
        <f>SUMIFS(BEDOCCUPANCY,'COMPARATIVE ANNUAL DATA '!$A$3:$A$50,'PROCCESSING '!CD$4,MONTHS,'PROCCESSING '!$CB11)</f>
        <v>1.1000000000000001</v>
      </c>
      <c r="CE11" s="5">
        <f>SUMIFS(BEDOCCUPANCY,'COMPARATIVE ANNUAL DATA '!$A$3:$A$50,'PROCCESSING '!CE$4,MONTHS,'PROCCESSING '!$CB11)</f>
        <v>1</v>
      </c>
      <c r="CF11" s="5">
        <f>SUMIFS(BEDOCCUPANCY,'COMPARATIVE ANNUAL DATA '!$A$3:$A$50,'PROCCESSING '!CF$4,MONTHS,'PROCCESSING '!$CB11)</f>
        <v>0.94</v>
      </c>
      <c r="CJ11" s="5">
        <f>SUMIFS(BEDOCCUPANCY,'COMPARATIVE ANNUAL DATA '!$A$3:$A$50,'PROCCESSING '!CJ$4,MONTHS,'PROCCESSING '!$CB11)</f>
        <v>0.94</v>
      </c>
      <c r="CK11" s="5">
        <f t="shared" si="20"/>
        <v>1</v>
      </c>
      <c r="CM11" s="4">
        <v>1.2</v>
      </c>
      <c r="CN11" s="5" t="e">
        <f t="shared" si="21"/>
        <v>#N/A</v>
      </c>
      <c r="CO11" s="5">
        <f>INDEX($CC$5:$CF$16,SCROLL,MATCH($CK$4,$CC$4:$CF$4,2))</f>
        <v>0.97</v>
      </c>
      <c r="CT11">
        <v>8</v>
      </c>
      <c r="CU11" t="s">
        <v>6</v>
      </c>
      <c r="CV11">
        <f>SUMIFS(TOTADMISSIONS,'COMPARATIVE ANNUAL DATA '!$A$3:$A$50,'PROCCESSING '!CV$3,MONTHS,'PROCCESSING '!$CU11)</f>
        <v>1186</v>
      </c>
      <c r="CW11">
        <f>SUMIFS(TOTADMISSIONS,'COMPARATIVE ANNUAL DATA '!$A$3:$A$50,'PROCCESSING '!CW$3,MONTHS,'PROCCESSING '!$CU11)</f>
        <v>1045</v>
      </c>
      <c r="CX11">
        <f>SUMIFS(TOTADMISSIONS,'COMPARATIVE ANNUAL DATA '!$A$3:$A$50,'PROCCESSING '!CX$3,MONTHS,'PROCCESSING '!$CU11)</f>
        <v>1074</v>
      </c>
      <c r="CY11">
        <f>SUMIFS(TOTADMISSIONS,'COMPARATIVE ANNUAL DATA '!$A$3:$A$50,'PROCCESSING '!CY$3,MONTHS,'PROCCESSING '!$CU11)</f>
        <v>1064</v>
      </c>
      <c r="DD11">
        <f>SUMIFS(TOTADMISSIONS,'COMPARATIVE ANNUAL DATA '!$A$3:$A$50,'PROCCESSING '!DD$3,MONTHS,'PROCCESSING '!$CU11)</f>
        <v>1064</v>
      </c>
      <c r="DE11">
        <f t="shared" si="11"/>
        <v>1074</v>
      </c>
      <c r="DG11">
        <f t="shared" si="22"/>
        <v>2138</v>
      </c>
      <c r="DH11">
        <v>0</v>
      </c>
      <c r="DR11">
        <v>8</v>
      </c>
      <c r="DS11" t="s">
        <v>6</v>
      </c>
      <c r="DT11">
        <f>SUMIFS('COMPARATIVE ANNUAL DATA '!$J$3:$J$50,'COMPARATIVE ANNUAL DATA '!$A$3:$A$50,'PROCCESSING '!DT$3,MONTHS,'PROCCESSING '!$DS11)</f>
        <v>111</v>
      </c>
      <c r="DU11">
        <f>SUMIFS('COMPARATIVE ANNUAL DATA '!$J$3:$J$50,'COMPARATIVE ANNUAL DATA '!$A$3:$A$50,'PROCCESSING '!DU$3,MONTHS,'PROCCESSING '!$DS11)</f>
        <v>119</v>
      </c>
      <c r="DV11">
        <f>SUMIFS('COMPARATIVE ANNUAL DATA '!$J$3:$J$50,'COMPARATIVE ANNUAL DATA '!$A$3:$A$50,'PROCCESSING '!DV$3,MONTHS,'PROCCESSING '!$DS11)</f>
        <v>112</v>
      </c>
      <c r="DW11">
        <f>SUMIFS('COMPARATIVE ANNUAL DATA '!$J$3:$J$50,'COMPARATIVE ANNUAL DATA '!$A$3:$A$50,'PROCCESSING '!DW$3,MONTHS,'PROCCESSING '!$DS11)</f>
        <v>108</v>
      </c>
      <c r="EC11">
        <f>SUMIFS('COMPARATIVE ANNUAL DATA '!$J$3:$J$50,'COMPARATIVE ANNUAL DATA '!$A$3:$A$50,'PROCCESSING '!EC$3,MONTHS,'PROCCESSING '!$DS11)</f>
        <v>108</v>
      </c>
      <c r="ED11">
        <f t="shared" si="12"/>
        <v>112</v>
      </c>
      <c r="EF11">
        <v>200</v>
      </c>
      <c r="EG11">
        <f t="shared" si="13"/>
        <v>200</v>
      </c>
      <c r="EM11">
        <v>8</v>
      </c>
      <c r="EN11" t="s">
        <v>6</v>
      </c>
      <c r="EO11">
        <f>SUMIFS('COMPARATIVE ANNUAL DATA '!$I$3:$I$50,'COMPARATIVE ANNUAL DATA '!$A$3:$A$50,'PROCCESSING '!EO$3,MONTHS,'PROCCESSING '!$DS11)</f>
        <v>49</v>
      </c>
      <c r="EP11">
        <f>SUMIFS('COMPARATIVE ANNUAL DATA '!$I$3:$I$50,'COMPARATIVE ANNUAL DATA '!$A$3:$A$50,'PROCCESSING '!EP$3,MONTHS,'PROCCESSING '!$DS11)</f>
        <v>54</v>
      </c>
      <c r="EQ11">
        <f>SUMIFS('COMPARATIVE ANNUAL DATA '!$I$3:$I$50,'COMPARATIVE ANNUAL DATA '!$A$3:$A$50,'PROCCESSING '!EQ$3,MONTHS,'PROCCESSING '!$DS11)</f>
        <v>53</v>
      </c>
      <c r="ER11">
        <f>SUMIFS('COMPARATIVE ANNUAL DATA '!$I$3:$I$50,'COMPARATIVE ANNUAL DATA '!$A$3:$A$50,'PROCCESSING '!ER$3,MONTHS,'PROCCESSING '!$DS11)</f>
        <v>54</v>
      </c>
      <c r="EU11">
        <f>SUMIFS('COMPARATIVE ANNUAL DATA '!$I$3:$I$50,'COMPARATIVE ANNUAL DATA '!$A$3:$A$50,'PROCCESSING '!EU$3,MONTHS,'PROCCESSING '!$DS11)</f>
        <v>54</v>
      </c>
      <c r="EV11">
        <f t="shared" si="14"/>
        <v>53</v>
      </c>
      <c r="FD11">
        <v>8</v>
      </c>
      <c r="FE11" t="s">
        <v>6</v>
      </c>
      <c r="FF11" s="5">
        <f>SUMIFS('COMPARATIVE ANNUAL DATA '!$K$3:$K$50,'COMPARATIVE ANNUAL DATA '!$A$3:$A$50,'PROCCESSING '!FF$3,MONTHS,'PROCCESSING '!$DS11)</f>
        <v>0.44144144144144143</v>
      </c>
      <c r="FG11" s="5">
        <f>SUMIFS('COMPARATIVE ANNUAL DATA '!$K$3:$K$50,'COMPARATIVE ANNUAL DATA '!$A$3:$A$50,'PROCCESSING '!FG$3,MONTHS,'PROCCESSING '!$DS11)</f>
        <v>0.45378151260504201</v>
      </c>
      <c r="FH11" s="5">
        <f>SUMIFS('COMPARATIVE ANNUAL DATA '!$K$3:$K$50,'COMPARATIVE ANNUAL DATA '!$A$3:$A$50,'PROCCESSING '!FH$3,MONTHS,'PROCCESSING '!$DS11)</f>
        <v>0.4732142857142857</v>
      </c>
      <c r="FI11" s="5">
        <f>SUMIFS('COMPARATIVE ANNUAL DATA '!$K$3:$K$50,'COMPARATIVE ANNUAL DATA '!$A$3:$A$50,'PROCCESSING '!FI$3,MONTHS,'PROCCESSING '!$DS11)</f>
        <v>0.5</v>
      </c>
      <c r="FK11" s="5">
        <f>SUMIFS('COMPARATIVE ANNUAL DATA '!$K$3:$K$50,'COMPARATIVE ANNUAL DATA '!$A$3:$A$50,'PROCCESSING '!FK$3,MONTHS,'PROCCESSING '!$DS11)</f>
        <v>0.5</v>
      </c>
      <c r="FL11" s="5">
        <f t="shared" si="15"/>
        <v>0.4732142857142857</v>
      </c>
      <c r="FQ11">
        <v>8</v>
      </c>
      <c r="FR11" t="s">
        <v>6</v>
      </c>
      <c r="FS11">
        <f>SUMIFS('COMPARATIVE ANNUAL DATA '!$S$3:$S$50,'COMPARATIVE ANNUAL DATA '!$A$3:$A$50,'PROCCESSING '!FS$3,MONTHS,'PROCCESSING '!$DS11)</f>
        <v>2.2799999999999998</v>
      </c>
      <c r="FT11">
        <f>SUMIFS('COMPARATIVE ANNUAL DATA '!$S$3:$S$50,'COMPARATIVE ANNUAL DATA '!$A$3:$A$50,'PROCCESSING '!FT$3,MONTHS,'PROCCESSING '!$DS11)</f>
        <v>2.34</v>
      </c>
      <c r="FU11">
        <f>SUMIFS('COMPARATIVE ANNUAL DATA '!$S$3:$S$50,'COMPARATIVE ANNUAL DATA '!$A$3:$A$50,'PROCCESSING '!FU$3,MONTHS,'PROCCESSING '!$DS11)</f>
        <v>2.36</v>
      </c>
      <c r="FV11">
        <f>SUMIFS('COMPARATIVE ANNUAL DATA '!$S$3:$S$50,'COMPARATIVE ANNUAL DATA '!$A$3:$A$50,'PROCCESSING '!FV$3,MONTHS,'PROCCESSING '!$DS11)</f>
        <v>2.19</v>
      </c>
      <c r="FX11">
        <f>SUMIFS('COMPARATIVE ANNUAL DATA '!$S$3:$S$50,'COMPARATIVE ANNUAL DATA '!$A$3:$A$50,'PROCCESSING '!FX$3,MONTHS,'PROCCESSING '!$DS11)</f>
        <v>2.19</v>
      </c>
      <c r="FY11" s="24">
        <f t="shared" si="23"/>
        <v>2.36</v>
      </c>
      <c r="GA11">
        <v>5</v>
      </c>
      <c r="GB11">
        <f t="shared" si="16"/>
        <v>5</v>
      </c>
      <c r="GG11">
        <v>9</v>
      </c>
      <c r="GH11" t="s">
        <v>7</v>
      </c>
      <c r="GI11" s="1">
        <f>SUMIFS('COMPARATIVE ANNUAL DATA '!$W$3:$W$50,'COMPARATIVE ANNUAL DATA '!$A$3:$A$50,'PROCCESSING '!GI$2,MONTHS,'PROCCESSING '!$GH11)</f>
        <v>18263188.869999994</v>
      </c>
      <c r="GJ11" s="1">
        <f>SUMIFS('COMPARATIVE ANNUAL DATA '!$W$3:$W$50,'COMPARATIVE ANNUAL DATA '!$A$3:$A$50,'PROCCESSING '!GJ$2,MONTHS,'PROCCESSING '!$GH11)</f>
        <v>16944115.189999994</v>
      </c>
      <c r="GK11" s="1">
        <f>SUMIFS('COMPARATIVE ANNUAL DATA '!$W$3:$W$50,'COMPARATIVE ANNUAL DATA '!$A$3:$A$50,'PROCCESSING '!GK$2,MONTHS,'PROCCESSING '!$GH11)</f>
        <v>22724659.040000003</v>
      </c>
      <c r="GL11" s="1">
        <f>SUMIFS('COMPARATIVE ANNUAL DATA '!$W$3:$W$50,'COMPARATIVE ANNUAL DATA '!$A$3:$A$50,'PROCCESSING '!GL$2,MONTHS,'PROCCESSING '!$GH11)</f>
        <v>12165866.700000003</v>
      </c>
      <c r="GO11" s="1">
        <f>SUMIFS('COMPARATIVE ANNUAL DATA '!$W$3:$W$50,'COMPARATIVE ANNUAL DATA '!$A$3:$A$50,'PROCCESSING '!GO$2,MONTHS,'PROCCESSING '!$GH11)</f>
        <v>12165866.700000003</v>
      </c>
      <c r="GP11">
        <f t="shared" si="5"/>
        <v>22724659.040000003</v>
      </c>
      <c r="GU11" s="1">
        <v>50000000</v>
      </c>
      <c r="GV11" t="e">
        <f t="shared" si="6"/>
        <v>#N/A</v>
      </c>
      <c r="HE11">
        <v>8</v>
      </c>
      <c r="HF11" t="s">
        <v>6</v>
      </c>
      <c r="HG11" s="1">
        <f>SUMIFS('COMPARATIVE ANNUAL DATA '!$X$3:$X$50,'COMPARATIVE ANNUAL DATA '!$A$3:$A$50,'PROCCESSING '!HG$3,MONTHS,$HF11)</f>
        <v>3384317.5000000019</v>
      </c>
      <c r="HH11" s="1">
        <f>SUMIFS('COMPARATIVE ANNUAL DATA '!$X$3:$X$50,'COMPARATIVE ANNUAL DATA '!$A$3:$A$50,'PROCCESSING '!HH$3,MONTHS,$HF11)</f>
        <v>1856412.7899999991</v>
      </c>
      <c r="HI11" s="1">
        <f>SUMIFS('COMPARATIVE ANNUAL DATA '!$X$3:$X$50,'COMPARATIVE ANNUAL DATA '!$A$3:$A$50,'PROCCESSING '!HI$3,MONTHS,$HF11)</f>
        <v>4656258.3599999994</v>
      </c>
      <c r="HJ11" s="1">
        <f>SUMIFS('COMPARATIVE ANNUAL DATA '!$X$3:$X$50,'COMPARATIVE ANNUAL DATA '!$A$3:$A$50,'PROCCESSING '!HJ$3,MONTHS,$HF11)</f>
        <v>11446320.040000001</v>
      </c>
      <c r="HM11" s="1">
        <f>SUMIFS('COMPARATIVE ANNUAL DATA '!$X$3:$X$50,'COMPARATIVE ANNUAL DATA '!$A$3:$A$50,'PROCCESSING '!HM$3,MONTHS,$HF11)</f>
        <v>11446320.040000001</v>
      </c>
      <c r="HN11">
        <f t="shared" si="24"/>
        <v>4656258.3599999994</v>
      </c>
      <c r="HR11" s="1">
        <v>30000000</v>
      </c>
      <c r="HS11">
        <f t="shared" si="17"/>
        <v>30000000</v>
      </c>
      <c r="HX11">
        <v>8</v>
      </c>
      <c r="HY11" t="s">
        <v>6</v>
      </c>
      <c r="HZ11" s="5">
        <f>SUMIFS('COMPARATIVE ANNUAL DATA '!$Y$3:$Y$50,'COMPARATIVE ANNUAL DATA '!$A$3:$A$50,'PROCCESSING '!HZ$3,MONTHS,$HF11)</f>
        <v>0.17420558234560155</v>
      </c>
      <c r="IA11" s="5">
        <f>SUMIFS('COMPARATIVE ANNUAL DATA '!$Y$3:$Y$50,'COMPARATIVE ANNUAL DATA '!$A$3:$A$50,'PROCCESSING '!IA$3,MONTHS,$HF11)</f>
        <v>9.6784743507864701E-2</v>
      </c>
      <c r="IB11" s="5">
        <f>SUMIFS('COMPARATIVE ANNUAL DATA '!$Y$3:$Y$50,'COMPARATIVE ANNUAL DATA '!$A$3:$A$50,'PROCCESSING '!IB$3,MONTHS,$HF11)</f>
        <v>0.18930094610290299</v>
      </c>
      <c r="IC11" s="5">
        <f>SUMIFS('COMPARATIVE ANNUAL DATA '!$Y$3:$Y$50,'COMPARATIVE ANNUAL DATA '!$A$3:$A$50,'PROCCESSING '!IC$3,MONTHS,$HF11)</f>
        <v>0.48148849965451163</v>
      </c>
      <c r="IE11" s="5">
        <f>SUMIFS('COMPARATIVE ANNUAL DATA '!$Y$3:$Y$50,'COMPARATIVE ANNUAL DATA '!$A$3:$A$50,'PROCCESSING '!IE$3,MONTHS,$HF11)</f>
        <v>0.48148849965451163</v>
      </c>
      <c r="IF11" s="5">
        <f t="shared" si="18"/>
        <v>0.18930094610290299</v>
      </c>
      <c r="IH11" s="4">
        <v>1</v>
      </c>
      <c r="II11" s="5">
        <f t="shared" si="19"/>
        <v>1</v>
      </c>
    </row>
    <row r="12" spans="1:244" x14ac:dyDescent="0.25">
      <c r="A12" t="s">
        <v>8</v>
      </c>
      <c r="E12">
        <v>9</v>
      </c>
      <c r="F12" t="s">
        <v>7</v>
      </c>
      <c r="G12">
        <f>SUMIFS(REVENUES,'COMPARATIVE ANNUAL DATA '!$A$3:$A$50,'PROCCESSING '!G$3,MONTHS,'PROCCESSING '!$F12)</f>
        <v>23077255.530000001</v>
      </c>
      <c r="H12">
        <f>SUMIFS(REVENUES,'COMPARATIVE ANNUAL DATA '!$A$3:$A$50,'PROCCESSING '!$H$3,MONTHS,'PROCCESSING '!F12)</f>
        <v>22512802.299999997</v>
      </c>
      <c r="I12">
        <f>SUMIFS(REVENUES,'COMPARATIVE ANNUAL DATA '!$A$3:$A$50,'PROCCESSING '!I$3,MONTHS,'PROCCESSING '!$F12)</f>
        <v>29245175.255999997</v>
      </c>
      <c r="J12">
        <f>SUMIFS(REVENUES,'COMPARATIVE ANNUAL DATA '!$A$3:$A$50,'PROCCESSING '!J$3,MONTHS,'PROCCESSING '!$F12)</f>
        <v>21266354.84</v>
      </c>
      <c r="M12">
        <v>9</v>
      </c>
      <c r="N12" t="s">
        <v>7</v>
      </c>
      <c r="O12" s="1">
        <f>SUMIFS(REVENUES,'COMPARATIVE ANNUAL DATA '!$A$3:$A$50,'PROCCESSING '!O$3,MONTHS,'PROCCESSING '!$F12)</f>
        <v>21266354.84</v>
      </c>
      <c r="P12" s="1">
        <f t="shared" si="7"/>
        <v>29245175.255999997</v>
      </c>
      <c r="R12" s="1">
        <v>35000000</v>
      </c>
      <c r="T12" t="e">
        <f t="shared" si="8"/>
        <v>#N/A</v>
      </c>
      <c r="U12" s="1">
        <f>INDEX($G$4:$J$15,SCROLL,MATCH($O$3,$G$3:$J$3,2))</f>
        <v>23772779.719999999</v>
      </c>
      <c r="AA12" t="s">
        <v>8</v>
      </c>
      <c r="AB12">
        <f>SUMIFS('COMPARATIVE ANNUAL DATA '!$D$3:$D$50,'COMPARATIVE ANNUAL DATA '!$A$3:$A$50,'PROCCESSING '!$AB$2,MONTHS,'PROCCESSING '!AA12)</f>
        <v>7784829.0599999996</v>
      </c>
      <c r="AC12">
        <f>SUMIFS('COMPARATIVE ANNUAL DATA '!$E$3:$E$50,'COMPARATIVE ANNUAL DATA '!$A$3:$A$50,'PROCCESSING '!$AC$2,MONTHS,'PROCCESSING '!AA12)</f>
        <v>15782447.41</v>
      </c>
      <c r="AD12">
        <f>SUMIFS('COMPARATIVE ANNUAL DATA '!$D$3:$D$50,'COMPARATIVE ANNUAL DATA '!$A$3:$A$50,'PROCCESSING '!$AD$2,MONTHS,'PROCCESSING '!AA12)</f>
        <v>8831792.3499999996</v>
      </c>
      <c r="AE12">
        <f>SUMIFS('COMPARATIVE ANNUAL DATA '!$E$3:$E$50,'COMPARATIVE ANNUAL DATA '!$A$3:$A$50,'PROCCESSING '!$AE$2,MONTHS,'PROCCESSING '!AA12)</f>
        <v>13571412.35</v>
      </c>
      <c r="AF12">
        <f>SUMIFS('COMPARATIVE ANNUAL DATA '!$D$3:$D$50,'COMPARATIVE ANNUAL DATA '!$A$3:$A$50,'PROCCESSING '!$AF$2,MONTHS,'PROCCESSING '!AA12)</f>
        <v>8560767.6899999995</v>
      </c>
      <c r="AG12">
        <f>SUMIFS('COMPARATIVE ANNUAL DATA '!$E$3:$E$50,'COMPARATIVE ANNUAL DATA '!$A$3:$A$50,'PROCCESSING '!$AG$2,MONTHS,'PROCCESSING '!AA12)</f>
        <v>17191613.350000001</v>
      </c>
      <c r="AH12">
        <f>SUMIFS('COMPARATIVE ANNUAL DATA '!$D$3:$D$50,'COMPARATIVE ANNUAL DATA '!$A$3:$A$50,'PROCCESSING '!$AH$2,MONTHS,'PROCCESSING '!AA12)</f>
        <v>8896396.3100000005</v>
      </c>
      <c r="AI12">
        <f>SUMIFS('COMPARATIVE ANNUAL DATA '!$E$3:$E$50,'COMPARATIVE ANNUAL DATA '!$A$3:$A$50,'PROCCESSING '!$AI$2,MONTHS,'PROCCESSING '!AA12)</f>
        <v>11514394.159999998</v>
      </c>
      <c r="AK12">
        <v>10</v>
      </c>
      <c r="AL12" t="s">
        <v>8</v>
      </c>
      <c r="AM12">
        <f t="shared" si="9"/>
        <v>8896396.3100000005</v>
      </c>
      <c r="AN12">
        <f t="shared" si="10"/>
        <v>11514394.159999998</v>
      </c>
      <c r="AT12">
        <f t="shared" si="0"/>
        <v>8560767.6899999995</v>
      </c>
      <c r="AU12">
        <f t="shared" si="1"/>
        <v>17191613.350000001</v>
      </c>
      <c r="AW12" s="13">
        <v>25000000</v>
      </c>
      <c r="AX12" s="12" t="e">
        <f t="shared" si="2"/>
        <v>#N/A</v>
      </c>
      <c r="AY12">
        <f>INDEX($AT$3:$AT$14,SCROLL)</f>
        <v>8897472.3699999992</v>
      </c>
      <c r="BE12">
        <v>10</v>
      </c>
      <c r="BF12" t="s">
        <v>8</v>
      </c>
      <c r="BG12">
        <f>SUMIFS(TOTPATIENTS,'COMPARATIVE ANNUAL DATA '!$A$3:$A$50,'PROCCESSING '!BG$2,MONTHS,'PROCCESSING '!$BF12)</f>
        <v>23170</v>
      </c>
      <c r="BH12">
        <f>SUMIFS(TOTPATIENTS,'COMPARATIVE ANNUAL DATA '!$A$3:$A$50,'PROCCESSING '!BH$2,MONTHS,'PROCCESSING '!$BF12)</f>
        <v>24429</v>
      </c>
      <c r="BI12">
        <f>SUMIFS(TOTPATIENTS,'COMPARATIVE ANNUAL DATA '!$A$3:$A$50,'PROCCESSING '!BI$2,MONTHS,'PROCCESSING '!$BF12)</f>
        <v>20950</v>
      </c>
      <c r="BJ12">
        <f>SUMIFS(TOTPATIENTS,'COMPARATIVE ANNUAL DATA '!$A$3:$A$50,'PROCCESSING '!BJ$2,MONTHS,'PROCCESSING '!$BF12)</f>
        <v>20859</v>
      </c>
      <c r="BO12">
        <f>SUMIFS(TOTPATIENTS,'COMPARATIVE ANNUAL DATA '!$A$3:$A$50,'PROCCESSING '!BO$2,MONTHS,'PROCCESSING '!$BF12)</f>
        <v>20859</v>
      </c>
      <c r="BP12">
        <f t="shared" si="3"/>
        <v>20950</v>
      </c>
      <c r="BR12">
        <v>35000</v>
      </c>
      <c r="BT12" t="e">
        <f t="shared" si="4"/>
        <v>#N/A</v>
      </c>
      <c r="CA12">
        <v>8</v>
      </c>
      <c r="CB12" t="s">
        <v>6</v>
      </c>
      <c r="CC12" s="5">
        <f>SUMIFS(BEDOCCUPANCY,'COMPARATIVE ANNUAL DATA '!$A$3:$A$50,'PROCCESSING '!CC$4,MONTHS,'PROCCESSING '!$CB12)</f>
        <v>0.95</v>
      </c>
      <c r="CD12" s="5">
        <f>SUMIFS(BEDOCCUPANCY,'COMPARATIVE ANNUAL DATA '!$A$3:$A$50,'PROCCESSING '!CD$4,MONTHS,'PROCCESSING '!$CB12)</f>
        <v>0.94</v>
      </c>
      <c r="CE12" s="5">
        <f>SUMIFS(BEDOCCUPANCY,'COMPARATIVE ANNUAL DATA '!$A$3:$A$50,'PROCCESSING '!CE$4,MONTHS,'PROCCESSING '!$CB12)</f>
        <v>0.97</v>
      </c>
      <c r="CF12" s="5">
        <f>SUMIFS(BEDOCCUPANCY,'COMPARATIVE ANNUAL DATA '!$A$3:$A$50,'PROCCESSING '!CF$4,MONTHS,'PROCCESSING '!$CB12)</f>
        <v>0.92</v>
      </c>
      <c r="CJ12" s="5">
        <f>SUMIFS(BEDOCCUPANCY,'COMPARATIVE ANNUAL DATA '!$A$3:$A$50,'PROCCESSING '!CJ$4,MONTHS,'PROCCESSING '!$CB12)</f>
        <v>0.92</v>
      </c>
      <c r="CK12" s="5">
        <f t="shared" si="20"/>
        <v>0.97</v>
      </c>
      <c r="CM12" s="4">
        <v>1.2</v>
      </c>
      <c r="CN12" s="5">
        <f t="shared" si="21"/>
        <v>1.2</v>
      </c>
      <c r="CT12">
        <v>9</v>
      </c>
      <c r="CU12" t="s">
        <v>7</v>
      </c>
      <c r="CV12">
        <f>SUMIFS(TOTADMISSIONS,'COMPARATIVE ANNUAL DATA '!$A$3:$A$50,'PROCCESSING '!CV$3,MONTHS,'PROCCESSING '!$CU12)</f>
        <v>1151</v>
      </c>
      <c r="CW12">
        <f>SUMIFS(TOTADMISSIONS,'COMPARATIVE ANNUAL DATA '!$A$3:$A$50,'PROCCESSING '!CW$3,MONTHS,'PROCCESSING '!$CU12)</f>
        <v>1006</v>
      </c>
      <c r="CX12">
        <f>SUMIFS(TOTADMISSIONS,'COMPARATIVE ANNUAL DATA '!$A$3:$A$50,'PROCCESSING '!CX$3,MONTHS,'PROCCESSING '!$CU12)</f>
        <v>1110</v>
      </c>
      <c r="CY12">
        <f>SUMIFS(TOTADMISSIONS,'COMPARATIVE ANNUAL DATA '!$A$3:$A$50,'PROCCESSING '!CY$3,MONTHS,'PROCCESSING '!$CU12)</f>
        <v>890</v>
      </c>
      <c r="DD12">
        <f>SUMIFS(TOTADMISSIONS,'COMPARATIVE ANNUAL DATA '!$A$3:$A$50,'PROCCESSING '!DD$3,MONTHS,'PROCCESSING '!$CU12)</f>
        <v>890</v>
      </c>
      <c r="DE12">
        <f t="shared" si="11"/>
        <v>1110</v>
      </c>
      <c r="DG12">
        <f t="shared" si="22"/>
        <v>2000</v>
      </c>
      <c r="DH12">
        <v>0</v>
      </c>
      <c r="DR12">
        <v>9</v>
      </c>
      <c r="DS12" t="s">
        <v>7</v>
      </c>
      <c r="DT12">
        <f>SUMIFS('COMPARATIVE ANNUAL DATA '!$J$3:$J$50,'COMPARATIVE ANNUAL DATA '!$A$3:$A$50,'PROCCESSING '!DT$3,MONTHS,'PROCCESSING '!$DS12)</f>
        <v>110</v>
      </c>
      <c r="DU12">
        <f>SUMIFS('COMPARATIVE ANNUAL DATA '!$J$3:$J$50,'COMPARATIVE ANNUAL DATA '!$A$3:$A$50,'PROCCESSING '!DU$3,MONTHS,'PROCCESSING '!$DS12)</f>
        <v>119</v>
      </c>
      <c r="DV12">
        <f>SUMIFS('COMPARATIVE ANNUAL DATA '!$J$3:$J$50,'COMPARATIVE ANNUAL DATA '!$A$3:$A$50,'PROCCESSING '!DV$3,MONTHS,'PROCCESSING '!$DS12)</f>
        <v>112</v>
      </c>
      <c r="DW12">
        <f>SUMIFS('COMPARATIVE ANNUAL DATA '!$J$3:$J$50,'COMPARATIVE ANNUAL DATA '!$A$3:$A$50,'PROCCESSING '!DW$3,MONTHS,'PROCCESSING '!$DS12)</f>
        <v>113</v>
      </c>
      <c r="EC12">
        <f>SUMIFS('COMPARATIVE ANNUAL DATA '!$J$3:$J$50,'COMPARATIVE ANNUAL DATA '!$A$3:$A$50,'PROCCESSING '!EC$3,MONTHS,'PROCCESSING '!$DS12)</f>
        <v>113</v>
      </c>
      <c r="ED12">
        <f t="shared" si="12"/>
        <v>112</v>
      </c>
      <c r="EF12">
        <v>200</v>
      </c>
      <c r="EG12" t="e">
        <f t="shared" si="13"/>
        <v>#N/A</v>
      </c>
      <c r="EM12">
        <v>9</v>
      </c>
      <c r="EN12" t="s">
        <v>7</v>
      </c>
      <c r="EO12">
        <f>SUMIFS('COMPARATIVE ANNUAL DATA '!$I$3:$I$50,'COMPARATIVE ANNUAL DATA '!$A$3:$A$50,'PROCCESSING '!EO$3,MONTHS,'PROCCESSING '!$DS12)</f>
        <v>51</v>
      </c>
      <c r="EP12">
        <f>SUMIFS('COMPARATIVE ANNUAL DATA '!$I$3:$I$50,'COMPARATIVE ANNUAL DATA '!$A$3:$A$50,'PROCCESSING '!EP$3,MONTHS,'PROCCESSING '!$DS12)</f>
        <v>56</v>
      </c>
      <c r="EQ12">
        <f>SUMIFS('COMPARATIVE ANNUAL DATA '!$I$3:$I$50,'COMPARATIVE ANNUAL DATA '!$A$3:$A$50,'PROCCESSING '!EQ$3,MONTHS,'PROCCESSING '!$DS12)</f>
        <v>52</v>
      </c>
      <c r="ER12">
        <f>SUMIFS('COMPARATIVE ANNUAL DATA '!$I$3:$I$50,'COMPARATIVE ANNUAL DATA '!$A$3:$A$50,'PROCCESSING '!ER$3,MONTHS,'PROCCESSING '!$DS12)</f>
        <v>56</v>
      </c>
      <c r="EU12">
        <f>SUMIFS('COMPARATIVE ANNUAL DATA '!$I$3:$I$50,'COMPARATIVE ANNUAL DATA '!$A$3:$A$50,'PROCCESSING '!EU$3,MONTHS,'PROCCESSING '!$DS12)</f>
        <v>56</v>
      </c>
      <c r="EV12">
        <f t="shared" si="14"/>
        <v>52</v>
      </c>
      <c r="FD12">
        <v>9</v>
      </c>
      <c r="FE12" t="s">
        <v>7</v>
      </c>
      <c r="FF12" s="5">
        <f>SUMIFS('COMPARATIVE ANNUAL DATA '!$K$3:$K$50,'COMPARATIVE ANNUAL DATA '!$A$3:$A$50,'PROCCESSING '!FF$3,MONTHS,'PROCCESSING '!$DS12)</f>
        <v>0.46363636363636362</v>
      </c>
      <c r="FG12" s="5">
        <f>SUMIFS('COMPARATIVE ANNUAL DATA '!$K$3:$K$50,'COMPARATIVE ANNUAL DATA '!$A$3:$A$50,'PROCCESSING '!FG$3,MONTHS,'PROCCESSING '!$DS12)</f>
        <v>0.47058823529411764</v>
      </c>
      <c r="FH12" s="5">
        <f>SUMIFS('COMPARATIVE ANNUAL DATA '!$K$3:$K$50,'COMPARATIVE ANNUAL DATA '!$A$3:$A$50,'PROCCESSING '!FH$3,MONTHS,'PROCCESSING '!$DS12)</f>
        <v>0.4642857142857143</v>
      </c>
      <c r="FI12" s="5">
        <f>SUMIFS('COMPARATIVE ANNUAL DATA '!$K$3:$K$50,'COMPARATIVE ANNUAL DATA '!$A$3:$A$50,'PROCCESSING '!FI$3,MONTHS,'PROCCESSING '!$DS12)</f>
        <v>0.49557522123893805</v>
      </c>
      <c r="FK12" s="5">
        <f>SUMIFS('COMPARATIVE ANNUAL DATA '!$K$3:$K$50,'COMPARATIVE ANNUAL DATA '!$A$3:$A$50,'PROCCESSING '!FK$3,MONTHS,'PROCCESSING '!$DS12)</f>
        <v>0.49557522123893805</v>
      </c>
      <c r="FL12" s="5">
        <f t="shared" si="15"/>
        <v>0.4642857142857143</v>
      </c>
      <c r="FQ12">
        <v>9</v>
      </c>
      <c r="FR12" t="s">
        <v>7</v>
      </c>
      <c r="FS12">
        <f>SUMIFS('COMPARATIVE ANNUAL DATA '!$S$3:$S$50,'COMPARATIVE ANNUAL DATA '!$A$3:$A$50,'PROCCESSING '!FS$3,MONTHS,'PROCCESSING '!$DS12)</f>
        <v>2.79</v>
      </c>
      <c r="FT12">
        <f>SUMIFS('COMPARATIVE ANNUAL DATA '!$S$3:$S$50,'COMPARATIVE ANNUAL DATA '!$A$3:$A$50,'PROCCESSING '!FT$3,MONTHS,'PROCCESSING '!$DS12)</f>
        <v>2.54</v>
      </c>
      <c r="FU12">
        <f>SUMIFS('COMPARATIVE ANNUAL DATA '!$S$3:$S$50,'COMPARATIVE ANNUAL DATA '!$A$3:$A$50,'PROCCESSING '!FU$3,MONTHS,'PROCCESSING '!$DS12)</f>
        <v>2.86</v>
      </c>
      <c r="FV12">
        <f>SUMIFS('COMPARATIVE ANNUAL DATA '!$S$3:$S$50,'COMPARATIVE ANNUAL DATA '!$A$3:$A$50,'PROCCESSING '!FV$3,MONTHS,'PROCCESSING '!$DS12)</f>
        <v>2.5499999999999998</v>
      </c>
      <c r="FX12">
        <f>SUMIFS('COMPARATIVE ANNUAL DATA '!$S$3:$S$50,'COMPARATIVE ANNUAL DATA '!$A$3:$A$50,'PROCCESSING '!FX$3,MONTHS,'PROCCESSING '!$DS12)</f>
        <v>2.5499999999999998</v>
      </c>
      <c r="FY12" s="24">
        <f t="shared" si="23"/>
        <v>2.86</v>
      </c>
      <c r="GA12">
        <v>5</v>
      </c>
      <c r="GB12" t="e">
        <f t="shared" si="16"/>
        <v>#N/A</v>
      </c>
      <c r="GG12">
        <v>10</v>
      </c>
      <c r="GH12" t="s">
        <v>8</v>
      </c>
      <c r="GI12" s="1">
        <f>SUMIFS('COMPARATIVE ANNUAL DATA '!$W$3:$W$50,'COMPARATIVE ANNUAL DATA '!$A$3:$A$50,'PROCCESSING '!GI$2,MONTHS,'PROCCESSING '!$GH12)</f>
        <v>17668021.73</v>
      </c>
      <c r="GJ12" s="1">
        <f>SUMIFS('COMPARATIVE ANNUAL DATA '!$W$3:$W$50,'COMPARATIVE ANNUAL DATA '!$A$3:$A$50,'PROCCESSING '!GJ$2,MONTHS,'PROCCESSING '!$GH12)</f>
        <v>17040476.159999996</v>
      </c>
      <c r="GK12" s="1">
        <f>SUMIFS('COMPARATIVE ANNUAL DATA '!$W$3:$W$50,'COMPARATIVE ANNUAL DATA '!$A$3:$A$50,'PROCCESSING '!GK$2,MONTHS,'PROCCESSING '!$GH12)</f>
        <v>23171088.709999986</v>
      </c>
      <c r="GL12" s="1">
        <f>SUMIFS('COMPARATIVE ANNUAL DATA '!$W$3:$W$50,'COMPARATIVE ANNUAL DATA '!$A$3:$A$50,'PROCCESSING '!GL$2,MONTHS,'PROCCESSING '!$GH12)</f>
        <v>11195321.100000001</v>
      </c>
      <c r="GO12" s="1">
        <f>SUMIFS('COMPARATIVE ANNUAL DATA '!$W$3:$W$50,'COMPARATIVE ANNUAL DATA '!$A$3:$A$50,'PROCCESSING '!GO$2,MONTHS,'PROCCESSING '!$GH12)</f>
        <v>11195321.100000001</v>
      </c>
      <c r="GP12">
        <f t="shared" si="5"/>
        <v>23171088.709999986</v>
      </c>
      <c r="GU12" s="1">
        <v>50000000</v>
      </c>
      <c r="GV12" t="e">
        <f t="shared" si="6"/>
        <v>#N/A</v>
      </c>
      <c r="HE12">
        <v>9</v>
      </c>
      <c r="HF12" t="s">
        <v>7</v>
      </c>
      <c r="HG12" s="1">
        <f>SUMIFS('COMPARATIVE ANNUAL DATA '!$X$3:$X$50,'COMPARATIVE ANNUAL DATA '!$A$3:$A$50,'PROCCESSING '!HG$3,MONTHS,$HF12)</f>
        <v>4814066.6600000076</v>
      </c>
      <c r="HH12" s="1">
        <f>SUMIFS('COMPARATIVE ANNUAL DATA '!$X$3:$X$50,'COMPARATIVE ANNUAL DATA '!$A$3:$A$50,'PROCCESSING '!HH$3,MONTHS,$HF12)</f>
        <v>5568687.1100000031</v>
      </c>
      <c r="HI12" s="1">
        <f>SUMIFS('COMPARATIVE ANNUAL DATA '!$X$3:$X$50,'COMPARATIVE ANNUAL DATA '!$A$3:$A$50,'PROCCESSING '!HI$3,MONTHS,$HF12)</f>
        <v>6520516.2159999944</v>
      </c>
      <c r="HJ12" s="1">
        <f>SUMIFS('COMPARATIVE ANNUAL DATA '!$X$3:$X$50,'COMPARATIVE ANNUAL DATA '!$A$3:$A$50,'PROCCESSING '!HJ$3,MONTHS,$HF12)</f>
        <v>9100488.1399999969</v>
      </c>
      <c r="HM12" s="1">
        <f>SUMIFS('COMPARATIVE ANNUAL DATA '!$X$3:$X$50,'COMPARATIVE ANNUAL DATA '!$A$3:$A$50,'PROCCESSING '!HM$3,MONTHS,$HF12)</f>
        <v>9100488.1399999969</v>
      </c>
      <c r="HN12">
        <f t="shared" si="24"/>
        <v>6520516.2159999944</v>
      </c>
      <c r="HR12" s="1">
        <v>30000000</v>
      </c>
      <c r="HS12" t="e">
        <f t="shared" si="17"/>
        <v>#N/A</v>
      </c>
      <c r="HX12">
        <v>9</v>
      </c>
      <c r="HY12" t="s">
        <v>7</v>
      </c>
      <c r="HZ12" s="5">
        <f>SUMIFS('COMPARATIVE ANNUAL DATA '!$Y$3:$Y$50,'COMPARATIVE ANNUAL DATA '!$A$3:$A$50,'PROCCESSING '!HZ$3,MONTHS,$HF12)</f>
        <v>0.20860655001812545</v>
      </c>
      <c r="IA12" s="5">
        <f>SUMIFS('COMPARATIVE ANNUAL DATA '!$Y$3:$Y$50,'COMPARATIVE ANNUAL DATA '!$A$3:$A$50,'PROCCESSING '!IA$3,MONTHS,$HF12)</f>
        <v>0.24735646126115557</v>
      </c>
      <c r="IB12" s="5">
        <f>SUMIFS('COMPARATIVE ANNUAL DATA '!$Y$3:$Y$50,'COMPARATIVE ANNUAL DATA '!$A$3:$A$50,'PROCCESSING '!IB$3,MONTHS,$HF12)</f>
        <v>0.22296040830400674</v>
      </c>
      <c r="IC12" s="5">
        <f>SUMIFS('COMPARATIVE ANNUAL DATA '!$Y$3:$Y$50,'COMPARATIVE ANNUAL DATA '!$A$3:$A$50,'PROCCESSING '!IC$3,MONTHS,$HF12)</f>
        <v>0.42792891440346137</v>
      </c>
      <c r="IE12" s="5">
        <f>SUMIFS('COMPARATIVE ANNUAL DATA '!$Y$3:$Y$50,'COMPARATIVE ANNUAL DATA '!$A$3:$A$50,'PROCCESSING '!IE$3,MONTHS,$HF12)</f>
        <v>0.42792891440346137</v>
      </c>
      <c r="IF12" s="5">
        <f t="shared" si="18"/>
        <v>0.22296040830400674</v>
      </c>
      <c r="IH12" s="4">
        <v>1</v>
      </c>
      <c r="II12" s="5" t="e">
        <f t="shared" si="19"/>
        <v>#N/A</v>
      </c>
    </row>
    <row r="13" spans="1:244" x14ac:dyDescent="0.25">
      <c r="A13" t="s">
        <v>9</v>
      </c>
      <c r="E13">
        <v>10</v>
      </c>
      <c r="F13" t="s">
        <v>8</v>
      </c>
      <c r="G13">
        <f>SUMIFS(REVENUES,'COMPARATIVE ANNUAL DATA '!$A$3:$A$50,'PROCCESSING '!G$3,MONTHS,'PROCCESSING '!$F13)</f>
        <v>23567276.469999999</v>
      </c>
      <c r="H13">
        <f>SUMIFS(REVENUES,'COMPARATIVE ANNUAL DATA '!$A$3:$A$50,'PROCCESSING '!$H$3,MONTHS,'PROCCESSING '!F13)</f>
        <v>22403204.699999999</v>
      </c>
      <c r="I13">
        <f>SUMIFS(REVENUES,'COMPARATIVE ANNUAL DATA '!$A$3:$A$50,'PROCCESSING '!I$3,MONTHS,'PROCCESSING '!$F13)</f>
        <v>25752381.039999999</v>
      </c>
      <c r="J13">
        <f>SUMIFS(REVENUES,'COMPARATIVE ANNUAL DATA '!$A$3:$A$50,'PROCCESSING '!J$3,MONTHS,'PROCCESSING '!$F13)</f>
        <v>20410790.469999999</v>
      </c>
      <c r="M13">
        <v>10</v>
      </c>
      <c r="N13" t="s">
        <v>8</v>
      </c>
      <c r="O13" s="1">
        <f>SUMIFS(REVENUES,'COMPARATIVE ANNUAL DATA '!$A$3:$A$50,'PROCCESSING '!O$3,MONTHS,'PROCCESSING '!$F13)</f>
        <v>20410790.469999999</v>
      </c>
      <c r="P13" s="1">
        <f t="shared" si="7"/>
        <v>25752381.039999999</v>
      </c>
      <c r="R13" s="1">
        <v>35000000</v>
      </c>
      <c r="T13" t="e">
        <f t="shared" si="8"/>
        <v>#N/A</v>
      </c>
      <c r="AA13" t="s">
        <v>9</v>
      </c>
      <c r="AB13">
        <f>SUMIFS('COMPARATIVE ANNUAL DATA '!$D$3:$D$50,'COMPARATIVE ANNUAL DATA '!$A$3:$A$50,'PROCCESSING '!$AB$2,MONTHS,'PROCCESSING '!AA13)</f>
        <v>6896809.7300000004</v>
      </c>
      <c r="AC13">
        <f>SUMIFS('COMPARATIVE ANNUAL DATA '!$E$3:$E$50,'COMPARATIVE ANNUAL DATA '!$A$3:$A$50,'PROCCESSING '!$AC$2,MONTHS,'PROCCESSING '!AA13)</f>
        <v>13330604.059999999</v>
      </c>
      <c r="AD13">
        <f>SUMIFS('COMPARATIVE ANNUAL DATA '!$D$3:$D$50,'COMPARATIVE ANNUAL DATA '!$A$3:$A$50,'PROCCESSING '!$AD$2,MONTHS,'PROCCESSING '!AA13)</f>
        <v>7677510.6100000003</v>
      </c>
      <c r="AE13">
        <f>SUMIFS('COMPARATIVE ANNUAL DATA '!$E$3:$E$50,'COMPARATIVE ANNUAL DATA '!$A$3:$A$50,'PROCCESSING '!$AE$2,MONTHS,'PROCCESSING '!AA13)</f>
        <v>15155435.5</v>
      </c>
      <c r="AF13">
        <f>SUMIFS('COMPARATIVE ANNUAL DATA '!$D$3:$D$50,'COMPARATIVE ANNUAL DATA '!$A$3:$A$50,'PROCCESSING '!$AF$2,MONTHS,'PROCCESSING '!AA13)</f>
        <v>7980922.4100000001</v>
      </c>
      <c r="AG13">
        <f>SUMIFS('COMPARATIVE ANNUAL DATA '!$E$3:$E$50,'COMPARATIVE ANNUAL DATA '!$A$3:$A$50,'PROCCESSING '!$AG$2,MONTHS,'PROCCESSING '!AA13)</f>
        <v>15660925.862</v>
      </c>
      <c r="AH13">
        <f>SUMIFS('COMPARATIVE ANNUAL DATA '!$D$3:$D$50,'COMPARATIVE ANNUAL DATA '!$A$3:$A$50,'PROCCESSING '!$AH$2,MONTHS,'PROCCESSING '!AA13)</f>
        <v>7910216.46</v>
      </c>
      <c r="AI13">
        <f>SUMIFS('COMPARATIVE ANNUAL DATA '!$E$3:$E$50,'COMPARATIVE ANNUAL DATA '!$A$3:$A$50,'PROCCESSING '!$AI$2,MONTHS,'PROCCESSING '!AA13)</f>
        <v>11537653.669999998</v>
      </c>
      <c r="AK13">
        <v>11</v>
      </c>
      <c r="AL13" t="s">
        <v>9</v>
      </c>
      <c r="AM13">
        <f t="shared" si="9"/>
        <v>7910216.46</v>
      </c>
      <c r="AN13">
        <f t="shared" si="10"/>
        <v>11537653.669999998</v>
      </c>
      <c r="AT13">
        <f t="shared" si="0"/>
        <v>7980922.4100000001</v>
      </c>
      <c r="AU13">
        <f t="shared" si="1"/>
        <v>15660925.862</v>
      </c>
      <c r="AW13" s="13">
        <v>25000000</v>
      </c>
      <c r="AX13" s="12" t="e">
        <f t="shared" si="2"/>
        <v>#N/A</v>
      </c>
      <c r="AY13" t="s">
        <v>41</v>
      </c>
      <c r="BE13">
        <v>11</v>
      </c>
      <c r="BF13" t="s">
        <v>9</v>
      </c>
      <c r="BG13">
        <f>SUMIFS(TOTPATIENTS,'COMPARATIVE ANNUAL DATA '!$A$3:$A$50,'PROCCESSING '!BG$2,MONTHS,'PROCCESSING '!$BF13)</f>
        <v>22209</v>
      </c>
      <c r="BH13">
        <f>SUMIFS(TOTPATIENTS,'COMPARATIVE ANNUAL DATA '!$A$3:$A$50,'PROCCESSING '!BH$2,MONTHS,'PROCCESSING '!$BF13)</f>
        <v>22418</v>
      </c>
      <c r="BI13">
        <f>SUMIFS(TOTPATIENTS,'COMPARATIVE ANNUAL DATA '!$A$3:$A$50,'PROCCESSING '!BI$2,MONTHS,'PROCCESSING '!$BF13)</f>
        <v>19107</v>
      </c>
      <c r="BJ13">
        <f>SUMIFS(TOTPATIENTS,'COMPARATIVE ANNUAL DATA '!$A$3:$A$50,'PROCCESSING '!BJ$2,MONTHS,'PROCCESSING '!$BF13)</f>
        <v>19898</v>
      </c>
      <c r="BO13">
        <f>SUMIFS(TOTPATIENTS,'COMPARATIVE ANNUAL DATA '!$A$3:$A$50,'PROCCESSING '!BO$2,MONTHS,'PROCCESSING '!$BF13)</f>
        <v>19898</v>
      </c>
      <c r="BP13">
        <f t="shared" si="3"/>
        <v>19107</v>
      </c>
      <c r="BR13">
        <v>35000</v>
      </c>
      <c r="BT13" t="e">
        <f t="shared" si="4"/>
        <v>#N/A</v>
      </c>
      <c r="CA13">
        <v>9</v>
      </c>
      <c r="CB13" t="s">
        <v>7</v>
      </c>
      <c r="CC13" s="5">
        <f>SUMIFS(BEDOCCUPANCY,'COMPARATIVE ANNUAL DATA '!$A$3:$A$50,'PROCCESSING '!CC$4,MONTHS,'PROCCESSING '!$CB13)</f>
        <v>0.97</v>
      </c>
      <c r="CD13" s="5">
        <f>SUMIFS(BEDOCCUPANCY,'COMPARATIVE ANNUAL DATA '!$A$3:$A$50,'PROCCESSING '!CD$4,MONTHS,'PROCCESSING '!$CB13)</f>
        <v>0.88</v>
      </c>
      <c r="CE13" s="5">
        <f>SUMIFS(BEDOCCUPANCY,'COMPARATIVE ANNUAL DATA '!$A$3:$A$50,'PROCCESSING '!CE$4,MONTHS,'PROCCESSING '!$CB13)</f>
        <v>0.95</v>
      </c>
      <c r="CF13" s="5">
        <f>SUMIFS(BEDOCCUPANCY,'COMPARATIVE ANNUAL DATA '!$A$3:$A$50,'PROCCESSING '!CF$4,MONTHS,'PROCCESSING '!$CB13)</f>
        <v>0.7</v>
      </c>
      <c r="CJ13" s="5">
        <f>SUMIFS(BEDOCCUPANCY,'COMPARATIVE ANNUAL DATA '!$A$3:$A$50,'PROCCESSING '!CJ$4,MONTHS,'PROCCESSING '!$CB13)</f>
        <v>0.7</v>
      </c>
      <c r="CK13" s="5">
        <f t="shared" si="20"/>
        <v>0.95</v>
      </c>
      <c r="CM13" s="4">
        <v>1.2</v>
      </c>
      <c r="CN13" s="5" t="e">
        <f t="shared" si="21"/>
        <v>#N/A</v>
      </c>
      <c r="CT13">
        <v>10</v>
      </c>
      <c r="CU13" t="s">
        <v>8</v>
      </c>
      <c r="CV13">
        <f>SUMIFS(TOTADMISSIONS,'COMPARATIVE ANNUAL DATA '!$A$3:$A$50,'PROCCESSING '!CV$3,MONTHS,'PROCCESSING '!$CU13)</f>
        <v>1221</v>
      </c>
      <c r="CW13">
        <f>SUMIFS(TOTADMISSIONS,'COMPARATIVE ANNUAL DATA '!$A$3:$A$50,'PROCCESSING '!CW$3,MONTHS,'PROCCESSING '!$CU13)</f>
        <v>1131</v>
      </c>
      <c r="CX13">
        <f>SUMIFS(TOTADMISSIONS,'COMPARATIVE ANNUAL DATA '!$A$3:$A$50,'PROCCESSING '!CX$3,MONTHS,'PROCCESSING '!$CU13)</f>
        <v>982</v>
      </c>
      <c r="CY13">
        <f>SUMIFS(TOTADMISSIONS,'COMPARATIVE ANNUAL DATA '!$A$3:$A$50,'PROCCESSING '!CY$3,MONTHS,'PROCCESSING '!$CU13)</f>
        <v>879</v>
      </c>
      <c r="DD13">
        <f>SUMIFS(TOTADMISSIONS,'COMPARATIVE ANNUAL DATA '!$A$3:$A$50,'PROCCESSING '!DD$3,MONTHS,'PROCCESSING '!$CU13)</f>
        <v>879</v>
      </c>
      <c r="DE13">
        <f t="shared" si="11"/>
        <v>982</v>
      </c>
      <c r="DG13">
        <f t="shared" si="22"/>
        <v>1861</v>
      </c>
      <c r="DH13">
        <v>0</v>
      </c>
      <c r="DR13">
        <v>10</v>
      </c>
      <c r="DS13" t="s">
        <v>8</v>
      </c>
      <c r="DT13">
        <f>SUMIFS('COMPARATIVE ANNUAL DATA '!$J$3:$J$50,'COMPARATIVE ANNUAL DATA '!$A$3:$A$50,'PROCCESSING '!DT$3,MONTHS,'PROCCESSING '!$DS13)</f>
        <v>119</v>
      </c>
      <c r="DU13">
        <f>SUMIFS('COMPARATIVE ANNUAL DATA '!$J$3:$J$50,'COMPARATIVE ANNUAL DATA '!$A$3:$A$50,'PROCCESSING '!DU$3,MONTHS,'PROCCESSING '!$DS13)</f>
        <v>116</v>
      </c>
      <c r="DV13">
        <f>SUMIFS('COMPARATIVE ANNUAL DATA '!$J$3:$J$50,'COMPARATIVE ANNUAL DATA '!$A$3:$A$50,'PROCCESSING '!DV$3,MONTHS,'PROCCESSING '!$DS13)</f>
        <v>106</v>
      </c>
      <c r="DW13">
        <f>SUMIFS('COMPARATIVE ANNUAL DATA '!$J$3:$J$50,'COMPARATIVE ANNUAL DATA '!$A$3:$A$50,'PROCCESSING '!DW$3,MONTHS,'PROCCESSING '!$DS13)</f>
        <v>112</v>
      </c>
      <c r="EC13">
        <f>SUMIFS('COMPARATIVE ANNUAL DATA '!$J$3:$J$50,'COMPARATIVE ANNUAL DATA '!$A$3:$A$50,'PROCCESSING '!EC$3,MONTHS,'PROCCESSING '!$DS13)</f>
        <v>112</v>
      </c>
      <c r="ED13">
        <f t="shared" si="12"/>
        <v>106</v>
      </c>
      <c r="EF13">
        <v>200</v>
      </c>
      <c r="EG13" t="e">
        <f t="shared" si="13"/>
        <v>#N/A</v>
      </c>
      <c r="EM13">
        <v>10</v>
      </c>
      <c r="EN13" t="s">
        <v>8</v>
      </c>
      <c r="EO13">
        <f>SUMIFS('COMPARATIVE ANNUAL DATA '!$I$3:$I$50,'COMPARATIVE ANNUAL DATA '!$A$3:$A$50,'PROCCESSING '!EO$3,MONTHS,'PROCCESSING '!$DS13)</f>
        <v>59</v>
      </c>
      <c r="EP13">
        <f>SUMIFS('COMPARATIVE ANNUAL DATA '!$I$3:$I$50,'COMPARATIVE ANNUAL DATA '!$A$3:$A$50,'PROCCESSING '!EP$3,MONTHS,'PROCCESSING '!$DS13)</f>
        <v>56</v>
      </c>
      <c r="EQ13">
        <f>SUMIFS('COMPARATIVE ANNUAL DATA '!$I$3:$I$50,'COMPARATIVE ANNUAL DATA '!$A$3:$A$50,'PROCCESSING '!EQ$3,MONTHS,'PROCCESSING '!$DS13)</f>
        <v>51</v>
      </c>
      <c r="ER13">
        <f>SUMIFS('COMPARATIVE ANNUAL DATA '!$I$3:$I$50,'COMPARATIVE ANNUAL DATA '!$A$3:$A$50,'PROCCESSING '!ER$3,MONTHS,'PROCCESSING '!$DS13)</f>
        <v>60</v>
      </c>
      <c r="EU13">
        <f>SUMIFS('COMPARATIVE ANNUAL DATA '!$I$3:$I$50,'COMPARATIVE ANNUAL DATA '!$A$3:$A$50,'PROCCESSING '!EU$3,MONTHS,'PROCCESSING '!$DS13)</f>
        <v>60</v>
      </c>
      <c r="EV13">
        <f t="shared" si="14"/>
        <v>51</v>
      </c>
      <c r="FD13">
        <v>10</v>
      </c>
      <c r="FE13" t="s">
        <v>8</v>
      </c>
      <c r="FF13" s="5">
        <f>SUMIFS('COMPARATIVE ANNUAL DATA '!$K$3:$K$50,'COMPARATIVE ANNUAL DATA '!$A$3:$A$50,'PROCCESSING '!FF$3,MONTHS,'PROCCESSING '!$DS13)</f>
        <v>0.49579831932773111</v>
      </c>
      <c r="FG13" s="5">
        <f>SUMIFS('COMPARATIVE ANNUAL DATA '!$K$3:$K$50,'COMPARATIVE ANNUAL DATA '!$A$3:$A$50,'PROCCESSING '!FG$3,MONTHS,'PROCCESSING '!$DS13)</f>
        <v>0.48275862068965519</v>
      </c>
      <c r="FH13" s="5">
        <f>SUMIFS('COMPARATIVE ANNUAL DATA '!$K$3:$K$50,'COMPARATIVE ANNUAL DATA '!$A$3:$A$50,'PROCCESSING '!FH$3,MONTHS,'PROCCESSING '!$DS13)</f>
        <v>0.48113207547169812</v>
      </c>
      <c r="FI13" s="5">
        <f>SUMIFS('COMPARATIVE ANNUAL DATA '!$K$3:$K$50,'COMPARATIVE ANNUAL DATA '!$A$3:$A$50,'PROCCESSING '!FI$3,MONTHS,'PROCCESSING '!$DS13)</f>
        <v>0.5357142857142857</v>
      </c>
      <c r="FK13" s="5">
        <f>SUMIFS('COMPARATIVE ANNUAL DATA '!$K$3:$K$50,'COMPARATIVE ANNUAL DATA '!$A$3:$A$50,'PROCCESSING '!FK$3,MONTHS,'PROCCESSING '!$DS13)</f>
        <v>0.5357142857142857</v>
      </c>
      <c r="FL13" s="5">
        <f t="shared" si="15"/>
        <v>0.48113207547169812</v>
      </c>
      <c r="FQ13">
        <v>10</v>
      </c>
      <c r="FR13" t="s">
        <v>8</v>
      </c>
      <c r="FS13">
        <f>SUMIFS('COMPARATIVE ANNUAL DATA '!$S$3:$S$50,'COMPARATIVE ANNUAL DATA '!$A$3:$A$50,'PROCCESSING '!FS$3,MONTHS,'PROCCESSING '!$DS13)</f>
        <v>2.62</v>
      </c>
      <c r="FT13">
        <f>SUMIFS('COMPARATIVE ANNUAL DATA '!$S$3:$S$50,'COMPARATIVE ANNUAL DATA '!$A$3:$A$50,'PROCCESSING '!FT$3,MONTHS,'PROCCESSING '!$DS13)</f>
        <v>2.56</v>
      </c>
      <c r="FU13">
        <f>SUMIFS('COMPARATIVE ANNUAL DATA '!$S$3:$S$50,'COMPARATIVE ANNUAL DATA '!$A$3:$A$50,'PROCCESSING '!FU$3,MONTHS,'PROCCESSING '!$DS13)</f>
        <v>2.71</v>
      </c>
      <c r="FV13">
        <f>SUMIFS('COMPARATIVE ANNUAL DATA '!$S$3:$S$50,'COMPARATIVE ANNUAL DATA '!$A$3:$A$50,'PROCCESSING '!FV$3,MONTHS,'PROCCESSING '!$DS13)</f>
        <v>2.23</v>
      </c>
      <c r="FX13">
        <f>SUMIFS('COMPARATIVE ANNUAL DATA '!$S$3:$S$50,'COMPARATIVE ANNUAL DATA '!$A$3:$A$50,'PROCCESSING '!FX$3,MONTHS,'PROCCESSING '!$DS13)</f>
        <v>2.23</v>
      </c>
      <c r="FY13" s="24">
        <f t="shared" si="23"/>
        <v>2.71</v>
      </c>
      <c r="GA13">
        <v>5</v>
      </c>
      <c r="GB13" t="e">
        <f t="shared" si="16"/>
        <v>#N/A</v>
      </c>
      <c r="GG13">
        <v>11</v>
      </c>
      <c r="GH13" t="s">
        <v>9</v>
      </c>
      <c r="GI13" s="1">
        <f>SUMIFS('COMPARATIVE ANNUAL DATA '!$W$3:$W$50,'COMPARATIVE ANNUAL DATA '!$A$3:$A$50,'PROCCESSING '!GI$2,MONTHS,'PROCCESSING '!$GH13)</f>
        <v>17814245.350000013</v>
      </c>
      <c r="GJ13" s="1">
        <f>SUMIFS('COMPARATIVE ANNUAL DATA '!$W$3:$W$50,'COMPARATIVE ANNUAL DATA '!$A$3:$A$50,'PROCCESSING '!GJ$2,MONTHS,'PROCCESSING '!$GH13)</f>
        <v>18327004.439999998</v>
      </c>
      <c r="GK13" s="1">
        <f>SUMIFS('COMPARATIVE ANNUAL DATA '!$W$3:$W$50,'COMPARATIVE ANNUAL DATA '!$A$3:$A$50,'PROCCESSING '!GK$2,MONTHS,'PROCCESSING '!$GH13)</f>
        <v>18646013.91</v>
      </c>
      <c r="GL13" s="1">
        <f>SUMIFS('COMPARATIVE ANNUAL DATA '!$W$3:$W$50,'COMPARATIVE ANNUAL DATA '!$A$3:$A$50,'PROCCESSING '!GL$2,MONTHS,'PROCCESSING '!$GH13)</f>
        <v>11760447.260000002</v>
      </c>
      <c r="GO13" s="1">
        <f>SUMIFS('COMPARATIVE ANNUAL DATA '!$W$3:$W$50,'COMPARATIVE ANNUAL DATA '!$A$3:$A$50,'PROCCESSING '!GO$2,MONTHS,'PROCCESSING '!$GH13)</f>
        <v>11760447.260000002</v>
      </c>
      <c r="GP13">
        <f t="shared" si="5"/>
        <v>18646013.91</v>
      </c>
      <c r="GU13" s="1">
        <v>50000000</v>
      </c>
      <c r="GV13" t="e">
        <f t="shared" si="6"/>
        <v>#N/A</v>
      </c>
      <c r="HE13">
        <v>10</v>
      </c>
      <c r="HF13" t="s">
        <v>8</v>
      </c>
      <c r="HG13" s="1">
        <f>SUMIFS('COMPARATIVE ANNUAL DATA '!$X$3:$X$50,'COMPARATIVE ANNUAL DATA '!$A$3:$A$50,'PROCCESSING '!HG$3,MONTHS,$HF13)</f>
        <v>5899254.7399999984</v>
      </c>
      <c r="HH13" s="1">
        <f>SUMIFS('COMPARATIVE ANNUAL DATA '!$X$3:$X$50,'COMPARATIVE ANNUAL DATA '!$A$3:$A$50,'PROCCESSING '!HH$3,MONTHS,$HF13)</f>
        <v>5362728.5400000028</v>
      </c>
      <c r="HI13" s="1">
        <f>SUMIFS('COMPARATIVE ANNUAL DATA '!$X$3:$X$50,'COMPARATIVE ANNUAL DATA '!$A$3:$A$50,'PROCCESSING '!HI$3,MONTHS,$HF13)</f>
        <v>2581292.3300000131</v>
      </c>
      <c r="HJ13" s="1">
        <f>SUMIFS('COMPARATIVE ANNUAL DATA '!$X$3:$X$50,'COMPARATIVE ANNUAL DATA '!$A$3:$A$50,'PROCCESSING '!HJ$3,MONTHS,$HF13)</f>
        <v>9215469.3699999973</v>
      </c>
      <c r="HM13" s="1">
        <f>SUMIFS('COMPARATIVE ANNUAL DATA '!$X$3:$X$50,'COMPARATIVE ANNUAL DATA '!$A$3:$A$50,'PROCCESSING '!HM$3,MONTHS,$HF13)</f>
        <v>9215469.3699999973</v>
      </c>
      <c r="HN13">
        <f t="shared" si="24"/>
        <v>2581292.3300000131</v>
      </c>
      <c r="HR13" s="1">
        <v>30000000</v>
      </c>
      <c r="HS13" t="e">
        <f t="shared" si="17"/>
        <v>#N/A</v>
      </c>
      <c r="HX13">
        <v>10</v>
      </c>
      <c r="HY13" t="s">
        <v>8</v>
      </c>
      <c r="HZ13" s="5">
        <f>SUMIFS('COMPARATIVE ANNUAL DATA '!$Y$3:$Y$50,'COMPARATIVE ANNUAL DATA '!$A$3:$A$50,'PROCCESSING '!HZ$3,MONTHS,$HF13)</f>
        <v>0.25031550622786064</v>
      </c>
      <c r="IA13" s="5">
        <f>SUMIFS('COMPARATIVE ANNUAL DATA '!$Y$3:$Y$50,'COMPARATIVE ANNUAL DATA '!$A$3:$A$50,'PROCCESSING '!IA$3,MONTHS,$HF13)</f>
        <v>0.23937327769897149</v>
      </c>
      <c r="IB13" s="5">
        <f>SUMIFS('COMPARATIVE ANNUAL DATA '!$Y$3:$Y$50,'COMPARATIVE ANNUAL DATA '!$A$3:$A$50,'PROCCESSING '!IB$3,MONTHS,$HF13)</f>
        <v>0.10023509383425981</v>
      </c>
      <c r="IC13" s="5">
        <f>SUMIFS('COMPARATIVE ANNUAL DATA '!$Y$3:$Y$50,'COMPARATIVE ANNUAL DATA '!$A$3:$A$50,'PROCCESSING '!IC$3,MONTHS,$HF13)</f>
        <v>0.45149987618289422</v>
      </c>
      <c r="IE13" s="5">
        <f>SUMIFS('COMPARATIVE ANNUAL DATA '!$Y$3:$Y$50,'COMPARATIVE ANNUAL DATA '!$A$3:$A$50,'PROCCESSING '!IE$3,MONTHS,$HF13)</f>
        <v>0.45149987618289422</v>
      </c>
      <c r="IF13" s="5">
        <f t="shared" si="18"/>
        <v>0.10023509383425981</v>
      </c>
      <c r="IH13" s="4">
        <v>1</v>
      </c>
      <c r="II13" s="5" t="e">
        <f t="shared" si="19"/>
        <v>#N/A</v>
      </c>
    </row>
    <row r="14" spans="1:244" x14ac:dyDescent="0.25">
      <c r="A14" t="s">
        <v>10</v>
      </c>
      <c r="E14">
        <v>11</v>
      </c>
      <c r="F14" t="s">
        <v>9</v>
      </c>
      <c r="G14">
        <f>SUMIFS(REVENUES,'COMPARATIVE ANNUAL DATA '!$A$3:$A$50,'PROCCESSING '!G$3,MONTHS,'PROCCESSING '!$F14)</f>
        <v>20227413.789999999</v>
      </c>
      <c r="H14">
        <f>SUMIFS(REVENUES,'COMPARATIVE ANNUAL DATA '!$A$3:$A$50,'PROCCESSING '!$H$3,MONTHS,'PROCCESSING '!F14)</f>
        <v>22832946.109999999</v>
      </c>
      <c r="I14">
        <f>SUMIFS(REVENUES,'COMPARATIVE ANNUAL DATA '!$A$3:$A$50,'PROCCESSING '!I$3,MONTHS,'PROCCESSING '!$F14)</f>
        <v>23641848.272</v>
      </c>
      <c r="J14">
        <f>SUMIFS(REVENUES,'COMPARATIVE ANNUAL DATA '!$A$3:$A$50,'PROCCESSING '!J$3,MONTHS,'PROCCESSING '!$F14)</f>
        <v>19447870.129999999</v>
      </c>
      <c r="M14">
        <v>11</v>
      </c>
      <c r="N14" t="s">
        <v>9</v>
      </c>
      <c r="O14" s="1">
        <f>SUMIFS(REVENUES,'COMPARATIVE ANNUAL DATA '!$A$3:$A$50,'PROCCESSING '!O$3,MONTHS,'PROCCESSING '!$F14)</f>
        <v>19447870.129999999</v>
      </c>
      <c r="P14" s="1">
        <f t="shared" si="7"/>
        <v>23641848.272</v>
      </c>
      <c r="R14" s="1">
        <v>35000000</v>
      </c>
      <c r="T14" t="e">
        <f t="shared" si="8"/>
        <v>#N/A</v>
      </c>
      <c r="AA14" t="s">
        <v>10</v>
      </c>
      <c r="AB14">
        <f>SUMIFS('COMPARATIVE ANNUAL DATA '!$D$3:$D$50,'COMPARATIVE ANNUAL DATA '!$A$3:$A$50,'PROCCESSING '!$AB$2,MONTHS,'PROCCESSING '!AA14)</f>
        <v>6260831.1900000004</v>
      </c>
      <c r="AC14">
        <f>SUMIFS('COMPARATIVE ANNUAL DATA '!$E$3:$E$50,'COMPARATIVE ANNUAL DATA '!$A$3:$A$50,'PROCCESSING '!$AC$2,MONTHS,'PROCCESSING '!AA14)</f>
        <v>11261895.5</v>
      </c>
      <c r="AD14">
        <f>SUMIFS('COMPARATIVE ANNUAL DATA '!$D$3:$D$50,'COMPARATIVE ANNUAL DATA '!$A$3:$A$50,'PROCCESSING '!$AD$2,MONTHS,'PROCCESSING '!AA14)</f>
        <v>8015605.1200000001</v>
      </c>
      <c r="AE14">
        <f>SUMIFS('COMPARATIVE ANNUAL DATA '!$E$3:$E$50,'COMPARATIVE ANNUAL DATA '!$A$3:$A$50,'PROCCESSING '!$AE$2,MONTHS,'PROCCESSING '!AA14)</f>
        <v>15666205.77</v>
      </c>
      <c r="AF14">
        <f>SUMIFS('COMPARATIVE ANNUAL DATA '!$D$3:$D$50,'COMPARATIVE ANNUAL DATA '!$A$3:$A$50,'PROCCESSING '!$AF$2,MONTHS,'PROCCESSING '!AA14)</f>
        <v>9483254.8399999999</v>
      </c>
      <c r="AG14">
        <f>SUMIFS('COMPARATIVE ANNUAL DATA '!$E$3:$E$50,'COMPARATIVE ANNUAL DATA '!$A$3:$A$50,'PROCCESSING '!$AG$2,MONTHS,'PROCCESSING '!AA14)</f>
        <v>16125786.537999999</v>
      </c>
      <c r="AH14">
        <f>SUMIFS('COMPARATIVE ANNUAL DATA '!$D$3:$D$50,'COMPARATIVE ANNUAL DATA '!$A$3:$A$50,'PROCCESSING '!$AH$2,MONTHS,'PROCCESSING '!AA14)</f>
        <v>7987874.5499999998</v>
      </c>
      <c r="AI14">
        <f>SUMIFS('COMPARATIVE ANNUAL DATA '!$E$3:$E$50,'COMPARATIVE ANNUAL DATA '!$A$3:$A$50,'PROCCESSING '!$AI$2,MONTHS,'PROCCESSING '!AA14)</f>
        <v>10918841.530000001</v>
      </c>
      <c r="AK14">
        <v>12</v>
      </c>
      <c r="AL14" t="s">
        <v>10</v>
      </c>
      <c r="AM14">
        <f t="shared" si="9"/>
        <v>7987874.5499999998</v>
      </c>
      <c r="AN14">
        <f t="shared" si="10"/>
        <v>10918841.530000001</v>
      </c>
      <c r="AT14">
        <f t="shared" si="0"/>
        <v>9483254.8399999999</v>
      </c>
      <c r="AU14">
        <f t="shared" si="1"/>
        <v>16125786.537999999</v>
      </c>
      <c r="AW14" s="13">
        <v>25000000</v>
      </c>
      <c r="AX14" s="12" t="e">
        <f t="shared" si="2"/>
        <v>#N/A</v>
      </c>
      <c r="AY14">
        <f>SCROLL</f>
        <v>8</v>
      </c>
      <c r="BE14">
        <v>12</v>
      </c>
      <c r="BF14" t="s">
        <v>10</v>
      </c>
      <c r="BG14">
        <f>SUMIFS(TOTPATIENTS,'COMPARATIVE ANNUAL DATA '!$A$3:$A$50,'PROCCESSING '!BG$2,MONTHS,'PROCCESSING '!$BF14)</f>
        <v>20794</v>
      </c>
      <c r="BH14">
        <f>SUMIFS(TOTPATIENTS,'COMPARATIVE ANNUAL DATA '!$A$3:$A$50,'PROCCESSING '!BH$2,MONTHS,'PROCCESSING '!$BF14)</f>
        <v>22532</v>
      </c>
      <c r="BI14">
        <f>SUMIFS(TOTPATIENTS,'COMPARATIVE ANNUAL DATA '!$A$3:$A$50,'PROCCESSING '!BI$2,MONTHS,'PROCCESSING '!$BF14)</f>
        <v>22766</v>
      </c>
      <c r="BJ14">
        <f>SUMIFS(TOTPATIENTS,'COMPARATIVE ANNUAL DATA '!$A$3:$A$50,'PROCCESSING '!BJ$2,MONTHS,'PROCCESSING '!$BF14)</f>
        <v>20104</v>
      </c>
      <c r="BO14">
        <f>SUMIFS(TOTPATIENTS,'COMPARATIVE ANNUAL DATA '!$A$3:$A$50,'PROCCESSING '!BO$2,MONTHS,'PROCCESSING '!$BF14)</f>
        <v>20104</v>
      </c>
      <c r="BP14">
        <f t="shared" si="3"/>
        <v>22766</v>
      </c>
      <c r="BR14">
        <v>35000</v>
      </c>
      <c r="BT14" t="e">
        <f t="shared" si="4"/>
        <v>#N/A</v>
      </c>
      <c r="CA14">
        <v>10</v>
      </c>
      <c r="CB14" t="s">
        <v>8</v>
      </c>
      <c r="CC14" s="5">
        <f>SUMIFS(BEDOCCUPANCY,'COMPARATIVE ANNUAL DATA '!$A$3:$A$50,'PROCCESSING '!CC$4,MONTHS,'PROCCESSING '!$CB14)</f>
        <v>0.92</v>
      </c>
      <c r="CD14" s="5">
        <f>SUMIFS(BEDOCCUPANCY,'COMPARATIVE ANNUAL DATA '!$A$3:$A$50,'PROCCESSING '!CD$4,MONTHS,'PROCCESSING '!$CB14)</f>
        <v>0.98</v>
      </c>
      <c r="CE14" s="5">
        <f>SUMIFS(BEDOCCUPANCY,'COMPARATIVE ANNUAL DATA '!$A$3:$A$50,'PROCCESSING '!CE$4,MONTHS,'PROCCESSING '!$CB14)</f>
        <v>0.83</v>
      </c>
      <c r="CF14" s="5">
        <f>SUMIFS(BEDOCCUPANCY,'COMPARATIVE ANNUAL DATA '!$A$3:$A$50,'PROCCESSING '!CF$4,MONTHS,'PROCCESSING '!$CB14)</f>
        <v>0.59</v>
      </c>
      <c r="CJ14" s="5">
        <f>SUMIFS(BEDOCCUPANCY,'COMPARATIVE ANNUAL DATA '!$A$3:$A$50,'PROCCESSING '!CJ$4,MONTHS,'PROCCESSING '!$CB14)</f>
        <v>0.59</v>
      </c>
      <c r="CK14" s="5">
        <f t="shared" si="20"/>
        <v>0.83</v>
      </c>
      <c r="CM14" s="4">
        <v>1.2</v>
      </c>
      <c r="CN14" s="5" t="e">
        <f t="shared" si="21"/>
        <v>#N/A</v>
      </c>
      <c r="CT14">
        <v>11</v>
      </c>
      <c r="CU14" t="s">
        <v>9</v>
      </c>
      <c r="CV14">
        <f>SUMIFS(TOTADMISSIONS,'COMPARATIVE ANNUAL DATA '!$A$3:$A$50,'PROCCESSING '!CV$3,MONTHS,'PROCCESSING '!$CU14)</f>
        <v>983</v>
      </c>
      <c r="CW14">
        <f>SUMIFS(TOTADMISSIONS,'COMPARATIVE ANNUAL DATA '!$A$3:$A$50,'PROCCESSING '!CW$3,MONTHS,'PROCCESSING '!$CU14)</f>
        <v>1113</v>
      </c>
      <c r="CX14">
        <f>SUMIFS(TOTADMISSIONS,'COMPARATIVE ANNUAL DATA '!$A$3:$A$50,'PROCCESSING '!CX$3,MONTHS,'PROCCESSING '!$CU14)</f>
        <v>1000</v>
      </c>
      <c r="CY14">
        <f>SUMIFS(TOTADMISSIONS,'COMPARATIVE ANNUAL DATA '!$A$3:$A$50,'PROCCESSING '!CY$3,MONTHS,'PROCCESSING '!$CU14)</f>
        <v>679</v>
      </c>
      <c r="DD14">
        <f>SUMIFS(TOTADMISSIONS,'COMPARATIVE ANNUAL DATA '!$A$3:$A$50,'PROCCESSING '!DD$3,MONTHS,'PROCCESSING '!$CU14)</f>
        <v>679</v>
      </c>
      <c r="DE14">
        <f t="shared" si="11"/>
        <v>1000</v>
      </c>
      <c r="DG14">
        <f t="shared" si="22"/>
        <v>1679</v>
      </c>
      <c r="DH14">
        <v>0</v>
      </c>
      <c r="DR14">
        <v>11</v>
      </c>
      <c r="DS14" t="s">
        <v>9</v>
      </c>
      <c r="DT14">
        <f>SUMIFS('COMPARATIVE ANNUAL DATA '!$J$3:$J$50,'COMPARATIVE ANNUAL DATA '!$A$3:$A$50,'PROCCESSING '!DT$3,MONTHS,'PROCCESSING '!$DS14)</f>
        <v>118</v>
      </c>
      <c r="DU14">
        <f>SUMIFS('COMPARATIVE ANNUAL DATA '!$J$3:$J$50,'COMPARATIVE ANNUAL DATA '!$A$3:$A$50,'PROCCESSING '!DU$3,MONTHS,'PROCCESSING '!$DS14)</f>
        <v>121</v>
      </c>
      <c r="DV14">
        <f>SUMIFS('COMPARATIVE ANNUAL DATA '!$J$3:$J$50,'COMPARATIVE ANNUAL DATA '!$A$3:$A$50,'PROCCESSING '!DV$3,MONTHS,'PROCCESSING '!$DS14)</f>
        <v>113</v>
      </c>
      <c r="DW14">
        <f>SUMIFS('COMPARATIVE ANNUAL DATA '!$J$3:$J$50,'COMPARATIVE ANNUAL DATA '!$A$3:$A$50,'PROCCESSING '!DW$3,MONTHS,'PROCCESSING '!$DS14)</f>
        <v>0</v>
      </c>
      <c r="EC14" t="e">
        <f>IF(SUMIFS('COMPARATIVE ANNUAL DATA '!$J$3:$J$50,'COMPARATIVE ANNUAL DATA '!$A$3:$A$50,'PROCCESSING '!EC$3,MONTHS,'PROCCESSING '!$DS14)=0,NA())</f>
        <v>#N/A</v>
      </c>
      <c r="ED14">
        <f t="shared" si="12"/>
        <v>113</v>
      </c>
      <c r="EF14">
        <v>200</v>
      </c>
      <c r="EG14" t="e">
        <f t="shared" si="13"/>
        <v>#N/A</v>
      </c>
      <c r="EM14">
        <v>11</v>
      </c>
      <c r="EN14" t="s">
        <v>9</v>
      </c>
      <c r="EO14">
        <f>SUMIFS('COMPARATIVE ANNUAL DATA '!$I$3:$I$50,'COMPARATIVE ANNUAL DATA '!$A$3:$A$50,'PROCCESSING '!EO$3,MONTHS,'PROCCESSING '!$DS14)</f>
        <v>57</v>
      </c>
      <c r="EP14">
        <f>SUMIFS('COMPARATIVE ANNUAL DATA '!$I$3:$I$50,'COMPARATIVE ANNUAL DATA '!$A$3:$A$50,'PROCCESSING '!EP$3,MONTHS,'PROCCESSING '!$DS14)</f>
        <v>58</v>
      </c>
      <c r="EQ14">
        <f>SUMIFS('COMPARATIVE ANNUAL DATA '!$I$3:$I$50,'COMPARATIVE ANNUAL DATA '!$A$3:$A$50,'PROCCESSING '!EQ$3,MONTHS,'PROCCESSING '!$DS14)</f>
        <v>53</v>
      </c>
      <c r="ER14">
        <f>SUMIFS('COMPARATIVE ANNUAL DATA '!$I$3:$I$50,'COMPARATIVE ANNUAL DATA '!$A$3:$A$50,'PROCCESSING '!ER$3,MONTHS,'PROCCESSING '!$DS14)</f>
        <v>0</v>
      </c>
      <c r="EU14" t="e">
        <f>IF(SUMIFS('COMPARATIVE ANNUAL DATA '!$I$3:$I$50,'COMPARATIVE ANNUAL DATA '!$A$3:$A$50,'PROCCESSING '!EU$3,MONTHS,'PROCCESSING '!$DS14)=0, NA())</f>
        <v>#N/A</v>
      </c>
      <c r="EV14">
        <f t="shared" si="14"/>
        <v>53</v>
      </c>
      <c r="FD14">
        <v>11</v>
      </c>
      <c r="FE14" t="s">
        <v>9</v>
      </c>
      <c r="FF14" s="5">
        <f>SUMIFS('COMPARATIVE ANNUAL DATA '!$K$3:$K$50,'COMPARATIVE ANNUAL DATA '!$A$3:$A$50,'PROCCESSING '!FF$3,MONTHS,'PROCCESSING '!$DS14)</f>
        <v>0.48305084745762711</v>
      </c>
      <c r="FG14" s="5">
        <f>SUMIFS('COMPARATIVE ANNUAL DATA '!$K$3:$K$50,'COMPARATIVE ANNUAL DATA '!$A$3:$A$50,'PROCCESSING '!FG$3,MONTHS,'PROCCESSING '!$DS14)</f>
        <v>0.47933884297520662</v>
      </c>
      <c r="FH14" s="5">
        <f>SUMIFS('COMPARATIVE ANNUAL DATA '!$K$3:$K$50,'COMPARATIVE ANNUAL DATA '!$A$3:$A$50,'PROCCESSING '!FH$3,MONTHS,'PROCCESSING '!$DS14)</f>
        <v>0.46902654867256638</v>
      </c>
      <c r="FI14" s="5">
        <f>SUMIFS('COMPARATIVE ANNUAL DATA '!$K$3:$K$50,'COMPARATIVE ANNUAL DATA '!$A$3:$A$50,'PROCCESSING '!FI$3,MONTHS,'PROCCESSING '!$DS14)</f>
        <v>0</v>
      </c>
      <c r="FK14" s="5" t="e">
        <f>IF(SUMIFS('COMPARATIVE ANNUAL DATA '!$K$3:$K$50,'COMPARATIVE ANNUAL DATA '!$A$3:$A$50,'PROCCESSING '!FK$3,MONTHS,'PROCCESSING '!$DS14)=0%,NA(),SUMIFS('COMPARATIVE ANNUAL DATA '!$K$3:$K$50,'COMPARATIVE ANNUAL DATA '!$A$3:$A$50,'PROCCESSING '!FK$3,MONTHS,'PROCCESSING '!$DS14))</f>
        <v>#N/A</v>
      </c>
      <c r="FL14" s="5">
        <f t="shared" si="15"/>
        <v>0.46902654867256638</v>
      </c>
      <c r="FQ14">
        <v>11</v>
      </c>
      <c r="FR14" t="s">
        <v>9</v>
      </c>
      <c r="FS14">
        <f>SUMIFS('COMPARATIVE ANNUAL DATA '!$S$3:$S$50,'COMPARATIVE ANNUAL DATA '!$A$3:$A$50,'PROCCESSING '!FS$3,MONTHS,'PROCCESSING '!$DS14)</f>
        <v>2.58</v>
      </c>
      <c r="FT14">
        <f>SUMIFS('COMPARATIVE ANNUAL DATA '!$S$3:$S$50,'COMPARATIVE ANNUAL DATA '!$A$3:$A$50,'PROCCESSING '!FT$3,MONTHS,'PROCCESSING '!$DS14)</f>
        <v>2.68</v>
      </c>
      <c r="FU14">
        <f>SUMIFS('COMPARATIVE ANNUAL DATA '!$S$3:$S$50,'COMPARATIVE ANNUAL DATA '!$A$3:$A$50,'PROCCESSING '!FU$3,MONTHS,'PROCCESSING '!$DS14)</f>
        <v>2.85</v>
      </c>
      <c r="FV14">
        <f>IF(SUMIFS('COMPARATIVE ANNUAL DATA '!$S$3:$S$50,'COMPARATIVE ANNUAL DATA '!$A$3:$A$50,'PROCCESSING '!FV$3,MONTHS,'PROCCESSING '!$DS14)=0,NA(), SUMIFS('COMPARATIVE ANNUAL DATA '!$S$3:$S$50,'COMPARATIVE ANNUAL DATA '!$A$3:$A$50,'PROCCESSING '!FV$3,MONTHS,'PROCCESSING '!$DS14))</f>
        <v>2.4</v>
      </c>
      <c r="FX14">
        <f>IF(SUMIFS('COMPARATIVE ANNUAL DATA '!$S$3:$S$50,'COMPARATIVE ANNUAL DATA '!$A$3:$A$50,'PROCCESSING '!FX$3,MONTHS,'PROCCESSING '!$DS14)=0,NA(), SUMIFS('COMPARATIVE ANNUAL DATA '!$S$3:$S$50,'COMPARATIVE ANNUAL DATA '!$A$3:$A$50,'PROCCESSING '!FX$3,MONTHS,'PROCCESSING '!$DS14))</f>
        <v>2.4</v>
      </c>
      <c r="FY14" s="24">
        <f t="shared" si="23"/>
        <v>2.85</v>
      </c>
      <c r="GA14">
        <v>5</v>
      </c>
      <c r="GB14" t="e">
        <f t="shared" si="16"/>
        <v>#N/A</v>
      </c>
      <c r="GG14">
        <v>12</v>
      </c>
      <c r="GH14" t="s">
        <v>10</v>
      </c>
      <c r="GI14" s="1">
        <f>SUMIFS('COMPARATIVE ANNUAL DATA '!$W$3:$W$50,'COMPARATIVE ANNUAL DATA '!$A$3:$A$50,'PROCCESSING '!GI$2,MONTHS,'PROCCESSING '!$GH14)</f>
        <v>46844803.189999998</v>
      </c>
      <c r="GJ14" s="1">
        <f>SUMIFS('COMPARATIVE ANNUAL DATA '!$W$3:$W$50,'COMPARATIVE ANNUAL DATA '!$A$3:$A$50,'PROCCESSING '!GJ$2,MONTHS,'PROCCESSING '!$GH14)</f>
        <v>42150279.639999978</v>
      </c>
      <c r="GK14" s="1">
        <f>SUMIFS('COMPARATIVE ANNUAL DATA '!$W$3:$W$50,'COMPARATIVE ANNUAL DATA '!$A$3:$A$50,'PROCCESSING '!GK$2,MONTHS,'PROCCESSING '!$GH14)</f>
        <v>30423977.48</v>
      </c>
      <c r="GL14" s="1">
        <f>SUMIFS('COMPARATIVE ANNUAL DATA '!$W$3:$W$50,'COMPARATIVE ANNUAL DATA '!$A$3:$A$50,'PROCCESSING '!GL$2,MONTHS,'PROCCESSING '!$GH14)</f>
        <v>12743648.170000004</v>
      </c>
      <c r="GO14" s="1">
        <f>SUMIFS('COMPARATIVE ANNUAL DATA '!$W$3:$W$50,'COMPARATIVE ANNUAL DATA '!$A$3:$A$50,'PROCCESSING '!GO$2,MONTHS,'PROCCESSING '!$GH14)</f>
        <v>12743648.170000004</v>
      </c>
      <c r="GP14">
        <f t="shared" si="5"/>
        <v>30423977.48</v>
      </c>
      <c r="GU14" s="1">
        <v>50000000</v>
      </c>
      <c r="GV14" t="e">
        <f t="shared" si="6"/>
        <v>#N/A</v>
      </c>
      <c r="HE14">
        <v>11</v>
      </c>
      <c r="HF14" t="s">
        <v>9</v>
      </c>
      <c r="HG14" s="1">
        <f>SUMIFS('COMPARATIVE ANNUAL DATA '!$X$3:$X$50,'COMPARATIVE ANNUAL DATA '!$A$3:$A$50,'PROCCESSING '!HG$3,MONTHS,$HF14)</f>
        <v>2413168.4399999864</v>
      </c>
      <c r="HH14" s="1">
        <f>SUMIFS('COMPARATIVE ANNUAL DATA '!$X$3:$X$50,'COMPARATIVE ANNUAL DATA '!$A$3:$A$50,'PROCCESSING '!HH$3,MONTHS,$HF14)</f>
        <v>4505941.6700000018</v>
      </c>
      <c r="HI14" s="1">
        <f>SUMIFS('COMPARATIVE ANNUAL DATA '!$X$3:$X$50,'COMPARATIVE ANNUAL DATA '!$A$3:$A$50,'PROCCESSING '!HI$3,MONTHS,$HF14)</f>
        <v>4995834.3619999997</v>
      </c>
      <c r="HJ14" s="1">
        <f>SUMIFS('COMPARATIVE ANNUAL DATA '!$X$3:$X$50,'COMPARATIVE ANNUAL DATA '!$A$3:$A$50,'PROCCESSING '!HJ$3,MONTHS,$HF14)</f>
        <v>7687422.8699999973</v>
      </c>
      <c r="HM14" s="1">
        <f>IF(SUMIFS('COMPARATIVE ANNUAL DATA '!$X$3:$X$50,'COMPARATIVE ANNUAL DATA '!$A$3:$A$50,'PROCCESSING '!HM$3,MONTHS,$HF14)=0,NA(),SUMIFS('COMPARATIVE ANNUAL DATA '!$X$3:$X$50,'COMPARATIVE ANNUAL DATA '!$A$3:$A$50,'PROCCESSING '!HM$3,MONTHS,$HF14))</f>
        <v>7687422.8699999973</v>
      </c>
      <c r="HN14">
        <f t="shared" si="24"/>
        <v>4995834.3619999997</v>
      </c>
      <c r="HR14" s="1">
        <v>30000000</v>
      </c>
      <c r="HS14" t="e">
        <f t="shared" si="17"/>
        <v>#N/A</v>
      </c>
      <c r="HX14">
        <v>11</v>
      </c>
      <c r="HY14" t="s">
        <v>9</v>
      </c>
      <c r="HZ14" s="5">
        <f>SUMIFS('COMPARATIVE ANNUAL DATA '!$Y$3:$Y$50,'COMPARATIVE ANNUAL DATA '!$A$3:$A$50,'PROCCESSING '!HZ$3,MONTHS,$HF14)</f>
        <v>0.11930187739536952</v>
      </c>
      <c r="IA14" s="5">
        <f>SUMIFS('COMPARATIVE ANNUAL DATA '!$Y$3:$Y$50,'COMPARATIVE ANNUAL DATA '!$A$3:$A$50,'PROCCESSING '!IA$3,MONTHS,$HF14)</f>
        <v>0.19734385778743477</v>
      </c>
      <c r="IB14" s="5">
        <f>SUMIFS('COMPARATIVE ANNUAL DATA '!$Y$3:$Y$50,'COMPARATIVE ANNUAL DATA '!$A$3:$A$50,'PROCCESSING '!IB$3,MONTHS,$HF14)</f>
        <v>0.21131318941407679</v>
      </c>
      <c r="IC14" s="5">
        <f>IFERROR(SUMIFS('COMPARATIVE ANNUAL DATA '!$Y$3:$Y$50,'COMPARATIVE ANNUAL DATA '!$A$3:$A$50,'PROCCESSING '!IC$3,MONTHS,$HF14),NA())</f>
        <v>0.39528353586347181</v>
      </c>
      <c r="IE14" s="5">
        <f>IFERROR(SUMIFS('COMPARATIVE ANNUAL DATA '!$Y$3:$Y$50,'COMPARATIVE ANNUAL DATA '!$A$3:$A$50,'PROCCESSING '!IE$3,MONTHS,$HF14),NA())</f>
        <v>0.39528353586347181</v>
      </c>
      <c r="IF14" s="5">
        <f t="shared" si="18"/>
        <v>0.21131318941407679</v>
      </c>
      <c r="IH14" s="4">
        <v>1</v>
      </c>
      <c r="II14" s="5" t="e">
        <f t="shared" si="19"/>
        <v>#N/A</v>
      </c>
    </row>
    <row r="15" spans="1:244" x14ac:dyDescent="0.25">
      <c r="E15">
        <v>12</v>
      </c>
      <c r="F15" t="s">
        <v>10</v>
      </c>
      <c r="G15">
        <f>SUMIFS(REVENUES,'COMPARATIVE ANNUAL DATA '!$A$3:$A$50,'PROCCESSING '!G$3,MONTHS,'PROCCESSING '!$F15)</f>
        <v>17522726.690000001</v>
      </c>
      <c r="H15">
        <f>SUMIFS(REVENUES,'COMPARATIVE ANNUAL DATA '!$A$3:$A$50,'PROCCESSING '!$H$3,MONTHS,'PROCCESSING '!F15)</f>
        <v>23681810.890000001</v>
      </c>
      <c r="I15">
        <f>SUMIFS(REVENUES,'COMPARATIVE ANNUAL DATA '!$A$3:$A$50,'PROCCESSING '!I$3,MONTHS,'PROCCESSING '!$F15)</f>
        <v>25609041.377999999</v>
      </c>
      <c r="J15">
        <f>SUMIFS(REVENUES,'COMPARATIVE ANNUAL DATA '!$A$3:$A$50,'PROCCESSING '!J$3,MONTHS,'PROCCESSING '!$F15)</f>
        <v>18906716.080000002</v>
      </c>
      <c r="M15">
        <v>12</v>
      </c>
      <c r="N15" t="s">
        <v>10</v>
      </c>
      <c r="O15" s="1">
        <f>SUMIFS(REVENUES,'COMPARATIVE ANNUAL DATA '!$A$3:$A$50,'PROCCESSING '!O$3,MONTHS,'PROCCESSING '!$F15)</f>
        <v>18906716.080000002</v>
      </c>
      <c r="P15" s="1">
        <f t="shared" si="7"/>
        <v>25609041.377999999</v>
      </c>
      <c r="R15" s="1">
        <v>35000000</v>
      </c>
      <c r="T15" t="e">
        <f t="shared" si="8"/>
        <v>#N/A</v>
      </c>
      <c r="AY15" t="s">
        <v>42</v>
      </c>
      <c r="CA15">
        <v>11</v>
      </c>
      <c r="CB15" t="s">
        <v>9</v>
      </c>
      <c r="CC15" s="5">
        <f>SUMIFS(BEDOCCUPANCY,'COMPARATIVE ANNUAL DATA '!$A$3:$A$50,'PROCCESSING '!CC$4,MONTHS,'PROCCESSING '!$CB15)</f>
        <v>0.82</v>
      </c>
      <c r="CD15" s="5">
        <f>SUMIFS(BEDOCCUPANCY,'COMPARATIVE ANNUAL DATA '!$A$3:$A$50,'PROCCESSING '!CD$4,MONTHS,'PROCCESSING '!$CB15)</f>
        <v>1.08</v>
      </c>
      <c r="CE15" s="5">
        <f>SUMIFS(BEDOCCUPANCY,'COMPARATIVE ANNUAL DATA '!$A$3:$A$50,'PROCCESSING '!CE$4,MONTHS,'PROCCESSING '!$CB15)</f>
        <v>0.81</v>
      </c>
      <c r="CF15" s="5">
        <f>SUMIFS(BEDOCCUPANCY,'COMPARATIVE ANNUAL DATA '!$A$3:$A$50,'PROCCESSING '!CF$4,MONTHS,'PROCCESSING '!$CB15)</f>
        <v>0.55000000000000004</v>
      </c>
      <c r="CJ15" s="5">
        <f>SUMIFS(BEDOCCUPANCY,'COMPARATIVE ANNUAL DATA '!$A$3:$A$50,'PROCCESSING '!CJ$4,MONTHS,'PROCCESSING '!$CB15)</f>
        <v>0.55000000000000004</v>
      </c>
      <c r="CK15" s="5">
        <f t="shared" si="20"/>
        <v>0.81</v>
      </c>
      <c r="CM15" s="4">
        <v>1.2</v>
      </c>
      <c r="CN15" s="5" t="e">
        <f t="shared" si="21"/>
        <v>#N/A</v>
      </c>
      <c r="CT15">
        <v>12</v>
      </c>
      <c r="CU15" t="s">
        <v>10</v>
      </c>
      <c r="CV15">
        <f>SUMIFS(TOTADMISSIONS,'COMPARATIVE ANNUAL DATA '!$A$3:$A$50,'PROCCESSING '!CV$3,MONTHS,'PROCCESSING '!$CU15)</f>
        <v>949</v>
      </c>
      <c r="CW15">
        <f>SUMIFS(TOTADMISSIONS,'COMPARATIVE ANNUAL DATA '!$A$3:$A$50,'PROCCESSING '!CW$3,MONTHS,'PROCCESSING '!$CU15)</f>
        <v>1112</v>
      </c>
      <c r="CX15">
        <f>SUMIFS(TOTADMISSIONS,'COMPARATIVE ANNUAL DATA '!$A$3:$A$50,'PROCCESSING '!CX$3,MONTHS,'PROCCESSING '!$CU15)</f>
        <v>887</v>
      </c>
      <c r="CY15">
        <f>SUMIFS(TOTADMISSIONS,'COMPARATIVE ANNUAL DATA '!$A$3:$A$50,'PROCCESSING '!CY$3,MONTHS,'PROCCESSING '!$CU15)</f>
        <v>822</v>
      </c>
      <c r="DD15">
        <f>SUMIFS(TOTADMISSIONS,'COMPARATIVE ANNUAL DATA '!$A$3:$A$50,'PROCCESSING '!DD$3,MONTHS,'PROCCESSING '!$CU15)</f>
        <v>822</v>
      </c>
      <c r="DE15">
        <f t="shared" si="11"/>
        <v>887</v>
      </c>
      <c r="DG15">
        <f t="shared" si="22"/>
        <v>1709</v>
      </c>
      <c r="DH15">
        <v>0</v>
      </c>
      <c r="DR15">
        <v>12</v>
      </c>
      <c r="DS15" t="s">
        <v>10</v>
      </c>
      <c r="DT15">
        <f>SUMIFS('COMPARATIVE ANNUAL DATA '!$J$3:$J$50,'COMPARATIVE ANNUAL DATA '!$A$3:$A$50,'PROCCESSING '!DT$3,MONTHS,'PROCCESSING '!$DS15)</f>
        <v>116</v>
      </c>
      <c r="DU15">
        <f>SUMIFS('COMPARATIVE ANNUAL DATA '!$J$3:$J$50,'COMPARATIVE ANNUAL DATA '!$A$3:$A$50,'PROCCESSING '!DU$3,MONTHS,'PROCCESSING '!$DS15)</f>
        <v>121</v>
      </c>
      <c r="DV15">
        <f>SUMIFS('COMPARATIVE ANNUAL DATA '!$J$3:$J$50,'COMPARATIVE ANNUAL DATA '!$A$3:$A$50,'PROCCESSING '!DV$3,MONTHS,'PROCCESSING '!$DS15)</f>
        <v>159</v>
      </c>
      <c r="DW15">
        <f>SUMIFS('COMPARATIVE ANNUAL DATA '!$J$3:$J$50,'COMPARATIVE ANNUAL DATA '!$A$3:$A$50,'PROCCESSING '!DW$3,MONTHS,'PROCCESSING '!$DS15)</f>
        <v>0</v>
      </c>
      <c r="EC15" t="e">
        <f>IF(SUMIFS('COMPARATIVE ANNUAL DATA '!$J$3:$J$50,'COMPARATIVE ANNUAL DATA '!$A$3:$A$50,'PROCCESSING '!EC$3,MONTHS,'PROCCESSING '!$DS15)=0,NA())</f>
        <v>#N/A</v>
      </c>
      <c r="ED15">
        <f t="shared" si="12"/>
        <v>159</v>
      </c>
      <c r="EF15">
        <v>200</v>
      </c>
      <c r="EG15" t="e">
        <f t="shared" si="13"/>
        <v>#N/A</v>
      </c>
      <c r="EM15">
        <v>12</v>
      </c>
      <c r="EN15" t="s">
        <v>10</v>
      </c>
      <c r="EO15">
        <f>SUMIFS('COMPARATIVE ANNUAL DATA '!$I$3:$I$50,'COMPARATIVE ANNUAL DATA '!$A$3:$A$50,'PROCCESSING '!EO$3,MONTHS,'PROCCESSING '!$DS15)</f>
        <v>54</v>
      </c>
      <c r="EP15">
        <f>SUMIFS('COMPARATIVE ANNUAL DATA '!$I$3:$I$50,'COMPARATIVE ANNUAL DATA '!$A$3:$A$50,'PROCCESSING '!EP$3,MONTHS,'PROCCESSING '!$DS15)</f>
        <v>60</v>
      </c>
      <c r="EQ15">
        <f>SUMIFS('COMPARATIVE ANNUAL DATA '!$I$3:$I$50,'COMPARATIVE ANNUAL DATA '!$A$3:$A$50,'PROCCESSING '!EQ$3,MONTHS,'PROCCESSING '!$DS15)</f>
        <v>51</v>
      </c>
      <c r="ER15">
        <f>SUMIFS('COMPARATIVE ANNUAL DATA '!$I$3:$I$50,'COMPARATIVE ANNUAL DATA '!$A$3:$A$50,'PROCCESSING '!ER$3,MONTHS,'PROCCESSING '!$DS15)</f>
        <v>0</v>
      </c>
      <c r="EU15" t="e">
        <f>IF(SUMIFS('COMPARATIVE ANNUAL DATA '!$I$3:$I$50,'COMPARATIVE ANNUAL DATA '!$A$3:$A$50,'PROCCESSING '!EU$3,MONTHS,'PROCCESSING '!$DS15)=0, NA())</f>
        <v>#N/A</v>
      </c>
      <c r="EV15">
        <f t="shared" si="14"/>
        <v>51</v>
      </c>
      <c r="FD15">
        <v>12</v>
      </c>
      <c r="FE15" t="s">
        <v>10</v>
      </c>
      <c r="FF15" s="5">
        <f>SUMIFS('COMPARATIVE ANNUAL DATA '!$K$3:$K$50,'COMPARATIVE ANNUAL DATA '!$A$3:$A$50,'PROCCESSING '!FF$3,MONTHS,'PROCCESSING '!$DS15)</f>
        <v>0.46551724137931033</v>
      </c>
      <c r="FG15" s="5">
        <f>SUMIFS('COMPARATIVE ANNUAL DATA '!$K$3:$K$50,'COMPARATIVE ANNUAL DATA '!$A$3:$A$50,'PROCCESSING '!FG$3,MONTHS,'PROCCESSING '!$DS15)</f>
        <v>0.49586776859504134</v>
      </c>
      <c r="FH15" s="5">
        <f>SUMIFS('COMPARATIVE ANNUAL DATA '!$K$3:$K$50,'COMPARATIVE ANNUAL DATA '!$A$3:$A$50,'PROCCESSING '!FH$3,MONTHS,'PROCCESSING '!$DS15)</f>
        <v>0.32075471698113206</v>
      </c>
      <c r="FI15" s="5">
        <f>SUMIFS('COMPARATIVE ANNUAL DATA '!$K$3:$K$50,'COMPARATIVE ANNUAL DATA '!$A$3:$A$50,'PROCCESSING '!FI$3,MONTHS,'PROCCESSING '!$DS15)</f>
        <v>0</v>
      </c>
      <c r="FK15" s="5" t="e">
        <f>IF(SUMIFS('COMPARATIVE ANNUAL DATA '!$K$3:$K$50,'COMPARATIVE ANNUAL DATA '!$A$3:$A$50,'PROCCESSING '!FK$3,MONTHS,'PROCCESSING '!$DS15)=0%,NA(),SUMIFS('COMPARATIVE ANNUAL DATA '!$K$3:$K$50,'COMPARATIVE ANNUAL DATA '!$A$3:$A$50,'PROCCESSING '!FK$3,MONTHS,'PROCCESSING '!$DS15))</f>
        <v>#N/A</v>
      </c>
      <c r="FL15" s="5">
        <f t="shared" si="15"/>
        <v>0.32075471698113206</v>
      </c>
      <c r="FQ15">
        <v>12</v>
      </c>
      <c r="FR15" t="s">
        <v>10</v>
      </c>
      <c r="FS15">
        <f>SUMIFS('COMPARATIVE ANNUAL DATA '!$S$3:$S$50,'COMPARATIVE ANNUAL DATA '!$A$3:$A$50,'PROCCESSING '!FS$3,MONTHS,'PROCCESSING '!$DS15)</f>
        <v>2.85</v>
      </c>
      <c r="FT15">
        <f>SUMIFS('COMPARATIVE ANNUAL DATA '!$S$3:$S$50,'COMPARATIVE ANNUAL DATA '!$A$3:$A$50,'PROCCESSING '!FT$3,MONTHS,'PROCCESSING '!$DS15)</f>
        <v>3.02</v>
      </c>
      <c r="FU15">
        <f>SUMIFS('COMPARATIVE ANNUAL DATA '!$S$3:$S$50,'COMPARATIVE ANNUAL DATA '!$A$3:$A$50,'PROCCESSING '!FU$3,MONTHS,'PROCCESSING '!$DS15)</f>
        <v>2.77</v>
      </c>
      <c r="FV15">
        <f>IF(SUMIFS('COMPARATIVE ANNUAL DATA '!$S$3:$S$50,'COMPARATIVE ANNUAL DATA '!$A$3:$A$50,'PROCCESSING '!FV$3,MONTHS,'PROCCESSING '!$DS15)=0,NA(), SUMIFS('COMPARATIVE ANNUAL DATA '!$S$3:$S$50,'COMPARATIVE ANNUAL DATA '!$A$3:$A$50,'PROCCESSING '!FV$3,MONTHS,'PROCCESSING '!$DS15))</f>
        <v>2.9</v>
      </c>
      <c r="FX15">
        <f>IF(SUMIFS('COMPARATIVE ANNUAL DATA '!$S$3:$S$50,'COMPARATIVE ANNUAL DATA '!$A$3:$A$50,'PROCCESSING '!FX$3,MONTHS,'PROCCESSING '!$DS15)=0,NA(), SUMIFS('COMPARATIVE ANNUAL DATA '!$S$3:$S$50,'COMPARATIVE ANNUAL DATA '!$A$3:$A$50,'PROCCESSING '!FX$3,MONTHS,'PROCCESSING '!$DS15))</f>
        <v>2.9</v>
      </c>
      <c r="FY15" s="24">
        <f t="shared" si="23"/>
        <v>2.77</v>
      </c>
      <c r="HE15">
        <v>12</v>
      </c>
      <c r="HF15" t="s">
        <v>10</v>
      </c>
      <c r="HG15" s="1">
        <f>SUMIFS('COMPARATIVE ANNUAL DATA '!$X$3:$X$50,'COMPARATIVE ANNUAL DATA '!$A$3:$A$50,'PROCCESSING '!HG$3,MONTHS,$HF15)</f>
        <v>-29322076.499999996</v>
      </c>
      <c r="HH15" s="1">
        <f>SUMIFS('COMPARATIVE ANNUAL DATA '!$X$3:$X$50,'COMPARATIVE ANNUAL DATA '!$A$3:$A$50,'PROCCESSING '!HH$3,MONTHS,$HF15)</f>
        <v>-18468468.749999978</v>
      </c>
      <c r="HI15" s="1">
        <f>SUMIFS('COMPARATIVE ANNUAL DATA '!$X$3:$X$50,'COMPARATIVE ANNUAL DATA '!$A$3:$A$50,'PROCCESSING '!HI$3,MONTHS,$HF15)</f>
        <v>-4814936.1020000018</v>
      </c>
      <c r="HJ15" s="1">
        <f>SUMIFS('COMPARATIVE ANNUAL DATA '!$X$3:$X$50,'COMPARATIVE ANNUAL DATA '!$A$3:$A$50,'PROCCESSING '!HJ$3,MONTHS,$HF15)</f>
        <v>6163067.9099999983</v>
      </c>
      <c r="HM15" s="1">
        <f>IF(SUMIFS('COMPARATIVE ANNUAL DATA '!$X$3:$X$50,'COMPARATIVE ANNUAL DATA '!$A$3:$A$50,'PROCCESSING '!HM$3,MONTHS,$HF15)=0,NA(),SUMIFS('COMPARATIVE ANNUAL DATA '!$X$3:$X$50,'COMPARATIVE ANNUAL DATA '!$A$3:$A$50,'PROCCESSING '!HM$3,MONTHS,$HF15))</f>
        <v>6163067.9099999983</v>
      </c>
      <c r="HN15">
        <f t="shared" si="24"/>
        <v>-4814936.1020000018</v>
      </c>
      <c r="HR15" s="1">
        <v>30000000</v>
      </c>
      <c r="HS15" t="e">
        <f t="shared" si="17"/>
        <v>#N/A</v>
      </c>
      <c r="HX15">
        <v>12</v>
      </c>
      <c r="HY15" t="s">
        <v>10</v>
      </c>
      <c r="HZ15" s="5">
        <f>SUMIFS('COMPARATIVE ANNUAL DATA '!$Y$3:$Y$50,'COMPARATIVE ANNUAL DATA '!$A$3:$A$50,'PROCCESSING '!HZ$3,MONTHS,$HF15)</f>
        <v>-1.673374071213114</v>
      </c>
      <c r="IA15" s="5">
        <f>SUMIFS('COMPARATIVE ANNUAL DATA '!$Y$3:$Y$50,'COMPARATIVE ANNUAL DATA '!$A$3:$A$50,'PROCCESSING '!IA$3,MONTHS,$HF15)</f>
        <v>-0.77985880538377939</v>
      </c>
      <c r="IB15" s="5">
        <f>SUMIFS('COMPARATIVE ANNUAL DATA '!$Y$3:$Y$50,'COMPARATIVE ANNUAL DATA '!$A$3:$A$50,'PROCCESSING '!IB$3,MONTHS,$HF15)</f>
        <v>-0.18801703784728063</v>
      </c>
      <c r="IC15" s="5">
        <f>IFERROR(SUMIFS('COMPARATIVE ANNUAL DATA '!$Y$3:$Y$50,'COMPARATIVE ANNUAL DATA '!$A$3:$A$50,'PROCCESSING '!IC$3,MONTHS,$HF15),NA())</f>
        <v>0.32597241551214945</v>
      </c>
      <c r="IE15" s="5">
        <f>IFERROR(SUMIFS('COMPARATIVE ANNUAL DATA '!$Y$3:$Y$50,'COMPARATIVE ANNUAL DATA '!$A$3:$A$50,'PROCCESSING '!IE$3,MONTHS,$HF15),NA())</f>
        <v>0.32597241551214945</v>
      </c>
      <c r="IF15" s="5">
        <f t="shared" si="18"/>
        <v>-0.18801703784728063</v>
      </c>
      <c r="IH15" s="4">
        <v>1</v>
      </c>
      <c r="II15" s="5" t="e">
        <f t="shared" si="19"/>
        <v>#N/A</v>
      </c>
    </row>
    <row r="16" spans="1:244" x14ac:dyDescent="0.25">
      <c r="AM16" s="7"/>
      <c r="AN16" s="8"/>
      <c r="AT16" s="7" t="s">
        <v>27</v>
      </c>
      <c r="AU16" s="8" t="s">
        <v>28</v>
      </c>
      <c r="AW16" t="s">
        <v>29</v>
      </c>
      <c r="AY16">
        <f>INDEX($AU$3:$AU$14,SCROLL)</f>
        <v>15699649.069999998</v>
      </c>
      <c r="CA16">
        <v>12</v>
      </c>
      <c r="CB16" t="s">
        <v>10</v>
      </c>
      <c r="CC16" s="5">
        <f>SUMIFS(BEDOCCUPANCY,'COMPARATIVE ANNUAL DATA '!$A$3:$A$50,'PROCCESSING '!CC$4,MONTHS,'PROCCESSING '!$CB16)</f>
        <v>0.83</v>
      </c>
      <c r="CD16" s="5">
        <f>SUMIFS(BEDOCCUPANCY,'COMPARATIVE ANNUAL DATA '!$A$3:$A$50,'PROCCESSING '!CD$4,MONTHS,'PROCCESSING '!$CB16)</f>
        <v>1.07</v>
      </c>
      <c r="CE16" s="5">
        <f>SUMIFS(BEDOCCUPANCY,'COMPARATIVE ANNUAL DATA '!$A$3:$A$50,'PROCCESSING '!CE$4,MONTHS,'PROCCESSING '!$CB16)</f>
        <v>0.73</v>
      </c>
      <c r="CF16" s="5">
        <f>SUMIFS(BEDOCCUPANCY,'COMPARATIVE ANNUAL DATA '!$A$3:$A$50,'PROCCESSING '!CF$4,MONTHS,'PROCCESSING '!$CB16)</f>
        <v>0.68</v>
      </c>
      <c r="CJ16" s="5">
        <f>SUMIFS(BEDOCCUPANCY,'COMPARATIVE ANNUAL DATA '!$A$3:$A$50,'PROCCESSING '!CJ$4,MONTHS,'PROCCESSING '!$CB16)</f>
        <v>0.68</v>
      </c>
      <c r="CK16" s="5">
        <f t="shared" si="20"/>
        <v>0.73</v>
      </c>
      <c r="CM16" s="4">
        <v>1.2</v>
      </c>
      <c r="CN16" s="5" t="e">
        <f t="shared" si="21"/>
        <v>#N/A</v>
      </c>
    </row>
    <row r="17" spans="1:115" x14ac:dyDescent="0.25">
      <c r="A17">
        <v>2018</v>
      </c>
    </row>
    <row r="18" spans="1:115" x14ac:dyDescent="0.25">
      <c r="A18">
        <v>2019</v>
      </c>
    </row>
    <row r="19" spans="1:115" x14ac:dyDescent="0.25">
      <c r="A19">
        <v>2020</v>
      </c>
      <c r="J19" s="1">
        <f>MAX($G$4:$J$15)</f>
        <v>31463667.769999996</v>
      </c>
      <c r="DG19" t="s">
        <v>37</v>
      </c>
    </row>
    <row r="20" spans="1:115" x14ac:dyDescent="0.25">
      <c r="DD20">
        <v>1</v>
      </c>
      <c r="DE20" t="e">
        <f t="shared" ref="DE20:DE31" si="25">IF(SCROLL=DD20,DD4,NA())</f>
        <v>#N/A</v>
      </c>
      <c r="DF20" t="e">
        <f t="shared" ref="DF20:DF31" si="26">IF(SCROLL=DD20,DE4, NA())</f>
        <v>#N/A</v>
      </c>
      <c r="DG20">
        <f>MAX(DG4:DG15)</f>
        <v>2331</v>
      </c>
      <c r="DI20">
        <f>SCROLL</f>
        <v>8</v>
      </c>
      <c r="DK20">
        <f>DI20</f>
        <v>8</v>
      </c>
    </row>
    <row r="21" spans="1:115" x14ac:dyDescent="0.25">
      <c r="T21" t="s">
        <v>71</v>
      </c>
      <c r="U21" t="s">
        <v>72</v>
      </c>
      <c r="DD21">
        <v>2</v>
      </c>
      <c r="DE21" t="e">
        <f t="shared" si="25"/>
        <v>#N/A</v>
      </c>
      <c r="DF21" t="e">
        <f t="shared" si="26"/>
        <v>#N/A</v>
      </c>
      <c r="DG21">
        <f t="shared" ref="DG21:DG31" si="27">MAX(DG5:DG16)</f>
        <v>2331</v>
      </c>
      <c r="DI21">
        <f>INDEX(DD4:DD15,DI20)</f>
        <v>1064</v>
      </c>
      <c r="DK21">
        <f>INDEX(DE4:DE15,DI20)</f>
        <v>1074</v>
      </c>
    </row>
    <row r="22" spans="1:115" x14ac:dyDescent="0.25">
      <c r="J22">
        <v>2021</v>
      </c>
      <c r="K22">
        <f>$D$1</f>
        <v>2020</v>
      </c>
      <c r="N22">
        <v>2021</v>
      </c>
      <c r="O22">
        <f>$K$22</f>
        <v>2020</v>
      </c>
      <c r="Q22">
        <v>2021</v>
      </c>
      <c r="R22">
        <f>$O$22</f>
        <v>2020</v>
      </c>
      <c r="AN22" s="1"/>
      <c r="DD22">
        <v>3</v>
      </c>
      <c r="DE22" t="e">
        <f t="shared" si="25"/>
        <v>#N/A</v>
      </c>
      <c r="DF22" t="e">
        <f t="shared" si="26"/>
        <v>#N/A</v>
      </c>
      <c r="DG22">
        <f t="shared" si="27"/>
        <v>2331</v>
      </c>
    </row>
    <row r="23" spans="1:115" x14ac:dyDescent="0.25">
      <c r="I23" t="s">
        <v>33</v>
      </c>
      <c r="J23">
        <f>HLOOKUP(J22,$F$3:$J$15,SCROLL+1,0)</f>
        <v>23772779.719999999</v>
      </c>
      <c r="K23">
        <f>HLOOKUP(K22,$F$3:$J$15,SCROLL+1,0)</f>
        <v>24597121.439999998</v>
      </c>
      <c r="M23" t="s">
        <v>34</v>
      </c>
      <c r="N23">
        <f>HLOOKUP(N22,$BF$2:$BJ$14,SCROLL+1,0)</f>
        <v>24984</v>
      </c>
      <c r="O23">
        <f>HLOOKUP(O22,$BF$2:$BJ$14,SCROLL+1,0)</f>
        <v>20557</v>
      </c>
      <c r="Q23">
        <f>HLOOKUP(Q22,$CU$3:$CZ$15,SCROLL+1,0)</f>
        <v>1064</v>
      </c>
      <c r="R23">
        <f>HLOOKUP(R22,$CU$3:$CZ$15,SCROLL+1,0)</f>
        <v>1074</v>
      </c>
      <c r="T23" s="3">
        <f>GW5-GW10</f>
        <v>-7614403.4000000004</v>
      </c>
      <c r="U23" s="3">
        <f>HT6-HT10</f>
        <v>6790061.6800000016</v>
      </c>
      <c r="DD23">
        <v>4</v>
      </c>
      <c r="DE23" t="e">
        <f t="shared" si="25"/>
        <v>#N/A</v>
      </c>
      <c r="DF23" t="e">
        <f t="shared" si="26"/>
        <v>#N/A</v>
      </c>
      <c r="DG23">
        <f t="shared" si="27"/>
        <v>2331</v>
      </c>
    </row>
    <row r="24" spans="1:115" ht="36" customHeight="1" x14ac:dyDescent="0.25">
      <c r="BA24">
        <v>1</v>
      </c>
      <c r="BB24" s="16" t="str">
        <f>IF(LINK=BA24,   2018,  "2018")</f>
        <v>2018</v>
      </c>
      <c r="BM24" s="15"/>
      <c r="DD24">
        <v>5</v>
      </c>
      <c r="DE24" t="e">
        <f t="shared" si="25"/>
        <v>#N/A</v>
      </c>
      <c r="DF24" t="e">
        <f t="shared" si="26"/>
        <v>#N/A</v>
      </c>
      <c r="DG24">
        <f t="shared" si="27"/>
        <v>2331</v>
      </c>
    </row>
    <row r="25" spans="1:115" ht="31.5" customHeight="1" x14ac:dyDescent="0.25">
      <c r="B25">
        <v>2018</v>
      </c>
      <c r="BA25">
        <v>2</v>
      </c>
      <c r="BB25" s="16" t="str">
        <f>IF(LINK=BA25, 2019,  "2019")</f>
        <v>2019</v>
      </c>
      <c r="DD25">
        <v>6</v>
      </c>
      <c r="DE25" t="e">
        <f t="shared" si="25"/>
        <v>#N/A</v>
      </c>
      <c r="DF25" t="e">
        <f t="shared" si="26"/>
        <v>#N/A</v>
      </c>
      <c r="DG25">
        <f t="shared" si="27"/>
        <v>2331</v>
      </c>
    </row>
    <row r="26" spans="1:115" ht="27.75" customHeight="1" x14ac:dyDescent="0.25">
      <c r="B26">
        <v>2019</v>
      </c>
      <c r="BA26">
        <v>3</v>
      </c>
      <c r="BB26" s="16">
        <f>IF(LINK=BA26, 2020,  "2020")</f>
        <v>2020</v>
      </c>
      <c r="DD26">
        <v>7</v>
      </c>
      <c r="DE26" t="e">
        <f t="shared" si="25"/>
        <v>#N/A</v>
      </c>
      <c r="DF26" t="e">
        <f t="shared" si="26"/>
        <v>#N/A</v>
      </c>
      <c r="DG26">
        <f t="shared" si="27"/>
        <v>2331</v>
      </c>
    </row>
    <row r="27" spans="1:115" x14ac:dyDescent="0.25">
      <c r="B27">
        <v>2020</v>
      </c>
      <c r="J27" t="str">
        <f>INDEX($F$4:$F$15,SCROLL)</f>
        <v>AUGUST</v>
      </c>
      <c r="O27" t="str">
        <f>$J$27</f>
        <v>AUGUST</v>
      </c>
      <c r="DD27">
        <v>8</v>
      </c>
      <c r="DE27">
        <f t="shared" si="25"/>
        <v>1064</v>
      </c>
      <c r="DF27">
        <f t="shared" si="26"/>
        <v>1074</v>
      </c>
      <c r="DG27">
        <f t="shared" si="27"/>
        <v>2331</v>
      </c>
    </row>
    <row r="28" spans="1:115" x14ac:dyDescent="0.25">
      <c r="S28">
        <f>Q23-R23</f>
        <v>-10</v>
      </c>
      <c r="DD28">
        <v>9</v>
      </c>
      <c r="DE28" t="e">
        <f t="shared" si="25"/>
        <v>#N/A</v>
      </c>
      <c r="DF28" t="e">
        <f t="shared" si="26"/>
        <v>#N/A</v>
      </c>
      <c r="DG28">
        <f t="shared" si="27"/>
        <v>2331</v>
      </c>
    </row>
    <row r="29" spans="1:115" ht="24.75" customHeight="1" x14ac:dyDescent="0.25">
      <c r="I29" s="9">
        <f>J23/K23-1</f>
        <v>-3.3513747615176226E-2</v>
      </c>
      <c r="J29" s="1">
        <f>J23-K23</f>
        <v>-824341.71999999881</v>
      </c>
      <c r="O29" s="10">
        <f>N23/O23-1</f>
        <v>0.21535243469377829</v>
      </c>
      <c r="P29">
        <f>N23-O23</f>
        <v>4427</v>
      </c>
      <c r="R29" s="9">
        <f>$CO$7-$CO$11</f>
        <v>-4.9999999999999933E-2</v>
      </c>
      <c r="S29" s="9">
        <f>Q23/R23-1</f>
        <v>-9.3109869646182952E-3</v>
      </c>
      <c r="T29" s="28">
        <f>GW5/GW10-1</f>
        <v>-0.38184923939611148</v>
      </c>
      <c r="U29" s="28">
        <f>HT6/HT10-1</f>
        <v>1.4582656620454375</v>
      </c>
      <c r="DD29">
        <v>10</v>
      </c>
      <c r="DE29" t="e">
        <f t="shared" si="25"/>
        <v>#N/A</v>
      </c>
      <c r="DF29" t="e">
        <f t="shared" si="26"/>
        <v>#N/A</v>
      </c>
      <c r="DG29">
        <f t="shared" si="27"/>
        <v>2331</v>
      </c>
    </row>
    <row r="30" spans="1:115" x14ac:dyDescent="0.25">
      <c r="CR30" t="s">
        <v>81</v>
      </c>
      <c r="DD30">
        <v>11</v>
      </c>
      <c r="DE30" t="e">
        <f t="shared" si="25"/>
        <v>#N/A</v>
      </c>
      <c r="DF30" t="e">
        <f t="shared" si="26"/>
        <v>#N/A</v>
      </c>
      <c r="DG30">
        <f t="shared" si="27"/>
        <v>2331</v>
      </c>
    </row>
    <row r="31" spans="1:115" x14ac:dyDescent="0.25">
      <c r="DD31">
        <v>12</v>
      </c>
      <c r="DE31" t="e">
        <f t="shared" si="25"/>
        <v>#N/A</v>
      </c>
      <c r="DF31" t="e">
        <f t="shared" si="26"/>
        <v>#N/A</v>
      </c>
      <c r="DG31">
        <f t="shared" si="27"/>
        <v>2331</v>
      </c>
    </row>
  </sheetData>
  <sheetProtection pivotTables="0"/>
  <mergeCells count="9">
    <mergeCell ref="HG1:HL1"/>
    <mergeCell ref="FQ1:FU1"/>
    <mergeCell ref="H1:K1"/>
    <mergeCell ref="BG1:BJ1"/>
    <mergeCell ref="CB2:CG2"/>
    <mergeCell ref="CV2:DA2"/>
    <mergeCell ref="DT1:DX1"/>
    <mergeCell ref="EN1:ER1"/>
    <mergeCell ref="FD1:FH1"/>
  </mergeCells>
  <phoneticPr fontId="2" type="noConversion"/>
  <conditionalFormatting sqref="BB24">
    <cfRule type="cellIs" dxfId="11" priority="5" operator="equal">
      <formula>2018</formula>
    </cfRule>
  </conditionalFormatting>
  <conditionalFormatting sqref="BB25">
    <cfRule type="cellIs" dxfId="10" priority="2" operator="equal">
      <formula>2019</formula>
    </cfRule>
    <cfRule type="cellIs" dxfId="9" priority="4" operator="equal">
      <formula>2018</formula>
    </cfRule>
  </conditionalFormatting>
  <conditionalFormatting sqref="BB26">
    <cfRule type="cellIs" dxfId="8" priority="1" operator="equal">
      <formula>2020</formula>
    </cfRule>
    <cfRule type="cellIs" dxfId="7" priority="3" operator="equal">
      <formula>2018</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531E7-66E7-4741-BFCE-A85F2E2B4A4D}">
  <dimension ref="B4:M33"/>
  <sheetViews>
    <sheetView showGridLines="0" workbookViewId="0">
      <selection activeCell="W19" sqref="W19"/>
    </sheetView>
  </sheetViews>
  <sheetFormatPr defaultRowHeight="15" x14ac:dyDescent="0.25"/>
  <cols>
    <col min="2" max="3" width="13.140625" bestFit="1" customWidth="1"/>
    <col min="7" max="7" width="13.140625" customWidth="1"/>
    <col min="8" max="8" width="10.28515625" bestFit="1" customWidth="1"/>
  </cols>
  <sheetData>
    <row r="4" spans="2:13" x14ac:dyDescent="0.25">
      <c r="B4" t="s">
        <v>11</v>
      </c>
      <c r="C4" t="s">
        <v>74</v>
      </c>
    </row>
    <row r="5" spans="2:13" x14ac:dyDescent="0.25">
      <c r="B5">
        <v>2018</v>
      </c>
      <c r="C5">
        <v>1</v>
      </c>
    </row>
    <row r="6" spans="2:13" x14ac:dyDescent="0.25">
      <c r="B6">
        <v>2019</v>
      </c>
      <c r="C6">
        <v>2</v>
      </c>
    </row>
    <row r="7" spans="2:13" x14ac:dyDescent="0.25">
      <c r="B7">
        <v>2020</v>
      </c>
      <c r="C7">
        <v>3</v>
      </c>
    </row>
    <row r="13" spans="2:13" x14ac:dyDescent="0.25">
      <c r="B13" s="32" t="s">
        <v>75</v>
      </c>
      <c r="C13" t="s">
        <v>76</v>
      </c>
    </row>
    <row r="14" spans="2:13" x14ac:dyDescent="0.25">
      <c r="B14" s="33">
        <v>2020</v>
      </c>
      <c r="C14" s="34">
        <v>3</v>
      </c>
    </row>
    <row r="16" spans="2:13" x14ac:dyDescent="0.25">
      <c r="G16" s="45" t="s">
        <v>77</v>
      </c>
      <c r="H16" s="45"/>
      <c r="I16" s="45"/>
      <c r="J16" s="39" t="s">
        <v>78</v>
      </c>
      <c r="K16" s="46" t="s">
        <v>79</v>
      </c>
      <c r="L16" s="46"/>
      <c r="M16" s="39" t="s">
        <v>78</v>
      </c>
    </row>
    <row r="17" spans="7:13" x14ac:dyDescent="0.25">
      <c r="G17" s="35" t="s">
        <v>12</v>
      </c>
      <c r="H17" s="36">
        <f>'PROCCESSING '!O3</f>
        <v>2021</v>
      </c>
      <c r="I17" s="36">
        <f>'PROCCESSING '!P3</f>
        <v>2020</v>
      </c>
      <c r="J17" s="36">
        <f>H17</f>
        <v>2021</v>
      </c>
      <c r="K17" s="36">
        <f>'PROCCESSING '!O3</f>
        <v>2021</v>
      </c>
      <c r="L17" s="36">
        <f>'PROCCESSING '!P3</f>
        <v>2020</v>
      </c>
      <c r="M17" s="36">
        <f>K17</f>
        <v>2021</v>
      </c>
    </row>
    <row r="18" spans="7:13" x14ac:dyDescent="0.25">
      <c r="G18" s="37" t="s">
        <v>14</v>
      </c>
      <c r="H18" s="38">
        <f>('PROCCESSING '!$O$4/HLOOKUP(I17,'PROCCESSING '!$G$3:$J$15,13,0))-1</f>
        <v>-0.1964468773252025</v>
      </c>
      <c r="I18" s="38">
        <f>('PROCCESSING '!$O$4/HLOOKUP(I17-1,'PROCCESSING '!$G$3:$J$15,13,0))-1</f>
        <v>-0.13105356412209757</v>
      </c>
      <c r="J18" s="38">
        <f>_xlfn.IFNA('PROCCESSING '!O4/'PROCCESSING '!P4-1,0)</f>
        <v>-9.6648326178966348E-3</v>
      </c>
      <c r="K18" s="38">
        <f>'PROCCESSING '!BO3/HLOOKUP(L17,'PROCCESSING '!$BG$2:$BJ$14,13,0)-1</f>
        <v>-0.21606782043398054</v>
      </c>
      <c r="L18" s="38">
        <f>'PROCCESSING '!BP3/HLOOKUP(L17-1,'PROCCESSING '!$BG$2:$BJ$14,13,0)-1</f>
        <v>-0.18373868276229366</v>
      </c>
      <c r="M18" s="38">
        <f>_xlfn.IFNA('PROCCESSING '!BO3/'PROCCESSING '!BP3-1,0)</f>
        <v>-2.9632448890822061E-2</v>
      </c>
    </row>
    <row r="19" spans="7:13" x14ac:dyDescent="0.25">
      <c r="G19" s="37" t="s">
        <v>0</v>
      </c>
      <c r="H19" s="38">
        <f>_xlfn.IFNA('PROCCESSING '!O5/'PROCCESSING '!O4-1,0)</f>
        <v>-4.0546225497496979E-2</v>
      </c>
      <c r="I19" s="38">
        <f>_xlfn.IFNA('PROCCESSING '!P5/'PROCCESSING '!P4-1,0)</f>
        <v>3.7895979545115033E-3</v>
      </c>
      <c r="J19" s="38">
        <f>_xlfn.IFNA('PROCCESSING '!O5/'PROCCESSING '!P5-1,0)</f>
        <v>-5.3406394822606673E-2</v>
      </c>
      <c r="K19" s="38">
        <f>_xlfn.IFNA('PROCCESSING '!BO4/'PROCCESSING '!BO3-1,0)</f>
        <v>-5.8553258250686357E-2</v>
      </c>
      <c r="L19" s="38">
        <f>'PROCCESSING '!BP4/'PROCCESSING '!BP3-1</f>
        <v>0.17306437581557188</v>
      </c>
      <c r="M19" s="38">
        <f>_xlfn.IFNA('PROCCESSING '!BO4/'PROCCESSING '!BP4-1,0)</f>
        <v>-0.22122827346465812</v>
      </c>
    </row>
    <row r="20" spans="7:13" x14ac:dyDescent="0.25">
      <c r="G20" s="37" t="s">
        <v>1</v>
      </c>
      <c r="H20" s="38">
        <f>_xlfn.IFNA('PROCCESSING '!O6/'PROCCESSING '!O5-1,0)</f>
        <v>0.19430647675500801</v>
      </c>
      <c r="I20" s="38">
        <f>_xlfn.IFNA('PROCCESSING '!P6/'PROCCESSING '!P5-1,0)</f>
        <v>4.5077910623514406E-4</v>
      </c>
      <c r="J20" s="38">
        <f>_xlfn.IFNA('PROCCESSING '!O6/'PROCCESSING '!P6-1,0)</f>
        <v>0.13001348704850835</v>
      </c>
      <c r="K20" s="38">
        <f>_xlfn.IFNA('PROCCESSING '!BO5/'PROCCESSING '!BO4-1,0)</f>
        <v>0.3016307582430664</v>
      </c>
      <c r="L20" s="38">
        <f>'PROCCESSING '!BP5/'PROCCESSING '!BP4-1</f>
        <v>-0.21557358053302433</v>
      </c>
      <c r="M20" s="38">
        <f>_xlfn.IFNA('PROCCESSING '!BO5/'PROCCESSING '!BP5-1,0)</f>
        <v>0.29224769558024111</v>
      </c>
    </row>
    <row r="21" spans="7:13" x14ac:dyDescent="0.25">
      <c r="G21" s="37" t="s">
        <v>2</v>
      </c>
      <c r="H21" s="38">
        <f>_xlfn.IFNA('PROCCESSING '!O7/'PROCCESSING '!O6-1,0)</f>
        <v>-6.9194689658058972E-2</v>
      </c>
      <c r="I21" s="38">
        <f>_xlfn.IFNA('PROCCESSING '!P7/'PROCCESSING '!P6-1,0)</f>
        <v>-0.56220131583041855</v>
      </c>
      <c r="J21" s="38">
        <f>_xlfn.IFNA('PROCCESSING '!O7/'PROCCESSING '!P7-1,0)</f>
        <v>1.4025256185908086</v>
      </c>
      <c r="K21" s="38">
        <f>_xlfn.IFNA('PROCCESSING '!BO6/'PROCCESSING '!BO5-1,0)</f>
        <v>-0.16616369455875624</v>
      </c>
      <c r="L21" s="38">
        <f>'PROCCESSING '!BP6/'PROCCESSING '!BP5-1</f>
        <v>-0.73753249822736944</v>
      </c>
      <c r="M21" s="38">
        <f>_xlfn.IFNA('PROCCESSING '!BO6/'PROCCESSING '!BP6-1,0)</f>
        <v>3.1053579468707788</v>
      </c>
    </row>
    <row r="22" spans="7:13" x14ac:dyDescent="0.25">
      <c r="G22" s="37" t="s">
        <v>3</v>
      </c>
      <c r="H22" s="38">
        <f>_xlfn.IFNA('PROCCESSING '!O8/'PROCCESSING '!O7-1,0)</f>
        <v>1.8703676846160366E-2</v>
      </c>
      <c r="I22" s="38">
        <f>_xlfn.IFNA('PROCCESSING '!P8/'PROCCESSING '!P7-1,0)</f>
        <v>0.21535018042816567</v>
      </c>
      <c r="J22" s="38">
        <f>_xlfn.IFNA('PROCCESSING '!O8/'PROCCESSING '!P8-1,0)</f>
        <v>1.0137913506651364</v>
      </c>
      <c r="K22" s="38">
        <f>_xlfn.IFNA('PROCCESSING '!BO7/'PROCCESSING '!BO6-1,0)</f>
        <v>7.3152007019083198E-2</v>
      </c>
      <c r="L22" s="38">
        <f>'PROCCESSING '!BP7/'PROCCESSING '!BP6-1</f>
        <v>0.52251238180999549</v>
      </c>
      <c r="M22" s="38">
        <f>_xlfn.IFNA('PROCCESSING '!BO7/'PROCCESSING '!BP7-1,0)</f>
        <v>1.8936862339198579</v>
      </c>
    </row>
    <row r="23" spans="7:13" x14ac:dyDescent="0.25">
      <c r="G23" s="37" t="s">
        <v>4</v>
      </c>
      <c r="H23" s="38">
        <f>_xlfn.IFNA('PROCCESSING '!O9/'PROCCESSING '!O8-1,0)</f>
        <v>0.40719687968382656</v>
      </c>
      <c r="I23" s="38">
        <f>_xlfn.IFNA('PROCCESSING '!P9/'PROCCESSING '!P8-1,0)</f>
        <v>1.3929956620476047</v>
      </c>
      <c r="J23" s="38">
        <f>_xlfn.IFNA('PROCCESSING '!O9/'PROCCESSING '!P9-1,0)</f>
        <v>0.18420645299685634</v>
      </c>
      <c r="K23" s="38">
        <f>_xlfn.IFNA('PROCCESSING '!BO8/'PROCCESSING '!BO7-1,0)</f>
        <v>0.32682677567705665</v>
      </c>
      <c r="L23" s="38">
        <f>'PROCCESSING '!BP8/'PROCCESSING '!BP7-1</f>
        <v>1.4259943811917788</v>
      </c>
      <c r="M23" s="38">
        <f>_xlfn.IFNA('PROCCESSING '!BO8/'PROCCESSING '!BP8-1,0)</f>
        <v>0.5826171755957823</v>
      </c>
    </row>
    <row r="24" spans="7:13" x14ac:dyDescent="0.25">
      <c r="G24" s="37" t="s">
        <v>5</v>
      </c>
      <c r="H24" s="38">
        <f>_xlfn.IFNA('PROCCESSING '!O10/'PROCCESSING '!O9-1,0)</f>
        <v>-0.13970983396256464</v>
      </c>
      <c r="I24" s="38">
        <f>_xlfn.IFNA('PROCCESSING '!P10/'PROCCESSING '!P9-1,0)</f>
        <v>0.13864764176265343</v>
      </c>
      <c r="J24" s="38">
        <f>_xlfn.IFNA('PROCCESSING '!O10/'PROCCESSING '!P10-1,0)</f>
        <v>-0.10528847669310437</v>
      </c>
      <c r="K24" s="38">
        <f>_xlfn.IFNA('PROCCESSING '!BO9/'PROCCESSING '!BO8-1,0)</f>
        <v>-0.14919510128629743</v>
      </c>
      <c r="L24" s="38">
        <f>'PROCCESSING '!BP9/'PROCCESSING '!BP8-1</f>
        <v>0.24635826171755948</v>
      </c>
      <c r="M24" s="38">
        <f>_xlfn.IFNA('PROCCESSING '!BO9/'PROCCESSING '!BP9-1,0)</f>
        <v>8.034622719937401E-2</v>
      </c>
    </row>
    <row r="25" spans="7:13" x14ac:dyDescent="0.25">
      <c r="G25" s="37" t="s">
        <v>6</v>
      </c>
      <c r="H25" s="38">
        <f>_xlfn.IFNA('PROCCESSING '!O11/'PROCCESSING '!O10-1,0)</f>
        <v>-0.12173482986893414</v>
      </c>
      <c r="I25" s="38">
        <f>_xlfn.IFNA('PROCCESSING '!P11/'PROCCESSING '!P10-1,0)</f>
        <v>-0.18695794555132705</v>
      </c>
      <c r="J25" s="38">
        <f>_xlfn.IFNA('PROCCESSING '!O11/'PROCCESSING '!P11-1,0)</f>
        <v>-3.3513747615176226E-2</v>
      </c>
      <c r="K25" s="38">
        <f>_xlfn.IFNA('PROCCESSING '!BO10/'PROCCESSING '!BO9-1,0)</f>
        <v>0.13090711569799018</v>
      </c>
      <c r="L25" s="38">
        <f>'PROCCESSING '!BP10/'PROCCESSING '!BP9-1</f>
        <v>5.2814318548584094E-3</v>
      </c>
      <c r="M25" s="38">
        <f>_xlfn.IFNA('PROCCESSING '!BO10/'PROCCESSING '!BP10-1,0)</f>
        <v>0.21535243469377829</v>
      </c>
    </row>
    <row r="26" spans="7:13" x14ac:dyDescent="0.25">
      <c r="G26" s="37" t="s">
        <v>7</v>
      </c>
      <c r="H26" s="38">
        <f>_xlfn.IFNA('PROCCESSING '!O12/'PROCCESSING '!O11-1,0)</f>
        <v>-0.10543255393442053</v>
      </c>
      <c r="I26" s="38">
        <f>_xlfn.IFNA('PROCCESSING '!P12/'PROCCESSING '!P11-1,0)</f>
        <v>0.18896738902306276</v>
      </c>
      <c r="J26" s="38">
        <f>_xlfn.IFNA('PROCCESSING '!O12/'PROCCESSING '!P12-1,0)</f>
        <v>-0.27282518727129346</v>
      </c>
      <c r="K26" s="38">
        <f>_xlfn.IFNA('PROCCESSING '!BO11/'PROCCESSING '!BO10-1,0)</f>
        <v>-0.16458533461415303</v>
      </c>
      <c r="L26" s="38">
        <f>'PROCCESSING '!BP11/'PROCCESSING '!BP10-1</f>
        <v>7.7443206693583733E-2</v>
      </c>
      <c r="M26" s="38">
        <f>_xlfn.IFNA('PROCCESSING '!BO11/'PROCCESSING '!BP11-1,0)</f>
        <v>-5.7654973136484711E-2</v>
      </c>
    </row>
    <row r="27" spans="7:13" x14ac:dyDescent="0.25">
      <c r="G27" s="37" t="s">
        <v>8</v>
      </c>
      <c r="H27" s="38">
        <f>_xlfn.IFNA('PROCCESSING '!O13/'PROCCESSING '!O12-1,0)</f>
        <v>-4.0230889423078953E-2</v>
      </c>
      <c r="I27" s="38">
        <f>_xlfn.IFNA('PROCCESSING '!P13/'PROCCESSING '!P12-1,0)</f>
        <v>-0.11943146811142502</v>
      </c>
      <c r="J27" s="38">
        <f>_xlfn.IFNA('PROCCESSING '!O13/'PROCCESSING '!P13-1,0)</f>
        <v>-0.20742123074767926</v>
      </c>
      <c r="K27" s="38">
        <f>_xlfn.IFNA('PROCCESSING '!BO12/'PROCCESSING '!BO11-1,0)</f>
        <v>-6.2284400153311825E-4</v>
      </c>
      <c r="L27" s="38">
        <f>'PROCCESSING '!BP12/'PROCCESSING '!BP11-1</f>
        <v>-5.4133369452345481E-2</v>
      </c>
      <c r="M27" s="38">
        <f>_xlfn.IFNA('PROCCESSING '!BO12/'PROCCESSING '!BP12-1,0)</f>
        <v>-4.3436754176611192E-3</v>
      </c>
    </row>
    <row r="28" spans="7:13" x14ac:dyDescent="0.25">
      <c r="G28" s="37" t="s">
        <v>9</v>
      </c>
      <c r="H28" s="38">
        <f>_xlfn.IFNA('PROCCESSING '!O14/'PROCCESSING '!O13-1,0)</f>
        <v>-4.7177023418828901E-2</v>
      </c>
      <c r="I28" s="38">
        <f>_xlfn.IFNA('PROCCESSING '!P14/'PROCCESSING '!P13-1,0)</f>
        <v>-8.1954859425301452E-2</v>
      </c>
      <c r="J28" s="38">
        <f>_xlfn.IFNA('PROCCESSING '!O14/'PROCCESSING '!P14-1,0)</f>
        <v>-0.17739637331854041</v>
      </c>
      <c r="K28" s="38">
        <f>_xlfn.IFNA('PROCCESSING '!BO13/'PROCCESSING '!BO12-1,0)</f>
        <v>-4.6071240232034127E-2</v>
      </c>
      <c r="L28" s="38">
        <f>'PROCCESSING '!BP13/'PROCCESSING '!BP12-1</f>
        <v>-8.7971360381861596E-2</v>
      </c>
      <c r="M28" s="38">
        <f>_xlfn.IFNA('PROCCESSING '!BO13/'PROCCESSING '!BP13-1,0)</f>
        <v>4.1398440362170996E-2</v>
      </c>
    </row>
    <row r="29" spans="7:13" x14ac:dyDescent="0.25">
      <c r="G29" s="37" t="s">
        <v>10</v>
      </c>
      <c r="H29" s="38">
        <f>_xlfn.IFNA('PROCCESSING '!O15/'PROCCESSING '!O14-1,0)</f>
        <v>-2.7825877403676258E-2</v>
      </c>
      <c r="I29" s="38">
        <f>_xlfn.IFNA('PROCCESSING '!P15/'PROCCESSING '!P14-1,0)</f>
        <v>8.3208092843139791E-2</v>
      </c>
      <c r="J29" s="38">
        <f>_xlfn.IFNA('PROCCESSING '!O15/'PROCCESSING '!P15-1,0)</f>
        <v>-0.26171714899714182</v>
      </c>
      <c r="K29" s="38">
        <f>_xlfn.IFNA('PROCCESSING '!BO14/'PROCCESSING '!BO13-1,0)</f>
        <v>1.0352799276309277E-2</v>
      </c>
      <c r="L29" s="38">
        <f>'PROCCESSING '!BP14/'PROCCESSING '!BP13-1</f>
        <v>0.19150049719997897</v>
      </c>
      <c r="M29" s="38">
        <f>_xlfn.IFNA('PROCCESSING '!BO14/'PROCCESSING '!BP14-1,0)</f>
        <v>-0.11692875340419928</v>
      </c>
    </row>
    <row r="33" spans="7:13" x14ac:dyDescent="0.25">
      <c r="G33" t="str">
        <f>INDEX(G18:G29,SCROLL)</f>
        <v>AUGUST</v>
      </c>
      <c r="H33" s="38">
        <f>VLOOKUP(G33,G18:J29,2,0)</f>
        <v>-0.12173482986893414</v>
      </c>
      <c r="I33" s="38">
        <f>VLOOKUP(H33,H18:K29,2,0)</f>
        <v>-0.18695794555132705</v>
      </c>
      <c r="J33" s="38">
        <f>VLOOKUP(I33,I18:L29,2,0)</f>
        <v>-3.3513747615176226E-2</v>
      </c>
      <c r="K33" s="38">
        <f t="shared" ref="K33:M33" si="0">VLOOKUP(J33,J18:M29,2,0)</f>
        <v>0.13090711569799018</v>
      </c>
      <c r="L33" s="38">
        <f t="shared" si="0"/>
        <v>5.2814318548584094E-3</v>
      </c>
      <c r="M33" s="38">
        <f t="shared" si="0"/>
        <v>0.21535243469377829</v>
      </c>
    </row>
  </sheetData>
  <mergeCells count="2">
    <mergeCell ref="G16:I16"/>
    <mergeCell ref="K16:L16"/>
  </mergeCells>
  <phoneticPr fontId="2" type="noConversion"/>
  <conditionalFormatting sqref="G18:G29">
    <cfRule type="cellIs" dxfId="6" priority="7" operator="equal">
      <formula>$G$33</formula>
    </cfRule>
  </conditionalFormatting>
  <conditionalFormatting sqref="H18:H29">
    <cfRule type="cellIs" dxfId="5" priority="6" operator="equal">
      <formula>$H$33</formula>
    </cfRule>
  </conditionalFormatting>
  <conditionalFormatting sqref="I18:I29">
    <cfRule type="cellIs" dxfId="4" priority="5" operator="equal">
      <formula>$I$33</formula>
    </cfRule>
  </conditionalFormatting>
  <conditionalFormatting sqref="J18:J29">
    <cfRule type="cellIs" dxfId="3" priority="4" operator="equal">
      <formula>$J$33</formula>
    </cfRule>
  </conditionalFormatting>
  <conditionalFormatting sqref="K18:K29">
    <cfRule type="cellIs" dxfId="2" priority="3" operator="equal">
      <formula>$K$33</formula>
    </cfRule>
  </conditionalFormatting>
  <conditionalFormatting sqref="L18:L29">
    <cfRule type="cellIs" dxfId="1" priority="2" operator="equal">
      <formula>$L$33</formula>
    </cfRule>
  </conditionalFormatting>
  <conditionalFormatting sqref="M18:M29">
    <cfRule type="cellIs" dxfId="0" priority="1" operator="equal">
      <formula>$M$33</formula>
    </cfRule>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COMPARATIVE ANNUAL DATA </vt:lpstr>
      <vt:lpstr>DASHBOARD </vt:lpstr>
      <vt:lpstr>PROCCESSING </vt:lpstr>
      <vt:lpstr>Sheet1</vt:lpstr>
      <vt:lpstr>BEDOCCUPANCY</vt:lpstr>
      <vt:lpstr>INPATREVENUES</vt:lpstr>
      <vt:lpstr>LINK</vt:lpstr>
      <vt:lpstr>MONTHS</vt:lpstr>
      <vt:lpstr>OUTPATREVENUES</vt:lpstr>
      <vt:lpstr>REVENUES</vt:lpstr>
      <vt:lpstr>SCROLL</vt:lpstr>
      <vt:lpstr>TOTADMISSIONS</vt:lpstr>
      <vt:lpstr>TOTPATIENTS</vt:lpstr>
      <vt:lpstr>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IC04</dc:creator>
  <cp:lastModifiedBy>IC04</cp:lastModifiedBy>
  <dcterms:created xsi:type="dcterms:W3CDTF">2021-10-30T11:35:29Z</dcterms:created>
  <dcterms:modified xsi:type="dcterms:W3CDTF">2022-08-20T08:04:58Z</dcterms:modified>
</cp:coreProperties>
</file>