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DieseArbeitsmappe"/>
  <mc:AlternateContent xmlns:mc="http://schemas.openxmlformats.org/markup-compatibility/2006">
    <mc:Choice Requires="x15">
      <x15ac:absPath xmlns:x15ac="http://schemas.microsoft.com/office/spreadsheetml/2010/11/ac" url="Z:\ZE\Institute\IAAF\Projekt_DiWenkLa\TP2_Schuele\Kalkulationen\Veröffentlichung_Pfadabhängigkeit_Paper 2\Review\"/>
    </mc:Choice>
  </mc:AlternateContent>
  <xr:revisionPtr revIDLastSave="0" documentId="13_ncr:1_{4AE10CCE-B0BD-4B9F-8206-876F8FDD255F}" xr6:coauthVersionLast="47" xr6:coauthVersionMax="47" xr10:uidLastSave="{00000000-0000-0000-0000-000000000000}"/>
  <bookViews>
    <workbookView xWindow="-108" yWindow="-108" windowWidth="23256" windowHeight="12576" tabRatio="899" xr2:uid="{00000000-000D-0000-FFFF-FFFF00000000}"/>
  </bookViews>
  <sheets>
    <sheet name="Result_Lock-in-effect" sheetId="76" r:id="rId1"/>
    <sheet name="Implementation Effort" sheetId="69" r:id="rId2"/>
    <sheet name="Investment Costs" sheetId="70" r:id="rId3"/>
    <sheet name="Impact Technologies" sheetId="7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77" l="1"/>
  <c r="H586" i="76"/>
  <c r="I586" i="76"/>
  <c r="J586" i="76"/>
  <c r="K586" i="76"/>
  <c r="L586" i="76"/>
  <c r="G586" i="76"/>
  <c r="L591" i="76"/>
  <c r="L590" i="76"/>
  <c r="K590" i="76"/>
  <c r="K589" i="76"/>
  <c r="L589" i="76"/>
  <c r="J589" i="76"/>
  <c r="J588" i="76"/>
  <c r="K588" i="76"/>
  <c r="L588" i="76"/>
  <c r="I588" i="76"/>
  <c r="I587" i="76"/>
  <c r="J587" i="76"/>
  <c r="K587" i="76"/>
  <c r="L587" i="76"/>
  <c r="H587" i="76"/>
  <c r="G585" i="76"/>
  <c r="F585" i="76"/>
  <c r="H585" i="76"/>
  <c r="I585" i="76"/>
  <c r="J585" i="76"/>
  <c r="K585" i="76"/>
  <c r="L585" i="76"/>
  <c r="F572" i="76"/>
  <c r="L578" i="76"/>
  <c r="L577" i="76"/>
  <c r="K577" i="76"/>
  <c r="K576" i="76"/>
  <c r="L576" i="76"/>
  <c r="J576" i="76"/>
  <c r="J575" i="76"/>
  <c r="K575" i="76"/>
  <c r="L575" i="76"/>
  <c r="I575" i="76"/>
  <c r="I574" i="76"/>
  <c r="J574" i="76"/>
  <c r="K574" i="76"/>
  <c r="L574" i="76"/>
  <c r="H574" i="76"/>
  <c r="H573" i="76"/>
  <c r="I573" i="76"/>
  <c r="J573" i="76"/>
  <c r="K573" i="76"/>
  <c r="L573" i="76"/>
  <c r="G573" i="76"/>
  <c r="G572" i="76"/>
  <c r="H572" i="76"/>
  <c r="I572" i="76"/>
  <c r="J572" i="76"/>
  <c r="K572" i="76"/>
  <c r="L572" i="76"/>
  <c r="L565" i="76"/>
  <c r="L564" i="76"/>
  <c r="K564" i="76"/>
  <c r="K563" i="76"/>
  <c r="L563" i="76"/>
  <c r="J563" i="76"/>
  <c r="J562" i="76"/>
  <c r="K562" i="76"/>
  <c r="L562" i="76"/>
  <c r="I562" i="76"/>
  <c r="I561" i="76"/>
  <c r="J561" i="76"/>
  <c r="K561" i="76"/>
  <c r="L561" i="76"/>
  <c r="H561" i="76"/>
  <c r="H560" i="76"/>
  <c r="I560" i="76"/>
  <c r="J560" i="76"/>
  <c r="K560" i="76"/>
  <c r="L560" i="76"/>
  <c r="G560" i="76"/>
  <c r="G559" i="76"/>
  <c r="H559" i="76"/>
  <c r="I559" i="76"/>
  <c r="J559" i="76"/>
  <c r="K559" i="76"/>
  <c r="L559" i="76"/>
  <c r="F559" i="76"/>
  <c r="N65" i="76" l="1"/>
  <c r="M65" i="76"/>
  <c r="M53" i="76"/>
  <c r="Q24" i="76"/>
  <c r="R17" i="76" s="1"/>
  <c r="C4" i="77"/>
  <c r="C5" i="77"/>
  <c r="E5" i="77" s="1"/>
  <c r="C3" i="77"/>
  <c r="I9" i="77"/>
  <c r="J7" i="77"/>
  <c r="C75" i="77"/>
  <c r="G68" i="77"/>
  <c r="G69" i="77" s="1"/>
  <c r="G11" i="77" s="1"/>
  <c r="C56" i="77"/>
  <c r="C35" i="77"/>
  <c r="G48" i="77"/>
  <c r="G27" i="77"/>
  <c r="E36" i="77"/>
  <c r="E57" i="77"/>
  <c r="E76" i="77"/>
  <c r="C55" i="77"/>
  <c r="C34" i="77"/>
  <c r="K65" i="77"/>
  <c r="J65" i="77"/>
  <c r="J8" i="77" s="1"/>
  <c r="I65" i="77"/>
  <c r="I8" i="77" s="1"/>
  <c r="K44" i="77"/>
  <c r="J44" i="77"/>
  <c r="I44" i="77"/>
  <c r="I7" i="77" s="1"/>
  <c r="I23" i="77"/>
  <c r="I6" i="77" s="1"/>
  <c r="J23" i="77"/>
  <c r="J6" i="77" s="1"/>
  <c r="K23" i="77"/>
  <c r="C73" i="77"/>
  <c r="C53" i="77"/>
  <c r="C32" i="77"/>
  <c r="C72" i="77"/>
  <c r="C52" i="77"/>
  <c r="C31" i="77"/>
  <c r="H63" i="77"/>
  <c r="G63" i="77"/>
  <c r="F63" i="77"/>
  <c r="H42" i="77"/>
  <c r="G42" i="77"/>
  <c r="F42" i="77"/>
  <c r="G21" i="77"/>
  <c r="H21" i="77"/>
  <c r="F21" i="77"/>
  <c r="D71" i="77"/>
  <c r="D76" i="77" s="1"/>
  <c r="D14" i="77" s="1"/>
  <c r="C71" i="77"/>
  <c r="D51" i="77"/>
  <c r="D57" i="77" s="1"/>
  <c r="D13" i="77" s="1"/>
  <c r="C51" i="77"/>
  <c r="D30" i="77"/>
  <c r="D36" i="77" s="1"/>
  <c r="D12" i="77" s="1"/>
  <c r="C30" i="77"/>
  <c r="C70" i="77"/>
  <c r="C50" i="77"/>
  <c r="C29" i="77"/>
  <c r="H61" i="77"/>
  <c r="G61" i="77"/>
  <c r="F61" i="77"/>
  <c r="H40" i="77"/>
  <c r="G40" i="77"/>
  <c r="F40" i="77"/>
  <c r="G19" i="77"/>
  <c r="H19" i="77"/>
  <c r="F19" i="77"/>
  <c r="K69" i="77"/>
  <c r="J69" i="77"/>
  <c r="J11" i="77" s="1"/>
  <c r="I69" i="77"/>
  <c r="I11" i="77" s="1"/>
  <c r="H69" i="77"/>
  <c r="H11" i="77" s="1"/>
  <c r="F69" i="77"/>
  <c r="F11" i="77" s="1"/>
  <c r="K49" i="77"/>
  <c r="J49" i="77"/>
  <c r="J10" i="77" s="1"/>
  <c r="I49" i="77"/>
  <c r="I10" i="77" s="1"/>
  <c r="H49" i="77"/>
  <c r="H10" i="77" s="1"/>
  <c r="F49" i="77"/>
  <c r="F10" i="77" s="1"/>
  <c r="K28" i="77"/>
  <c r="J28" i="77"/>
  <c r="J9" i="77" s="1"/>
  <c r="I28" i="77"/>
  <c r="H28" i="77"/>
  <c r="H9" i="77" s="1"/>
  <c r="F28" i="77"/>
  <c r="F9" i="77" s="1"/>
  <c r="H60" i="77"/>
  <c r="G60" i="77"/>
  <c r="F60" i="77"/>
  <c r="H39" i="77"/>
  <c r="G39" i="77"/>
  <c r="F39" i="77"/>
  <c r="G18" i="77"/>
  <c r="H18" i="77"/>
  <c r="F18" i="77"/>
  <c r="G45" i="77"/>
  <c r="G24" i="77"/>
  <c r="E3" i="77"/>
  <c r="H5" i="77"/>
  <c r="G5" i="77"/>
  <c r="H4" i="77"/>
  <c r="G4" i="77"/>
  <c r="F4" i="77"/>
  <c r="H3" i="77"/>
  <c r="G3" i="77"/>
  <c r="F3" i="77"/>
  <c r="L11" i="77" l="1"/>
  <c r="M11" i="77" s="1"/>
  <c r="H21" i="76" s="1"/>
  <c r="L10" i="77"/>
  <c r="M10" i="77" s="1"/>
  <c r="H20" i="76" s="1"/>
  <c r="E4" i="77"/>
  <c r="C57" i="77"/>
  <c r="C13" i="77" s="1"/>
  <c r="E13" i="77" s="1"/>
  <c r="C76" i="77"/>
  <c r="C14" i="77" s="1"/>
  <c r="E14" i="77" s="1"/>
  <c r="M14" i="77" s="1"/>
  <c r="G21" i="76" s="1"/>
  <c r="C36" i="77"/>
  <c r="C12" i="77" s="1"/>
  <c r="E12" i="77" s="1"/>
  <c r="M12" i="77" s="1"/>
  <c r="G19" i="76" s="1"/>
  <c r="G49" i="77"/>
  <c r="G10" i="77" s="1"/>
  <c r="G28" i="77"/>
  <c r="G9" i="77" s="1"/>
  <c r="L9" i="77" s="1"/>
  <c r="M9" i="77" s="1"/>
  <c r="H19" i="76" s="1"/>
  <c r="H65" i="77"/>
  <c r="H8" i="77" s="1"/>
  <c r="G65" i="77"/>
  <c r="G8" i="77" s="1"/>
  <c r="G44" i="77"/>
  <c r="G7" i="77" s="1"/>
  <c r="F44" i="77"/>
  <c r="F7" i="77" s="1"/>
  <c r="L7" i="77" s="1"/>
  <c r="M7" i="77" s="1"/>
  <c r="I20" i="76" s="1"/>
  <c r="H44" i="77"/>
  <c r="H7" i="77" s="1"/>
  <c r="F65" i="77"/>
  <c r="F8" i="77" s="1"/>
  <c r="L8" i="77" s="1"/>
  <c r="M8" i="77" s="1"/>
  <c r="I21" i="76" s="1"/>
  <c r="H23" i="77"/>
  <c r="H6" i="77" s="1"/>
  <c r="F23" i="77"/>
  <c r="F6" i="77" s="1"/>
  <c r="L6" i="77" s="1"/>
  <c r="I19" i="76" s="1"/>
  <c r="G23" i="77"/>
  <c r="G6" i="77" s="1"/>
  <c r="J4" i="77"/>
  <c r="K4" i="77" s="1"/>
  <c r="J3" i="77"/>
  <c r="K3" i="77" s="1"/>
  <c r="J5" i="77"/>
  <c r="K5" i="77" s="1"/>
  <c r="M13" i="77" l="1"/>
  <c r="G20" i="76" s="1"/>
  <c r="D41" i="76"/>
  <c r="D42" i="76"/>
  <c r="D43" i="76"/>
  <c r="D44" i="76"/>
  <c r="D40" i="76"/>
  <c r="D36" i="76"/>
  <c r="D37" i="76"/>
  <c r="D38" i="76"/>
  <c r="D39" i="76"/>
  <c r="D35" i="76"/>
  <c r="D31" i="76"/>
  <c r="D32" i="76"/>
  <c r="D33" i="76"/>
  <c r="D34" i="76"/>
  <c r="D30" i="76"/>
  <c r="B15" i="76"/>
  <c r="M86" i="76" l="1"/>
  <c r="N80" i="76"/>
  <c r="N81" i="76"/>
  <c r="M81" i="76"/>
  <c r="M80" i="76"/>
  <c r="N79" i="76"/>
  <c r="M79" i="76"/>
  <c r="M78" i="76"/>
  <c r="O66" i="76"/>
  <c r="P66" i="76" s="1"/>
  <c r="Q66" i="76" s="1"/>
  <c r="M66" i="76"/>
  <c r="Y66" i="76" s="1"/>
  <c r="J99" i="70"/>
  <c r="K103" i="70"/>
  <c r="J103" i="70"/>
  <c r="J140" i="70"/>
  <c r="G87" i="76"/>
  <c r="I87" i="76"/>
  <c r="E87" i="76"/>
  <c r="G79" i="76"/>
  <c r="H79" i="76"/>
  <c r="I79" i="76"/>
  <c r="J79" i="76"/>
  <c r="K79" i="76"/>
  <c r="L79" i="76"/>
  <c r="G80" i="76"/>
  <c r="H80" i="76"/>
  <c r="I80" i="76"/>
  <c r="J80" i="76"/>
  <c r="K80" i="76"/>
  <c r="L80" i="76"/>
  <c r="G81" i="76"/>
  <c r="H81" i="76"/>
  <c r="I81" i="76"/>
  <c r="J81" i="76"/>
  <c r="K81" i="76"/>
  <c r="L81" i="76"/>
  <c r="F79" i="76"/>
  <c r="F80" i="76"/>
  <c r="F81" i="76"/>
  <c r="E81" i="76"/>
  <c r="E80" i="76"/>
  <c r="E79" i="76"/>
  <c r="L73" i="69"/>
  <c r="N87" i="76" s="1"/>
  <c r="K73" i="69"/>
  <c r="M87" i="76" s="1"/>
  <c r="J73" i="69"/>
  <c r="L87" i="76" s="1"/>
  <c r="I73" i="69"/>
  <c r="K87" i="76" s="1"/>
  <c r="H73" i="69"/>
  <c r="J87" i="76" s="1"/>
  <c r="G73" i="69"/>
  <c r="F73" i="69"/>
  <c r="H87" i="76" s="1"/>
  <c r="E73" i="69"/>
  <c r="D73" i="69"/>
  <c r="F87" i="76" s="1"/>
  <c r="C73" i="69"/>
  <c r="L68" i="69"/>
  <c r="K68" i="69"/>
  <c r="J68" i="69"/>
  <c r="I68" i="69"/>
  <c r="H68" i="69"/>
  <c r="G68" i="69"/>
  <c r="F68" i="69"/>
  <c r="E68" i="69"/>
  <c r="D68" i="69"/>
  <c r="C68" i="69"/>
  <c r="L63" i="69"/>
  <c r="K63" i="69"/>
  <c r="J63" i="69"/>
  <c r="I63" i="69"/>
  <c r="H63" i="69"/>
  <c r="G63" i="69"/>
  <c r="F63" i="69"/>
  <c r="E63" i="69"/>
  <c r="D63" i="69"/>
  <c r="C63" i="69"/>
  <c r="L58" i="69"/>
  <c r="K58" i="69"/>
  <c r="J58" i="69"/>
  <c r="I58" i="69"/>
  <c r="H58" i="69"/>
  <c r="G58" i="69"/>
  <c r="F58" i="69"/>
  <c r="E58" i="69"/>
  <c r="D58" i="69"/>
  <c r="C58" i="69"/>
  <c r="J63" i="76"/>
  <c r="I63" i="76"/>
  <c r="G63" i="76"/>
  <c r="E63" i="76"/>
  <c r="J64" i="76"/>
  <c r="I64" i="76"/>
  <c r="G64" i="76"/>
  <c r="F64" i="76"/>
  <c r="E64" i="76"/>
  <c r="Z66" i="76" l="1"/>
  <c r="J118" i="70"/>
  <c r="K118" i="70"/>
  <c r="J127" i="70"/>
  <c r="K127" i="70"/>
  <c r="L93" i="69"/>
  <c r="D20" i="76"/>
  <c r="D21" i="76"/>
  <c r="D22" i="76"/>
  <c r="D23" i="76"/>
  <c r="D19" i="76"/>
  <c r="S18" i="76"/>
  <c r="C20" i="76" s="1"/>
  <c r="S19" i="76"/>
  <c r="S20" i="76"/>
  <c r="S21" i="76"/>
  <c r="S17" i="76"/>
  <c r="C19" i="76" s="1"/>
  <c r="M35" i="76" s="1"/>
  <c r="R23" i="76"/>
  <c r="I53" i="76"/>
  <c r="G53" i="76"/>
  <c r="E53" i="76"/>
  <c r="R66" i="76" l="1"/>
  <c r="AB66" i="76" s="1"/>
  <c r="AA66" i="76"/>
  <c r="C21" i="76"/>
  <c r="N85" i="76" s="1"/>
  <c r="R24" i="76"/>
  <c r="R18" i="76"/>
  <c r="R22" i="76"/>
  <c r="R19" i="76"/>
  <c r="R20" i="76"/>
  <c r="R21" i="76"/>
  <c r="I144" i="70"/>
  <c r="S66" i="76" l="1"/>
  <c r="AC66" i="76" s="1"/>
  <c r="L136" i="70"/>
  <c r="K136" i="70"/>
  <c r="J136" i="70"/>
  <c r="K132" i="70"/>
  <c r="J132" i="70"/>
  <c r="N66" i="76" l="1"/>
  <c r="T66" i="76"/>
  <c r="L612" i="76"/>
  <c r="T394" i="76"/>
  <c r="R395" i="76"/>
  <c r="P396" i="76"/>
  <c r="N397" i="76"/>
  <c r="V397" i="76"/>
  <c r="T398" i="76"/>
  <c r="R399" i="76"/>
  <c r="P400" i="76"/>
  <c r="N401" i="76"/>
  <c r="V401" i="76"/>
  <c r="T402" i="76"/>
  <c r="R403" i="76"/>
  <c r="P404" i="76"/>
  <c r="V405" i="76"/>
  <c r="T406" i="76"/>
  <c r="R407" i="76"/>
  <c r="P408" i="76"/>
  <c r="N409" i="76"/>
  <c r="V409" i="76"/>
  <c r="T410" i="76"/>
  <c r="R411" i="76"/>
  <c r="P412" i="76"/>
  <c r="N413" i="76"/>
  <c r="V413" i="76"/>
  <c r="P310" i="76"/>
  <c r="O311" i="76"/>
  <c r="N312" i="76"/>
  <c r="V312" i="76"/>
  <c r="U313" i="76"/>
  <c r="T314" i="76"/>
  <c r="S315" i="76"/>
  <c r="R316" i="76"/>
  <c r="Q317" i="76"/>
  <c r="P318" i="76"/>
  <c r="O319" i="76"/>
  <c r="N394" i="76"/>
  <c r="O394" i="76"/>
  <c r="Q394" i="76"/>
  <c r="S394" i="76"/>
  <c r="Q395" i="76"/>
  <c r="O396" i="76"/>
  <c r="U397" i="76"/>
  <c r="S398" i="76"/>
  <c r="Q399" i="76"/>
  <c r="O400" i="76"/>
  <c r="U401" i="76"/>
  <c r="S402" i="76"/>
  <c r="Q403" i="76"/>
  <c r="O404" i="76"/>
  <c r="M405" i="76"/>
  <c r="U405" i="76"/>
  <c r="S406" i="76"/>
  <c r="Q407" i="76"/>
  <c r="O408" i="76"/>
  <c r="M409" i="76"/>
  <c r="U409" i="76"/>
  <c r="Q411" i="76"/>
  <c r="O412" i="76"/>
  <c r="M413" i="76"/>
  <c r="U413" i="76"/>
  <c r="V394" i="76"/>
  <c r="V395" i="76"/>
  <c r="V396" i="76"/>
  <c r="N398" i="76"/>
  <c r="N399" i="76"/>
  <c r="N400" i="76"/>
  <c r="P401" i="76"/>
  <c r="P402" i="76"/>
  <c r="P403" i="76"/>
  <c r="R404" i="76"/>
  <c r="R405" i="76"/>
  <c r="R406" i="76"/>
  <c r="T407" i="76"/>
  <c r="T408" i="76"/>
  <c r="T409" i="76"/>
  <c r="V410" i="76"/>
  <c r="V411" i="76"/>
  <c r="V412" i="76"/>
  <c r="N310" i="76"/>
  <c r="N311" i="76"/>
  <c r="O312" i="76"/>
  <c r="O313" i="76"/>
  <c r="O314" i="76"/>
  <c r="O315" i="76"/>
  <c r="O316" i="76"/>
  <c r="O317" i="76"/>
  <c r="O318" i="76"/>
  <c r="P319" i="76"/>
  <c r="O320" i="76"/>
  <c r="M321" i="76"/>
  <c r="V321" i="76"/>
  <c r="U322" i="76"/>
  <c r="T323" i="76"/>
  <c r="S324" i="76"/>
  <c r="Q325" i="76"/>
  <c r="P326" i="76"/>
  <c r="O327" i="76"/>
  <c r="N328" i="76"/>
  <c r="M329" i="76"/>
  <c r="U329" i="76"/>
  <c r="N395" i="76"/>
  <c r="N396" i="76"/>
  <c r="P397" i="76"/>
  <c r="P398" i="76"/>
  <c r="P399" i="76"/>
  <c r="R400" i="76"/>
  <c r="R401" i="76"/>
  <c r="R402" i="76"/>
  <c r="T403" i="76"/>
  <c r="T404" i="76"/>
  <c r="T405" i="76"/>
  <c r="V406" i="76"/>
  <c r="V407" i="76"/>
  <c r="V408" i="76"/>
  <c r="N410" i="76"/>
  <c r="N411" i="76"/>
  <c r="N412" i="76"/>
  <c r="P413" i="76"/>
  <c r="Q310" i="76"/>
  <c r="Q311" i="76"/>
  <c r="Q312" i="76"/>
  <c r="Q313" i="76"/>
  <c r="Q314" i="76"/>
  <c r="Q315" i="76"/>
  <c r="Q316" i="76"/>
  <c r="R317" i="76"/>
  <c r="R318" i="76"/>
  <c r="R319" i="76"/>
  <c r="Q320" i="76"/>
  <c r="P321" i="76"/>
  <c r="N322" i="76"/>
  <c r="M323" i="76"/>
  <c r="V323" i="76"/>
  <c r="U324" i="76"/>
  <c r="T325" i="76"/>
  <c r="R326" i="76"/>
  <c r="Q327" i="76"/>
  <c r="P328" i="76"/>
  <c r="O329" i="76"/>
  <c r="P395" i="76"/>
  <c r="R396" i="76"/>
  <c r="R397" i="76"/>
  <c r="R398" i="76"/>
  <c r="T399" i="76"/>
  <c r="T400" i="76"/>
  <c r="T401" i="76"/>
  <c r="V402" i="76"/>
  <c r="V403" i="76"/>
  <c r="V404" i="76"/>
  <c r="N406" i="76"/>
  <c r="N407" i="76"/>
  <c r="N408" i="76"/>
  <c r="P409" i="76"/>
  <c r="P410" i="76"/>
  <c r="P411" i="76"/>
  <c r="R412" i="76"/>
  <c r="R413" i="76"/>
  <c r="S310" i="76"/>
  <c r="S311" i="76"/>
  <c r="S312" i="76"/>
  <c r="S313" i="76"/>
  <c r="S314" i="76"/>
  <c r="T315" i="76"/>
  <c r="T316" i="76"/>
  <c r="T317" i="76"/>
  <c r="T318" i="76"/>
  <c r="T319" i="76"/>
  <c r="S320" i="76"/>
  <c r="R321" i="76"/>
  <c r="Q322" i="76"/>
  <c r="O323" i="76"/>
  <c r="N324" i="76"/>
  <c r="M325" i="76"/>
  <c r="V325" i="76"/>
  <c r="U326" i="76"/>
  <c r="S327" i="76"/>
  <c r="R328" i="76"/>
  <c r="Q329" i="76"/>
  <c r="T396" i="76"/>
  <c r="Q398" i="76"/>
  <c r="S403" i="76"/>
  <c r="P405" i="76"/>
  <c r="M407" i="76"/>
  <c r="S408" i="76"/>
  <c r="Q410" i="76"/>
  <c r="M412" i="76"/>
  <c r="T413" i="76"/>
  <c r="U310" i="76"/>
  <c r="R312" i="76"/>
  <c r="N314" i="76"/>
  <c r="U315" i="76"/>
  <c r="P317" i="76"/>
  <c r="V318" i="76"/>
  <c r="R320" i="76"/>
  <c r="U321" i="76"/>
  <c r="Q323" i="76"/>
  <c r="T324" i="76"/>
  <c r="N326" i="76"/>
  <c r="R327" i="76"/>
  <c r="V328" i="76"/>
  <c r="Q340" i="76"/>
  <c r="Q341" i="76"/>
  <c r="R342" i="76"/>
  <c r="T343" i="76"/>
  <c r="S345" i="76"/>
  <c r="V347" i="76"/>
  <c r="S395" i="76"/>
  <c r="O397" i="76"/>
  <c r="V398" i="76"/>
  <c r="S400" i="76"/>
  <c r="O402" i="76"/>
  <c r="S405" i="76"/>
  <c r="O409" i="76"/>
  <c r="U410" i="76"/>
  <c r="S412" i="76"/>
  <c r="P311" i="76"/>
  <c r="U312" i="76"/>
  <c r="R314" i="76"/>
  <c r="N316" i="76"/>
  <c r="U317" i="76"/>
  <c r="Q319" i="76"/>
  <c r="U320" i="76"/>
  <c r="P322" i="76"/>
  <c r="S323" i="76"/>
  <c r="N325" i="76"/>
  <c r="Q326" i="76"/>
  <c r="V327" i="76"/>
  <c r="P329" i="76"/>
  <c r="S340" i="76"/>
  <c r="S341" i="76"/>
  <c r="T342" i="76"/>
  <c r="V343" i="76"/>
  <c r="U345" i="76"/>
  <c r="U395" i="76"/>
  <c r="S397" i="76"/>
  <c r="O399" i="76"/>
  <c r="V400" i="76"/>
  <c r="U402" i="76"/>
  <c r="Q404" i="76"/>
  <c r="U407" i="76"/>
  <c r="O411" i="76"/>
  <c r="T311" i="76"/>
  <c r="P313" i="76"/>
  <c r="V314" i="76"/>
  <c r="S316" i="76"/>
  <c r="N318" i="76"/>
  <c r="U319" i="76"/>
  <c r="O321" i="76"/>
  <c r="S322" i="76"/>
  <c r="M324" i="76"/>
  <c r="P325" i="76"/>
  <c r="V326" i="76"/>
  <c r="O328" i="76"/>
  <c r="S329" i="76"/>
  <c r="U340" i="76"/>
  <c r="U341" i="76"/>
  <c r="V342" i="76"/>
  <c r="S344" i="76"/>
  <c r="T346" i="76"/>
  <c r="O395" i="76"/>
  <c r="U400" i="76"/>
  <c r="O403" i="76"/>
  <c r="P406" i="76"/>
  <c r="U408" i="76"/>
  <c r="P312" i="76"/>
  <c r="N315" i="76"/>
  <c r="S317" i="76"/>
  <c r="N320" i="76"/>
  <c r="R322" i="76"/>
  <c r="R324" i="76"/>
  <c r="M327" i="76"/>
  <c r="N329" i="76"/>
  <c r="P340" i="76"/>
  <c r="V341" i="76"/>
  <c r="U343" i="76"/>
  <c r="V346" i="76"/>
  <c r="P226" i="76"/>
  <c r="O227" i="76"/>
  <c r="N228" i="76"/>
  <c r="V228" i="76"/>
  <c r="U229" i="76"/>
  <c r="T230" i="76"/>
  <c r="S231" i="76"/>
  <c r="R232" i="76"/>
  <c r="Q233" i="76"/>
  <c r="P234" i="76"/>
  <c r="O235" i="76"/>
  <c r="N236" i="76"/>
  <c r="V236" i="76"/>
  <c r="U237" i="76"/>
  <c r="T238" i="76"/>
  <c r="S239" i="76"/>
  <c r="R240" i="76"/>
  <c r="P241" i="76"/>
  <c r="O242" i="76"/>
  <c r="U398" i="76"/>
  <c r="Q401" i="76"/>
  <c r="N404" i="76"/>
  <c r="U406" i="76"/>
  <c r="S409" i="76"/>
  <c r="Q412" i="76"/>
  <c r="R310" i="76"/>
  <c r="N313" i="76"/>
  <c r="R315" i="76"/>
  <c r="Q318" i="76"/>
  <c r="T320" i="76"/>
  <c r="V322" i="76"/>
  <c r="O325" i="76"/>
  <c r="P327" i="76"/>
  <c r="T329" i="76"/>
  <c r="T340" i="76"/>
  <c r="Q342" i="76"/>
  <c r="T344" i="76"/>
  <c r="V348" i="76"/>
  <c r="R226" i="76"/>
  <c r="Q227" i="76"/>
  <c r="P228" i="76"/>
  <c r="O229" i="76"/>
  <c r="S396" i="76"/>
  <c r="S399" i="76"/>
  <c r="N402" i="76"/>
  <c r="U404" i="76"/>
  <c r="S407" i="76"/>
  <c r="O410" i="76"/>
  <c r="O413" i="76"/>
  <c r="V310" i="76"/>
  <c r="T313" i="76"/>
  <c r="P316" i="76"/>
  <c r="U318" i="76"/>
  <c r="Q321" i="76"/>
  <c r="R323" i="76"/>
  <c r="U325" i="76"/>
  <c r="M328" i="76"/>
  <c r="O341" i="76"/>
  <c r="U342" i="76"/>
  <c r="V344" i="76"/>
  <c r="T226" i="76"/>
  <c r="S227" i="76"/>
  <c r="R228" i="76"/>
  <c r="Q229" i="76"/>
  <c r="P230" i="76"/>
  <c r="O231" i="76"/>
  <c r="N232" i="76"/>
  <c r="V232" i="76"/>
  <c r="U233" i="76"/>
  <c r="T234" i="76"/>
  <c r="S235" i="76"/>
  <c r="R236" i="76"/>
  <c r="Q237" i="76"/>
  <c r="P238" i="76"/>
  <c r="P394" i="76"/>
  <c r="O398" i="76"/>
  <c r="O407" i="76"/>
  <c r="S411" i="76"/>
  <c r="V313" i="76"/>
  <c r="V317" i="76"/>
  <c r="T321" i="76"/>
  <c r="S325" i="76"/>
  <c r="T328" i="76"/>
  <c r="O340" i="76"/>
  <c r="Q343" i="76"/>
  <c r="U347" i="76"/>
  <c r="U226" i="76"/>
  <c r="O228" i="76"/>
  <c r="S229" i="76"/>
  <c r="U230" i="76"/>
  <c r="V231" i="76"/>
  <c r="O233" i="76"/>
  <c r="Q234" i="76"/>
  <c r="R235" i="76"/>
  <c r="T236" i="76"/>
  <c r="V237" i="76"/>
  <c r="M239" i="76"/>
  <c r="M240" i="76"/>
  <c r="M241" i="76"/>
  <c r="M242" i="76"/>
  <c r="M243" i="76"/>
  <c r="V243" i="76"/>
  <c r="T244" i="76"/>
  <c r="S245" i="76"/>
  <c r="T256" i="76"/>
  <c r="T257" i="76"/>
  <c r="U258" i="76"/>
  <c r="R260" i="76"/>
  <c r="R394" i="76"/>
  <c r="N403" i="76"/>
  <c r="M408" i="76"/>
  <c r="U411" i="76"/>
  <c r="O310" i="76"/>
  <c r="P314" i="76"/>
  <c r="S318" i="76"/>
  <c r="M322" i="76"/>
  <c r="M326" i="76"/>
  <c r="R329" i="76"/>
  <c r="R340" i="76"/>
  <c r="R343" i="76"/>
  <c r="U394" i="76"/>
  <c r="U399" i="76"/>
  <c r="U403" i="76"/>
  <c r="T412" i="76"/>
  <c r="T310" i="76"/>
  <c r="U314" i="76"/>
  <c r="N319" i="76"/>
  <c r="T322" i="76"/>
  <c r="O326" i="76"/>
  <c r="V329" i="76"/>
  <c r="V340" i="76"/>
  <c r="S343" i="76"/>
  <c r="T395" i="76"/>
  <c r="V399" i="76"/>
  <c r="S404" i="76"/>
  <c r="R408" i="76"/>
  <c r="Q413" i="76"/>
  <c r="R311" i="76"/>
  <c r="P315" i="76"/>
  <c r="S319" i="76"/>
  <c r="N323" i="76"/>
  <c r="T326" i="76"/>
  <c r="P341" i="76"/>
  <c r="R344" i="76"/>
  <c r="P227" i="76"/>
  <c r="T228" i="76"/>
  <c r="N230" i="76"/>
  <c r="P231" i="76"/>
  <c r="Q232" i="76"/>
  <c r="S233" i="76"/>
  <c r="U234" i="76"/>
  <c r="V235" i="76"/>
  <c r="O237" i="76"/>
  <c r="Q238" i="76"/>
  <c r="Q239" i="76"/>
  <c r="P240" i="76"/>
  <c r="Q241" i="76"/>
  <c r="Q242" i="76"/>
  <c r="P243" i="76"/>
  <c r="O244" i="76"/>
  <c r="N245" i="76"/>
  <c r="V245" i="76"/>
  <c r="O256" i="76"/>
  <c r="O257" i="76"/>
  <c r="P258" i="76"/>
  <c r="R259" i="76"/>
  <c r="U260" i="76"/>
  <c r="V262" i="76"/>
  <c r="M160" i="76"/>
  <c r="S142" i="76"/>
  <c r="R143" i="76"/>
  <c r="Q144" i="76"/>
  <c r="P145" i="76"/>
  <c r="O146" i="76"/>
  <c r="N147" i="76"/>
  <c r="V147" i="76"/>
  <c r="U148" i="76"/>
  <c r="T149" i="76"/>
  <c r="S150" i="76"/>
  <c r="R151" i="76"/>
  <c r="Q152" i="76"/>
  <c r="P153" i="76"/>
  <c r="N154" i="76"/>
  <c r="M155" i="76"/>
  <c r="V155" i="76"/>
  <c r="U156" i="76"/>
  <c r="T157" i="76"/>
  <c r="R158" i="76"/>
  <c r="Q159" i="76"/>
  <c r="Q160" i="76"/>
  <c r="P161" i="76"/>
  <c r="N172" i="76"/>
  <c r="V172" i="76"/>
  <c r="V173" i="76"/>
  <c r="Q175" i="76"/>
  <c r="T176" i="76"/>
  <c r="U178" i="76"/>
  <c r="Q396" i="76"/>
  <c r="Q400" i="76"/>
  <c r="O405" i="76"/>
  <c r="Q409" i="76"/>
  <c r="S413" i="76"/>
  <c r="U311" i="76"/>
  <c r="V315" i="76"/>
  <c r="V319" i="76"/>
  <c r="U323" i="76"/>
  <c r="N327" i="76"/>
  <c r="R341" i="76"/>
  <c r="U344" i="76"/>
  <c r="N226" i="76"/>
  <c r="R227" i="76"/>
  <c r="U228" i="76"/>
  <c r="O230" i="76"/>
  <c r="Q231" i="76"/>
  <c r="S232" i="76"/>
  <c r="T233" i="76"/>
  <c r="V234" i="76"/>
  <c r="O236" i="76"/>
  <c r="P237" i="76"/>
  <c r="R238" i="76"/>
  <c r="R239" i="76"/>
  <c r="S240" i="76"/>
  <c r="S241" i="76"/>
  <c r="R242" i="76"/>
  <c r="Q243" i="76"/>
  <c r="P244" i="76"/>
  <c r="O245" i="76"/>
  <c r="P256" i="76"/>
  <c r="P257" i="76"/>
  <c r="Q258" i="76"/>
  <c r="S259" i="76"/>
  <c r="V260" i="76"/>
  <c r="U263" i="76"/>
  <c r="U396" i="76"/>
  <c r="O401" i="76"/>
  <c r="Q405" i="76"/>
  <c r="M410" i="76"/>
  <c r="V311" i="76"/>
  <c r="U316" i="76"/>
  <c r="P320" i="76"/>
  <c r="O324" i="76"/>
  <c r="U327" i="76"/>
  <c r="T341" i="76"/>
  <c r="T345" i="76"/>
  <c r="O226" i="76"/>
  <c r="T227" i="76"/>
  <c r="N229" i="76"/>
  <c r="Q230" i="76"/>
  <c r="R231" i="76"/>
  <c r="T232" i="76"/>
  <c r="V233" i="76"/>
  <c r="N235" i="76"/>
  <c r="P236" i="76"/>
  <c r="R237" i="76"/>
  <c r="S238" i="76"/>
  <c r="T239" i="76"/>
  <c r="T240" i="76"/>
  <c r="T241" i="76"/>
  <c r="T242" i="76"/>
  <c r="R243" i="76"/>
  <c r="Q244" i="76"/>
  <c r="P245" i="76"/>
  <c r="Q256" i="76"/>
  <c r="Q257" i="76"/>
  <c r="R258" i="76"/>
  <c r="T259" i="76"/>
  <c r="S261" i="76"/>
  <c r="V263" i="76"/>
  <c r="U142" i="76"/>
  <c r="T143" i="76"/>
  <c r="S144" i="76"/>
  <c r="R145" i="76"/>
  <c r="Q146" i="76"/>
  <c r="P147" i="76"/>
  <c r="O148" i="76"/>
  <c r="N149" i="76"/>
  <c r="V149" i="76"/>
  <c r="U150" i="76"/>
  <c r="T151" i="76"/>
  <c r="S152" i="76"/>
  <c r="R153" i="76"/>
  <c r="Q154" i="76"/>
  <c r="O155" i="76"/>
  <c r="N156" i="76"/>
  <c r="M157" i="76"/>
  <c r="V157" i="76"/>
  <c r="U158" i="76"/>
  <c r="S159" i="76"/>
  <c r="S160" i="76"/>
  <c r="R161" i="76"/>
  <c r="P172" i="76"/>
  <c r="P173" i="76"/>
  <c r="Q174" i="76"/>
  <c r="S175" i="76"/>
  <c r="V176" i="76"/>
  <c r="U179" i="76"/>
  <c r="T397" i="76"/>
  <c r="Q402" i="76"/>
  <c r="Q406" i="76"/>
  <c r="M411" i="76"/>
  <c r="R313" i="76"/>
  <c r="N317" i="76"/>
  <c r="S321" i="76"/>
  <c r="V324" i="76"/>
  <c r="S328" i="76"/>
  <c r="N340" i="76"/>
  <c r="S342" i="76"/>
  <c r="U346" i="76"/>
  <c r="S226" i="76"/>
  <c r="V227" i="76"/>
  <c r="R229" i="76"/>
  <c r="S230" i="76"/>
  <c r="U231" i="76"/>
  <c r="N233" i="76"/>
  <c r="O234" i="76"/>
  <c r="Q235" i="76"/>
  <c r="S236" i="76"/>
  <c r="T237" i="76"/>
  <c r="V238" i="76"/>
  <c r="V239" i="76"/>
  <c r="V240" i="76"/>
  <c r="V241" i="76"/>
  <c r="V242" i="76"/>
  <c r="U243" i="76"/>
  <c r="S244" i="76"/>
  <c r="R245" i="76"/>
  <c r="S256" i="76"/>
  <c r="S257" i="76"/>
  <c r="T258" i="76"/>
  <c r="V259" i="76"/>
  <c r="U261" i="76"/>
  <c r="O142" i="76"/>
  <c r="N143" i="76"/>
  <c r="V143" i="76"/>
  <c r="U144" i="76"/>
  <c r="T145" i="76"/>
  <c r="S146" i="76"/>
  <c r="R147" i="76"/>
  <c r="Q148" i="76"/>
  <c r="P149" i="76"/>
  <c r="O150" i="76"/>
  <c r="N151" i="76"/>
  <c r="V151" i="76"/>
  <c r="U152" i="76"/>
  <c r="T153" i="76"/>
  <c r="S154" i="76"/>
  <c r="R155" i="76"/>
  <c r="P156" i="76"/>
  <c r="O157" i="76"/>
  <c r="N158" i="76"/>
  <c r="M159" i="76"/>
  <c r="V159" i="76"/>
  <c r="V160" i="76"/>
  <c r="T161" i="76"/>
  <c r="R172" i="76"/>
  <c r="R173" i="76"/>
  <c r="S174" i="76"/>
  <c r="U175" i="76"/>
  <c r="T177" i="76"/>
  <c r="V180" i="76"/>
  <c r="Q397" i="76"/>
  <c r="V320" i="76"/>
  <c r="P342" i="76"/>
  <c r="P229" i="76"/>
  <c r="P232" i="76"/>
  <c r="T235" i="76"/>
  <c r="U238" i="76"/>
  <c r="O241" i="76"/>
  <c r="M244" i="76"/>
  <c r="S258" i="76"/>
  <c r="T262" i="76"/>
  <c r="T142" i="76"/>
  <c r="O144" i="76"/>
  <c r="S145" i="76"/>
  <c r="V146" i="76"/>
  <c r="R148" i="76"/>
  <c r="U149" i="76"/>
  <c r="P151" i="76"/>
  <c r="T152" i="76"/>
  <c r="M154" i="76"/>
  <c r="S155" i="76"/>
  <c r="V156" i="76"/>
  <c r="P158" i="76"/>
  <c r="U159" i="76"/>
  <c r="O161" i="76"/>
  <c r="O172" i="76"/>
  <c r="T173" i="76"/>
  <c r="T175" i="76"/>
  <c r="T178" i="76"/>
  <c r="S401" i="76"/>
  <c r="P324" i="76"/>
  <c r="V345" i="76"/>
  <c r="M406" i="76"/>
  <c r="Q328" i="76"/>
  <c r="Q226" i="76"/>
  <c r="V229" i="76"/>
  <c r="P233" i="76"/>
  <c r="Q236" i="76"/>
  <c r="O239" i="76"/>
  <c r="N242" i="76"/>
  <c r="R244" i="76"/>
  <c r="R256" i="76"/>
  <c r="Q259" i="76"/>
  <c r="V264" i="76"/>
  <c r="O143" i="76"/>
  <c r="R144" i="76"/>
  <c r="V145" i="76"/>
  <c r="Q147" i="76"/>
  <c r="T148" i="76"/>
  <c r="P150" i="76"/>
  <c r="S151" i="76"/>
  <c r="M153" i="76"/>
  <c r="R154" i="76"/>
  <c r="U155" i="76"/>
  <c r="P157" i="76"/>
  <c r="T158" i="76"/>
  <c r="O160" i="76"/>
  <c r="S161" i="76"/>
  <c r="S172" i="76"/>
  <c r="P174" i="76"/>
  <c r="R176" i="76"/>
  <c r="V179" i="76"/>
  <c r="U227" i="76"/>
  <c r="N231" i="76"/>
  <c r="O240" i="76"/>
  <c r="Q245" i="76"/>
  <c r="P142" i="76"/>
  <c r="N145" i="76"/>
  <c r="U147" i="76"/>
  <c r="O152" i="76"/>
  <c r="R156" i="76"/>
  <c r="T160" i="76"/>
  <c r="O173" i="76"/>
  <c r="R410" i="76"/>
  <c r="V226" i="76"/>
  <c r="R230" i="76"/>
  <c r="R233" i="76"/>
  <c r="U236" i="76"/>
  <c r="U239" i="76"/>
  <c r="P242" i="76"/>
  <c r="V244" i="76"/>
  <c r="U256" i="76"/>
  <c r="U259" i="76"/>
  <c r="P143" i="76"/>
  <c r="T144" i="76"/>
  <c r="N146" i="76"/>
  <c r="S147" i="76"/>
  <c r="V148" i="76"/>
  <c r="Q150" i="76"/>
  <c r="U151" i="76"/>
  <c r="O153" i="76"/>
  <c r="T154" i="76"/>
  <c r="M156" i="76"/>
  <c r="Q157" i="76"/>
  <c r="V158" i="76"/>
  <c r="P160" i="76"/>
  <c r="U161" i="76"/>
  <c r="T172" i="76"/>
  <c r="R174" i="76"/>
  <c r="S176" i="76"/>
  <c r="S237" i="76"/>
  <c r="R257" i="76"/>
  <c r="S143" i="76"/>
  <c r="Q149" i="76"/>
  <c r="S153" i="76"/>
  <c r="U157" i="76"/>
  <c r="S177" i="76"/>
  <c r="N227" i="76"/>
  <c r="V230" i="76"/>
  <c r="N234" i="76"/>
  <c r="M237" i="76"/>
  <c r="N240" i="76"/>
  <c r="U242" i="76"/>
  <c r="M245" i="76"/>
  <c r="V256" i="76"/>
  <c r="S260" i="76"/>
  <c r="N142" i="76"/>
  <c r="Q143" i="76"/>
  <c r="V144" i="76"/>
  <c r="P146" i="76"/>
  <c r="T147" i="76"/>
  <c r="O149" i="76"/>
  <c r="R150" i="76"/>
  <c r="N152" i="76"/>
  <c r="Q153" i="76"/>
  <c r="U154" i="76"/>
  <c r="O156" i="76"/>
  <c r="S157" i="76"/>
  <c r="N159" i="76"/>
  <c r="R160" i="76"/>
  <c r="V161" i="76"/>
  <c r="U172" i="76"/>
  <c r="T174" i="76"/>
  <c r="U176" i="76"/>
  <c r="R234" i="76"/>
  <c r="N243" i="76"/>
  <c r="T260" i="76"/>
  <c r="R146" i="76"/>
  <c r="T150" i="76"/>
  <c r="V154" i="76"/>
  <c r="O159" i="76"/>
  <c r="U174" i="76"/>
  <c r="T312" i="76"/>
  <c r="Q228" i="76"/>
  <c r="T231" i="76"/>
  <c r="S234" i="76"/>
  <c r="M238" i="76"/>
  <c r="U240" i="76"/>
  <c r="O243" i="76"/>
  <c r="T245" i="76"/>
  <c r="U257" i="76"/>
  <c r="T261" i="76"/>
  <c r="Q142" i="76"/>
  <c r="U143" i="76"/>
  <c r="O145" i="76"/>
  <c r="T146" i="76"/>
  <c r="N148" i="76"/>
  <c r="R149" i="76"/>
  <c r="V150" i="76"/>
  <c r="P152" i="76"/>
  <c r="U153" i="76"/>
  <c r="N155" i="76"/>
  <c r="S156" i="76"/>
  <c r="M158" i="76"/>
  <c r="P159" i="76"/>
  <c r="M161" i="76"/>
  <c r="Q173" i="76"/>
  <c r="V174" i="76"/>
  <c r="U177" i="76"/>
  <c r="V316" i="76"/>
  <c r="S228" i="76"/>
  <c r="O232" i="76"/>
  <c r="P235" i="76"/>
  <c r="N238" i="76"/>
  <c r="N241" i="76"/>
  <c r="S243" i="76"/>
  <c r="U245" i="76"/>
  <c r="V257" i="76"/>
  <c r="V261" i="76"/>
  <c r="R142" i="76"/>
  <c r="N144" i="76"/>
  <c r="Q145" i="76"/>
  <c r="U146" i="76"/>
  <c r="U241" i="76"/>
  <c r="U262" i="76"/>
  <c r="P144" i="76"/>
  <c r="Q151" i="76"/>
  <c r="N157" i="76"/>
  <c r="V175" i="76"/>
  <c r="N244" i="76"/>
  <c r="U145" i="76"/>
  <c r="R152" i="76"/>
  <c r="O158" i="76"/>
  <c r="V177" i="76"/>
  <c r="O147" i="76"/>
  <c r="V152" i="76"/>
  <c r="Q158" i="76"/>
  <c r="V178" i="76"/>
  <c r="Q155" i="76"/>
  <c r="U235" i="76"/>
  <c r="T155" i="76"/>
  <c r="N239" i="76"/>
  <c r="V142" i="76"/>
  <c r="T156" i="76"/>
  <c r="P148" i="76"/>
  <c r="V153" i="76"/>
  <c r="R159" i="76"/>
  <c r="N256" i="76"/>
  <c r="V258" i="76"/>
  <c r="O151" i="76"/>
  <c r="R175" i="76"/>
  <c r="T229" i="76"/>
  <c r="S148" i="76"/>
  <c r="P154" i="76"/>
  <c r="N160" i="76"/>
  <c r="Q172" i="76"/>
  <c r="U232" i="76"/>
  <c r="S149" i="76"/>
  <c r="N161" i="76"/>
  <c r="S173" i="76"/>
  <c r="N150" i="76"/>
  <c r="Q161" i="76"/>
  <c r="U173" i="76"/>
  <c r="L622" i="76"/>
  <c r="I612" i="76"/>
  <c r="L618" i="76"/>
  <c r="H612" i="76"/>
  <c r="K625" i="76"/>
  <c r="I625" i="76"/>
  <c r="K626" i="76"/>
  <c r="I615" i="76"/>
  <c r="H623" i="76"/>
  <c r="L624" i="76"/>
  <c r="K614" i="76"/>
  <c r="M39" i="76"/>
  <c r="J615" i="76"/>
  <c r="K622" i="76"/>
  <c r="F622" i="76"/>
  <c r="L613" i="76"/>
  <c r="L614" i="76"/>
  <c r="I622" i="76"/>
  <c r="L625" i="76"/>
  <c r="H613" i="76"/>
  <c r="G612" i="76"/>
  <c r="L616" i="76"/>
  <c r="I624" i="76"/>
  <c r="G623" i="76"/>
  <c r="H624" i="76"/>
  <c r="L615" i="76"/>
  <c r="K613" i="76"/>
  <c r="K612" i="76"/>
  <c r="J624" i="76"/>
  <c r="G622" i="76"/>
  <c r="I613" i="76"/>
  <c r="L617" i="76"/>
  <c r="L623" i="76"/>
  <c r="J614" i="76"/>
  <c r="F612" i="76"/>
  <c r="K624" i="76"/>
  <c r="H614" i="76"/>
  <c r="L628" i="76"/>
  <c r="K617" i="76"/>
  <c r="K615" i="76"/>
  <c r="J622" i="76"/>
  <c r="L627" i="76"/>
  <c r="L626" i="76"/>
  <c r="K616" i="76"/>
  <c r="G613" i="76"/>
  <c r="J613" i="76"/>
  <c r="J616" i="76"/>
  <c r="K627" i="76"/>
  <c r="J625" i="76"/>
  <c r="J623" i="76"/>
  <c r="K623" i="76"/>
  <c r="I623" i="76"/>
  <c r="J612" i="76"/>
  <c r="H622" i="76"/>
  <c r="I614" i="76"/>
  <c r="J626" i="76"/>
  <c r="K33" i="69"/>
  <c r="M74" i="76" s="1"/>
  <c r="K48" i="69"/>
  <c r="M77" i="76" s="1"/>
  <c r="K53" i="69"/>
  <c r="K78" i="69"/>
  <c r="M82" i="76" s="1"/>
  <c r="K83" i="69"/>
  <c r="M83" i="76" s="1"/>
  <c r="K88" i="69"/>
  <c r="K38" i="69"/>
  <c r="M75" i="76" s="1"/>
  <c r="K43" i="69"/>
  <c r="M76" i="76" s="1"/>
  <c r="L43" i="69"/>
  <c r="L33" i="69"/>
  <c r="L28" i="69"/>
  <c r="K28" i="69"/>
  <c r="M73" i="76" s="1"/>
  <c r="L53" i="69"/>
  <c r="L48" i="69"/>
  <c r="L103" i="69"/>
  <c r="K103" i="69"/>
  <c r="L98" i="69"/>
  <c r="K98" i="69"/>
  <c r="K93" i="69"/>
  <c r="M85" i="76" s="1"/>
  <c r="L88" i="69"/>
  <c r="L83" i="69"/>
  <c r="L78" i="69"/>
  <c r="L38" i="69"/>
  <c r="L23" i="69"/>
  <c r="K23" i="69"/>
  <c r="L18" i="69"/>
  <c r="K18" i="69"/>
  <c r="L13" i="69"/>
  <c r="K13" i="69"/>
  <c r="M70" i="76" s="1"/>
  <c r="K8" i="69"/>
  <c r="L8" i="69"/>
  <c r="U66" i="76" l="1"/>
  <c r="AD66" i="76"/>
  <c r="N70" i="76"/>
  <c r="N74" i="76"/>
  <c r="M72" i="76"/>
  <c r="N78" i="76"/>
  <c r="M84" i="76"/>
  <c r="N69" i="76"/>
  <c r="N73" i="76"/>
  <c r="N77" i="76"/>
  <c r="N84" i="76"/>
  <c r="M69" i="76"/>
  <c r="M71" i="76"/>
  <c r="N72" i="76"/>
  <c r="N76" i="76"/>
  <c r="N83" i="76"/>
  <c r="N71" i="76"/>
  <c r="N75" i="76"/>
  <c r="N82" i="76"/>
  <c r="N61" i="76"/>
  <c r="N60" i="76"/>
  <c r="N59" i="76"/>
  <c r="N58" i="76"/>
  <c r="N57" i="76"/>
  <c r="N56" i="76"/>
  <c r="N55" i="76"/>
  <c r="N54" i="76"/>
  <c r="N53" i="76"/>
  <c r="N50" i="76"/>
  <c r="N49" i="76"/>
  <c r="N48" i="76"/>
  <c r="N47" i="76"/>
  <c r="N46" i="76"/>
  <c r="N45" i="76"/>
  <c r="V66" i="76" l="1"/>
  <c r="AE66" i="76"/>
  <c r="O53" i="76"/>
  <c r="Y53" i="76" s="1"/>
  <c r="K111" i="70"/>
  <c r="J111" i="70"/>
  <c r="W66" i="76" l="1"/>
  <c r="AG66" i="76" s="1"/>
  <c r="AF66" i="76"/>
  <c r="P53" i="76"/>
  <c r="K98" i="70"/>
  <c r="N64" i="76" s="1"/>
  <c r="K93" i="70"/>
  <c r="N63" i="76" s="1"/>
  <c r="J93" i="70"/>
  <c r="M63" i="76" s="1"/>
  <c r="O63" i="76" s="1"/>
  <c r="Y63" i="76" s="1"/>
  <c r="K88" i="70"/>
  <c r="N62" i="76" s="1"/>
  <c r="J88" i="70"/>
  <c r="M62" i="76" s="1"/>
  <c r="O62" i="76" s="1"/>
  <c r="Y62" i="76" s="1"/>
  <c r="J83" i="70"/>
  <c r="J79" i="70"/>
  <c r="J75" i="70"/>
  <c r="J71" i="70"/>
  <c r="J67" i="70"/>
  <c r="J63" i="70"/>
  <c r="J59" i="70"/>
  <c r="J54" i="76"/>
  <c r="F54" i="76"/>
  <c r="I54" i="76"/>
  <c r="G54" i="76"/>
  <c r="E54" i="76"/>
  <c r="X66" i="76" l="1"/>
  <c r="AH66" i="76" s="1"/>
  <c r="P63" i="76"/>
  <c r="Q63" i="76" s="1"/>
  <c r="R63" i="76" s="1"/>
  <c r="AB63" i="76" s="1"/>
  <c r="P62" i="76"/>
  <c r="Z62" i="76" s="1"/>
  <c r="M61" i="76"/>
  <c r="O61" i="76" s="1"/>
  <c r="M55" i="76"/>
  <c r="O55" i="76" s="1"/>
  <c r="M56" i="76"/>
  <c r="O56" i="76" s="1"/>
  <c r="M57" i="76"/>
  <c r="O57" i="76" s="1"/>
  <c r="M58" i="76"/>
  <c r="O58" i="76" s="1"/>
  <c r="M59" i="76"/>
  <c r="O59" i="76" s="1"/>
  <c r="M60" i="76"/>
  <c r="O60" i="76" s="1"/>
  <c r="Q53" i="76"/>
  <c r="Z53" i="76"/>
  <c r="F69" i="76"/>
  <c r="G69" i="76"/>
  <c r="H69" i="76"/>
  <c r="I69" i="76"/>
  <c r="J69" i="76"/>
  <c r="K69" i="76"/>
  <c r="L69" i="76"/>
  <c r="F70" i="76"/>
  <c r="G70" i="76"/>
  <c r="H70" i="76"/>
  <c r="I70" i="76"/>
  <c r="J70" i="76"/>
  <c r="K70" i="76"/>
  <c r="L70" i="76"/>
  <c r="F71" i="76"/>
  <c r="G71" i="76"/>
  <c r="H71" i="76"/>
  <c r="I71" i="76"/>
  <c r="J71" i="76"/>
  <c r="K71" i="76"/>
  <c r="L71" i="76"/>
  <c r="F72" i="76"/>
  <c r="G72" i="76"/>
  <c r="H72" i="76"/>
  <c r="I72" i="76"/>
  <c r="J72" i="76"/>
  <c r="K72" i="76"/>
  <c r="L72" i="76"/>
  <c r="F73" i="76"/>
  <c r="G73" i="76"/>
  <c r="H73" i="76"/>
  <c r="I73" i="76"/>
  <c r="J73" i="76"/>
  <c r="K73" i="76"/>
  <c r="L73" i="76"/>
  <c r="F74" i="76"/>
  <c r="G74" i="76"/>
  <c r="H74" i="76"/>
  <c r="I74" i="76"/>
  <c r="J74" i="76"/>
  <c r="K74" i="76"/>
  <c r="L74" i="76"/>
  <c r="F75" i="76"/>
  <c r="G75" i="76"/>
  <c r="H75" i="76"/>
  <c r="I75" i="76"/>
  <c r="J75" i="76"/>
  <c r="K75" i="76"/>
  <c r="L75" i="76"/>
  <c r="F76" i="76"/>
  <c r="G76" i="76"/>
  <c r="H76" i="76"/>
  <c r="I76" i="76"/>
  <c r="J76" i="76"/>
  <c r="K76" i="76"/>
  <c r="L76" i="76"/>
  <c r="F77" i="76"/>
  <c r="G77" i="76"/>
  <c r="H77" i="76"/>
  <c r="I77" i="76"/>
  <c r="J77" i="76"/>
  <c r="K77" i="76"/>
  <c r="L77" i="76"/>
  <c r="F78" i="76"/>
  <c r="G78" i="76"/>
  <c r="H78" i="76"/>
  <c r="I78" i="76"/>
  <c r="J78" i="76"/>
  <c r="K78" i="76"/>
  <c r="L78" i="76"/>
  <c r="F82" i="76"/>
  <c r="G82" i="76"/>
  <c r="H82" i="76"/>
  <c r="I82" i="76"/>
  <c r="J82" i="76"/>
  <c r="K82" i="76"/>
  <c r="L82" i="76"/>
  <c r="F83" i="76"/>
  <c r="G83" i="76"/>
  <c r="H83" i="76"/>
  <c r="I83" i="76"/>
  <c r="J83" i="76"/>
  <c r="K83" i="76"/>
  <c r="L83" i="76"/>
  <c r="F84" i="76"/>
  <c r="G84" i="76"/>
  <c r="H84" i="76"/>
  <c r="I84" i="76"/>
  <c r="J84" i="76"/>
  <c r="K84" i="76"/>
  <c r="L84" i="76"/>
  <c r="G85" i="76"/>
  <c r="I85" i="76"/>
  <c r="K85" i="76"/>
  <c r="G86" i="76"/>
  <c r="I86" i="76"/>
  <c r="K86" i="76"/>
  <c r="G88" i="76"/>
  <c r="I88" i="76"/>
  <c r="K88" i="76"/>
  <c r="E88" i="76"/>
  <c r="E86" i="76"/>
  <c r="E85" i="76"/>
  <c r="E84" i="76"/>
  <c r="E83" i="76"/>
  <c r="E82" i="76"/>
  <c r="E78" i="76"/>
  <c r="E77" i="76"/>
  <c r="E76" i="76"/>
  <c r="E75" i="76"/>
  <c r="E74" i="76"/>
  <c r="E73" i="76"/>
  <c r="E72" i="76"/>
  <c r="E71" i="76"/>
  <c r="E70" i="76"/>
  <c r="E69" i="76"/>
  <c r="J8" i="70"/>
  <c r="M45" i="76" s="1"/>
  <c r="O45" i="76" s="1"/>
  <c r="Q62" i="76" l="1"/>
  <c r="AA62" i="76" s="1"/>
  <c r="Z63" i="76"/>
  <c r="AA63" i="76"/>
  <c r="Y58" i="76"/>
  <c r="P58" i="76"/>
  <c r="Y55" i="76"/>
  <c r="P55" i="76"/>
  <c r="Y56" i="76"/>
  <c r="P56" i="76"/>
  <c r="Q56" i="76" s="1"/>
  <c r="R56" i="76" s="1"/>
  <c r="AB56" i="76" s="1"/>
  <c r="Y59" i="76"/>
  <c r="P59" i="76"/>
  <c r="Y60" i="76"/>
  <c r="P60" i="76"/>
  <c r="Y57" i="76"/>
  <c r="P57" i="76"/>
  <c r="Y61" i="76"/>
  <c r="P61" i="76"/>
  <c r="S63" i="76"/>
  <c r="AC63" i="76" s="1"/>
  <c r="R53" i="76"/>
  <c r="AB53" i="76" s="1"/>
  <c r="AA53" i="76"/>
  <c r="I62" i="76"/>
  <c r="G62" i="76"/>
  <c r="E62" i="76"/>
  <c r="I61" i="76"/>
  <c r="G61" i="76"/>
  <c r="E61" i="76"/>
  <c r="I60" i="76"/>
  <c r="G60" i="76"/>
  <c r="E60" i="76"/>
  <c r="I59" i="76"/>
  <c r="G59" i="76"/>
  <c r="E59" i="76"/>
  <c r="I58" i="76"/>
  <c r="G58" i="76"/>
  <c r="E58" i="76"/>
  <c r="I57" i="76"/>
  <c r="G57" i="76"/>
  <c r="E57" i="76"/>
  <c r="I56" i="76"/>
  <c r="G56" i="76"/>
  <c r="E56" i="76"/>
  <c r="I55" i="76"/>
  <c r="G55" i="76"/>
  <c r="E55" i="76"/>
  <c r="J47" i="76"/>
  <c r="J48" i="76"/>
  <c r="I52" i="76"/>
  <c r="G52" i="76"/>
  <c r="E52" i="76"/>
  <c r="I51" i="76"/>
  <c r="G51" i="76"/>
  <c r="E51" i="76"/>
  <c r="I50" i="76"/>
  <c r="G50" i="76"/>
  <c r="E50" i="76"/>
  <c r="I49" i="76"/>
  <c r="G49" i="76"/>
  <c r="E49" i="76"/>
  <c r="I48" i="76"/>
  <c r="G48" i="76"/>
  <c r="E48" i="76"/>
  <c r="I47" i="76"/>
  <c r="G47" i="76"/>
  <c r="E47" i="76"/>
  <c r="I46" i="76"/>
  <c r="G46" i="76"/>
  <c r="E46" i="76"/>
  <c r="I45" i="76"/>
  <c r="G45" i="76"/>
  <c r="E45" i="76"/>
  <c r="R62" i="76" l="1"/>
  <c r="AB62" i="76" s="1"/>
  <c r="AA56" i="76"/>
  <c r="Z56" i="76"/>
  <c r="Z57" i="76"/>
  <c r="Q57" i="76"/>
  <c r="Z60" i="76"/>
  <c r="Q60" i="76"/>
  <c r="AA60" i="76" s="1"/>
  <c r="Z59" i="76"/>
  <c r="Q59" i="76"/>
  <c r="Q61" i="76"/>
  <c r="Z61" i="76"/>
  <c r="Q55" i="76"/>
  <c r="Z55" i="76"/>
  <c r="Z58" i="76"/>
  <c r="Q58" i="76"/>
  <c r="T63" i="76"/>
  <c r="U63" i="76" s="1"/>
  <c r="AE63" i="76" s="1"/>
  <c r="Y45" i="76"/>
  <c r="S56" i="76"/>
  <c r="S53" i="76"/>
  <c r="T53" i="76" s="1"/>
  <c r="AD53" i="76" s="1"/>
  <c r="S62" i="76" l="1"/>
  <c r="AC62" i="76" s="1"/>
  <c r="AA55" i="76"/>
  <c r="R55" i="76"/>
  <c r="R61" i="76"/>
  <c r="S61" i="76" s="1"/>
  <c r="R60" i="76"/>
  <c r="AB60" i="76" s="1"/>
  <c r="AA58" i="76"/>
  <c r="R58" i="76"/>
  <c r="R59" i="76"/>
  <c r="AA59" i="76"/>
  <c r="AA57" i="76"/>
  <c r="R57" i="76"/>
  <c r="AA61" i="76"/>
  <c r="AD63" i="76"/>
  <c r="T56" i="76"/>
  <c r="U56" i="76" s="1"/>
  <c r="AC56" i="76"/>
  <c r="P45" i="76"/>
  <c r="Z45" i="76" s="1"/>
  <c r="U53" i="76"/>
  <c r="AE53" i="76" s="1"/>
  <c r="AC53" i="76"/>
  <c r="V63" i="76"/>
  <c r="AF63" i="76" s="1"/>
  <c r="T62" i="76" l="1"/>
  <c r="U62" i="76" s="1"/>
  <c r="AE62" i="76" s="1"/>
  <c r="AB61" i="76"/>
  <c r="S60" i="76"/>
  <c r="T60" i="76" s="1"/>
  <c r="S55" i="76"/>
  <c r="AB55" i="76"/>
  <c r="S57" i="76"/>
  <c r="AB57" i="76"/>
  <c r="AC61" i="76"/>
  <c r="T61" i="76"/>
  <c r="AB58" i="76"/>
  <c r="S58" i="76"/>
  <c r="AB59" i="76"/>
  <c r="S59" i="76"/>
  <c r="AD56" i="76"/>
  <c r="V53" i="76"/>
  <c r="AF53" i="76" s="1"/>
  <c r="AE56" i="76"/>
  <c r="V56" i="76"/>
  <c r="Q45" i="76"/>
  <c r="AA45" i="76" s="1"/>
  <c r="W63" i="76"/>
  <c r="AG63" i="76" s="1"/>
  <c r="AD62" i="76" l="1"/>
  <c r="V62" i="76"/>
  <c r="AF62" i="76" s="1"/>
  <c r="AC60" i="76"/>
  <c r="AD60" i="76"/>
  <c r="U60" i="76"/>
  <c r="AC57" i="76"/>
  <c r="T57" i="76"/>
  <c r="T59" i="76"/>
  <c r="AC59" i="76"/>
  <c r="AD61" i="76"/>
  <c r="U61" i="76"/>
  <c r="AC58" i="76"/>
  <c r="T58" i="76"/>
  <c r="AC55" i="76"/>
  <c r="T55" i="76"/>
  <c r="W53" i="76"/>
  <c r="AG53" i="76" s="1"/>
  <c r="W56" i="76"/>
  <c r="AG56" i="76" s="1"/>
  <c r="AF56" i="76"/>
  <c r="R45" i="76"/>
  <c r="AB45" i="76" s="1"/>
  <c r="X63" i="76"/>
  <c r="J94" i="70" s="1"/>
  <c r="J98" i="70" s="1"/>
  <c r="M64" i="76" s="1"/>
  <c r="W62" i="76" l="1"/>
  <c r="AG62" i="76" s="1"/>
  <c r="AD55" i="76"/>
  <c r="U55" i="76"/>
  <c r="AD59" i="76"/>
  <c r="U59" i="76"/>
  <c r="AE60" i="76"/>
  <c r="V60" i="76"/>
  <c r="AD58" i="76"/>
  <c r="U58" i="76"/>
  <c r="AE61" i="76"/>
  <c r="V61" i="76"/>
  <c r="AD57" i="76"/>
  <c r="U57" i="76"/>
  <c r="X53" i="76"/>
  <c r="J50" i="70" s="1"/>
  <c r="AH63" i="76"/>
  <c r="X56" i="76"/>
  <c r="AH56" i="76" s="1"/>
  <c r="S45" i="76"/>
  <c r="AC45" i="76" s="1"/>
  <c r="X62" i="76" l="1"/>
  <c r="AH62" i="76" s="1"/>
  <c r="AF60" i="76"/>
  <c r="W60" i="76"/>
  <c r="AE59" i="76"/>
  <c r="V59" i="76"/>
  <c r="W59" i="76" s="1"/>
  <c r="V58" i="76"/>
  <c r="AE58" i="76"/>
  <c r="AE55" i="76"/>
  <c r="V55" i="76"/>
  <c r="AF61" i="76"/>
  <c r="W61" i="76"/>
  <c r="AE57" i="76"/>
  <c r="V57" i="76"/>
  <c r="AH53" i="76"/>
  <c r="J55" i="70"/>
  <c r="M54" i="76" s="1"/>
  <c r="T45" i="76"/>
  <c r="AD45" i="76" s="1"/>
  <c r="J411" i="76" l="1"/>
  <c r="T411" i="76" s="1"/>
  <c r="C320" i="76"/>
  <c r="M320" i="76" s="1"/>
  <c r="J327" i="76"/>
  <c r="H241" i="76"/>
  <c r="R241" i="76" s="1"/>
  <c r="I158" i="76"/>
  <c r="S158" i="76" s="1"/>
  <c r="D321" i="76"/>
  <c r="N321" i="76" s="1"/>
  <c r="K328" i="76"/>
  <c r="U328" i="76" s="1"/>
  <c r="I242" i="76"/>
  <c r="S242" i="76" s="1"/>
  <c r="J159" i="76"/>
  <c r="T159" i="76" s="1"/>
  <c r="I410" i="76"/>
  <c r="S410" i="76" s="1"/>
  <c r="I326" i="76"/>
  <c r="G240" i="76"/>
  <c r="Q240" i="76" s="1"/>
  <c r="H157" i="76"/>
  <c r="H409" i="76"/>
  <c r="R409" i="76" s="1"/>
  <c r="H325" i="76"/>
  <c r="R325" i="76" s="1"/>
  <c r="F239" i="76"/>
  <c r="P239" i="76" s="1"/>
  <c r="G156" i="76"/>
  <c r="Q156" i="76" s="1"/>
  <c r="G408" i="76"/>
  <c r="Q408" i="76" s="1"/>
  <c r="G324" i="76"/>
  <c r="E238" i="76"/>
  <c r="F155" i="76"/>
  <c r="K160" i="76"/>
  <c r="U160" i="76" s="1"/>
  <c r="C236" i="76"/>
  <c r="M236" i="76" s="1"/>
  <c r="F407" i="76"/>
  <c r="P407" i="76" s="1"/>
  <c r="F323" i="76"/>
  <c r="P323" i="76" s="1"/>
  <c r="D237" i="76"/>
  <c r="N237" i="76" s="1"/>
  <c r="E154" i="76"/>
  <c r="K412" i="76"/>
  <c r="U412" i="76" s="1"/>
  <c r="E406" i="76"/>
  <c r="O406" i="76" s="1"/>
  <c r="E322" i="76"/>
  <c r="O322" i="76" s="1"/>
  <c r="K244" i="76"/>
  <c r="U244" i="76" s="1"/>
  <c r="C152" i="76"/>
  <c r="M152" i="76" s="1"/>
  <c r="D153" i="76"/>
  <c r="N153" i="76" s="1"/>
  <c r="D405" i="76"/>
  <c r="N405" i="76" s="1"/>
  <c r="J243" i="76"/>
  <c r="T243" i="76" s="1"/>
  <c r="C404" i="76"/>
  <c r="M404" i="76" s="1"/>
  <c r="T327" i="76"/>
  <c r="Q324" i="76"/>
  <c r="S326" i="76"/>
  <c r="O238" i="76"/>
  <c r="O154" i="76"/>
  <c r="P155" i="76"/>
  <c r="R157" i="76"/>
  <c r="AF59" i="76"/>
  <c r="AG60" i="76"/>
  <c r="X60" i="76"/>
  <c r="AH60" i="76" s="1"/>
  <c r="AG61" i="76"/>
  <c r="X61" i="76"/>
  <c r="AH61" i="76" s="1"/>
  <c r="AF57" i="76"/>
  <c r="W57" i="76"/>
  <c r="AF58" i="76"/>
  <c r="W58" i="76"/>
  <c r="AG58" i="76" s="1"/>
  <c r="AF55" i="76"/>
  <c r="W55" i="76"/>
  <c r="AG59" i="76"/>
  <c r="X59" i="76"/>
  <c r="AH59" i="76" s="1"/>
  <c r="U45" i="76"/>
  <c r="AE45" i="76" s="1"/>
  <c r="X58" i="76" l="1"/>
  <c r="AH58" i="76" s="1"/>
  <c r="AG55" i="76"/>
  <c r="X55" i="76"/>
  <c r="AH55" i="76" s="1"/>
  <c r="AG57" i="76"/>
  <c r="X57" i="76"/>
  <c r="AH57" i="76" s="1"/>
  <c r="V45" i="76"/>
  <c r="AF45" i="76" l="1"/>
  <c r="W45" i="76"/>
  <c r="AG45" i="76" l="1"/>
  <c r="X45" i="76"/>
  <c r="AH45" i="76" l="1"/>
  <c r="J33" i="70" l="1"/>
  <c r="J23" i="70"/>
  <c r="J18" i="70"/>
  <c r="J13" i="70"/>
  <c r="J27" i="70"/>
  <c r="L46" i="70"/>
  <c r="L40" i="70"/>
  <c r="J39" i="70"/>
  <c r="J34" i="70"/>
  <c r="J42" i="70"/>
  <c r="J41" i="70"/>
  <c r="J40" i="70" l="1"/>
  <c r="M51" i="76" s="1"/>
  <c r="O51" i="76" s="1"/>
  <c r="N51" i="76"/>
  <c r="M47" i="76"/>
  <c r="O47" i="76" s="1"/>
  <c r="N52" i="76"/>
  <c r="M48" i="76"/>
  <c r="O48" i="76" s="1"/>
  <c r="M50" i="76"/>
  <c r="O50" i="76" s="1"/>
  <c r="M46" i="76"/>
  <c r="O46" i="76" s="1"/>
  <c r="J26" i="70"/>
  <c r="J24" i="70"/>
  <c r="J25" i="70"/>
  <c r="J46" i="70"/>
  <c r="Y50" i="76" l="1"/>
  <c r="P50" i="76"/>
  <c r="Z50" i="76" s="1"/>
  <c r="Y47" i="76"/>
  <c r="P47" i="76"/>
  <c r="Y51" i="76"/>
  <c r="P51" i="76"/>
  <c r="Z51" i="76" s="1"/>
  <c r="Y46" i="76"/>
  <c r="P46" i="76"/>
  <c r="Z46" i="76" s="1"/>
  <c r="Y48" i="76"/>
  <c r="P48" i="76"/>
  <c r="Z48" i="76" s="1"/>
  <c r="M52" i="76"/>
  <c r="O52" i="76" s="1"/>
  <c r="J28" i="70"/>
  <c r="Q47" i="76" l="1"/>
  <c r="AA47" i="76" s="1"/>
  <c r="Q46" i="76"/>
  <c r="R46" i="76" s="1"/>
  <c r="Z47" i="76"/>
  <c r="Q51" i="76"/>
  <c r="R51" i="76" s="1"/>
  <c r="Y52" i="76"/>
  <c r="P52" i="76"/>
  <c r="Z52" i="76" s="1"/>
  <c r="Q50" i="76"/>
  <c r="M49" i="76"/>
  <c r="O49" i="76" s="1"/>
  <c r="Q48" i="76"/>
  <c r="R48" i="76" s="1"/>
  <c r="R47" i="76" l="1"/>
  <c r="AB47" i="76" s="1"/>
  <c r="AA48" i="76"/>
  <c r="AA46" i="76"/>
  <c r="AA51" i="76"/>
  <c r="R50" i="76"/>
  <c r="S50" i="76" s="1"/>
  <c r="AB48" i="76"/>
  <c r="S48" i="76"/>
  <c r="AB51" i="76"/>
  <c r="S51" i="76"/>
  <c r="T51" i="76" s="1"/>
  <c r="AB46" i="76"/>
  <c r="S46" i="76"/>
  <c r="Y49" i="76"/>
  <c r="P49" i="76"/>
  <c r="AA50" i="76"/>
  <c r="Q52" i="76"/>
  <c r="AA52" i="76" s="1"/>
  <c r="S47" i="76" l="1"/>
  <c r="AC47" i="76" s="1"/>
  <c r="T46" i="76"/>
  <c r="U46" i="76" s="1"/>
  <c r="AC46" i="76"/>
  <c r="AB50" i="76"/>
  <c r="AC48" i="76"/>
  <c r="T48" i="76"/>
  <c r="Z49" i="76"/>
  <c r="Q49" i="76"/>
  <c r="AC50" i="76"/>
  <c r="T50" i="76"/>
  <c r="AD51" i="76"/>
  <c r="U51" i="76"/>
  <c r="V51" i="76" s="1"/>
  <c r="R52" i="76"/>
  <c r="AB52" i="76" s="1"/>
  <c r="AC51" i="76"/>
  <c r="D246" i="76" l="1"/>
  <c r="N246" i="76" s="1"/>
  <c r="D330" i="76"/>
  <c r="N330" i="76" s="1"/>
  <c r="D414" i="76"/>
  <c r="N414" i="76" s="1"/>
  <c r="D162" i="76"/>
  <c r="N162" i="76" s="1"/>
  <c r="T47" i="76"/>
  <c r="U47" i="76" s="1"/>
  <c r="AE47" i="76" s="1"/>
  <c r="AD46" i="76"/>
  <c r="V46" i="76"/>
  <c r="AF46" i="76" s="1"/>
  <c r="AE46" i="76"/>
  <c r="AE51" i="76"/>
  <c r="S52" i="76"/>
  <c r="AC52" i="76" s="1"/>
  <c r="AD50" i="76"/>
  <c r="U50" i="76"/>
  <c r="V50" i="76" s="1"/>
  <c r="AF51" i="76"/>
  <c r="W51" i="76"/>
  <c r="AD48" i="76"/>
  <c r="U48" i="76"/>
  <c r="AA49" i="76"/>
  <c r="R49" i="76"/>
  <c r="E330" i="76" l="1"/>
  <c r="O330" i="76" s="1"/>
  <c r="E415" i="76"/>
  <c r="O415" i="76" s="1"/>
  <c r="E246" i="76"/>
  <c r="O246" i="76" s="1"/>
  <c r="E414" i="76"/>
  <c r="O414" i="76" s="1"/>
  <c r="E331" i="76"/>
  <c r="O331" i="76" s="1"/>
  <c r="E247" i="76"/>
  <c r="O247" i="76" s="1"/>
  <c r="E162" i="76"/>
  <c r="O162" i="76" s="1"/>
  <c r="E163" i="76"/>
  <c r="O163" i="76" s="1"/>
  <c r="AD47" i="76"/>
  <c r="V47" i="76"/>
  <c r="W47" i="76" s="1"/>
  <c r="W46" i="76"/>
  <c r="X46" i="76" s="1"/>
  <c r="AB49" i="76"/>
  <c r="S49" i="76"/>
  <c r="AG51" i="76"/>
  <c r="X51" i="76"/>
  <c r="AH51" i="76" s="1"/>
  <c r="AE50" i="76"/>
  <c r="AF50" i="76"/>
  <c r="W50" i="76"/>
  <c r="T52" i="76"/>
  <c r="AD52" i="76" s="1"/>
  <c r="AE48" i="76"/>
  <c r="V48" i="76"/>
  <c r="F332" i="76" l="1"/>
  <c r="P332" i="76" s="1"/>
  <c r="F415" i="76"/>
  <c r="P415" i="76" s="1"/>
  <c r="F331" i="76"/>
  <c r="P331" i="76" s="1"/>
  <c r="F330" i="76"/>
  <c r="P330" i="76" s="1"/>
  <c r="F416" i="76"/>
  <c r="P416" i="76" s="1"/>
  <c r="F246" i="76"/>
  <c r="P246" i="76" s="1"/>
  <c r="F414" i="76"/>
  <c r="P414" i="76" s="1"/>
  <c r="F247" i="76"/>
  <c r="P247" i="76" s="1"/>
  <c r="F248" i="76"/>
  <c r="P248" i="76" s="1"/>
  <c r="F162" i="76"/>
  <c r="P162" i="76" s="1"/>
  <c r="F163" i="76"/>
  <c r="P163" i="76" s="1"/>
  <c r="F164" i="76"/>
  <c r="P164" i="76" s="1"/>
  <c r="AF47" i="76"/>
  <c r="X47" i="76"/>
  <c r="AH47" i="76" s="1"/>
  <c r="AG47" i="76"/>
  <c r="AG46" i="76"/>
  <c r="AC49" i="76"/>
  <c r="AH46" i="76"/>
  <c r="T49" i="76"/>
  <c r="AF48" i="76"/>
  <c r="W48" i="76"/>
  <c r="U52" i="76"/>
  <c r="V52" i="76" s="1"/>
  <c r="AG50" i="76"/>
  <c r="X50" i="76"/>
  <c r="AH50" i="76" s="1"/>
  <c r="G246" i="76" l="1"/>
  <c r="Q246" i="76" s="1"/>
  <c r="G333" i="76"/>
  <c r="G330" i="76"/>
  <c r="Q330" i="76" s="1"/>
  <c r="G249" i="76"/>
  <c r="Q249" i="76" s="1"/>
  <c r="G417" i="76"/>
  <c r="Q417" i="76" s="1"/>
  <c r="G416" i="76"/>
  <c r="Q416" i="76" s="1"/>
  <c r="G248" i="76"/>
  <c r="Q248" i="76" s="1"/>
  <c r="G415" i="76"/>
  <c r="Q415" i="76" s="1"/>
  <c r="G414" i="76"/>
  <c r="Q414" i="76" s="1"/>
  <c r="G332" i="76"/>
  <c r="Q332" i="76" s="1"/>
  <c r="G247" i="76"/>
  <c r="Q247" i="76" s="1"/>
  <c r="G331" i="76"/>
  <c r="Q331" i="76" s="1"/>
  <c r="G163" i="76"/>
  <c r="Q163" i="76" s="1"/>
  <c r="G162" i="76"/>
  <c r="Q162" i="76" s="1"/>
  <c r="G164" i="76"/>
  <c r="Q164" i="76" s="1"/>
  <c r="G165" i="76"/>
  <c r="Q165" i="76" s="1"/>
  <c r="Q333" i="76"/>
  <c r="AE52" i="76"/>
  <c r="AD49" i="76"/>
  <c r="U49" i="76"/>
  <c r="AG48" i="76"/>
  <c r="X48" i="76"/>
  <c r="AF52" i="76"/>
  <c r="W52" i="76"/>
  <c r="X52" i="76" s="1"/>
  <c r="AH52" i="76" s="1"/>
  <c r="H418" i="76" l="1"/>
  <c r="R418" i="76" s="1"/>
  <c r="H250" i="76"/>
  <c r="R250" i="76" s="1"/>
  <c r="H414" i="76"/>
  <c r="R414" i="76" s="1"/>
  <c r="H247" i="76"/>
  <c r="R247" i="76" s="1"/>
  <c r="H246" i="76"/>
  <c r="R246" i="76" s="1"/>
  <c r="H334" i="76"/>
  <c r="R334" i="76" s="1"/>
  <c r="H248" i="76"/>
  <c r="R248" i="76" s="1"/>
  <c r="H249" i="76"/>
  <c r="R249" i="76" s="1"/>
  <c r="H330" i="76"/>
  <c r="R330" i="76" s="1"/>
  <c r="H332" i="76"/>
  <c r="R332" i="76" s="1"/>
  <c r="H415" i="76"/>
  <c r="R415" i="76" s="1"/>
  <c r="H333" i="76"/>
  <c r="R333" i="76" s="1"/>
  <c r="H331" i="76"/>
  <c r="R331" i="76" s="1"/>
  <c r="H416" i="76"/>
  <c r="R416" i="76" s="1"/>
  <c r="H417" i="76"/>
  <c r="R417" i="76" s="1"/>
  <c r="H165" i="76"/>
  <c r="R165" i="76" s="1"/>
  <c r="H164" i="76"/>
  <c r="R164" i="76" s="1"/>
  <c r="H163" i="76"/>
  <c r="R163" i="76" s="1"/>
  <c r="H166" i="76"/>
  <c r="R166" i="76" s="1"/>
  <c r="H162" i="76"/>
  <c r="R162" i="76" s="1"/>
  <c r="V49" i="76"/>
  <c r="AF49" i="76" s="1"/>
  <c r="AH48" i="76"/>
  <c r="AG52" i="76"/>
  <c r="AE49" i="76"/>
  <c r="J335" i="76" l="1"/>
  <c r="J415" i="76"/>
  <c r="J414" i="76"/>
  <c r="J246" i="76"/>
  <c r="T246" i="76" s="1"/>
  <c r="J248" i="76"/>
  <c r="J420" i="76"/>
  <c r="T420" i="76" s="1"/>
  <c r="J251" i="76"/>
  <c r="T251" i="76" s="1"/>
  <c r="J417" i="76"/>
  <c r="T417" i="76" s="1"/>
  <c r="J247" i="76"/>
  <c r="T247" i="76" s="1"/>
  <c r="J336" i="76"/>
  <c r="J418" i="76"/>
  <c r="J332" i="76"/>
  <c r="J333" i="76"/>
  <c r="J334" i="76"/>
  <c r="J252" i="76"/>
  <c r="T252" i="76" s="1"/>
  <c r="J419" i="76"/>
  <c r="T419" i="76" s="1"/>
  <c r="J416" i="76"/>
  <c r="T416" i="76" s="1"/>
  <c r="J249" i="76"/>
  <c r="J330" i="76"/>
  <c r="J331" i="76"/>
  <c r="T331" i="76" s="1"/>
  <c r="J250" i="76"/>
  <c r="T250" i="76" s="1"/>
  <c r="I334" i="76"/>
  <c r="S334" i="76" s="1"/>
  <c r="I335" i="76"/>
  <c r="S335" i="76" s="1"/>
  <c r="I248" i="76"/>
  <c r="S248" i="76" s="1"/>
  <c r="I332" i="76"/>
  <c r="S332" i="76" s="1"/>
  <c r="I246" i="76"/>
  <c r="I419" i="76"/>
  <c r="I416" i="76"/>
  <c r="S416" i="76" s="1"/>
  <c r="I330" i="76"/>
  <c r="S330" i="76" s="1"/>
  <c r="I251" i="76"/>
  <c r="S251" i="76" s="1"/>
  <c r="I250" i="76"/>
  <c r="S250" i="76" s="1"/>
  <c r="I415" i="76"/>
  <c r="S415" i="76" s="1"/>
  <c r="I417" i="76"/>
  <c r="S417" i="76" s="1"/>
  <c r="I331" i="76"/>
  <c r="I247" i="76"/>
  <c r="I333" i="76"/>
  <c r="S333" i="76" s="1"/>
  <c r="I414" i="76"/>
  <c r="S414" i="76" s="1"/>
  <c r="I249" i="76"/>
  <c r="S249" i="76" s="1"/>
  <c r="I418" i="76"/>
  <c r="S418" i="76" s="1"/>
  <c r="T418" i="76"/>
  <c r="T333" i="76"/>
  <c r="T330" i="76"/>
  <c r="T335" i="76"/>
  <c r="J164" i="76"/>
  <c r="T164" i="76" s="1"/>
  <c r="T249" i="76"/>
  <c r="T334" i="76"/>
  <c r="J163" i="76"/>
  <c r="T163" i="76" s="1"/>
  <c r="J167" i="76"/>
  <c r="T167" i="76" s="1"/>
  <c r="J162" i="76"/>
  <c r="T162" i="76" s="1"/>
  <c r="T336" i="76"/>
  <c r="T332" i="76"/>
  <c r="T415" i="76"/>
  <c r="J168" i="76"/>
  <c r="T168" i="76" s="1"/>
  <c r="J165" i="76"/>
  <c r="T165" i="76" s="1"/>
  <c r="T248" i="76"/>
  <c r="J166" i="76"/>
  <c r="T166" i="76" s="1"/>
  <c r="T414" i="76"/>
  <c r="I162" i="76"/>
  <c r="S162" i="76" s="1"/>
  <c r="I163" i="76"/>
  <c r="S163" i="76" s="1"/>
  <c r="I165" i="76"/>
  <c r="S165" i="76" s="1"/>
  <c r="I167" i="76"/>
  <c r="S167" i="76" s="1"/>
  <c r="S246" i="76"/>
  <c r="I166" i="76"/>
  <c r="S166" i="76" s="1"/>
  <c r="S419" i="76"/>
  <c r="S331" i="76"/>
  <c r="I164" i="76"/>
  <c r="S164" i="76" s="1"/>
  <c r="S247" i="76"/>
  <c r="W49" i="76"/>
  <c r="X49" i="76" s="1"/>
  <c r="AG49" i="76" l="1"/>
  <c r="AH49" i="76"/>
  <c r="L337" i="76" l="1"/>
  <c r="L331" i="76"/>
  <c r="L253" i="76"/>
  <c r="L330" i="76"/>
  <c r="L254" i="76"/>
  <c r="L333" i="76"/>
  <c r="V333" i="76" s="1"/>
  <c r="L417" i="76"/>
  <c r="V417" i="76" s="1"/>
  <c r="L246" i="76"/>
  <c r="V246" i="76" s="1"/>
  <c r="L336" i="76"/>
  <c r="V336" i="76" s="1"/>
  <c r="L249" i="76"/>
  <c r="L418" i="76"/>
  <c r="V418" i="76" s="1"/>
  <c r="L414" i="76"/>
  <c r="L419" i="76"/>
  <c r="L335" i="76"/>
  <c r="V335" i="76" s="1"/>
  <c r="L250" i="76"/>
  <c r="V250" i="76" s="1"/>
  <c r="L332" i="76"/>
  <c r="V332" i="76" s="1"/>
  <c r="L252" i="76"/>
  <c r="V252" i="76" s="1"/>
  <c r="L251" i="76"/>
  <c r="L338" i="76"/>
  <c r="L416" i="76"/>
  <c r="L248" i="76"/>
  <c r="L421" i="76"/>
  <c r="V421" i="76" s="1"/>
  <c r="L247" i="76"/>
  <c r="V247" i="76" s="1"/>
  <c r="L420" i="76"/>
  <c r="V420" i="76" s="1"/>
  <c r="L334" i="76"/>
  <c r="V334" i="76" s="1"/>
  <c r="L415" i="76"/>
  <c r="V415" i="76" s="1"/>
  <c r="L422" i="76"/>
  <c r="K249" i="76"/>
  <c r="K335" i="76"/>
  <c r="K333" i="76"/>
  <c r="U333" i="76" s="1"/>
  <c r="K247" i="76"/>
  <c r="U247" i="76" s="1"/>
  <c r="K251" i="76"/>
  <c r="U251" i="76" s="1"/>
  <c r="K336" i="76"/>
  <c r="U336" i="76" s="1"/>
  <c r="K414" i="76"/>
  <c r="U414" i="76" s="1"/>
  <c r="K421" i="76"/>
  <c r="K331" i="76"/>
  <c r="K415" i="76"/>
  <c r="K332" i="76"/>
  <c r="U332" i="76" s="1"/>
  <c r="K417" i="76"/>
  <c r="U417" i="76" s="1"/>
  <c r="K334" i="76"/>
  <c r="U334" i="76" s="1"/>
  <c r="K248" i="76"/>
  <c r="K419" i="76"/>
  <c r="U419" i="76" s="1"/>
  <c r="K418" i="76"/>
  <c r="K337" i="76"/>
  <c r="K253" i="76"/>
  <c r="U253" i="76" s="1"/>
  <c r="K330" i="76"/>
  <c r="U330" i="76" s="1"/>
  <c r="K420" i="76"/>
  <c r="U420" i="76" s="1"/>
  <c r="K246" i="76"/>
  <c r="U246" i="76" s="1"/>
  <c r="K250" i="76"/>
  <c r="U250" i="76" s="1"/>
  <c r="K416" i="76"/>
  <c r="U416" i="76" s="1"/>
  <c r="K252" i="76"/>
  <c r="U252" i="76" s="1"/>
  <c r="V249" i="76"/>
  <c r="V254" i="76"/>
  <c r="V414" i="76"/>
  <c r="L163" i="76"/>
  <c r="V163" i="76" s="1"/>
  <c r="L168" i="76"/>
  <c r="V168" i="76" s="1"/>
  <c r="V338" i="76"/>
  <c r="L166" i="76"/>
  <c r="V166" i="76" s="1"/>
  <c r="L167" i="76"/>
  <c r="V167" i="76" s="1"/>
  <c r="L164" i="76"/>
  <c r="V164" i="76" s="1"/>
  <c r="V419" i="76"/>
  <c r="V416" i="76"/>
  <c r="L169" i="76"/>
  <c r="V169" i="76" s="1"/>
  <c r="V337" i="76"/>
  <c r="V422" i="76"/>
  <c r="V331" i="76"/>
  <c r="L165" i="76"/>
  <c r="V165" i="76" s="1"/>
  <c r="V330" i="76"/>
  <c r="L170" i="76"/>
  <c r="V170" i="76" s="1"/>
  <c r="V251" i="76"/>
  <c r="V253" i="76"/>
  <c r="V248" i="76"/>
  <c r="L162" i="76"/>
  <c r="V162" i="76" s="1"/>
  <c r="K163" i="76"/>
  <c r="U163" i="76" s="1"/>
  <c r="U337" i="76"/>
  <c r="U331" i="76"/>
  <c r="U335" i="76"/>
  <c r="U249" i="76"/>
  <c r="U248" i="76"/>
  <c r="U415" i="76"/>
  <c r="U418" i="76"/>
  <c r="K162" i="76"/>
  <c r="U162" i="76" s="1"/>
  <c r="K168" i="76"/>
  <c r="U168" i="76" s="1"/>
  <c r="K166" i="76"/>
  <c r="U166" i="76" s="1"/>
  <c r="K169" i="76"/>
  <c r="U169" i="76" s="1"/>
  <c r="K167" i="76"/>
  <c r="U167" i="76" s="1"/>
  <c r="K165" i="76"/>
  <c r="U165" i="76" s="1"/>
  <c r="K164" i="76"/>
  <c r="U164" i="76" s="1"/>
  <c r="U421" i="76"/>
  <c r="M30" i="76"/>
  <c r="M32" i="76" l="1"/>
  <c r="M31" i="76"/>
  <c r="M34" i="76"/>
  <c r="M33" i="76"/>
  <c r="M88" i="76" l="1"/>
  <c r="I143" i="70"/>
  <c r="N86" i="76"/>
  <c r="N88" i="76"/>
  <c r="L142" i="70" l="1"/>
  <c r="L129" i="70"/>
  <c r="D420" i="76"/>
  <c r="H337" i="76"/>
  <c r="I423" i="76"/>
  <c r="S423" i="76" s="1"/>
  <c r="C334" i="76"/>
  <c r="C416" i="76"/>
  <c r="M416" i="76" s="1"/>
  <c r="C418" i="76"/>
  <c r="M418" i="76" s="1"/>
  <c r="C414" i="76"/>
  <c r="M414" i="76" s="1"/>
  <c r="C415" i="76"/>
  <c r="M415" i="76" s="1"/>
  <c r="C163" i="76"/>
  <c r="M163" i="76" s="1"/>
  <c r="C249" i="76"/>
  <c r="C339" i="76"/>
  <c r="M339" i="76" s="1"/>
  <c r="C247" i="76"/>
  <c r="C164" i="76"/>
  <c r="M164" i="76" s="1"/>
  <c r="C170" i="76"/>
  <c r="M170" i="76" s="1"/>
  <c r="C423" i="76"/>
  <c r="M423" i="76" s="1"/>
  <c r="C250" i="76"/>
  <c r="M250" i="76" s="1"/>
  <c r="C248" i="76"/>
  <c r="M248" i="76" s="1"/>
  <c r="C253" i="76"/>
  <c r="C338" i="76"/>
  <c r="M338" i="76" s="1"/>
  <c r="C169" i="76"/>
  <c r="C168" i="76"/>
  <c r="M168" i="76" s="1"/>
  <c r="C417" i="76"/>
  <c r="M417" i="76" s="1"/>
  <c r="C331" i="76"/>
  <c r="M331" i="76" s="1"/>
  <c r="C252" i="76"/>
  <c r="M252" i="76" s="1"/>
  <c r="C421" i="76"/>
  <c r="M421" i="76" s="1"/>
  <c r="C255" i="76"/>
  <c r="C333" i="76"/>
  <c r="M333" i="76" s="1"/>
  <c r="C332" i="76"/>
  <c r="C419" i="76"/>
  <c r="M419" i="76" s="1"/>
  <c r="C165" i="76"/>
  <c r="M165" i="76" s="1"/>
  <c r="C246" i="76"/>
  <c r="M246" i="76" s="1"/>
  <c r="C254" i="76"/>
  <c r="M254" i="76" s="1"/>
  <c r="C330" i="76"/>
  <c r="M330" i="76" s="1"/>
  <c r="C166" i="76"/>
  <c r="C251" i="76"/>
  <c r="M251" i="76" s="1"/>
  <c r="C167" i="76"/>
  <c r="C422" i="76"/>
  <c r="M422" i="76" s="1"/>
  <c r="C335" i="76"/>
  <c r="M335" i="76" s="1"/>
  <c r="C336" i="76"/>
  <c r="M336" i="76" s="1"/>
  <c r="C337" i="76"/>
  <c r="M337" i="76" s="1"/>
  <c r="C420" i="76"/>
  <c r="M420" i="76" s="1"/>
  <c r="C171" i="76"/>
  <c r="C162" i="76"/>
  <c r="M162" i="76" s="1"/>
  <c r="D331" i="76"/>
  <c r="D333" i="76"/>
  <c r="N333" i="76" s="1"/>
  <c r="D421" i="76"/>
  <c r="N421" i="76" s="1"/>
  <c r="D254" i="76"/>
  <c r="N254" i="76" s="1"/>
  <c r="D336" i="76"/>
  <c r="N336" i="76" s="1"/>
  <c r="D334" i="76"/>
  <c r="D415" i="76"/>
  <c r="D165" i="76"/>
  <c r="N165" i="76" s="1"/>
  <c r="D339" i="76"/>
  <c r="D337" i="76"/>
  <c r="N337" i="76" s="1"/>
  <c r="D338" i="76"/>
  <c r="N338" i="76" s="1"/>
  <c r="D423" i="76"/>
  <c r="N423" i="76" s="1"/>
  <c r="D332" i="76"/>
  <c r="N332" i="76" s="1"/>
  <c r="D335" i="76"/>
  <c r="N335" i="76" s="1"/>
  <c r="D171" i="76"/>
  <c r="D248" i="76"/>
  <c r="N248" i="76" s="1"/>
  <c r="D249" i="76"/>
  <c r="D166" i="76"/>
  <c r="N166" i="76" s="1"/>
  <c r="D164" i="76"/>
  <c r="N164" i="76" s="1"/>
  <c r="D167" i="76"/>
  <c r="N167" i="76" s="1"/>
  <c r="D250" i="76"/>
  <c r="N250" i="76" s="1"/>
  <c r="D169" i="76"/>
  <c r="N169" i="76" s="1"/>
  <c r="D422" i="76"/>
  <c r="D253" i="76"/>
  <c r="N253" i="76" s="1"/>
  <c r="D252" i="76"/>
  <c r="D418" i="76"/>
  <c r="N418" i="76" s="1"/>
  <c r="D419" i="76"/>
  <c r="N419" i="76" s="1"/>
  <c r="D247" i="76"/>
  <c r="N247" i="76" s="1"/>
  <c r="D255" i="76"/>
  <c r="N255" i="76" s="1"/>
  <c r="D170" i="76"/>
  <c r="D416" i="76"/>
  <c r="D163" i="76"/>
  <c r="N163" i="76" s="1"/>
  <c r="D168" i="76"/>
  <c r="D251" i="76"/>
  <c r="N251" i="76" s="1"/>
  <c r="D417" i="76"/>
  <c r="N417" i="76" s="1"/>
  <c r="E416" i="76"/>
  <c r="O416" i="76" s="1"/>
  <c r="E339" i="76"/>
  <c r="O339" i="76" s="1"/>
  <c r="E335" i="76"/>
  <c r="E254" i="76"/>
  <c r="E419" i="76"/>
  <c r="O419" i="76" s="1"/>
  <c r="E253" i="76"/>
  <c r="E334" i="76"/>
  <c r="O334" i="76" s="1"/>
  <c r="E166" i="76"/>
  <c r="O166" i="76" s="1"/>
  <c r="E169" i="76"/>
  <c r="O169" i="76" s="1"/>
  <c r="E336" i="76"/>
  <c r="O336" i="76" s="1"/>
  <c r="E255" i="76"/>
  <c r="O255" i="76" s="1"/>
  <c r="E164" i="76"/>
  <c r="E417" i="76"/>
  <c r="E249" i="76"/>
  <c r="E165" i="76"/>
  <c r="O165" i="76" s="1"/>
  <c r="E420" i="76"/>
  <c r="O420" i="76" s="1"/>
  <c r="E170" i="76"/>
  <c r="O170" i="76" s="1"/>
  <c r="E332" i="76"/>
  <c r="O332" i="76" s="1"/>
  <c r="E418" i="76"/>
  <c r="O418" i="76" s="1"/>
  <c r="E333" i="76"/>
  <c r="E337" i="76"/>
  <c r="O337" i="76" s="1"/>
  <c r="E168" i="76"/>
  <c r="E171" i="76"/>
  <c r="O171" i="76" s="1"/>
  <c r="E250" i="76"/>
  <c r="O250" i="76" s="1"/>
  <c r="E251" i="76"/>
  <c r="O251" i="76" s="1"/>
  <c r="E421" i="76"/>
  <c r="O421" i="76" s="1"/>
  <c r="E167" i="76"/>
  <c r="E423" i="76"/>
  <c r="E422" i="76"/>
  <c r="O422" i="76" s="1"/>
  <c r="E252" i="76"/>
  <c r="E338" i="76"/>
  <c r="O338" i="76" s="1"/>
  <c r="E248" i="76"/>
  <c r="O248" i="76" s="1"/>
  <c r="F423" i="76"/>
  <c r="P423" i="76" s="1"/>
  <c r="F255" i="76"/>
  <c r="P255" i="76" s="1"/>
  <c r="F421" i="76"/>
  <c r="P421" i="76" s="1"/>
  <c r="F169" i="76"/>
  <c r="F170" i="76"/>
  <c r="P170" i="76" s="1"/>
  <c r="F249" i="76"/>
  <c r="F422" i="76"/>
  <c r="P422" i="76" s="1"/>
  <c r="F339" i="76"/>
  <c r="P339" i="76" s="1"/>
  <c r="F254" i="76"/>
  <c r="P254" i="76" s="1"/>
  <c r="F420" i="76"/>
  <c r="P420" i="76" s="1"/>
  <c r="F337" i="76"/>
  <c r="P337" i="76" s="1"/>
  <c r="F335" i="76"/>
  <c r="F251" i="76"/>
  <c r="P251" i="76" s="1"/>
  <c r="F167" i="76"/>
  <c r="P167" i="76" s="1"/>
  <c r="F336" i="76"/>
  <c r="P336" i="76" s="1"/>
  <c r="F333" i="76"/>
  <c r="P333" i="76" s="1"/>
  <c r="F165" i="76"/>
  <c r="P165" i="76" s="1"/>
  <c r="F334" i="76"/>
  <c r="P334" i="76" s="1"/>
  <c r="F171" i="76"/>
  <c r="P171" i="76" s="1"/>
  <c r="F419" i="76"/>
  <c r="P419" i="76" s="1"/>
  <c r="F417" i="76"/>
  <c r="P417" i="76" s="1"/>
  <c r="F250" i="76"/>
  <c r="P250" i="76" s="1"/>
  <c r="F166" i="76"/>
  <c r="P166" i="76" s="1"/>
  <c r="F418" i="76"/>
  <c r="P418" i="76" s="1"/>
  <c r="F253" i="76"/>
  <c r="P253" i="76" s="1"/>
  <c r="F168" i="76"/>
  <c r="P168" i="76" s="1"/>
  <c r="F338" i="76"/>
  <c r="F252" i="76"/>
  <c r="G169" i="76"/>
  <c r="Q169" i="76" s="1"/>
  <c r="G338" i="76"/>
  <c r="Q338" i="76" s="1"/>
  <c r="G251" i="76"/>
  <c r="Q251" i="76" s="1"/>
  <c r="G334" i="76"/>
  <c r="Q334" i="76" s="1"/>
  <c r="G253" i="76"/>
  <c r="Q253" i="76" s="1"/>
  <c r="G168" i="76"/>
  <c r="Q168" i="76" s="1"/>
  <c r="G170" i="76"/>
  <c r="Q170" i="76" s="1"/>
  <c r="G166" i="76"/>
  <c r="Q166" i="76" s="1"/>
  <c r="G167" i="76"/>
  <c r="Q167" i="76" s="1"/>
  <c r="G252" i="76"/>
  <c r="Q252" i="76" s="1"/>
  <c r="G421" i="76"/>
  <c r="Q421" i="76" s="1"/>
  <c r="G423" i="76"/>
  <c r="Q423" i="76" s="1"/>
  <c r="G337" i="76"/>
  <c r="Q337" i="76" s="1"/>
  <c r="G255" i="76"/>
  <c r="Q255" i="76" s="1"/>
  <c r="G171" i="76"/>
  <c r="Q171" i="76" s="1"/>
  <c r="G418" i="76"/>
  <c r="Q418" i="76" s="1"/>
  <c r="G420" i="76"/>
  <c r="Q420" i="76" s="1"/>
  <c r="G254" i="76"/>
  <c r="G335" i="76"/>
  <c r="Q335" i="76" s="1"/>
  <c r="G422" i="76"/>
  <c r="Q422" i="76" s="1"/>
  <c r="G250" i="76"/>
  <c r="Q250" i="76" s="1"/>
  <c r="G336" i="76"/>
  <c r="Q336" i="76" s="1"/>
  <c r="G339" i="76"/>
  <c r="Q339" i="76" s="1"/>
  <c r="G419" i="76"/>
  <c r="Q419" i="76" s="1"/>
  <c r="H419" i="76"/>
  <c r="R419" i="76" s="1"/>
  <c r="H422" i="76"/>
  <c r="H335" i="76"/>
  <c r="R335" i="76" s="1"/>
  <c r="H255" i="76"/>
  <c r="R255" i="76" s="1"/>
  <c r="H252" i="76"/>
  <c r="R252" i="76" s="1"/>
  <c r="H423" i="76"/>
  <c r="R423" i="76" s="1"/>
  <c r="H339" i="76"/>
  <c r="R339" i="76" s="1"/>
  <c r="H167" i="76"/>
  <c r="R167" i="76" s="1"/>
  <c r="H421" i="76"/>
  <c r="R421" i="76" s="1"/>
  <c r="H169" i="76"/>
  <c r="R169" i="76" s="1"/>
  <c r="H168" i="76"/>
  <c r="R168" i="76" s="1"/>
  <c r="H420" i="76"/>
  <c r="R420" i="76" s="1"/>
  <c r="H251" i="76"/>
  <c r="R251" i="76" s="1"/>
  <c r="H338" i="76"/>
  <c r="R338" i="76" s="1"/>
  <c r="H254" i="76"/>
  <c r="R254" i="76" s="1"/>
  <c r="H171" i="76"/>
  <c r="R171" i="76" s="1"/>
  <c r="H253" i="76"/>
  <c r="R253" i="76" s="1"/>
  <c r="H336" i="76"/>
  <c r="R336" i="76" s="1"/>
  <c r="H170" i="76"/>
  <c r="R170" i="76" s="1"/>
  <c r="J169" i="76"/>
  <c r="T169" i="76" s="1"/>
  <c r="J421" i="76"/>
  <c r="T421" i="76" s="1"/>
  <c r="I170" i="76"/>
  <c r="S170" i="76" s="1"/>
  <c r="I169" i="76"/>
  <c r="S169" i="76" s="1"/>
  <c r="I171" i="76"/>
  <c r="S171" i="76" s="1"/>
  <c r="J422" i="76"/>
  <c r="T422" i="76" s="1"/>
  <c r="I336" i="76"/>
  <c r="S336" i="76" s="1"/>
  <c r="I254" i="76"/>
  <c r="S254" i="76" s="1"/>
  <c r="J423" i="76"/>
  <c r="T423" i="76" s="1"/>
  <c r="J254" i="76"/>
  <c r="T254" i="76" s="1"/>
  <c r="I168" i="76"/>
  <c r="S168" i="76" s="1"/>
  <c r="I422" i="76"/>
  <c r="S422" i="76" s="1"/>
  <c r="J338" i="76"/>
  <c r="T338" i="76" s="1"/>
  <c r="J255" i="76"/>
  <c r="T255" i="76" s="1"/>
  <c r="J171" i="76"/>
  <c r="T171" i="76" s="1"/>
  <c r="J170" i="76"/>
  <c r="T170" i="76" s="1"/>
  <c r="J337" i="76"/>
  <c r="T337" i="76" s="1"/>
  <c r="J339" i="76"/>
  <c r="T339" i="76" s="1"/>
  <c r="I337" i="76"/>
  <c r="S337" i="76" s="1"/>
  <c r="J253" i="76"/>
  <c r="T253" i="76" s="1"/>
  <c r="I253" i="76"/>
  <c r="S253" i="76" s="1"/>
  <c r="I421" i="76"/>
  <c r="S421" i="76" s="1"/>
  <c r="I338" i="76"/>
  <c r="S338" i="76" s="1"/>
  <c r="I252" i="76"/>
  <c r="S252" i="76" s="1"/>
  <c r="I420" i="76"/>
  <c r="S420" i="76" s="1"/>
  <c r="I339" i="76"/>
  <c r="S339" i="76" s="1"/>
  <c r="I255" i="76"/>
  <c r="S255" i="76" s="1"/>
  <c r="L171" i="76"/>
  <c r="V171" i="76" s="1"/>
  <c r="K170" i="76"/>
  <c r="U170" i="76" s="1"/>
  <c r="K254" i="76"/>
  <c r="U254" i="76" s="1"/>
  <c r="K171" i="76"/>
  <c r="U171" i="76" s="1"/>
  <c r="K422" i="76"/>
  <c r="U422" i="76" s="1"/>
  <c r="L255" i="76"/>
  <c r="V255" i="76" s="1"/>
  <c r="K423" i="76"/>
  <c r="U423" i="76" s="1"/>
  <c r="L339" i="76"/>
  <c r="V339" i="76" s="1"/>
  <c r="K339" i="76"/>
  <c r="U339" i="76" s="1"/>
  <c r="K338" i="76"/>
  <c r="U338" i="76" s="1"/>
  <c r="K255" i="76"/>
  <c r="U255" i="76" s="1"/>
  <c r="L423" i="76"/>
  <c r="V423" i="76" s="1"/>
  <c r="C228" i="76"/>
  <c r="M228" i="76" s="1"/>
  <c r="C143" i="76"/>
  <c r="M143" i="76" s="1"/>
  <c r="C233" i="76"/>
  <c r="M233" i="76" s="1"/>
  <c r="C145" i="76"/>
  <c r="M145" i="76" s="1"/>
  <c r="C144" i="76"/>
  <c r="M144" i="76" s="1"/>
  <c r="C230" i="76"/>
  <c r="M230" i="76" s="1"/>
  <c r="C313" i="76"/>
  <c r="C314" i="76"/>
  <c r="C142" i="76"/>
  <c r="M142" i="76" s="1"/>
  <c r="C149" i="76"/>
  <c r="M149" i="76" s="1"/>
  <c r="C234" i="76"/>
  <c r="M234" i="76" s="1"/>
  <c r="C310" i="76"/>
  <c r="M310" i="76" s="1"/>
  <c r="C402" i="76"/>
  <c r="M402" i="76" s="1"/>
  <c r="C318" i="76"/>
  <c r="M318" i="76" s="1"/>
  <c r="C235" i="76"/>
  <c r="M235" i="76" s="1"/>
  <c r="C317" i="76"/>
  <c r="M317" i="76" s="1"/>
  <c r="C395" i="76"/>
  <c r="M395" i="76" s="1"/>
  <c r="C146" i="76"/>
  <c r="M146" i="76" s="1"/>
  <c r="C231" i="76"/>
  <c r="M231" i="76" s="1"/>
  <c r="C232" i="76"/>
  <c r="M232" i="76" s="1"/>
  <c r="C398" i="76"/>
  <c r="M398" i="76" s="1"/>
  <c r="C150" i="76"/>
  <c r="M150" i="76" s="1"/>
  <c r="C394" i="76"/>
  <c r="M394" i="76" s="1"/>
  <c r="C226" i="76"/>
  <c r="C311" i="76"/>
  <c r="M311" i="76" s="1"/>
  <c r="C151" i="76"/>
  <c r="M151" i="76" s="1"/>
  <c r="C403" i="76"/>
  <c r="M403" i="76" s="1"/>
  <c r="C227" i="76"/>
  <c r="M227" i="76" s="1"/>
  <c r="C399" i="76"/>
  <c r="M399" i="76" s="1"/>
  <c r="C319" i="76"/>
  <c r="M319" i="76" s="1"/>
  <c r="C401" i="76"/>
  <c r="M401" i="76" s="1"/>
  <c r="C147" i="76"/>
  <c r="M147" i="76" s="1"/>
  <c r="C148" i="76"/>
  <c r="M148" i="76" s="1"/>
  <c r="C315" i="76"/>
  <c r="M315" i="76" s="1"/>
  <c r="C400" i="76"/>
  <c r="M400" i="76" s="1"/>
  <c r="C397" i="76"/>
  <c r="M397" i="76" s="1"/>
  <c r="C312" i="76"/>
  <c r="M312" i="76" s="1"/>
  <c r="C396" i="76"/>
  <c r="M396" i="76" s="1"/>
  <c r="C316" i="76"/>
  <c r="M316" i="76" s="1"/>
  <c r="C229" i="76"/>
  <c r="M229" i="76" s="1"/>
  <c r="N415" i="76"/>
  <c r="N331" i="76"/>
  <c r="M166" i="76"/>
  <c r="M253" i="76"/>
  <c r="M167" i="76"/>
  <c r="M334" i="76"/>
  <c r="M171" i="76"/>
  <c r="M332" i="76"/>
  <c r="M169" i="76"/>
  <c r="M255" i="76"/>
  <c r="M247" i="76"/>
  <c r="M249" i="76"/>
  <c r="N170" i="76"/>
  <c r="N168" i="76"/>
  <c r="N171" i="76"/>
  <c r="N249" i="76"/>
  <c r="N252" i="76"/>
  <c r="N339" i="76"/>
  <c r="N334" i="76"/>
  <c r="O249" i="76"/>
  <c r="O168" i="76"/>
  <c r="O253" i="76"/>
  <c r="O254" i="76"/>
  <c r="O333" i="76"/>
  <c r="O252" i="76"/>
  <c r="O335" i="76"/>
  <c r="O167" i="76"/>
  <c r="O164" i="76"/>
  <c r="P335" i="76"/>
  <c r="P169" i="76"/>
  <c r="P249" i="76"/>
  <c r="P338" i="76"/>
  <c r="P252" i="76"/>
  <c r="Q254" i="76"/>
  <c r="R337" i="76"/>
  <c r="N420" i="76"/>
  <c r="N416" i="76"/>
  <c r="N422" i="76"/>
  <c r="O417" i="76"/>
  <c r="O423" i="76"/>
  <c r="R422" i="76"/>
  <c r="M313" i="76"/>
  <c r="M314" i="76"/>
  <c r="M226" i="76"/>
  <c r="L132" i="70"/>
  <c r="J142" i="70" s="1"/>
  <c r="N68" i="76"/>
  <c r="N67" i="76" l="1"/>
  <c r="C102" i="76" s="1"/>
  <c r="C424" i="76" l="1"/>
  <c r="M424" i="76" s="1"/>
  <c r="C172" i="76"/>
  <c r="D102" i="76"/>
  <c r="D101" i="76"/>
  <c r="D99" i="76"/>
  <c r="D100" i="76"/>
  <c r="E101" i="76"/>
  <c r="E100" i="76"/>
  <c r="E102" i="76"/>
  <c r="E99" i="76"/>
  <c r="F102" i="76"/>
  <c r="F99" i="76"/>
  <c r="F101" i="76"/>
  <c r="F100" i="76"/>
  <c r="G102" i="76"/>
  <c r="G100" i="76"/>
  <c r="G99" i="76"/>
  <c r="G101" i="76"/>
  <c r="H100" i="76"/>
  <c r="H101" i="76"/>
  <c r="H99" i="76"/>
  <c r="H102" i="76"/>
  <c r="J101" i="76"/>
  <c r="I101" i="76"/>
  <c r="I102" i="76"/>
  <c r="I100" i="76"/>
  <c r="J102" i="76"/>
  <c r="J99" i="76"/>
  <c r="I99" i="76"/>
  <c r="J100" i="76"/>
  <c r="L102" i="76"/>
  <c r="K101" i="76"/>
  <c r="K99" i="76"/>
  <c r="K100" i="76"/>
  <c r="L100" i="76"/>
  <c r="L99" i="76"/>
  <c r="K102" i="76"/>
  <c r="L101" i="76"/>
  <c r="C100" i="76"/>
  <c r="C109" i="76" s="1"/>
  <c r="C118" i="76" s="1"/>
  <c r="C101" i="76"/>
  <c r="C110" i="76" s="1"/>
  <c r="C119" i="76" s="1"/>
  <c r="C111" i="76"/>
  <c r="C120" i="76" s="1"/>
  <c r="C99" i="76"/>
  <c r="C108" i="76" s="1"/>
  <c r="C117" i="76" s="1"/>
  <c r="F430" i="76"/>
  <c r="P430" i="76" s="1"/>
  <c r="K431" i="76"/>
  <c r="U431" i="76" s="1"/>
  <c r="E431" i="76"/>
  <c r="O431" i="76" s="1"/>
  <c r="C427" i="76"/>
  <c r="M427" i="76" s="1"/>
  <c r="I424" i="76"/>
  <c r="S424" i="76" s="1"/>
  <c r="C432" i="76"/>
  <c r="M432" i="76" s="1"/>
  <c r="J425" i="76"/>
  <c r="T425" i="76" s="1"/>
  <c r="G433" i="76"/>
  <c r="Q433" i="76" s="1"/>
  <c r="C430" i="76"/>
  <c r="M430" i="76" s="1"/>
  <c r="L424" i="76"/>
  <c r="V424" i="76" s="1"/>
  <c r="H427" i="76"/>
  <c r="R427" i="76" s="1"/>
  <c r="F424" i="76"/>
  <c r="P424" i="76" s="1"/>
  <c r="H433" i="76"/>
  <c r="R433" i="76" s="1"/>
  <c r="K349" i="76"/>
  <c r="U349" i="76" s="1"/>
  <c r="E347" i="76"/>
  <c r="O347" i="76" s="1"/>
  <c r="L349" i="76"/>
  <c r="V349" i="76" s="1"/>
  <c r="F348" i="76"/>
  <c r="P348" i="76" s="1"/>
  <c r="I346" i="76"/>
  <c r="S346" i="76" s="1"/>
  <c r="D345" i="76"/>
  <c r="N345" i="76" s="1"/>
  <c r="E260" i="76"/>
  <c r="O260" i="76" s="1"/>
  <c r="F260" i="76"/>
  <c r="P260" i="76" s="1"/>
  <c r="E261" i="76"/>
  <c r="O261" i="76" s="1"/>
  <c r="J263" i="76"/>
  <c r="T263" i="76" s="1"/>
  <c r="C263" i="76"/>
  <c r="M263" i="76" s="1"/>
  <c r="H265" i="76"/>
  <c r="R265" i="76" s="1"/>
  <c r="F259" i="76"/>
  <c r="P259" i="76" s="1"/>
  <c r="G180" i="76"/>
  <c r="Q180" i="76" s="1"/>
  <c r="C175" i="76"/>
  <c r="M175" i="76" s="1"/>
  <c r="D177" i="76"/>
  <c r="N177" i="76" s="1"/>
  <c r="C177" i="76"/>
  <c r="M177" i="76" s="1"/>
  <c r="C178" i="76"/>
  <c r="M178" i="76" s="1"/>
  <c r="F179" i="76"/>
  <c r="P179" i="76" s="1"/>
  <c r="E174" i="76"/>
  <c r="O174" i="76" s="1"/>
  <c r="E430" i="76"/>
  <c r="O430" i="76" s="1"/>
  <c r="C426" i="76"/>
  <c r="M426" i="76" s="1"/>
  <c r="D430" i="76"/>
  <c r="N430" i="76" s="1"/>
  <c r="E428" i="76"/>
  <c r="O428" i="76" s="1"/>
  <c r="I425" i="76"/>
  <c r="S425" i="76" s="1"/>
  <c r="J431" i="76"/>
  <c r="T431" i="76" s="1"/>
  <c r="K426" i="76"/>
  <c r="U426" i="76" s="1"/>
  <c r="E426" i="76"/>
  <c r="O426" i="76" s="1"/>
  <c r="E425" i="76"/>
  <c r="O425" i="76" s="1"/>
  <c r="L425" i="76"/>
  <c r="V425" i="76" s="1"/>
  <c r="K428" i="76"/>
  <c r="U428" i="76" s="1"/>
  <c r="F425" i="76"/>
  <c r="P425" i="76" s="1"/>
  <c r="F344" i="76"/>
  <c r="P344" i="76" s="1"/>
  <c r="G344" i="76"/>
  <c r="Q344" i="76" s="1"/>
  <c r="D348" i="76"/>
  <c r="N348" i="76" s="1"/>
  <c r="C348" i="76"/>
  <c r="M348" i="76" s="1"/>
  <c r="E349" i="76"/>
  <c r="O349" i="76" s="1"/>
  <c r="H347" i="76"/>
  <c r="R347" i="76" s="1"/>
  <c r="J347" i="76"/>
  <c r="T347" i="76" s="1"/>
  <c r="C261" i="76"/>
  <c r="M261" i="76" s="1"/>
  <c r="D261" i="76"/>
  <c r="N261" i="76" s="1"/>
  <c r="C262" i="76"/>
  <c r="M262" i="76" s="1"/>
  <c r="H264" i="76"/>
  <c r="R264" i="76" s="1"/>
  <c r="I264" i="76"/>
  <c r="S264" i="76" s="1"/>
  <c r="E259" i="76"/>
  <c r="O259" i="76" s="1"/>
  <c r="D260" i="76"/>
  <c r="N260" i="76" s="1"/>
  <c r="C174" i="76"/>
  <c r="M174" i="76" s="1"/>
  <c r="F175" i="76"/>
  <c r="P175" i="76" s="1"/>
  <c r="J179" i="76"/>
  <c r="T179" i="76" s="1"/>
  <c r="D181" i="76"/>
  <c r="N181" i="76" s="1"/>
  <c r="L181" i="76"/>
  <c r="V181" i="76" s="1"/>
  <c r="D174" i="76"/>
  <c r="N174" i="76" s="1"/>
  <c r="H179" i="76"/>
  <c r="R179" i="76" s="1"/>
  <c r="D429" i="76"/>
  <c r="N429" i="76" s="1"/>
  <c r="H424" i="76"/>
  <c r="R424" i="76" s="1"/>
  <c r="K433" i="76"/>
  <c r="U433" i="76" s="1"/>
  <c r="J426" i="76"/>
  <c r="T426" i="76" s="1"/>
  <c r="H430" i="76"/>
  <c r="R430" i="76" s="1"/>
  <c r="H428" i="76"/>
  <c r="R428" i="76" s="1"/>
  <c r="D425" i="76"/>
  <c r="N425" i="76" s="1"/>
  <c r="J433" i="76"/>
  <c r="T433" i="76" s="1"/>
  <c r="G427" i="76"/>
  <c r="Q427" i="76" s="1"/>
  <c r="K430" i="76"/>
  <c r="U430" i="76" s="1"/>
  <c r="G426" i="76"/>
  <c r="Q426" i="76" s="1"/>
  <c r="E345" i="76"/>
  <c r="O345" i="76" s="1"/>
  <c r="F345" i="76"/>
  <c r="P345" i="76" s="1"/>
  <c r="D341" i="76"/>
  <c r="N341" i="76" s="1"/>
  <c r="E343" i="76"/>
  <c r="O343" i="76" s="1"/>
  <c r="C341" i="76"/>
  <c r="M341" i="76" s="1"/>
  <c r="G348" i="76"/>
  <c r="Q348" i="76" s="1"/>
  <c r="I348" i="76"/>
  <c r="S348" i="76" s="1"/>
  <c r="I262" i="76"/>
  <c r="S262" i="76" s="1"/>
  <c r="H263" i="76"/>
  <c r="R263" i="76" s="1"/>
  <c r="I263" i="76"/>
  <c r="S263" i="76" s="1"/>
  <c r="F265" i="76"/>
  <c r="P265" i="76" s="1"/>
  <c r="G265" i="76"/>
  <c r="Q265" i="76" s="1"/>
  <c r="C260" i="76"/>
  <c r="M260" i="76" s="1"/>
  <c r="H262" i="76"/>
  <c r="R262" i="76" s="1"/>
  <c r="E180" i="76"/>
  <c r="O180" i="76" s="1"/>
  <c r="I180" i="76"/>
  <c r="S180" i="76" s="1"/>
  <c r="H181" i="76"/>
  <c r="R181" i="76" s="1"/>
  <c r="G176" i="76"/>
  <c r="Q176" i="76" s="1"/>
  <c r="G177" i="76"/>
  <c r="Q177" i="76" s="1"/>
  <c r="H178" i="76"/>
  <c r="R178" i="76" s="1"/>
  <c r="F181" i="76"/>
  <c r="P181" i="76" s="1"/>
  <c r="G424" i="76"/>
  <c r="Q424" i="76" s="1"/>
  <c r="E424" i="76"/>
  <c r="O424" i="76" s="1"/>
  <c r="H425" i="76"/>
  <c r="R425" i="76" s="1"/>
  <c r="H429" i="76"/>
  <c r="R429" i="76" s="1"/>
  <c r="L427" i="76"/>
  <c r="V427" i="76" s="1"/>
  <c r="G432" i="76"/>
  <c r="Q432" i="76" s="1"/>
  <c r="L429" i="76"/>
  <c r="V429" i="76" s="1"/>
  <c r="D433" i="76"/>
  <c r="N433" i="76" s="1"/>
  <c r="H432" i="76"/>
  <c r="R432" i="76" s="1"/>
  <c r="J428" i="76"/>
  <c r="T428" i="76" s="1"/>
  <c r="I431" i="76"/>
  <c r="S431" i="76" s="1"/>
  <c r="I427" i="76"/>
  <c r="S427" i="76" s="1"/>
  <c r="D346" i="76"/>
  <c r="N346" i="76" s="1"/>
  <c r="E346" i="76"/>
  <c r="O346" i="76" s="1"/>
  <c r="H345" i="76"/>
  <c r="R345" i="76" s="1"/>
  <c r="I347" i="76"/>
  <c r="S347" i="76" s="1"/>
  <c r="C349" i="76"/>
  <c r="M349" i="76" s="1"/>
  <c r="F349" i="76"/>
  <c r="P349" i="76" s="1"/>
  <c r="H349" i="76"/>
  <c r="R349" i="76" s="1"/>
  <c r="G263" i="76"/>
  <c r="Q263" i="76" s="1"/>
  <c r="F264" i="76"/>
  <c r="P264" i="76" s="1"/>
  <c r="G264" i="76"/>
  <c r="Q264" i="76" s="1"/>
  <c r="C256" i="76"/>
  <c r="M256" i="76" s="1"/>
  <c r="D259" i="76"/>
  <c r="N259" i="76" s="1"/>
  <c r="G262" i="76"/>
  <c r="Q262" i="76" s="1"/>
  <c r="F263" i="76"/>
  <c r="P263" i="76" s="1"/>
  <c r="E175" i="76"/>
  <c r="O175" i="76" s="1"/>
  <c r="C176" i="76"/>
  <c r="M176" i="76" s="1"/>
  <c r="F176" i="76"/>
  <c r="P176" i="76" s="1"/>
  <c r="F177" i="76"/>
  <c r="P177" i="76" s="1"/>
  <c r="F178" i="76"/>
  <c r="P178" i="76" s="1"/>
  <c r="G179" i="76"/>
  <c r="Q179" i="76" s="1"/>
  <c r="M172" i="76"/>
  <c r="F343" i="76"/>
  <c r="P343" i="76" s="1"/>
  <c r="G425" i="76"/>
  <c r="Q425" i="76" s="1"/>
  <c r="K432" i="76"/>
  <c r="U432" i="76" s="1"/>
  <c r="I426" i="76"/>
  <c r="S426" i="76" s="1"/>
  <c r="G431" i="76"/>
  <c r="Q431" i="76" s="1"/>
  <c r="K429" i="76"/>
  <c r="U429" i="76" s="1"/>
  <c r="F433" i="76"/>
  <c r="P433" i="76" s="1"/>
  <c r="C429" i="76"/>
  <c r="M429" i="76" s="1"/>
  <c r="K424" i="76"/>
  <c r="U424" i="76" s="1"/>
  <c r="F427" i="76"/>
  <c r="P427" i="76" s="1"/>
  <c r="J430" i="76"/>
  <c r="T430" i="76" s="1"/>
  <c r="G428" i="76"/>
  <c r="Q428" i="76" s="1"/>
  <c r="L428" i="76"/>
  <c r="V428" i="76" s="1"/>
  <c r="J348" i="76"/>
  <c r="T348" i="76" s="1"/>
  <c r="K348" i="76"/>
  <c r="U348" i="76" s="1"/>
  <c r="G346" i="76"/>
  <c r="Q346" i="76" s="1"/>
  <c r="G349" i="76"/>
  <c r="Q349" i="76" s="1"/>
  <c r="D344" i="76"/>
  <c r="N344" i="76" s="1"/>
  <c r="C342" i="76"/>
  <c r="M342" i="76" s="1"/>
  <c r="C344" i="76"/>
  <c r="M344" i="76" s="1"/>
  <c r="E264" i="76"/>
  <c r="O264" i="76" s="1"/>
  <c r="D265" i="76"/>
  <c r="N265" i="76" s="1"/>
  <c r="E265" i="76"/>
  <c r="O265" i="76" s="1"/>
  <c r="E258" i="76"/>
  <c r="O258" i="76" s="1"/>
  <c r="H261" i="76"/>
  <c r="R261" i="76" s="1"/>
  <c r="E263" i="76"/>
  <c r="O263" i="76" s="1"/>
  <c r="D264" i="76"/>
  <c r="N264" i="76" s="1"/>
  <c r="D176" i="76"/>
  <c r="N176" i="76" s="1"/>
  <c r="D173" i="76"/>
  <c r="N173" i="76" s="1"/>
  <c r="E177" i="76"/>
  <c r="O177" i="76" s="1"/>
  <c r="E178" i="76"/>
  <c r="O178" i="76" s="1"/>
  <c r="E179" i="76"/>
  <c r="O179" i="76" s="1"/>
  <c r="F180" i="76"/>
  <c r="P180" i="76" s="1"/>
  <c r="H177" i="76"/>
  <c r="R177" i="76" s="1"/>
  <c r="L433" i="76"/>
  <c r="V433" i="76" s="1"/>
  <c r="H426" i="76"/>
  <c r="R426" i="76" s="1"/>
  <c r="I433" i="76"/>
  <c r="S433" i="76" s="1"/>
  <c r="K427" i="76"/>
  <c r="U427" i="76" s="1"/>
  <c r="F432" i="76"/>
  <c r="P432" i="76" s="1"/>
  <c r="L432" i="76"/>
  <c r="V432" i="76" s="1"/>
  <c r="E433" i="76"/>
  <c r="O433" i="76" s="1"/>
  <c r="F426" i="76"/>
  <c r="P426" i="76" s="1"/>
  <c r="K425" i="76"/>
  <c r="U425" i="76" s="1"/>
  <c r="E427" i="76"/>
  <c r="O427" i="76" s="1"/>
  <c r="C431" i="76"/>
  <c r="M431" i="76" s="1"/>
  <c r="F429" i="76"/>
  <c r="P429" i="76" s="1"/>
  <c r="L430" i="76"/>
  <c r="V430" i="76" s="1"/>
  <c r="I349" i="76"/>
  <c r="S349" i="76" s="1"/>
  <c r="C346" i="76"/>
  <c r="M346" i="76" s="1"/>
  <c r="F347" i="76"/>
  <c r="P347" i="76" s="1"/>
  <c r="D342" i="76"/>
  <c r="N342" i="76" s="1"/>
  <c r="H348" i="76"/>
  <c r="R348" i="76" s="1"/>
  <c r="C340" i="76"/>
  <c r="M340" i="76" s="1"/>
  <c r="J349" i="76"/>
  <c r="T349" i="76" s="1"/>
  <c r="C265" i="76"/>
  <c r="M265" i="76" s="1"/>
  <c r="L265" i="76"/>
  <c r="V265" i="76" s="1"/>
  <c r="D258" i="76"/>
  <c r="N258" i="76" s="1"/>
  <c r="C259" i="76"/>
  <c r="M259" i="76" s="1"/>
  <c r="F262" i="76"/>
  <c r="P262" i="76" s="1"/>
  <c r="C264" i="76"/>
  <c r="M264" i="76" s="1"/>
  <c r="J265" i="76"/>
  <c r="T265" i="76" s="1"/>
  <c r="I179" i="76"/>
  <c r="S179" i="76" s="1"/>
  <c r="G178" i="76"/>
  <c r="Q178" i="76" s="1"/>
  <c r="D178" i="76"/>
  <c r="N178" i="76" s="1"/>
  <c r="D179" i="76"/>
  <c r="N179" i="76" s="1"/>
  <c r="D180" i="76"/>
  <c r="N180" i="76" s="1"/>
  <c r="E181" i="76"/>
  <c r="O181" i="76" s="1"/>
  <c r="I432" i="76"/>
  <c r="S432" i="76" s="1"/>
  <c r="J427" i="76"/>
  <c r="T427" i="76" s="1"/>
  <c r="G430" i="76"/>
  <c r="Q430" i="76" s="1"/>
  <c r="J429" i="76"/>
  <c r="T429" i="76" s="1"/>
  <c r="E432" i="76"/>
  <c r="O432" i="76" s="1"/>
  <c r="C428" i="76"/>
  <c r="M428" i="76" s="1"/>
  <c r="D432" i="76"/>
  <c r="N432" i="76" s="1"/>
  <c r="J432" i="76"/>
  <c r="T432" i="76" s="1"/>
  <c r="L426" i="76"/>
  <c r="V426" i="76" s="1"/>
  <c r="D426" i="76"/>
  <c r="N426" i="76" s="1"/>
  <c r="I430" i="76"/>
  <c r="S430" i="76" s="1"/>
  <c r="E429" i="76"/>
  <c r="O429" i="76" s="1"/>
  <c r="C425" i="76"/>
  <c r="M425" i="76" s="1"/>
  <c r="C345" i="76"/>
  <c r="M345" i="76" s="1"/>
  <c r="G345" i="76"/>
  <c r="Q345" i="76" s="1"/>
  <c r="E348" i="76"/>
  <c r="O348" i="76" s="1"/>
  <c r="H346" i="76"/>
  <c r="R346" i="76" s="1"/>
  <c r="E342" i="76"/>
  <c r="O342" i="76" s="1"/>
  <c r="C343" i="76"/>
  <c r="M343" i="76" s="1"/>
  <c r="C347" i="76"/>
  <c r="M347" i="76" s="1"/>
  <c r="K265" i="76"/>
  <c r="U265" i="76" s="1"/>
  <c r="C258" i="76"/>
  <c r="M258" i="76" s="1"/>
  <c r="F261" i="76"/>
  <c r="P261" i="76" s="1"/>
  <c r="G261" i="76"/>
  <c r="Q261" i="76" s="1"/>
  <c r="D263" i="76"/>
  <c r="N263" i="76" s="1"/>
  <c r="K264" i="76"/>
  <c r="U264" i="76" s="1"/>
  <c r="D175" i="76"/>
  <c r="N175" i="76" s="1"/>
  <c r="H180" i="76"/>
  <c r="R180" i="76" s="1"/>
  <c r="C180" i="76"/>
  <c r="M180" i="76" s="1"/>
  <c r="J180" i="76"/>
  <c r="T180" i="76" s="1"/>
  <c r="K180" i="76"/>
  <c r="U180" i="76" s="1"/>
  <c r="K181" i="76"/>
  <c r="U181" i="76" s="1"/>
  <c r="C173" i="76"/>
  <c r="M173" i="76" s="1"/>
  <c r="G429" i="76"/>
  <c r="Q429" i="76" s="1"/>
  <c r="I429" i="76"/>
  <c r="S429" i="76" s="1"/>
  <c r="F431" i="76"/>
  <c r="P431" i="76" s="1"/>
  <c r="L431" i="76"/>
  <c r="V431" i="76" s="1"/>
  <c r="D431" i="76"/>
  <c r="N431" i="76" s="1"/>
  <c r="F428" i="76"/>
  <c r="P428" i="76" s="1"/>
  <c r="J424" i="76"/>
  <c r="T424" i="76" s="1"/>
  <c r="H431" i="76"/>
  <c r="R431" i="76" s="1"/>
  <c r="I428" i="76"/>
  <c r="S428" i="76" s="1"/>
  <c r="D424" i="76"/>
  <c r="N424" i="76" s="1"/>
  <c r="D427" i="76"/>
  <c r="N427" i="76" s="1"/>
  <c r="D428" i="76"/>
  <c r="N428" i="76" s="1"/>
  <c r="C433" i="76"/>
  <c r="M433" i="76" s="1"/>
  <c r="D347" i="76"/>
  <c r="N347" i="76" s="1"/>
  <c r="F346" i="76"/>
  <c r="P346" i="76" s="1"/>
  <c r="D349" i="76"/>
  <c r="N349" i="76" s="1"/>
  <c r="G347" i="76"/>
  <c r="Q347" i="76" s="1"/>
  <c r="D343" i="76"/>
  <c r="N343" i="76" s="1"/>
  <c r="E344" i="76"/>
  <c r="O344" i="76" s="1"/>
  <c r="C257" i="76"/>
  <c r="M257" i="76" s="1"/>
  <c r="D257" i="76"/>
  <c r="N257" i="76" s="1"/>
  <c r="G260" i="76"/>
  <c r="Q260" i="76" s="1"/>
  <c r="D262" i="76"/>
  <c r="N262" i="76" s="1"/>
  <c r="E262" i="76"/>
  <c r="O262" i="76" s="1"/>
  <c r="J264" i="76"/>
  <c r="T264" i="76" s="1"/>
  <c r="I265" i="76"/>
  <c r="S265" i="76" s="1"/>
  <c r="I178" i="76"/>
  <c r="S178" i="76" s="1"/>
  <c r="G181" i="76"/>
  <c r="Q181" i="76" s="1"/>
  <c r="E176" i="76"/>
  <c r="O176" i="76" s="1"/>
  <c r="I181" i="76"/>
  <c r="S181" i="76" s="1"/>
  <c r="J181" i="76"/>
  <c r="T181" i="76" s="1"/>
  <c r="C179" i="76"/>
  <c r="M179" i="76" s="1"/>
  <c r="C181" i="76"/>
  <c r="M181" i="76" s="1"/>
  <c r="D111" i="76" l="1"/>
  <c r="D120" i="76" s="1"/>
  <c r="D110" i="76"/>
  <c r="D119" i="76" s="1"/>
  <c r="D109" i="76"/>
  <c r="D118" i="76" s="1"/>
  <c r="D108" i="76"/>
  <c r="E111" i="76" l="1"/>
  <c r="E120" i="76" s="1"/>
  <c r="E110" i="76"/>
  <c r="E119" i="76" s="1"/>
  <c r="E109" i="76"/>
  <c r="E118" i="76" s="1"/>
  <c r="D117" i="76"/>
  <c r="E108" i="76"/>
  <c r="F111" i="76" l="1"/>
  <c r="F120" i="76" s="1"/>
  <c r="F110" i="76"/>
  <c r="G110" i="76" s="1"/>
  <c r="H110" i="76" s="1"/>
  <c r="F109" i="76"/>
  <c r="F118" i="76" s="1"/>
  <c r="E117" i="76"/>
  <c r="F108" i="76"/>
  <c r="G111" i="76" l="1"/>
  <c r="G120" i="76" s="1"/>
  <c r="G119" i="76"/>
  <c r="F119" i="76"/>
  <c r="G109" i="76"/>
  <c r="G118" i="76" s="1"/>
  <c r="G108" i="76"/>
  <c r="F117" i="76"/>
  <c r="H119" i="76"/>
  <c r="I110" i="76"/>
  <c r="H111" i="76" l="1"/>
  <c r="H120" i="76" s="1"/>
  <c r="H109" i="76"/>
  <c r="H118" i="76" s="1"/>
  <c r="H108" i="76"/>
  <c r="G117" i="76"/>
  <c r="I119" i="76"/>
  <c r="J110" i="76"/>
  <c r="I111" i="76" l="1"/>
  <c r="I120" i="76" s="1"/>
  <c r="I109" i="76"/>
  <c r="I118" i="76" s="1"/>
  <c r="H117" i="76"/>
  <c r="I108" i="76"/>
  <c r="J119" i="76"/>
  <c r="K110" i="76"/>
  <c r="J111" i="76" l="1"/>
  <c r="J120" i="76" s="1"/>
  <c r="J109" i="76"/>
  <c r="J118" i="76" s="1"/>
  <c r="I117" i="76"/>
  <c r="J108" i="76"/>
  <c r="K119" i="76"/>
  <c r="L110" i="76"/>
  <c r="L119" i="76" s="1"/>
  <c r="K111" i="76" l="1"/>
  <c r="K120" i="76" s="1"/>
  <c r="K109" i="76"/>
  <c r="L109" i="76" s="1"/>
  <c r="L118" i="76" s="1"/>
  <c r="J117" i="76"/>
  <c r="K108" i="76"/>
  <c r="L111" i="76" l="1"/>
  <c r="L120" i="76" s="1"/>
  <c r="K118" i="76"/>
  <c r="K117" i="76"/>
  <c r="L108" i="76"/>
  <c r="L117" i="76" s="1"/>
  <c r="M42" i="76" l="1"/>
  <c r="M37" i="76"/>
  <c r="M44" i="76"/>
  <c r="M41" i="76"/>
  <c r="M36" i="76"/>
  <c r="M38" i="76"/>
  <c r="M43" i="76"/>
  <c r="M40" i="76" l="1"/>
  <c r="C300" i="76" l="1"/>
  <c r="C140" i="76"/>
  <c r="C137" i="76"/>
  <c r="K137" i="76"/>
  <c r="C136" i="76"/>
  <c r="I133" i="76"/>
  <c r="G139" i="76"/>
  <c r="D134" i="76"/>
  <c r="I137" i="76"/>
  <c r="G132" i="76"/>
  <c r="I140" i="76"/>
  <c r="J134" i="76"/>
  <c r="F137" i="76"/>
  <c r="G136" i="76"/>
  <c r="E141" i="76"/>
  <c r="C139" i="76"/>
  <c r="K133" i="76"/>
  <c r="K132" i="76"/>
  <c r="E135" i="76"/>
  <c r="G137" i="76"/>
  <c r="I134" i="76"/>
  <c r="L132" i="76"/>
  <c r="G140" i="76"/>
  <c r="L141" i="76"/>
  <c r="L135" i="76"/>
  <c r="L139" i="76"/>
  <c r="K134" i="76"/>
  <c r="J137" i="76"/>
  <c r="D133" i="76"/>
  <c r="L134" i="76"/>
  <c r="H133" i="76"/>
  <c r="F136" i="76"/>
  <c r="C132" i="76"/>
  <c r="C182" i="76" s="1"/>
  <c r="D141" i="76"/>
  <c r="D138" i="76"/>
  <c r="G135" i="76"/>
  <c r="J139" i="76"/>
  <c r="H132" i="76"/>
  <c r="H137" i="76"/>
  <c r="L136" i="76"/>
  <c r="K135" i="76"/>
  <c r="D137" i="76"/>
  <c r="L137" i="76"/>
  <c r="J133" i="76"/>
  <c r="D132" i="76"/>
  <c r="H139" i="76"/>
  <c r="H134" i="76"/>
  <c r="F135" i="76"/>
  <c r="F133" i="76"/>
  <c r="G138" i="76"/>
  <c r="I139" i="76"/>
  <c r="C135" i="76"/>
  <c r="K141" i="76"/>
  <c r="D136" i="76"/>
  <c r="D135" i="76"/>
  <c r="C133" i="76"/>
  <c r="C141" i="76"/>
  <c r="K138" i="76"/>
  <c r="E137" i="76"/>
  <c r="L138" i="76"/>
  <c r="D140" i="76"/>
  <c r="C134" i="76"/>
  <c r="H141" i="76"/>
  <c r="I135" i="76"/>
  <c r="J141" i="76"/>
  <c r="F139" i="76"/>
  <c r="J136" i="76"/>
  <c r="H140" i="76"/>
  <c r="G141" i="76"/>
  <c r="H135" i="76"/>
  <c r="E136" i="76"/>
  <c r="E132" i="76"/>
  <c r="J135" i="76"/>
  <c r="I141" i="76"/>
  <c r="F141" i="76"/>
  <c r="L140" i="76"/>
  <c r="H136" i="76"/>
  <c r="F138" i="76"/>
  <c r="F134" i="76"/>
  <c r="F140" i="76"/>
  <c r="K140" i="76"/>
  <c r="G134" i="76"/>
  <c r="J132" i="76"/>
  <c r="I138" i="76"/>
  <c r="K136" i="76"/>
  <c r="I136" i="76"/>
  <c r="G133" i="76"/>
  <c r="E140" i="76"/>
  <c r="C138" i="76"/>
  <c r="E133" i="76"/>
  <c r="E138" i="76"/>
  <c r="E139" i="76"/>
  <c r="L133" i="76"/>
  <c r="J140" i="76"/>
  <c r="D139" i="76"/>
  <c r="H138" i="76"/>
  <c r="F132" i="76"/>
  <c r="K139" i="76"/>
  <c r="I132" i="76"/>
  <c r="J138" i="76"/>
  <c r="E134" i="76"/>
  <c r="L308" i="76"/>
  <c r="G307" i="76"/>
  <c r="K302" i="76"/>
  <c r="J302" i="76"/>
  <c r="D308" i="76"/>
  <c r="I307" i="76"/>
  <c r="L303" i="76"/>
  <c r="F304" i="76"/>
  <c r="D302" i="76"/>
  <c r="E301" i="76"/>
  <c r="E304" i="76"/>
  <c r="G303" i="76"/>
  <c r="E306" i="76"/>
  <c r="G306" i="76"/>
  <c r="K305" i="76"/>
  <c r="F308" i="76"/>
  <c r="K301" i="76"/>
  <c r="J301" i="76"/>
  <c r="C307" i="76"/>
  <c r="M307" i="76" s="1"/>
  <c r="G304" i="76"/>
  <c r="E300" i="76"/>
  <c r="C304" i="76"/>
  <c r="M304" i="76" s="1"/>
  <c r="C305" i="76"/>
  <c r="M305" i="76" s="1"/>
  <c r="D300" i="76"/>
  <c r="L304" i="76"/>
  <c r="K308" i="76"/>
  <c r="C301" i="76"/>
  <c r="M301" i="76" s="1"/>
  <c r="K303" i="76"/>
  <c r="H303" i="76"/>
  <c r="E308" i="76"/>
  <c r="K300" i="76"/>
  <c r="J300" i="76"/>
  <c r="L306" i="76"/>
  <c r="F305" i="76"/>
  <c r="I306" i="76"/>
  <c r="D303" i="76"/>
  <c r="I304" i="76"/>
  <c r="H309" i="76"/>
  <c r="G301" i="76"/>
  <c r="D309" i="76"/>
  <c r="G302" i="76"/>
  <c r="D301" i="76"/>
  <c r="I302" i="76"/>
  <c r="D307" i="76"/>
  <c r="J308" i="76"/>
  <c r="J307" i="76"/>
  <c r="K304" i="76"/>
  <c r="E305" i="76"/>
  <c r="F303" i="76"/>
  <c r="J305" i="76"/>
  <c r="L302" i="76"/>
  <c r="E302" i="76"/>
  <c r="L309" i="76"/>
  <c r="J306" i="76"/>
  <c r="I308" i="76"/>
  <c r="G305" i="76"/>
  <c r="I301" i="76"/>
  <c r="C306" i="76"/>
  <c r="M306" i="76" s="1"/>
  <c r="H307" i="76"/>
  <c r="H306" i="76"/>
  <c r="F302" i="76"/>
  <c r="D304" i="76"/>
  <c r="E307" i="76"/>
  <c r="H302" i="76"/>
  <c r="L300" i="76"/>
  <c r="D305" i="76"/>
  <c r="J304" i="76"/>
  <c r="I300" i="76"/>
  <c r="L307" i="76"/>
  <c r="K307" i="76"/>
  <c r="G308" i="76"/>
  <c r="F301" i="76"/>
  <c r="C303" i="76"/>
  <c r="M303" i="76" s="1"/>
  <c r="C302" i="76"/>
  <c r="M302" i="76" s="1"/>
  <c r="H300" i="76"/>
  <c r="H308" i="76"/>
  <c r="C309" i="76"/>
  <c r="M309" i="76" s="1"/>
  <c r="E303" i="76"/>
  <c r="L301" i="76"/>
  <c r="F307" i="76"/>
  <c r="K309" i="76"/>
  <c r="H304" i="76"/>
  <c r="L305" i="76"/>
  <c r="F309" i="76"/>
  <c r="F300" i="76"/>
  <c r="I305" i="76"/>
  <c r="I309" i="76"/>
  <c r="C308" i="76"/>
  <c r="M308" i="76" s="1"/>
  <c r="H301" i="76"/>
  <c r="D306" i="76"/>
  <c r="J309" i="76"/>
  <c r="H305" i="76"/>
  <c r="J303" i="76"/>
  <c r="I303" i="76"/>
  <c r="E309" i="76"/>
  <c r="K306" i="76"/>
  <c r="G300" i="76"/>
  <c r="F306" i="76"/>
  <c r="G309" i="76"/>
  <c r="K391" i="76"/>
  <c r="G393" i="76"/>
  <c r="Q393" i="76" s="1"/>
  <c r="D386" i="76"/>
  <c r="I390" i="76"/>
  <c r="G392" i="76"/>
  <c r="I391" i="76"/>
  <c r="H390" i="76"/>
  <c r="F384" i="76"/>
  <c r="I385" i="76"/>
  <c r="G384" i="76"/>
  <c r="L392" i="76"/>
  <c r="H385" i="76"/>
  <c r="C390" i="76"/>
  <c r="L389" i="76"/>
  <c r="E386" i="76"/>
  <c r="C393" i="76"/>
  <c r="M393" i="76" s="1"/>
  <c r="H393" i="76"/>
  <c r="R393" i="76" s="1"/>
  <c r="J393" i="76"/>
  <c r="T393" i="76" s="1"/>
  <c r="G388" i="76"/>
  <c r="C391" i="76"/>
  <c r="L393" i="76"/>
  <c r="V393" i="76" s="1"/>
  <c r="D392" i="76"/>
  <c r="K392" i="76"/>
  <c r="J391" i="76"/>
  <c r="H384" i="76"/>
  <c r="K389" i="76"/>
  <c r="I387" i="76"/>
  <c r="D385" i="76"/>
  <c r="J390" i="76"/>
  <c r="F388" i="76"/>
  <c r="K390" i="76"/>
  <c r="F389" i="76"/>
  <c r="H388" i="76"/>
  <c r="I392" i="76"/>
  <c r="L391" i="76"/>
  <c r="I393" i="76"/>
  <c r="S393" i="76" s="1"/>
  <c r="E393" i="76"/>
  <c r="O393" i="76" s="1"/>
  <c r="K393" i="76"/>
  <c r="U393" i="76" s="1"/>
  <c r="I384" i="76"/>
  <c r="J386" i="76"/>
  <c r="D393" i="76"/>
  <c r="N393" i="76" s="1"/>
  <c r="I388" i="76"/>
  <c r="E388" i="76"/>
  <c r="J388" i="76"/>
  <c r="E389" i="76"/>
  <c r="E387" i="76"/>
  <c r="G389" i="76"/>
  <c r="H392" i="76"/>
  <c r="G390" i="76"/>
  <c r="K385" i="76"/>
  <c r="H389" i="76"/>
  <c r="F393" i="76"/>
  <c r="P393" i="76" s="1"/>
  <c r="J385" i="76"/>
  <c r="C392" i="76"/>
  <c r="K387" i="76"/>
  <c r="D387" i="76"/>
  <c r="L387" i="76"/>
  <c r="D388" i="76"/>
  <c r="L390" i="76"/>
  <c r="F390" i="76"/>
  <c r="I389" i="76"/>
  <c r="F391" i="76"/>
  <c r="C385" i="76"/>
  <c r="G391" i="76"/>
  <c r="K384" i="76"/>
  <c r="J384" i="76"/>
  <c r="J387" i="76"/>
  <c r="L386" i="76"/>
  <c r="C386" i="76"/>
  <c r="E385" i="76"/>
  <c r="C387" i="76"/>
  <c r="K388" i="76"/>
  <c r="E390" i="76"/>
  <c r="L388" i="76"/>
  <c r="E391" i="76"/>
  <c r="J389" i="76"/>
  <c r="F392" i="76"/>
  <c r="J392" i="76"/>
  <c r="K386" i="76"/>
  <c r="L385" i="76"/>
  <c r="C384" i="76"/>
  <c r="E384" i="76"/>
  <c r="F386" i="76"/>
  <c r="D389" i="76"/>
  <c r="G386" i="76"/>
  <c r="D390" i="76"/>
  <c r="G387" i="76"/>
  <c r="E392" i="76"/>
  <c r="H391" i="76"/>
  <c r="F387" i="76"/>
  <c r="L384" i="76"/>
  <c r="I386" i="76"/>
  <c r="D384" i="76"/>
  <c r="H387" i="76"/>
  <c r="F385" i="76"/>
  <c r="C388" i="76"/>
  <c r="G385" i="76"/>
  <c r="C389" i="76"/>
  <c r="H386" i="76"/>
  <c r="D391" i="76"/>
  <c r="D216" i="76"/>
  <c r="C216" i="76"/>
  <c r="M216" i="76" s="1"/>
  <c r="E223" i="76"/>
  <c r="J221" i="76"/>
  <c r="G221" i="76"/>
  <c r="K218" i="76"/>
  <c r="I220" i="76"/>
  <c r="G218" i="76"/>
  <c r="C221" i="76"/>
  <c r="M221" i="76" s="1"/>
  <c r="I221" i="76"/>
  <c r="H222" i="76"/>
  <c r="J218" i="76"/>
  <c r="E220" i="76"/>
  <c r="I217" i="76"/>
  <c r="F221" i="76"/>
  <c r="L225" i="76"/>
  <c r="H225" i="76"/>
  <c r="C224" i="76"/>
  <c r="M224" i="76" s="1"/>
  <c r="K222" i="76"/>
  <c r="D222" i="76"/>
  <c r="G219" i="76"/>
  <c r="D220" i="76"/>
  <c r="K217" i="76"/>
  <c r="K219" i="76"/>
  <c r="G216" i="76"/>
  <c r="D217" i="76"/>
  <c r="I218" i="76"/>
  <c r="F220" i="76"/>
  <c r="J216" i="76"/>
  <c r="C225" i="76"/>
  <c r="M225" i="76" s="1"/>
  <c r="L223" i="76"/>
  <c r="G217" i="76"/>
  <c r="I219" i="76"/>
  <c r="L216" i="76"/>
  <c r="H220" i="76"/>
  <c r="J225" i="76"/>
  <c r="D218" i="76"/>
  <c r="J220" i="76"/>
  <c r="G220" i="76"/>
  <c r="H218" i="76"/>
  <c r="C218" i="76"/>
  <c r="M218" i="76" s="1"/>
  <c r="K216" i="76"/>
  <c r="F225" i="76"/>
  <c r="L217" i="76"/>
  <c r="I216" i="76"/>
  <c r="C217" i="76"/>
  <c r="M217" i="76" s="1"/>
  <c r="E225" i="76"/>
  <c r="H221" i="76"/>
  <c r="E216" i="76"/>
  <c r="I224" i="76"/>
  <c r="F216" i="76"/>
  <c r="L219" i="76"/>
  <c r="C219" i="76"/>
  <c r="M219" i="76" s="1"/>
  <c r="H217" i="76"/>
  <c r="G224" i="76"/>
  <c r="K223" i="76"/>
  <c r="E218" i="76"/>
  <c r="E221" i="76"/>
  <c r="H223" i="76"/>
  <c r="I223" i="76"/>
  <c r="J224" i="76"/>
  <c r="D221" i="76"/>
  <c r="H224" i="76"/>
  <c r="J222" i="76"/>
  <c r="E217" i="76"/>
  <c r="H216" i="76"/>
  <c r="I225" i="76"/>
  <c r="G223" i="76"/>
  <c r="G225" i="76"/>
  <c r="D219" i="76"/>
  <c r="J217" i="76"/>
  <c r="L220" i="76"/>
  <c r="C222" i="76"/>
  <c r="M222" i="76" s="1"/>
  <c r="L218" i="76"/>
  <c r="F222" i="76"/>
  <c r="K224" i="76"/>
  <c r="J223" i="76"/>
  <c r="D224" i="76"/>
  <c r="K220" i="76"/>
  <c r="E224" i="76"/>
  <c r="I222" i="76"/>
  <c r="J219" i="76"/>
  <c r="E219" i="76"/>
  <c r="L222" i="76"/>
  <c r="C223" i="76"/>
  <c r="M223" i="76" s="1"/>
  <c r="F224" i="76"/>
  <c r="L221" i="76"/>
  <c r="G222" i="76"/>
  <c r="F217" i="76"/>
  <c r="C220" i="76"/>
  <c r="M220" i="76" s="1"/>
  <c r="F218" i="76"/>
  <c r="L224" i="76"/>
  <c r="K225" i="76"/>
  <c r="F219" i="76"/>
  <c r="D225" i="76"/>
  <c r="K221" i="76"/>
  <c r="E222" i="76"/>
  <c r="D223" i="76"/>
  <c r="H219" i="76"/>
  <c r="F223" i="76"/>
  <c r="C94" i="76"/>
  <c r="F95" i="76"/>
  <c r="H95" i="76"/>
  <c r="K97" i="76"/>
  <c r="I94" i="76"/>
  <c r="H96" i="76"/>
  <c r="J94" i="76"/>
  <c r="D96" i="76"/>
  <c r="F94" i="76"/>
  <c r="K96" i="76"/>
  <c r="H97" i="76"/>
  <c r="H94" i="76"/>
  <c r="I97" i="76"/>
  <c r="L97" i="76"/>
  <c r="K94" i="76"/>
  <c r="F96" i="76"/>
  <c r="J97" i="76"/>
  <c r="E94" i="76"/>
  <c r="D94" i="76"/>
  <c r="I96" i="76"/>
  <c r="L96" i="76"/>
  <c r="E95" i="76"/>
  <c r="J96" i="76"/>
  <c r="D95" i="76"/>
  <c r="F97" i="76"/>
  <c r="L94" i="76"/>
  <c r="G94" i="76"/>
  <c r="K95" i="76"/>
  <c r="D97" i="76"/>
  <c r="J95" i="76"/>
  <c r="E97" i="76"/>
  <c r="G96" i="76"/>
  <c r="E96" i="76"/>
  <c r="G97" i="76"/>
  <c r="L95" i="76"/>
  <c r="G95" i="76"/>
  <c r="I95" i="76"/>
  <c r="C96" i="76"/>
  <c r="C105" i="76" s="1"/>
  <c r="C114" i="76" s="1"/>
  <c r="C590" i="76" s="1"/>
  <c r="C97" i="76"/>
  <c r="C106" i="76" s="1"/>
  <c r="C115" i="76" s="1"/>
  <c r="C95" i="76"/>
  <c r="C104" i="76" s="1"/>
  <c r="C113" i="76" s="1"/>
  <c r="C572" i="76" l="1"/>
  <c r="C622" i="76" s="1"/>
  <c r="C575" i="76"/>
  <c r="C103" i="76"/>
  <c r="C112" i="76" s="1"/>
  <c r="C561" i="76" s="1"/>
  <c r="C614" i="76" s="1"/>
  <c r="C98" i="76"/>
  <c r="C107" i="76" s="1"/>
  <c r="C121" i="76" s="1"/>
  <c r="G273" i="76"/>
  <c r="Q223" i="76"/>
  <c r="C438" i="76"/>
  <c r="C448" i="76" s="1"/>
  <c r="C458" i="76" s="1"/>
  <c r="C503" i="76" s="1"/>
  <c r="C547" i="76" s="1"/>
  <c r="M388" i="76"/>
  <c r="F439" i="76"/>
  <c r="P389" i="76"/>
  <c r="H350" i="76"/>
  <c r="R300" i="76"/>
  <c r="I352" i="76"/>
  <c r="S302" i="76"/>
  <c r="F190" i="76"/>
  <c r="P190" i="76" s="1"/>
  <c r="P140" i="76"/>
  <c r="C189" i="76"/>
  <c r="C199" i="76" s="1"/>
  <c r="C209" i="76" s="1"/>
  <c r="C476" i="76" s="1"/>
  <c r="M139" i="76"/>
  <c r="H269" i="76"/>
  <c r="R219" i="76"/>
  <c r="F268" i="76"/>
  <c r="P218" i="76"/>
  <c r="E269" i="76"/>
  <c r="O219" i="76"/>
  <c r="F272" i="76"/>
  <c r="P222" i="76"/>
  <c r="I275" i="76"/>
  <c r="S225" i="76"/>
  <c r="H273" i="76"/>
  <c r="R223" i="76"/>
  <c r="F266" i="76"/>
  <c r="P216" i="76"/>
  <c r="F275" i="76"/>
  <c r="P225" i="76"/>
  <c r="H270" i="76"/>
  <c r="R220" i="76"/>
  <c r="I268" i="76"/>
  <c r="S218" i="76"/>
  <c r="K272" i="76"/>
  <c r="U222" i="76"/>
  <c r="H272" i="76"/>
  <c r="R222" i="76"/>
  <c r="E273" i="76"/>
  <c r="O223" i="76"/>
  <c r="F435" i="76"/>
  <c r="P385" i="76"/>
  <c r="G437" i="76"/>
  <c r="Q387" i="76"/>
  <c r="K436" i="76"/>
  <c r="U386" i="76"/>
  <c r="C437" i="76"/>
  <c r="C447" i="76" s="1"/>
  <c r="C457" i="76" s="1"/>
  <c r="C502" i="76" s="1"/>
  <c r="C546" i="76" s="1"/>
  <c r="M387" i="76"/>
  <c r="C435" i="76"/>
  <c r="C445" i="76" s="1"/>
  <c r="C455" i="76" s="1"/>
  <c r="C500" i="76" s="1"/>
  <c r="C544" i="76" s="1"/>
  <c r="M385" i="76"/>
  <c r="K437" i="76"/>
  <c r="U387" i="76"/>
  <c r="G439" i="76"/>
  <c r="Q389" i="76"/>
  <c r="I434" i="76"/>
  <c r="S384" i="76"/>
  <c r="K440" i="76"/>
  <c r="U390" i="76"/>
  <c r="K442" i="76"/>
  <c r="U392" i="76"/>
  <c r="E436" i="76"/>
  <c r="O386" i="76"/>
  <c r="H440" i="76"/>
  <c r="R390" i="76"/>
  <c r="F356" i="76"/>
  <c r="P306" i="76"/>
  <c r="D356" i="76"/>
  <c r="N306" i="76"/>
  <c r="H354" i="76"/>
  <c r="R304" i="76"/>
  <c r="D355" i="76"/>
  <c r="N305" i="76"/>
  <c r="J355" i="76"/>
  <c r="T305" i="76"/>
  <c r="D351" i="76"/>
  <c r="N301" i="76"/>
  <c r="F355" i="76"/>
  <c r="P305" i="76"/>
  <c r="K358" i="76"/>
  <c r="U308" i="76"/>
  <c r="J351" i="76"/>
  <c r="T301" i="76"/>
  <c r="E351" i="76"/>
  <c r="O301" i="76"/>
  <c r="G357" i="76"/>
  <c r="Q307" i="76"/>
  <c r="D189" i="76"/>
  <c r="N189" i="76" s="1"/>
  <c r="N139" i="76"/>
  <c r="G183" i="76"/>
  <c r="Q183" i="76" s="1"/>
  <c r="Q133" i="76"/>
  <c r="F184" i="76"/>
  <c r="P184" i="76" s="1"/>
  <c r="P134" i="76"/>
  <c r="E186" i="76"/>
  <c r="O186" i="76" s="1"/>
  <c r="O136" i="76"/>
  <c r="H191" i="76"/>
  <c r="R191" i="76" s="1"/>
  <c r="R141" i="76"/>
  <c r="D185" i="76"/>
  <c r="N185" i="76" s="1"/>
  <c r="N135" i="76"/>
  <c r="H184" i="76"/>
  <c r="R184" i="76" s="1"/>
  <c r="R134" i="76"/>
  <c r="H187" i="76"/>
  <c r="R187" i="76" s="1"/>
  <c r="R137" i="76"/>
  <c r="H183" i="76"/>
  <c r="R183" i="76" s="1"/>
  <c r="R133" i="76"/>
  <c r="G190" i="76"/>
  <c r="Q190" i="76" s="1"/>
  <c r="Q140" i="76"/>
  <c r="E191" i="76"/>
  <c r="O191" i="76" s="1"/>
  <c r="O141" i="76"/>
  <c r="G189" i="76"/>
  <c r="Q189" i="76" s="1"/>
  <c r="Q139" i="76"/>
  <c r="L272" i="76"/>
  <c r="V222" i="76"/>
  <c r="D272" i="76"/>
  <c r="N222" i="76"/>
  <c r="G441" i="76"/>
  <c r="Q391" i="76"/>
  <c r="F434" i="76"/>
  <c r="P384" i="76"/>
  <c r="E182" i="76"/>
  <c r="O182" i="76" s="1"/>
  <c r="O132" i="76"/>
  <c r="L191" i="76"/>
  <c r="V191" i="76" s="1"/>
  <c r="V141" i="76"/>
  <c r="D273" i="76"/>
  <c r="N223" i="76"/>
  <c r="J269" i="76"/>
  <c r="T219" i="76"/>
  <c r="L268" i="76"/>
  <c r="V218" i="76"/>
  <c r="H266" i="76"/>
  <c r="R216" i="76"/>
  <c r="E271" i="76"/>
  <c r="O221" i="76"/>
  <c r="I274" i="76"/>
  <c r="S224" i="76"/>
  <c r="K266" i="76"/>
  <c r="U216" i="76"/>
  <c r="L266" i="76"/>
  <c r="V216" i="76"/>
  <c r="D267" i="76"/>
  <c r="N217" i="76"/>
  <c r="I271" i="76"/>
  <c r="S221" i="76"/>
  <c r="H437" i="76"/>
  <c r="R387" i="76"/>
  <c r="D440" i="76"/>
  <c r="N390" i="76"/>
  <c r="J442" i="76"/>
  <c r="T392" i="76"/>
  <c r="E435" i="76"/>
  <c r="O385" i="76"/>
  <c r="F441" i="76"/>
  <c r="P391" i="76"/>
  <c r="C442" i="76"/>
  <c r="C452" i="76" s="1"/>
  <c r="C462" i="76" s="1"/>
  <c r="C507" i="76" s="1"/>
  <c r="C551" i="76" s="1"/>
  <c r="M392" i="76"/>
  <c r="E437" i="76"/>
  <c r="O387" i="76"/>
  <c r="F438" i="76"/>
  <c r="P388" i="76"/>
  <c r="D442" i="76"/>
  <c r="N392" i="76"/>
  <c r="L439" i="76"/>
  <c r="V389" i="76"/>
  <c r="I441" i="76"/>
  <c r="S391" i="76"/>
  <c r="G350" i="76"/>
  <c r="Q300" i="76"/>
  <c r="H351" i="76"/>
  <c r="R301" i="76"/>
  <c r="K359" i="76"/>
  <c r="U309" i="76"/>
  <c r="L350" i="76"/>
  <c r="V300" i="76"/>
  <c r="I351" i="76"/>
  <c r="S301" i="76"/>
  <c r="F353" i="76"/>
  <c r="P303" i="76"/>
  <c r="G352" i="76"/>
  <c r="Q302" i="76"/>
  <c r="L356" i="76"/>
  <c r="V306" i="76"/>
  <c r="L354" i="76"/>
  <c r="V304" i="76"/>
  <c r="K351" i="76"/>
  <c r="U301" i="76"/>
  <c r="D352" i="76"/>
  <c r="N302" i="76"/>
  <c r="L358" i="76"/>
  <c r="V308" i="76"/>
  <c r="J190" i="76"/>
  <c r="T190" i="76" s="1"/>
  <c r="T140" i="76"/>
  <c r="I186" i="76"/>
  <c r="S186" i="76" s="1"/>
  <c r="S136" i="76"/>
  <c r="F188" i="76"/>
  <c r="P188" i="76" s="1"/>
  <c r="P138" i="76"/>
  <c r="H185" i="76"/>
  <c r="R185" i="76" s="1"/>
  <c r="R135" i="76"/>
  <c r="C184" i="76"/>
  <c r="M184" i="76" s="1"/>
  <c r="M134" i="76"/>
  <c r="D186" i="76"/>
  <c r="N186" i="76" s="1"/>
  <c r="N136" i="76"/>
  <c r="H189" i="76"/>
  <c r="R189" i="76" s="1"/>
  <c r="R139" i="76"/>
  <c r="H182" i="76"/>
  <c r="R182" i="76" s="1"/>
  <c r="R132" i="76"/>
  <c r="L184" i="76"/>
  <c r="V184" i="76" s="1"/>
  <c r="V134" i="76"/>
  <c r="L182" i="76"/>
  <c r="V182" i="76" s="1"/>
  <c r="V132" i="76"/>
  <c r="G186" i="76"/>
  <c r="Q186" i="76" s="1"/>
  <c r="Q136" i="76"/>
  <c r="I183" i="76"/>
  <c r="S183" i="76" s="1"/>
  <c r="S133" i="76"/>
  <c r="L269" i="76"/>
  <c r="V219" i="76"/>
  <c r="J268" i="76"/>
  <c r="T218" i="76"/>
  <c r="D437" i="76"/>
  <c r="N387" i="76"/>
  <c r="G359" i="76"/>
  <c r="Q309" i="76"/>
  <c r="I356" i="76"/>
  <c r="S306" i="76"/>
  <c r="E190" i="76"/>
  <c r="O190" i="76" s="1"/>
  <c r="O140" i="76"/>
  <c r="L186" i="76"/>
  <c r="V186" i="76" s="1"/>
  <c r="V136" i="76"/>
  <c r="E272" i="76"/>
  <c r="O222" i="76"/>
  <c r="F267" i="76"/>
  <c r="P217" i="76"/>
  <c r="I272" i="76"/>
  <c r="S222" i="76"/>
  <c r="E267" i="76"/>
  <c r="O217" i="76"/>
  <c r="E268" i="76"/>
  <c r="O218" i="76"/>
  <c r="E266" i="76"/>
  <c r="O216" i="76"/>
  <c r="I269" i="76"/>
  <c r="S219" i="76"/>
  <c r="G266" i="76"/>
  <c r="Q216" i="76"/>
  <c r="H275" i="76"/>
  <c r="R225" i="76"/>
  <c r="D266" i="76"/>
  <c r="N216" i="76"/>
  <c r="D434" i="76"/>
  <c r="N384" i="76"/>
  <c r="G436" i="76"/>
  <c r="Q386" i="76"/>
  <c r="F442" i="76"/>
  <c r="P392" i="76"/>
  <c r="C436" i="76"/>
  <c r="C446" i="76" s="1"/>
  <c r="C456" i="76" s="1"/>
  <c r="C501" i="76" s="1"/>
  <c r="C545" i="76" s="1"/>
  <c r="M386" i="76"/>
  <c r="I439" i="76"/>
  <c r="S389" i="76"/>
  <c r="J435" i="76"/>
  <c r="T385" i="76"/>
  <c r="E439" i="76"/>
  <c r="O389" i="76"/>
  <c r="J440" i="76"/>
  <c r="T390" i="76"/>
  <c r="C440" i="76"/>
  <c r="C450" i="76" s="1"/>
  <c r="M390" i="76"/>
  <c r="G442" i="76"/>
  <c r="Q392" i="76"/>
  <c r="K356" i="76"/>
  <c r="U306" i="76"/>
  <c r="F357" i="76"/>
  <c r="P307" i="76"/>
  <c r="F351" i="76"/>
  <c r="P301" i="76"/>
  <c r="H352" i="76"/>
  <c r="R302" i="76"/>
  <c r="G355" i="76"/>
  <c r="Q305" i="76"/>
  <c r="E355" i="76"/>
  <c r="O305" i="76"/>
  <c r="D359" i="76"/>
  <c r="N309" i="76"/>
  <c r="J350" i="76"/>
  <c r="T300" i="76"/>
  <c r="D350" i="76"/>
  <c r="N300" i="76"/>
  <c r="F358" i="76"/>
  <c r="P308" i="76"/>
  <c r="F354" i="76"/>
  <c r="P304" i="76"/>
  <c r="E184" i="76"/>
  <c r="O184" i="76" s="1"/>
  <c r="O134" i="76"/>
  <c r="L183" i="76"/>
  <c r="V183" i="76" s="1"/>
  <c r="V133" i="76"/>
  <c r="K186" i="76"/>
  <c r="U186" i="76" s="1"/>
  <c r="U136" i="76"/>
  <c r="H186" i="76"/>
  <c r="R186" i="76" s="1"/>
  <c r="R136" i="76"/>
  <c r="G191" i="76"/>
  <c r="Q191" i="76" s="1"/>
  <c r="Q141" i="76"/>
  <c r="D190" i="76"/>
  <c r="N190" i="76" s="1"/>
  <c r="N140" i="76"/>
  <c r="K191" i="76"/>
  <c r="U191" i="76" s="1"/>
  <c r="U141" i="76"/>
  <c r="D182" i="76"/>
  <c r="N182" i="76" s="1"/>
  <c r="N132" i="76"/>
  <c r="J189" i="76"/>
  <c r="T189" i="76" s="1"/>
  <c r="T139" i="76"/>
  <c r="D183" i="76"/>
  <c r="N183" i="76" s="1"/>
  <c r="N133" i="76"/>
  <c r="I184" i="76"/>
  <c r="S184" i="76" s="1"/>
  <c r="S134" i="76"/>
  <c r="F187" i="76"/>
  <c r="P187" i="76" s="1"/>
  <c r="P137" i="76"/>
  <c r="C186" i="76"/>
  <c r="M186" i="76" s="1"/>
  <c r="M136" i="76"/>
  <c r="I273" i="76"/>
  <c r="S223" i="76"/>
  <c r="E442" i="76"/>
  <c r="O392" i="76"/>
  <c r="J436" i="76"/>
  <c r="T386" i="76"/>
  <c r="L355" i="76"/>
  <c r="V305" i="76"/>
  <c r="L352" i="76"/>
  <c r="V302" i="76"/>
  <c r="H188" i="76"/>
  <c r="R188" i="76" s="1"/>
  <c r="R138" i="76"/>
  <c r="C183" i="76"/>
  <c r="M183" i="76" s="1"/>
  <c r="M133" i="76"/>
  <c r="K271" i="76"/>
  <c r="U221" i="76"/>
  <c r="G272" i="76"/>
  <c r="Q222" i="76"/>
  <c r="E274" i="76"/>
  <c r="O224" i="76"/>
  <c r="L270" i="76"/>
  <c r="V220" i="76"/>
  <c r="J272" i="76"/>
  <c r="T222" i="76"/>
  <c r="K273" i="76"/>
  <c r="U223" i="76"/>
  <c r="H271" i="76"/>
  <c r="R221" i="76"/>
  <c r="H268" i="76"/>
  <c r="R218" i="76"/>
  <c r="G267" i="76"/>
  <c r="Q217" i="76"/>
  <c r="K269" i="76"/>
  <c r="U219" i="76"/>
  <c r="L275" i="76"/>
  <c r="V225" i="76"/>
  <c r="G268" i="76"/>
  <c r="Q218" i="76"/>
  <c r="D441" i="76"/>
  <c r="N391" i="76"/>
  <c r="I436" i="76"/>
  <c r="S386" i="76"/>
  <c r="D439" i="76"/>
  <c r="N389" i="76"/>
  <c r="J439" i="76"/>
  <c r="T389" i="76"/>
  <c r="L436" i="76"/>
  <c r="V386" i="76"/>
  <c r="F440" i="76"/>
  <c r="P390" i="76"/>
  <c r="J438" i="76"/>
  <c r="T388" i="76"/>
  <c r="D435" i="76"/>
  <c r="N385" i="76"/>
  <c r="C441" i="76"/>
  <c r="C451" i="76" s="1"/>
  <c r="D451" i="76" s="1"/>
  <c r="M391" i="76"/>
  <c r="H435" i="76"/>
  <c r="R385" i="76"/>
  <c r="I440" i="76"/>
  <c r="S390" i="76"/>
  <c r="E359" i="76"/>
  <c r="O309" i="76"/>
  <c r="I359" i="76"/>
  <c r="S309" i="76"/>
  <c r="L351" i="76"/>
  <c r="V301" i="76"/>
  <c r="G358" i="76"/>
  <c r="Q308" i="76"/>
  <c r="E357" i="76"/>
  <c r="O307" i="76"/>
  <c r="I358" i="76"/>
  <c r="S308" i="76"/>
  <c r="K354" i="76"/>
  <c r="U304" i="76"/>
  <c r="G351" i="76"/>
  <c r="Q301" i="76"/>
  <c r="K350" i="76"/>
  <c r="U300" i="76"/>
  <c r="K355" i="76"/>
  <c r="U305" i="76"/>
  <c r="L353" i="76"/>
  <c r="V303" i="76"/>
  <c r="J188" i="76"/>
  <c r="T188" i="76" s="1"/>
  <c r="T138" i="76"/>
  <c r="E189" i="76"/>
  <c r="O189" i="76" s="1"/>
  <c r="O139" i="76"/>
  <c r="I188" i="76"/>
  <c r="S188" i="76" s="1"/>
  <c r="S138" i="76"/>
  <c r="L190" i="76"/>
  <c r="V190" i="76" s="1"/>
  <c r="V140" i="76"/>
  <c r="H190" i="76"/>
  <c r="R190" i="76" s="1"/>
  <c r="R140" i="76"/>
  <c r="L188" i="76"/>
  <c r="V188" i="76" s="1"/>
  <c r="V138" i="76"/>
  <c r="C185" i="76"/>
  <c r="M185" i="76" s="1"/>
  <c r="M135" i="76"/>
  <c r="J183" i="76"/>
  <c r="T183" i="76" s="1"/>
  <c r="T133" i="76"/>
  <c r="G185" i="76"/>
  <c r="Q185" i="76" s="1"/>
  <c r="Q135" i="76"/>
  <c r="J187" i="76"/>
  <c r="T187" i="76" s="1"/>
  <c r="T137" i="76"/>
  <c r="G187" i="76"/>
  <c r="Q187" i="76" s="1"/>
  <c r="Q137" i="76"/>
  <c r="J184" i="76"/>
  <c r="T184" i="76" s="1"/>
  <c r="T134" i="76"/>
  <c r="K187" i="76"/>
  <c r="U187" i="76" s="1"/>
  <c r="U137" i="76"/>
  <c r="F273" i="76"/>
  <c r="P223" i="76"/>
  <c r="L267" i="76"/>
  <c r="V217" i="76"/>
  <c r="J271" i="76"/>
  <c r="T221" i="76"/>
  <c r="H442" i="76"/>
  <c r="R392" i="76"/>
  <c r="J359" i="76"/>
  <c r="T309" i="76"/>
  <c r="I185" i="76"/>
  <c r="S185" i="76" s="1"/>
  <c r="S135" i="76"/>
  <c r="F185" i="76"/>
  <c r="P185" i="76" s="1"/>
  <c r="P135" i="76"/>
  <c r="D275" i="76"/>
  <c r="N225" i="76"/>
  <c r="L271" i="76"/>
  <c r="V221" i="76"/>
  <c r="K270" i="76"/>
  <c r="U220" i="76"/>
  <c r="J267" i="76"/>
  <c r="T217" i="76"/>
  <c r="H274" i="76"/>
  <c r="R224" i="76"/>
  <c r="G274" i="76"/>
  <c r="Q224" i="76"/>
  <c r="E275" i="76"/>
  <c r="O225" i="76"/>
  <c r="G270" i="76"/>
  <c r="Q220" i="76"/>
  <c r="L273" i="76"/>
  <c r="V223" i="76"/>
  <c r="K267" i="76"/>
  <c r="U217" i="76"/>
  <c r="F271" i="76"/>
  <c r="P221" i="76"/>
  <c r="I270" i="76"/>
  <c r="S220" i="76"/>
  <c r="H436" i="76"/>
  <c r="R386" i="76"/>
  <c r="L434" i="76"/>
  <c r="V384" i="76"/>
  <c r="F436" i="76"/>
  <c r="P386" i="76"/>
  <c r="E441" i="76"/>
  <c r="O391" i="76"/>
  <c r="J437" i="76"/>
  <c r="T387" i="76"/>
  <c r="L440" i="76"/>
  <c r="V390" i="76"/>
  <c r="H439" i="76"/>
  <c r="R389" i="76"/>
  <c r="E438" i="76"/>
  <c r="O388" i="76"/>
  <c r="L441" i="76"/>
  <c r="V391" i="76"/>
  <c r="I437" i="76"/>
  <c r="S387" i="76"/>
  <c r="G438" i="76"/>
  <c r="Q388" i="76"/>
  <c r="L442" i="76"/>
  <c r="V392" i="76"/>
  <c r="D436" i="76"/>
  <c r="D446" i="76" s="1"/>
  <c r="N386" i="76"/>
  <c r="I353" i="76"/>
  <c r="S303" i="76"/>
  <c r="I355" i="76"/>
  <c r="S305" i="76"/>
  <c r="E353" i="76"/>
  <c r="O303" i="76"/>
  <c r="K357" i="76"/>
  <c r="U307" i="76"/>
  <c r="D354" i="76"/>
  <c r="N304" i="76"/>
  <c r="J356" i="76"/>
  <c r="T306" i="76"/>
  <c r="J357" i="76"/>
  <c r="T307" i="76"/>
  <c r="H359" i="76"/>
  <c r="R309" i="76"/>
  <c r="E358" i="76"/>
  <c r="O308" i="76"/>
  <c r="G356" i="76"/>
  <c r="Q306" i="76"/>
  <c r="I357" i="76"/>
  <c r="S307" i="76"/>
  <c r="I182" i="76"/>
  <c r="S182" i="76" s="1"/>
  <c r="S132" i="76"/>
  <c r="E188" i="76"/>
  <c r="O188" i="76" s="1"/>
  <c r="O138" i="76"/>
  <c r="J182" i="76"/>
  <c r="T182" i="76" s="1"/>
  <c r="T132" i="76"/>
  <c r="F191" i="76"/>
  <c r="P191" i="76" s="1"/>
  <c r="P141" i="76"/>
  <c r="J186" i="76"/>
  <c r="T186" i="76" s="1"/>
  <c r="T136" i="76"/>
  <c r="E187" i="76"/>
  <c r="O187" i="76" s="1"/>
  <c r="O137" i="76"/>
  <c r="I189" i="76"/>
  <c r="S189" i="76" s="1"/>
  <c r="S139" i="76"/>
  <c r="L187" i="76"/>
  <c r="V187" i="76" s="1"/>
  <c r="V137" i="76"/>
  <c r="D188" i="76"/>
  <c r="N188" i="76" s="1"/>
  <c r="N138" i="76"/>
  <c r="K184" i="76"/>
  <c r="U184" i="76" s="1"/>
  <c r="U134" i="76"/>
  <c r="E185" i="76"/>
  <c r="O185" i="76" s="1"/>
  <c r="O135" i="76"/>
  <c r="I190" i="76"/>
  <c r="S190" i="76" s="1"/>
  <c r="S140" i="76"/>
  <c r="C187" i="76"/>
  <c r="M137" i="76"/>
  <c r="L274" i="76"/>
  <c r="V224" i="76"/>
  <c r="J275" i="76"/>
  <c r="T225" i="76"/>
  <c r="L435" i="76"/>
  <c r="V385" i="76"/>
  <c r="J441" i="76"/>
  <c r="T391" i="76"/>
  <c r="J354" i="76"/>
  <c r="T304" i="76"/>
  <c r="E354" i="76"/>
  <c r="O304" i="76"/>
  <c r="D184" i="76"/>
  <c r="N184" i="76" s="1"/>
  <c r="N134" i="76"/>
  <c r="F269" i="76"/>
  <c r="P219" i="76"/>
  <c r="F274" i="76"/>
  <c r="P224" i="76"/>
  <c r="D274" i="76"/>
  <c r="N224" i="76"/>
  <c r="D269" i="76"/>
  <c r="N219" i="76"/>
  <c r="D271" i="76"/>
  <c r="N221" i="76"/>
  <c r="H267" i="76"/>
  <c r="R217" i="76"/>
  <c r="J270" i="76"/>
  <c r="T220" i="76"/>
  <c r="D270" i="76"/>
  <c r="N220" i="76"/>
  <c r="I267" i="76"/>
  <c r="S217" i="76"/>
  <c r="K268" i="76"/>
  <c r="U218" i="76"/>
  <c r="C439" i="76"/>
  <c r="C449" i="76" s="1"/>
  <c r="C459" i="76" s="1"/>
  <c r="C504" i="76" s="1"/>
  <c r="C548" i="76" s="1"/>
  <c r="M389" i="76"/>
  <c r="F437" i="76"/>
  <c r="P387" i="76"/>
  <c r="E434" i="76"/>
  <c r="O384" i="76"/>
  <c r="L438" i="76"/>
  <c r="V388" i="76"/>
  <c r="J434" i="76"/>
  <c r="T384" i="76"/>
  <c r="D438" i="76"/>
  <c r="D448" i="76" s="1"/>
  <c r="N388" i="76"/>
  <c r="K435" i="76"/>
  <c r="U385" i="76"/>
  <c r="I438" i="76"/>
  <c r="S388" i="76"/>
  <c r="I442" i="76"/>
  <c r="S392" i="76"/>
  <c r="K439" i="76"/>
  <c r="U389" i="76"/>
  <c r="G434" i="76"/>
  <c r="Q384" i="76"/>
  <c r="J353" i="76"/>
  <c r="T303" i="76"/>
  <c r="F350" i="76"/>
  <c r="P300" i="76"/>
  <c r="L357" i="76"/>
  <c r="V307" i="76"/>
  <c r="F352" i="76"/>
  <c r="P302" i="76"/>
  <c r="L359" i="76"/>
  <c r="V309" i="76"/>
  <c r="J358" i="76"/>
  <c r="T308" i="76"/>
  <c r="I354" i="76"/>
  <c r="S304" i="76"/>
  <c r="H353" i="76"/>
  <c r="R303" i="76"/>
  <c r="E350" i="76"/>
  <c r="O300" i="76"/>
  <c r="E356" i="76"/>
  <c r="O306" i="76"/>
  <c r="D358" i="76"/>
  <c r="N308" i="76"/>
  <c r="K189" i="76"/>
  <c r="U189" i="76" s="1"/>
  <c r="U139" i="76"/>
  <c r="E183" i="76"/>
  <c r="O183" i="76" s="1"/>
  <c r="O133" i="76"/>
  <c r="G184" i="76"/>
  <c r="Q184" i="76" s="1"/>
  <c r="Q134" i="76"/>
  <c r="I191" i="76"/>
  <c r="S191" i="76" s="1"/>
  <c r="S141" i="76"/>
  <c r="F189" i="76"/>
  <c r="P189" i="76" s="1"/>
  <c r="P139" i="76"/>
  <c r="K188" i="76"/>
  <c r="U188" i="76" s="1"/>
  <c r="U138" i="76"/>
  <c r="G188" i="76"/>
  <c r="Q188" i="76" s="1"/>
  <c r="Q138" i="76"/>
  <c r="D187" i="76"/>
  <c r="N187" i="76" s="1"/>
  <c r="N137" i="76"/>
  <c r="D191" i="76"/>
  <c r="N191" i="76" s="1"/>
  <c r="N141" i="76"/>
  <c r="L189" i="76"/>
  <c r="V189" i="76" s="1"/>
  <c r="V139" i="76"/>
  <c r="K182" i="76"/>
  <c r="U182" i="76" s="1"/>
  <c r="U132" i="76"/>
  <c r="G182" i="76"/>
  <c r="Q182" i="76" s="1"/>
  <c r="Q132" i="76"/>
  <c r="C190" i="76"/>
  <c r="M190" i="76" s="1"/>
  <c r="M140" i="76"/>
  <c r="K274" i="76"/>
  <c r="U224" i="76"/>
  <c r="F270" i="76"/>
  <c r="P220" i="76"/>
  <c r="K438" i="76"/>
  <c r="U388" i="76"/>
  <c r="H357" i="76"/>
  <c r="R307" i="76"/>
  <c r="K352" i="76"/>
  <c r="U302" i="76"/>
  <c r="F186" i="76"/>
  <c r="P186" i="76" s="1"/>
  <c r="P136" i="76"/>
  <c r="K275" i="76"/>
  <c r="U225" i="76"/>
  <c r="J273" i="76"/>
  <c r="T223" i="76"/>
  <c r="G275" i="76"/>
  <c r="Q225" i="76"/>
  <c r="J274" i="76"/>
  <c r="T224" i="76"/>
  <c r="I266" i="76"/>
  <c r="S216" i="76"/>
  <c r="D268" i="76"/>
  <c r="N218" i="76"/>
  <c r="J266" i="76"/>
  <c r="T216" i="76"/>
  <c r="G269" i="76"/>
  <c r="Q219" i="76"/>
  <c r="E270" i="76"/>
  <c r="O220" i="76"/>
  <c r="G271" i="76"/>
  <c r="Q221" i="76"/>
  <c r="G435" i="76"/>
  <c r="Q385" i="76"/>
  <c r="H441" i="76"/>
  <c r="R391" i="76"/>
  <c r="C434" i="76"/>
  <c r="C444" i="76" s="1"/>
  <c r="C454" i="76" s="1"/>
  <c r="C499" i="76" s="1"/>
  <c r="C543" i="76" s="1"/>
  <c r="M384" i="76"/>
  <c r="E440" i="76"/>
  <c r="O390" i="76"/>
  <c r="K434" i="76"/>
  <c r="U384" i="76"/>
  <c r="L437" i="76"/>
  <c r="V387" i="76"/>
  <c r="G440" i="76"/>
  <c r="Q390" i="76"/>
  <c r="H438" i="76"/>
  <c r="R388" i="76"/>
  <c r="H434" i="76"/>
  <c r="R384" i="76"/>
  <c r="I435" i="76"/>
  <c r="S385" i="76"/>
  <c r="K441" i="76"/>
  <c r="U391" i="76"/>
  <c r="H355" i="76"/>
  <c r="R305" i="76"/>
  <c r="F359" i="76"/>
  <c r="P309" i="76"/>
  <c r="H358" i="76"/>
  <c r="R308" i="76"/>
  <c r="I350" i="76"/>
  <c r="S300" i="76"/>
  <c r="H356" i="76"/>
  <c r="R306" i="76"/>
  <c r="E352" i="76"/>
  <c r="O302" i="76"/>
  <c r="D357" i="76"/>
  <c r="N307" i="76"/>
  <c r="D353" i="76"/>
  <c r="N303" i="76"/>
  <c r="K353" i="76"/>
  <c r="U303" i="76"/>
  <c r="G354" i="76"/>
  <c r="Q304" i="76"/>
  <c r="G353" i="76"/>
  <c r="Q303" i="76"/>
  <c r="J352" i="76"/>
  <c r="T302" i="76"/>
  <c r="F182" i="76"/>
  <c r="P182" i="76" s="1"/>
  <c r="P132" i="76"/>
  <c r="C188" i="76"/>
  <c r="C198" i="76" s="1"/>
  <c r="M138" i="76"/>
  <c r="K190" i="76"/>
  <c r="U190" i="76" s="1"/>
  <c r="U140" i="76"/>
  <c r="J185" i="76"/>
  <c r="T185" i="76" s="1"/>
  <c r="T135" i="76"/>
  <c r="J191" i="76"/>
  <c r="T191" i="76" s="1"/>
  <c r="T141" i="76"/>
  <c r="C191" i="76"/>
  <c r="M191" i="76" s="1"/>
  <c r="M141" i="76"/>
  <c r="F183" i="76"/>
  <c r="P183" i="76" s="1"/>
  <c r="P133" i="76"/>
  <c r="K185" i="76"/>
  <c r="U185" i="76" s="1"/>
  <c r="U135" i="76"/>
  <c r="M182" i="76"/>
  <c r="M132" i="76"/>
  <c r="L185" i="76"/>
  <c r="V185" i="76" s="1"/>
  <c r="V135" i="76"/>
  <c r="K183" i="76"/>
  <c r="U183" i="76" s="1"/>
  <c r="U133" i="76"/>
  <c r="I187" i="76"/>
  <c r="S187" i="76" s="1"/>
  <c r="S137" i="76"/>
  <c r="C350" i="76"/>
  <c r="C360" i="76" s="1"/>
  <c r="C370" i="76" s="1"/>
  <c r="C489" i="76" s="1"/>
  <c r="C533" i="76" s="1"/>
  <c r="M300" i="76"/>
  <c r="E443" i="76"/>
  <c r="L443" i="76"/>
  <c r="C443" i="76"/>
  <c r="C453" i="76" s="1"/>
  <c r="C463" i="76" s="1"/>
  <c r="C508" i="76" s="1"/>
  <c r="C552" i="76" s="1"/>
  <c r="F443" i="76"/>
  <c r="I443" i="76"/>
  <c r="K443" i="76"/>
  <c r="J443" i="76"/>
  <c r="G443" i="76"/>
  <c r="D443" i="76"/>
  <c r="H443" i="76"/>
  <c r="C352" i="76"/>
  <c r="C362" i="76" s="1"/>
  <c r="C356" i="76"/>
  <c r="C366" i="76" s="1"/>
  <c r="C358" i="76"/>
  <c r="C368" i="76" s="1"/>
  <c r="C353" i="76"/>
  <c r="C363" i="76" s="1"/>
  <c r="C355" i="76"/>
  <c r="C365" i="76" s="1"/>
  <c r="C354" i="76"/>
  <c r="C364" i="76" s="1"/>
  <c r="C359" i="76"/>
  <c r="C369" i="76" s="1"/>
  <c r="C351" i="76"/>
  <c r="C361" i="76" s="1"/>
  <c r="C357" i="76"/>
  <c r="C367" i="76" s="1"/>
  <c r="C270" i="76"/>
  <c r="C280" i="76" s="1"/>
  <c r="C290" i="76" s="1"/>
  <c r="C483" i="76" s="1"/>
  <c r="C527" i="76" s="1"/>
  <c r="C274" i="76"/>
  <c r="C284" i="76" s="1"/>
  <c r="C294" i="76" s="1"/>
  <c r="C487" i="76" s="1"/>
  <c r="C531" i="76" s="1"/>
  <c r="C266" i="76"/>
  <c r="C276" i="76" s="1"/>
  <c r="C286" i="76" s="1"/>
  <c r="C479" i="76" s="1"/>
  <c r="C523" i="76" s="1"/>
  <c r="C272" i="76"/>
  <c r="C282" i="76" s="1"/>
  <c r="C267" i="76"/>
  <c r="C277" i="76" s="1"/>
  <c r="C275" i="76"/>
  <c r="C285" i="76" s="1"/>
  <c r="C273" i="76"/>
  <c r="C283" i="76" s="1"/>
  <c r="C293" i="76" s="1"/>
  <c r="C486" i="76" s="1"/>
  <c r="C530" i="76" s="1"/>
  <c r="C269" i="76"/>
  <c r="C279" i="76" s="1"/>
  <c r="C289" i="76" s="1"/>
  <c r="C482" i="76" s="1"/>
  <c r="C526" i="76" s="1"/>
  <c r="C271" i="76"/>
  <c r="C281" i="76" s="1"/>
  <c r="C268" i="76"/>
  <c r="C278" i="76" s="1"/>
  <c r="C123" i="76"/>
  <c r="C579" i="76"/>
  <c r="C629" i="76" s="1"/>
  <c r="C571" i="76"/>
  <c r="C621" i="76" s="1"/>
  <c r="C578" i="76"/>
  <c r="C628" i="76" s="1"/>
  <c r="C573" i="76"/>
  <c r="C623" i="76" s="1"/>
  <c r="C574" i="76"/>
  <c r="C624" i="76" s="1"/>
  <c r="C625" i="76"/>
  <c r="C576" i="76"/>
  <c r="C626" i="76" s="1"/>
  <c r="C577" i="76"/>
  <c r="C627" i="76" s="1"/>
  <c r="C125" i="76"/>
  <c r="C599" i="76"/>
  <c r="C643" i="76" s="1"/>
  <c r="C598" i="76"/>
  <c r="C642" i="76" s="1"/>
  <c r="C600" i="76"/>
  <c r="C644" i="76" s="1"/>
  <c r="C601" i="76"/>
  <c r="C645" i="76" s="1"/>
  <c r="C597" i="76"/>
  <c r="C641" i="76" s="1"/>
  <c r="C602" i="76"/>
  <c r="C646" i="76" s="1"/>
  <c r="C603" i="76"/>
  <c r="C647" i="76" s="1"/>
  <c r="C604" i="76"/>
  <c r="C648" i="76" s="1"/>
  <c r="C605" i="76"/>
  <c r="C649" i="76" s="1"/>
  <c r="C124" i="76"/>
  <c r="C585" i="76"/>
  <c r="C632" i="76" s="1"/>
  <c r="C584" i="76"/>
  <c r="C631" i="76" s="1"/>
  <c r="C586" i="76"/>
  <c r="C633" i="76" s="1"/>
  <c r="C587" i="76"/>
  <c r="C634" i="76" s="1"/>
  <c r="C588" i="76"/>
  <c r="C635" i="76" s="1"/>
  <c r="C589" i="76"/>
  <c r="C636" i="76" s="1"/>
  <c r="C637" i="76"/>
  <c r="C591" i="76"/>
  <c r="C638" i="76" s="1"/>
  <c r="C592" i="76"/>
  <c r="C639" i="76" s="1"/>
  <c r="C563" i="76"/>
  <c r="C616" i="76" s="1"/>
  <c r="C559" i="76"/>
  <c r="C612" i="76" s="1"/>
  <c r="C566" i="76"/>
  <c r="C619" i="76" s="1"/>
  <c r="C560" i="76"/>
  <c r="C613" i="76" s="1"/>
  <c r="C562" i="76"/>
  <c r="C615" i="76" s="1"/>
  <c r="D103" i="76"/>
  <c r="E103" i="76" s="1"/>
  <c r="K98" i="76"/>
  <c r="F98" i="76"/>
  <c r="D105" i="76"/>
  <c r="J98" i="76"/>
  <c r="D106" i="76"/>
  <c r="I98" i="76"/>
  <c r="H98" i="76"/>
  <c r="G98" i="76"/>
  <c r="D98" i="76"/>
  <c r="L98" i="76"/>
  <c r="E98" i="76"/>
  <c r="C122" i="76"/>
  <c r="D104" i="76"/>
  <c r="M187" i="76" l="1"/>
  <c r="C197" i="76"/>
  <c r="D197" i="76" s="1"/>
  <c r="E197" i="76" s="1"/>
  <c r="C565" i="76"/>
  <c r="C618" i="76" s="1"/>
  <c r="C564" i="76"/>
  <c r="C617" i="76" s="1"/>
  <c r="C558" i="76"/>
  <c r="C611" i="76" s="1"/>
  <c r="D445" i="76"/>
  <c r="E445" i="76" s="1"/>
  <c r="C194" i="76"/>
  <c r="C204" i="76" s="1"/>
  <c r="C471" i="76" s="1"/>
  <c r="C515" i="76" s="1"/>
  <c r="M189" i="76"/>
  <c r="D450" i="76"/>
  <c r="D460" i="76" s="1"/>
  <c r="D505" i="76" s="1"/>
  <c r="D549" i="76" s="1"/>
  <c r="D198" i="76"/>
  <c r="D208" i="76" s="1"/>
  <c r="D475" i="76" s="1"/>
  <c r="D282" i="76"/>
  <c r="E282" i="76" s="1"/>
  <c r="D444" i="76"/>
  <c r="D454" i="76" s="1"/>
  <c r="D499" i="76" s="1"/>
  <c r="D543" i="76" s="1"/>
  <c r="D277" i="76"/>
  <c r="D287" i="76" s="1"/>
  <c r="D480" i="76" s="1"/>
  <c r="D524" i="76" s="1"/>
  <c r="D452" i="76"/>
  <c r="E452" i="76" s="1"/>
  <c r="D281" i="76"/>
  <c r="E281" i="76" s="1"/>
  <c r="D447" i="76"/>
  <c r="D457" i="76" s="1"/>
  <c r="D502" i="76" s="1"/>
  <c r="D546" i="76" s="1"/>
  <c r="C196" i="76"/>
  <c r="D196" i="76" s="1"/>
  <c r="D206" i="76" s="1"/>
  <c r="D473" i="76" s="1"/>
  <c r="C201" i="76"/>
  <c r="D201" i="76" s="1"/>
  <c r="D211" i="76" s="1"/>
  <c r="D478" i="76" s="1"/>
  <c r="C460" i="76"/>
  <c r="C505" i="76" s="1"/>
  <c r="C549" i="76" s="1"/>
  <c r="C461" i="76"/>
  <c r="C506" i="76" s="1"/>
  <c r="C550" i="76" s="1"/>
  <c r="C192" i="76"/>
  <c r="D192" i="76" s="1"/>
  <c r="D202" i="76" s="1"/>
  <c r="D469" i="76" s="1"/>
  <c r="C200" i="76"/>
  <c r="C193" i="76"/>
  <c r="D360" i="76"/>
  <c r="D370" i="76" s="1"/>
  <c r="D489" i="76" s="1"/>
  <c r="D533" i="76" s="1"/>
  <c r="D285" i="76"/>
  <c r="D295" i="76" s="1"/>
  <c r="D488" i="76" s="1"/>
  <c r="D532" i="76" s="1"/>
  <c r="D449" i="76"/>
  <c r="E449" i="76" s="1"/>
  <c r="C195" i="76"/>
  <c r="M188" i="76"/>
  <c r="D278" i="76"/>
  <c r="D288" i="76" s="1"/>
  <c r="D481" i="76" s="1"/>
  <c r="D525" i="76" s="1"/>
  <c r="D199" i="76"/>
  <c r="D209" i="76" s="1"/>
  <c r="D476" i="76" s="1"/>
  <c r="C208" i="76"/>
  <c r="C475" i="76" s="1"/>
  <c r="C519" i="76" s="1"/>
  <c r="D453" i="76"/>
  <c r="E453" i="76" s="1"/>
  <c r="D458" i="76"/>
  <c r="D503" i="76" s="1"/>
  <c r="D547" i="76" s="1"/>
  <c r="E448" i="76"/>
  <c r="E451" i="76"/>
  <c r="D461" i="76"/>
  <c r="D506" i="76" s="1"/>
  <c r="D550" i="76" s="1"/>
  <c r="E446" i="76"/>
  <c r="D456" i="76"/>
  <c r="D501" i="76" s="1"/>
  <c r="D545" i="76" s="1"/>
  <c r="C379" i="76"/>
  <c r="C498" i="76" s="1"/>
  <c r="C542" i="76" s="1"/>
  <c r="D369" i="76"/>
  <c r="C378" i="76"/>
  <c r="C497" i="76" s="1"/>
  <c r="C541" i="76" s="1"/>
  <c r="D368" i="76"/>
  <c r="C374" i="76"/>
  <c r="C493" i="76" s="1"/>
  <c r="C537" i="76" s="1"/>
  <c r="D364" i="76"/>
  <c r="D366" i="76"/>
  <c r="C376" i="76"/>
  <c r="C495" i="76" s="1"/>
  <c r="C539" i="76" s="1"/>
  <c r="D367" i="76"/>
  <c r="C377" i="76"/>
  <c r="C496" i="76" s="1"/>
  <c r="C540" i="76" s="1"/>
  <c r="D365" i="76"/>
  <c r="C375" i="76"/>
  <c r="C494" i="76" s="1"/>
  <c r="C538" i="76" s="1"/>
  <c r="D362" i="76"/>
  <c r="C372" i="76"/>
  <c r="C491" i="76" s="1"/>
  <c r="C535" i="76" s="1"/>
  <c r="D361" i="76"/>
  <c r="C371" i="76"/>
  <c r="C490" i="76" s="1"/>
  <c r="C534" i="76" s="1"/>
  <c r="C373" i="76"/>
  <c r="C492" i="76" s="1"/>
  <c r="C536" i="76" s="1"/>
  <c r="D363" i="76"/>
  <c r="C287" i="76"/>
  <c r="C480" i="76" s="1"/>
  <c r="C524" i="76" s="1"/>
  <c r="D280" i="76"/>
  <c r="D290" i="76" s="1"/>
  <c r="D483" i="76" s="1"/>
  <c r="D527" i="76" s="1"/>
  <c r="D283" i="76"/>
  <c r="E283" i="76" s="1"/>
  <c r="C291" i="76"/>
  <c r="C484" i="76" s="1"/>
  <c r="C528" i="76" s="1"/>
  <c r="D284" i="76"/>
  <c r="D294" i="76" s="1"/>
  <c r="D487" i="76" s="1"/>
  <c r="D531" i="76" s="1"/>
  <c r="C295" i="76"/>
  <c r="C488" i="76" s="1"/>
  <c r="C532" i="76" s="1"/>
  <c r="D276" i="76"/>
  <c r="E276" i="76" s="1"/>
  <c r="D279" i="76"/>
  <c r="D289" i="76" s="1"/>
  <c r="D482" i="76" s="1"/>
  <c r="D526" i="76" s="1"/>
  <c r="C292" i="76"/>
  <c r="C485" i="76" s="1"/>
  <c r="C529" i="76" s="1"/>
  <c r="C288" i="76"/>
  <c r="C481" i="76" s="1"/>
  <c r="C525" i="76" s="1"/>
  <c r="C520" i="76"/>
  <c r="D107" i="76"/>
  <c r="D121" i="76" s="1"/>
  <c r="E106" i="76"/>
  <c r="D115" i="76"/>
  <c r="E104" i="76"/>
  <c r="D113" i="76"/>
  <c r="E105" i="76"/>
  <c r="D114" i="76"/>
  <c r="D112" i="76"/>
  <c r="D455" i="76" l="1"/>
  <c r="D500" i="76" s="1"/>
  <c r="D544" i="76" s="1"/>
  <c r="E198" i="76"/>
  <c r="E208" i="76" s="1"/>
  <c r="E475" i="76" s="1"/>
  <c r="E447" i="76"/>
  <c r="E457" i="76" s="1"/>
  <c r="E502" i="76" s="1"/>
  <c r="E546" i="76" s="1"/>
  <c r="E192" i="76"/>
  <c r="E202" i="76" s="1"/>
  <c r="E469" i="76" s="1"/>
  <c r="E450" i="76"/>
  <c r="F450" i="76" s="1"/>
  <c r="D291" i="76"/>
  <c r="D484" i="76" s="1"/>
  <c r="D528" i="76" s="1"/>
  <c r="D194" i="76"/>
  <c r="D204" i="76" s="1"/>
  <c r="D471" i="76" s="1"/>
  <c r="D515" i="76" s="1"/>
  <c r="E201" i="76"/>
  <c r="E211" i="76" s="1"/>
  <c r="E478" i="76" s="1"/>
  <c r="C211" i="76"/>
  <c r="C478" i="76" s="1"/>
  <c r="C522" i="76" s="1"/>
  <c r="D292" i="76"/>
  <c r="D485" i="76" s="1"/>
  <c r="D529" i="76" s="1"/>
  <c r="E444" i="76"/>
  <c r="E454" i="76" s="1"/>
  <c r="E499" i="76" s="1"/>
  <c r="E543" i="76" s="1"/>
  <c r="D462" i="76"/>
  <c r="D507" i="76" s="1"/>
  <c r="D551" i="76" s="1"/>
  <c r="E277" i="76"/>
  <c r="F277" i="76" s="1"/>
  <c r="E196" i="76"/>
  <c r="F196" i="76" s="1"/>
  <c r="C207" i="76"/>
  <c r="C474" i="76" s="1"/>
  <c r="C518" i="76" s="1"/>
  <c r="E199" i="76"/>
  <c r="F199" i="76" s="1"/>
  <c r="D207" i="76"/>
  <c r="D474" i="76" s="1"/>
  <c r="D518" i="76" s="1"/>
  <c r="E278" i="76"/>
  <c r="F278" i="76" s="1"/>
  <c r="C206" i="76"/>
  <c r="C473" i="76" s="1"/>
  <c r="C517" i="76" s="1"/>
  <c r="C202" i="76"/>
  <c r="C469" i="76" s="1"/>
  <c r="C513" i="76" s="1"/>
  <c r="D459" i="76"/>
  <c r="D504" i="76" s="1"/>
  <c r="D548" i="76" s="1"/>
  <c r="E285" i="76"/>
  <c r="F285" i="76" s="1"/>
  <c r="C210" i="76"/>
  <c r="C477" i="76" s="1"/>
  <c r="C521" i="76" s="1"/>
  <c r="D200" i="76"/>
  <c r="E360" i="76"/>
  <c r="F360" i="76" s="1"/>
  <c r="G360" i="76" s="1"/>
  <c r="D195" i="76"/>
  <c r="C205" i="76"/>
  <c r="C472" i="76" s="1"/>
  <c r="C516" i="76" s="1"/>
  <c r="C203" i="76"/>
  <c r="C470" i="76" s="1"/>
  <c r="C514" i="76" s="1"/>
  <c r="D193" i="76"/>
  <c r="D463" i="76"/>
  <c r="D508" i="76" s="1"/>
  <c r="D552" i="76" s="1"/>
  <c r="E459" i="76"/>
  <c r="E504" i="76" s="1"/>
  <c r="E548" i="76" s="1"/>
  <c r="F449" i="76"/>
  <c r="E462" i="76"/>
  <c r="E507" i="76" s="1"/>
  <c r="E551" i="76" s="1"/>
  <c r="F452" i="76"/>
  <c r="E461" i="76"/>
  <c r="E506" i="76" s="1"/>
  <c r="E550" i="76" s="1"/>
  <c r="F451" i="76"/>
  <c r="F445" i="76"/>
  <c r="E455" i="76"/>
  <c r="E500" i="76" s="1"/>
  <c r="E544" i="76" s="1"/>
  <c r="F446" i="76"/>
  <c r="E456" i="76"/>
  <c r="E501" i="76" s="1"/>
  <c r="E545" i="76" s="1"/>
  <c r="E463" i="76"/>
  <c r="E508" i="76" s="1"/>
  <c r="E552" i="76" s="1"/>
  <c r="F453" i="76"/>
  <c r="F447" i="76"/>
  <c r="E458" i="76"/>
  <c r="E503" i="76" s="1"/>
  <c r="E547" i="76" s="1"/>
  <c r="F448" i="76"/>
  <c r="E280" i="76"/>
  <c r="E290" i="76" s="1"/>
  <c r="E483" i="76" s="1"/>
  <c r="E527" i="76" s="1"/>
  <c r="E364" i="76"/>
  <c r="D374" i="76"/>
  <c r="D493" i="76" s="1"/>
  <c r="D537" i="76" s="1"/>
  <c r="E361" i="76"/>
  <c r="D371" i="76"/>
  <c r="D490" i="76" s="1"/>
  <c r="D534" i="76" s="1"/>
  <c r="E362" i="76"/>
  <c r="D372" i="76"/>
  <c r="D491" i="76" s="1"/>
  <c r="D535" i="76" s="1"/>
  <c r="E368" i="76"/>
  <c r="D378" i="76"/>
  <c r="D497" i="76" s="1"/>
  <c r="D541" i="76" s="1"/>
  <c r="E365" i="76"/>
  <c r="D375" i="76"/>
  <c r="D494" i="76" s="1"/>
  <c r="D538" i="76" s="1"/>
  <c r="D373" i="76"/>
  <c r="D492" i="76" s="1"/>
  <c r="D536" i="76" s="1"/>
  <c r="E363" i="76"/>
  <c r="D379" i="76"/>
  <c r="D498" i="76" s="1"/>
  <c r="D542" i="76" s="1"/>
  <c r="E369" i="76"/>
  <c r="E366" i="76"/>
  <c r="D376" i="76"/>
  <c r="D495" i="76" s="1"/>
  <c r="D539" i="76" s="1"/>
  <c r="D377" i="76"/>
  <c r="D496" i="76" s="1"/>
  <c r="D540" i="76" s="1"/>
  <c r="E367" i="76"/>
  <c r="E284" i="76"/>
  <c r="F284" i="76" s="1"/>
  <c r="F294" i="76" s="1"/>
  <c r="F487" i="76" s="1"/>
  <c r="F531" i="76" s="1"/>
  <c r="D293" i="76"/>
  <c r="D486" i="76" s="1"/>
  <c r="D530" i="76" s="1"/>
  <c r="D286" i="76"/>
  <c r="D479" i="76" s="1"/>
  <c r="D523" i="76" s="1"/>
  <c r="E279" i="76"/>
  <c r="F279" i="76" s="1"/>
  <c r="E293" i="76"/>
  <c r="E486" i="76" s="1"/>
  <c r="E530" i="76" s="1"/>
  <c r="F283" i="76"/>
  <c r="E291" i="76"/>
  <c r="E484" i="76" s="1"/>
  <c r="E528" i="76" s="1"/>
  <c r="F281" i="76"/>
  <c r="F276" i="76"/>
  <c r="E286" i="76"/>
  <c r="E479" i="76" s="1"/>
  <c r="E523" i="76" s="1"/>
  <c r="F282" i="76"/>
  <c r="E292" i="76"/>
  <c r="E485" i="76" s="1"/>
  <c r="E529" i="76" s="1"/>
  <c r="F197" i="76"/>
  <c r="E207" i="76"/>
  <c r="E474" i="76" s="1"/>
  <c r="D123" i="76"/>
  <c r="D578" i="76"/>
  <c r="D628" i="76" s="1"/>
  <c r="D571" i="76"/>
  <c r="D621" i="76" s="1"/>
  <c r="D579" i="76"/>
  <c r="D629" i="76" s="1"/>
  <c r="D572" i="76"/>
  <c r="D622" i="76" s="1"/>
  <c r="D573" i="76"/>
  <c r="D623" i="76" s="1"/>
  <c r="D574" i="76"/>
  <c r="D624" i="76" s="1"/>
  <c r="D577" i="76"/>
  <c r="D627" i="76" s="1"/>
  <c r="D575" i="76"/>
  <c r="D625" i="76" s="1"/>
  <c r="D576" i="76"/>
  <c r="D626" i="76" s="1"/>
  <c r="D125" i="76"/>
  <c r="D604" i="76"/>
  <c r="D648" i="76" s="1"/>
  <c r="D597" i="76"/>
  <c r="D641" i="76" s="1"/>
  <c r="D605" i="76"/>
  <c r="D649" i="76" s="1"/>
  <c r="D598" i="76"/>
  <c r="D642" i="76" s="1"/>
  <c r="D599" i="76"/>
  <c r="D643" i="76" s="1"/>
  <c r="D603" i="76"/>
  <c r="D647" i="76" s="1"/>
  <c r="D600" i="76"/>
  <c r="D644" i="76" s="1"/>
  <c r="D601" i="76"/>
  <c r="D645" i="76" s="1"/>
  <c r="D602" i="76"/>
  <c r="D646" i="76" s="1"/>
  <c r="D124" i="76"/>
  <c r="D584" i="76"/>
  <c r="D631" i="76" s="1"/>
  <c r="D592" i="76"/>
  <c r="D639" i="76" s="1"/>
  <c r="D585" i="76"/>
  <c r="D632" i="76" s="1"/>
  <c r="D586" i="76"/>
  <c r="D633" i="76" s="1"/>
  <c r="D591" i="76"/>
  <c r="D638" i="76" s="1"/>
  <c r="D587" i="76"/>
  <c r="D634" i="76" s="1"/>
  <c r="D588" i="76"/>
  <c r="D635" i="76" s="1"/>
  <c r="D589" i="76"/>
  <c r="D636" i="76" s="1"/>
  <c r="D590" i="76"/>
  <c r="D637" i="76" s="1"/>
  <c r="D122" i="76"/>
  <c r="D563" i="76"/>
  <c r="D616" i="76" s="1"/>
  <c r="D564" i="76"/>
  <c r="D617" i="76" s="1"/>
  <c r="D559" i="76"/>
  <c r="D612" i="76" s="1"/>
  <c r="D565" i="76"/>
  <c r="D618" i="76" s="1"/>
  <c r="D558" i="76"/>
  <c r="D611" i="76" s="1"/>
  <c r="D566" i="76"/>
  <c r="D619" i="76" s="1"/>
  <c r="D560" i="76"/>
  <c r="D613" i="76" s="1"/>
  <c r="D561" i="76"/>
  <c r="D614" i="76" s="1"/>
  <c r="D562" i="76"/>
  <c r="D615" i="76" s="1"/>
  <c r="D517" i="76"/>
  <c r="D513" i="76"/>
  <c r="D522" i="76"/>
  <c r="D520" i="76"/>
  <c r="D519" i="76"/>
  <c r="E107" i="76"/>
  <c r="F107" i="76" s="1"/>
  <c r="F103" i="76"/>
  <c r="E112" i="76"/>
  <c r="F105" i="76"/>
  <c r="E114" i="76"/>
  <c r="F104" i="76"/>
  <c r="E113" i="76"/>
  <c r="F106" i="76"/>
  <c r="E115" i="76"/>
  <c r="F192" i="76" l="1"/>
  <c r="G192" i="76" s="1"/>
  <c r="F198" i="76"/>
  <c r="F208" i="76" s="1"/>
  <c r="F475" i="76" s="1"/>
  <c r="E460" i="76"/>
  <c r="E505" i="76" s="1"/>
  <c r="E549" i="76" s="1"/>
  <c r="E194" i="76"/>
  <c r="E204" i="76" s="1"/>
  <c r="E471" i="76" s="1"/>
  <c r="F201" i="76"/>
  <c r="G201" i="76" s="1"/>
  <c r="F444" i="76"/>
  <c r="F454" i="76" s="1"/>
  <c r="F499" i="76" s="1"/>
  <c r="F543" i="76" s="1"/>
  <c r="E287" i="76"/>
  <c r="E480" i="76" s="1"/>
  <c r="E524" i="76" s="1"/>
  <c r="E209" i="76"/>
  <c r="E476" i="76" s="1"/>
  <c r="E520" i="76" s="1"/>
  <c r="E288" i="76"/>
  <c r="E481" i="76" s="1"/>
  <c r="E525" i="76" s="1"/>
  <c r="E206" i="76"/>
  <c r="E473" i="76" s="1"/>
  <c r="E517" i="76" s="1"/>
  <c r="F370" i="76"/>
  <c r="F489" i="76" s="1"/>
  <c r="F533" i="76" s="1"/>
  <c r="E295" i="76"/>
  <c r="E488" i="76" s="1"/>
  <c r="E532" i="76" s="1"/>
  <c r="E200" i="76"/>
  <c r="D210" i="76"/>
  <c r="D477" i="76" s="1"/>
  <c r="D521" i="76" s="1"/>
  <c r="E370" i="76"/>
  <c r="E489" i="76" s="1"/>
  <c r="E533" i="76" s="1"/>
  <c r="D203" i="76"/>
  <c r="D470" i="76" s="1"/>
  <c r="E193" i="76"/>
  <c r="D205" i="76"/>
  <c r="D472" i="76" s="1"/>
  <c r="D516" i="76" s="1"/>
  <c r="E195" i="76"/>
  <c r="F461" i="76"/>
  <c r="F506" i="76" s="1"/>
  <c r="F550" i="76" s="1"/>
  <c r="G451" i="76"/>
  <c r="G453" i="76"/>
  <c r="F463" i="76"/>
  <c r="F508" i="76" s="1"/>
  <c r="F552" i="76" s="1"/>
  <c r="F460" i="76"/>
  <c r="F505" i="76" s="1"/>
  <c r="F549" i="76" s="1"/>
  <c r="G450" i="76"/>
  <c r="G448" i="76"/>
  <c r="F458" i="76"/>
  <c r="F503" i="76" s="1"/>
  <c r="F547" i="76" s="1"/>
  <c r="G452" i="76"/>
  <c r="F462" i="76"/>
  <c r="F507" i="76" s="1"/>
  <c r="F551" i="76" s="1"/>
  <c r="G446" i="76"/>
  <c r="F456" i="76"/>
  <c r="F501" i="76" s="1"/>
  <c r="F545" i="76" s="1"/>
  <c r="G447" i="76"/>
  <c r="F457" i="76"/>
  <c r="F502" i="76" s="1"/>
  <c r="F546" i="76" s="1"/>
  <c r="G449" i="76"/>
  <c r="F459" i="76"/>
  <c r="F504" i="76" s="1"/>
  <c r="F548" i="76" s="1"/>
  <c r="G445" i="76"/>
  <c r="F455" i="76"/>
  <c r="F500" i="76" s="1"/>
  <c r="F544" i="76" s="1"/>
  <c r="F280" i="76"/>
  <c r="F290" i="76" s="1"/>
  <c r="F483" i="76" s="1"/>
  <c r="F527" i="76" s="1"/>
  <c r="E373" i="76"/>
  <c r="E492" i="76" s="1"/>
  <c r="E536" i="76" s="1"/>
  <c r="F363" i="76"/>
  <c r="E372" i="76"/>
  <c r="E491" i="76" s="1"/>
  <c r="E535" i="76" s="1"/>
  <c r="F362" i="76"/>
  <c r="E377" i="76"/>
  <c r="E496" i="76" s="1"/>
  <c r="E540" i="76" s="1"/>
  <c r="F367" i="76"/>
  <c r="E375" i="76"/>
  <c r="E494" i="76" s="1"/>
  <c r="E538" i="76" s="1"/>
  <c r="F365" i="76"/>
  <c r="F361" i="76"/>
  <c r="E371" i="76"/>
  <c r="E490" i="76" s="1"/>
  <c r="E534" i="76" s="1"/>
  <c r="E376" i="76"/>
  <c r="E495" i="76" s="1"/>
  <c r="E539" i="76" s="1"/>
  <c r="F366" i="76"/>
  <c r="E378" i="76"/>
  <c r="E497" i="76" s="1"/>
  <c r="E541" i="76" s="1"/>
  <c r="F368" i="76"/>
  <c r="F364" i="76"/>
  <c r="E374" i="76"/>
  <c r="E493" i="76" s="1"/>
  <c r="E537" i="76" s="1"/>
  <c r="F369" i="76"/>
  <c r="E379" i="76"/>
  <c r="E498" i="76" s="1"/>
  <c r="E542" i="76" s="1"/>
  <c r="H360" i="76"/>
  <c r="G370" i="76"/>
  <c r="G489" i="76" s="1"/>
  <c r="G533" i="76" s="1"/>
  <c r="E294" i="76"/>
  <c r="E487" i="76" s="1"/>
  <c r="E531" i="76" s="1"/>
  <c r="G284" i="76"/>
  <c r="H284" i="76" s="1"/>
  <c r="E289" i="76"/>
  <c r="E482" i="76" s="1"/>
  <c r="E526" i="76" s="1"/>
  <c r="G277" i="76"/>
  <c r="F287" i="76"/>
  <c r="F480" i="76" s="1"/>
  <c r="F524" i="76" s="1"/>
  <c r="G278" i="76"/>
  <c r="F288" i="76"/>
  <c r="F481" i="76" s="1"/>
  <c r="F525" i="76" s="1"/>
  <c r="F286" i="76"/>
  <c r="F479" i="76" s="1"/>
  <c r="F523" i="76" s="1"/>
  <c r="G276" i="76"/>
  <c r="F289" i="76"/>
  <c r="F482" i="76" s="1"/>
  <c r="F526" i="76" s="1"/>
  <c r="G279" i="76"/>
  <c r="F293" i="76"/>
  <c r="F486" i="76" s="1"/>
  <c r="F530" i="76" s="1"/>
  <c r="G283" i="76"/>
  <c r="G282" i="76"/>
  <c r="F292" i="76"/>
  <c r="F485" i="76" s="1"/>
  <c r="F529" i="76" s="1"/>
  <c r="G285" i="76"/>
  <c r="F295" i="76"/>
  <c r="F488" i="76" s="1"/>
  <c r="F532" i="76" s="1"/>
  <c r="G281" i="76"/>
  <c r="F291" i="76"/>
  <c r="F484" i="76" s="1"/>
  <c r="F528" i="76" s="1"/>
  <c r="G197" i="76"/>
  <c r="F207" i="76"/>
  <c r="F474" i="76" s="1"/>
  <c r="G199" i="76"/>
  <c r="F209" i="76"/>
  <c r="F476" i="76" s="1"/>
  <c r="G196" i="76"/>
  <c r="F206" i="76"/>
  <c r="F473" i="76" s="1"/>
  <c r="K584" i="76"/>
  <c r="K631" i="76" s="1"/>
  <c r="F584" i="76"/>
  <c r="F631" i="76" s="1"/>
  <c r="E584" i="76"/>
  <c r="E631" i="76" s="1"/>
  <c r="L584" i="76"/>
  <c r="L631" i="76" s="1"/>
  <c r="I584" i="76"/>
  <c r="I631" i="76" s="1"/>
  <c r="G584" i="76"/>
  <c r="G631" i="76" s="1"/>
  <c r="H584" i="76"/>
  <c r="H631" i="76" s="1"/>
  <c r="J584" i="76"/>
  <c r="J631" i="76" s="1"/>
  <c r="E123" i="76"/>
  <c r="E579" i="76"/>
  <c r="E629" i="76" s="1"/>
  <c r="E572" i="76"/>
  <c r="E622" i="76" s="1"/>
  <c r="E573" i="76"/>
  <c r="E623" i="76" s="1"/>
  <c r="E574" i="76"/>
  <c r="E624" i="76" s="1"/>
  <c r="E575" i="76"/>
  <c r="E625" i="76" s="1"/>
  <c r="E576" i="76"/>
  <c r="E626" i="76" s="1"/>
  <c r="E577" i="76"/>
  <c r="E627" i="76" s="1"/>
  <c r="E578" i="76"/>
  <c r="E628" i="76" s="1"/>
  <c r="E125" i="76"/>
  <c r="E605" i="76"/>
  <c r="E649" i="76" s="1"/>
  <c r="E598" i="76"/>
  <c r="E604" i="76"/>
  <c r="E648" i="76" s="1"/>
  <c r="E599" i="76"/>
  <c r="E643" i="76" s="1"/>
  <c r="E600" i="76"/>
  <c r="E644" i="76" s="1"/>
  <c r="E601" i="76"/>
  <c r="E645" i="76" s="1"/>
  <c r="E602" i="76"/>
  <c r="E646" i="76" s="1"/>
  <c r="E603" i="76"/>
  <c r="E647" i="76" s="1"/>
  <c r="F597" i="76"/>
  <c r="F641" i="76" s="1"/>
  <c r="G597" i="76"/>
  <c r="G641" i="76" s="1"/>
  <c r="J597" i="76"/>
  <c r="J641" i="76" s="1"/>
  <c r="H597" i="76"/>
  <c r="H641" i="76" s="1"/>
  <c r="I597" i="76"/>
  <c r="I641" i="76" s="1"/>
  <c r="L597" i="76"/>
  <c r="L641" i="76" s="1"/>
  <c r="K597" i="76"/>
  <c r="K641" i="76" s="1"/>
  <c r="E597" i="76"/>
  <c r="E641" i="76" s="1"/>
  <c r="H571" i="76"/>
  <c r="H621" i="76" s="1"/>
  <c r="J571" i="76"/>
  <c r="J621" i="76" s="1"/>
  <c r="K571" i="76"/>
  <c r="K621" i="76" s="1"/>
  <c r="E571" i="76"/>
  <c r="E621" i="76" s="1"/>
  <c r="I571" i="76"/>
  <c r="I621" i="76" s="1"/>
  <c r="L571" i="76"/>
  <c r="L621" i="76" s="1"/>
  <c r="F571" i="76"/>
  <c r="F621" i="76" s="1"/>
  <c r="G571" i="76"/>
  <c r="G621" i="76" s="1"/>
  <c r="E124" i="76"/>
  <c r="E585" i="76"/>
  <c r="E586" i="76"/>
  <c r="E633" i="76" s="1"/>
  <c r="E587" i="76"/>
  <c r="E634" i="76" s="1"/>
  <c r="E588" i="76"/>
  <c r="E635" i="76" s="1"/>
  <c r="E589" i="76"/>
  <c r="E636" i="76" s="1"/>
  <c r="E590" i="76"/>
  <c r="E637" i="76" s="1"/>
  <c r="E591" i="76"/>
  <c r="E638" i="76" s="1"/>
  <c r="E592" i="76"/>
  <c r="E639" i="76" s="1"/>
  <c r="G558" i="76"/>
  <c r="G611" i="76" s="1"/>
  <c r="H558" i="76"/>
  <c r="H611" i="76" s="1"/>
  <c r="I558" i="76"/>
  <c r="I611" i="76" s="1"/>
  <c r="L558" i="76"/>
  <c r="L611" i="76" s="1"/>
  <c r="J558" i="76"/>
  <c r="J611" i="76" s="1"/>
  <c r="E558" i="76"/>
  <c r="E611" i="76" s="1"/>
  <c r="K558" i="76"/>
  <c r="K611" i="76" s="1"/>
  <c r="F558" i="76"/>
  <c r="F611" i="76" s="1"/>
  <c r="E122" i="76"/>
  <c r="E564" i="76"/>
  <c r="E617" i="76" s="1"/>
  <c r="E565" i="76"/>
  <c r="E618" i="76" s="1"/>
  <c r="E566" i="76"/>
  <c r="E619" i="76" s="1"/>
  <c r="E559" i="76"/>
  <c r="E612" i="76" s="1"/>
  <c r="E560" i="76"/>
  <c r="E613" i="76" s="1"/>
  <c r="E561" i="76"/>
  <c r="E614" i="76" s="1"/>
  <c r="E562" i="76"/>
  <c r="E615" i="76" s="1"/>
  <c r="E563" i="76"/>
  <c r="E616" i="76" s="1"/>
  <c r="E513" i="76"/>
  <c r="E519" i="76"/>
  <c r="E522" i="76"/>
  <c r="E518" i="76"/>
  <c r="E121" i="76"/>
  <c r="G106" i="76"/>
  <c r="F115" i="76"/>
  <c r="G104" i="76"/>
  <c r="F113" i="76"/>
  <c r="G105" i="76"/>
  <c r="F114" i="76"/>
  <c r="G103" i="76"/>
  <c r="F112" i="76"/>
  <c r="G107" i="76"/>
  <c r="F121" i="76"/>
  <c r="F202" i="76" l="1"/>
  <c r="F469" i="76" s="1"/>
  <c r="F513" i="76" s="1"/>
  <c r="G198" i="76"/>
  <c r="H198" i="76" s="1"/>
  <c r="F211" i="76"/>
  <c r="F478" i="76" s="1"/>
  <c r="F522" i="76" s="1"/>
  <c r="F194" i="76"/>
  <c r="G194" i="76" s="1"/>
  <c r="H194" i="76" s="1"/>
  <c r="H204" i="76" s="1"/>
  <c r="H471" i="76" s="1"/>
  <c r="G444" i="76"/>
  <c r="H444" i="76" s="1"/>
  <c r="D514" i="76"/>
  <c r="F200" i="76"/>
  <c r="E210" i="76"/>
  <c r="E477" i="76" s="1"/>
  <c r="E521" i="76" s="1"/>
  <c r="F195" i="76"/>
  <c r="E205" i="76"/>
  <c r="E472" i="76" s="1"/>
  <c r="E516" i="76" s="1"/>
  <c r="F193" i="76"/>
  <c r="E203" i="76"/>
  <c r="E470" i="76" s="1"/>
  <c r="E514" i="76" s="1"/>
  <c r="G460" i="76"/>
  <c r="G505" i="76" s="1"/>
  <c r="G549" i="76" s="1"/>
  <c r="H450" i="76"/>
  <c r="G458" i="76"/>
  <c r="G503" i="76" s="1"/>
  <c r="G547" i="76" s="1"/>
  <c r="H448" i="76"/>
  <c r="G457" i="76"/>
  <c r="G502" i="76" s="1"/>
  <c r="G546" i="76" s="1"/>
  <c r="H447" i="76"/>
  <c r="H445" i="76"/>
  <c r="G455" i="76"/>
  <c r="G500" i="76" s="1"/>
  <c r="G544" i="76" s="1"/>
  <c r="H446" i="76"/>
  <c r="G456" i="76"/>
  <c r="G501" i="76" s="1"/>
  <c r="G545" i="76" s="1"/>
  <c r="G463" i="76"/>
  <c r="G508" i="76" s="1"/>
  <c r="G552" i="76" s="1"/>
  <c r="H453" i="76"/>
  <c r="G459" i="76"/>
  <c r="G504" i="76" s="1"/>
  <c r="G548" i="76" s="1"/>
  <c r="H449" i="76"/>
  <c r="G280" i="76"/>
  <c r="H280" i="76" s="1"/>
  <c r="G461" i="76"/>
  <c r="G506" i="76" s="1"/>
  <c r="G550" i="76" s="1"/>
  <c r="H451" i="76"/>
  <c r="H452" i="76"/>
  <c r="G462" i="76"/>
  <c r="G507" i="76" s="1"/>
  <c r="G551" i="76" s="1"/>
  <c r="G365" i="76"/>
  <c r="F375" i="76"/>
  <c r="F494" i="76" s="1"/>
  <c r="F538" i="76" s="1"/>
  <c r="F378" i="76"/>
  <c r="F497" i="76" s="1"/>
  <c r="F541" i="76" s="1"/>
  <c r="G368" i="76"/>
  <c r="G367" i="76"/>
  <c r="F377" i="76"/>
  <c r="F496" i="76" s="1"/>
  <c r="F540" i="76" s="1"/>
  <c r="G366" i="76"/>
  <c r="F376" i="76"/>
  <c r="F495" i="76" s="1"/>
  <c r="F539" i="76" s="1"/>
  <c r="F372" i="76"/>
  <c r="F491" i="76" s="1"/>
  <c r="F535" i="76" s="1"/>
  <c r="G362" i="76"/>
  <c r="G364" i="76"/>
  <c r="F374" i="76"/>
  <c r="F493" i="76" s="1"/>
  <c r="F537" i="76" s="1"/>
  <c r="H370" i="76"/>
  <c r="H489" i="76" s="1"/>
  <c r="H533" i="76" s="1"/>
  <c r="I360" i="76"/>
  <c r="G294" i="76"/>
  <c r="G487" i="76" s="1"/>
  <c r="G531" i="76" s="1"/>
  <c r="F373" i="76"/>
  <c r="F492" i="76" s="1"/>
  <c r="F536" i="76" s="1"/>
  <c r="G363" i="76"/>
  <c r="G369" i="76"/>
  <c r="F379" i="76"/>
  <c r="F498" i="76" s="1"/>
  <c r="F542" i="76" s="1"/>
  <c r="G361" i="76"/>
  <c r="F371" i="76"/>
  <c r="F490" i="76" s="1"/>
  <c r="F534" i="76" s="1"/>
  <c r="G295" i="76"/>
  <c r="G488" i="76" s="1"/>
  <c r="G532" i="76" s="1"/>
  <c r="H285" i="76"/>
  <c r="G286" i="76"/>
  <c r="G479" i="76" s="1"/>
  <c r="G523" i="76" s="1"/>
  <c r="H276" i="76"/>
  <c r="H282" i="76"/>
  <c r="G292" i="76"/>
  <c r="G485" i="76" s="1"/>
  <c r="G529" i="76" s="1"/>
  <c r="G293" i="76"/>
  <c r="G486" i="76" s="1"/>
  <c r="G530" i="76" s="1"/>
  <c r="H283" i="76"/>
  <c r="H294" i="76"/>
  <c r="H487" i="76" s="1"/>
  <c r="H531" i="76" s="1"/>
  <c r="I284" i="76"/>
  <c r="G288" i="76"/>
  <c r="G481" i="76" s="1"/>
  <c r="G525" i="76" s="1"/>
  <c r="H278" i="76"/>
  <c r="G289" i="76"/>
  <c r="G482" i="76" s="1"/>
  <c r="G526" i="76" s="1"/>
  <c r="H279" i="76"/>
  <c r="H281" i="76"/>
  <c r="G291" i="76"/>
  <c r="G484" i="76" s="1"/>
  <c r="G528" i="76" s="1"/>
  <c r="G287" i="76"/>
  <c r="G480" i="76" s="1"/>
  <c r="G524" i="76" s="1"/>
  <c r="H277" i="76"/>
  <c r="H192" i="76"/>
  <c r="G202" i="76"/>
  <c r="G469" i="76" s="1"/>
  <c r="H196" i="76"/>
  <c r="G206" i="76"/>
  <c r="G473" i="76" s="1"/>
  <c r="H201" i="76"/>
  <c r="G211" i="76"/>
  <c r="G478" i="76" s="1"/>
  <c r="H199" i="76"/>
  <c r="G209" i="76"/>
  <c r="G476" i="76" s="1"/>
  <c r="H197" i="76"/>
  <c r="G207" i="76"/>
  <c r="G474" i="76" s="1"/>
  <c r="E515" i="76"/>
  <c r="H632" i="76"/>
  <c r="E632" i="76"/>
  <c r="G598" i="76"/>
  <c r="G642" i="76" s="1"/>
  <c r="E642" i="76"/>
  <c r="K598" i="76"/>
  <c r="K642" i="76" s="1"/>
  <c r="J598" i="76"/>
  <c r="J642" i="76" s="1"/>
  <c r="I598" i="76"/>
  <c r="I642" i="76" s="1"/>
  <c r="F125" i="76"/>
  <c r="F605" i="76"/>
  <c r="F649" i="76" s="1"/>
  <c r="F599" i="76"/>
  <c r="F604" i="76"/>
  <c r="F648" i="76" s="1"/>
  <c r="F600" i="76"/>
  <c r="F644" i="76" s="1"/>
  <c r="F601" i="76"/>
  <c r="F645" i="76" s="1"/>
  <c r="F602" i="76"/>
  <c r="F646" i="76" s="1"/>
  <c r="F603" i="76"/>
  <c r="F647" i="76" s="1"/>
  <c r="G632" i="76"/>
  <c r="I632" i="76"/>
  <c r="F632" i="76"/>
  <c r="F124" i="76"/>
  <c r="F586" i="76"/>
  <c r="F587" i="76"/>
  <c r="F634" i="76" s="1"/>
  <c r="F592" i="76"/>
  <c r="F639" i="76" s="1"/>
  <c r="F588" i="76"/>
  <c r="F635" i="76" s="1"/>
  <c r="F589" i="76"/>
  <c r="F636" i="76" s="1"/>
  <c r="F590" i="76"/>
  <c r="F637" i="76" s="1"/>
  <c r="F591" i="76"/>
  <c r="F638" i="76" s="1"/>
  <c r="H598" i="76"/>
  <c r="H642" i="76" s="1"/>
  <c r="L632" i="76"/>
  <c r="F598" i="76"/>
  <c r="F642" i="76" s="1"/>
  <c r="K632" i="76"/>
  <c r="F123" i="76"/>
  <c r="F579" i="76"/>
  <c r="F629" i="76" s="1"/>
  <c r="F573" i="76"/>
  <c r="F623" i="76" s="1"/>
  <c r="F578" i="76"/>
  <c r="F628" i="76" s="1"/>
  <c r="F574" i="76"/>
  <c r="F624" i="76" s="1"/>
  <c r="F575" i="76"/>
  <c r="F625" i="76" s="1"/>
  <c r="F576" i="76"/>
  <c r="F626" i="76" s="1"/>
  <c r="F577" i="76"/>
  <c r="F627" i="76" s="1"/>
  <c r="L598" i="76"/>
  <c r="L642" i="76" s="1"/>
  <c r="J632" i="76"/>
  <c r="F122" i="76"/>
  <c r="F564" i="76"/>
  <c r="F617" i="76" s="1"/>
  <c r="F565" i="76"/>
  <c r="F618" i="76" s="1"/>
  <c r="F560" i="76"/>
  <c r="F613" i="76" s="1"/>
  <c r="F566" i="76"/>
  <c r="F619" i="76" s="1"/>
  <c r="F561" i="76"/>
  <c r="F614" i="76" s="1"/>
  <c r="F562" i="76"/>
  <c r="F615" i="76" s="1"/>
  <c r="F563" i="76"/>
  <c r="F616" i="76" s="1"/>
  <c r="F520" i="76"/>
  <c r="F517" i="76"/>
  <c r="F518" i="76"/>
  <c r="F519" i="76"/>
  <c r="H103" i="76"/>
  <c r="G112" i="76"/>
  <c r="H105" i="76"/>
  <c r="G114" i="76"/>
  <c r="H104" i="76"/>
  <c r="G113" i="76"/>
  <c r="H106" i="76"/>
  <c r="G115" i="76"/>
  <c r="H107" i="76"/>
  <c r="G121" i="76"/>
  <c r="G208" i="76" l="1"/>
  <c r="G475" i="76" s="1"/>
  <c r="G454" i="76"/>
  <c r="G499" i="76" s="1"/>
  <c r="G543" i="76" s="1"/>
  <c r="I194" i="76"/>
  <c r="I204" i="76" s="1"/>
  <c r="I471" i="76" s="1"/>
  <c r="G204" i="76"/>
  <c r="G471" i="76" s="1"/>
  <c r="G515" i="76" s="1"/>
  <c r="F204" i="76"/>
  <c r="F471" i="76" s="1"/>
  <c r="F515" i="76" s="1"/>
  <c r="F210" i="76"/>
  <c r="F477" i="76" s="1"/>
  <c r="F521" i="76" s="1"/>
  <c r="G200" i="76"/>
  <c r="G193" i="76"/>
  <c r="F203" i="76"/>
  <c r="F470" i="76" s="1"/>
  <c r="F514" i="76" s="1"/>
  <c r="G195" i="76"/>
  <c r="F205" i="76"/>
  <c r="F472" i="76" s="1"/>
  <c r="F516" i="76" s="1"/>
  <c r="H454" i="76"/>
  <c r="H499" i="76" s="1"/>
  <c r="H543" i="76" s="1"/>
  <c r="I444" i="76"/>
  <c r="G290" i="76"/>
  <c r="G483" i="76" s="1"/>
  <c r="G527" i="76" s="1"/>
  <c r="I449" i="76"/>
  <c r="H459" i="76"/>
  <c r="H504" i="76" s="1"/>
  <c r="H548" i="76" s="1"/>
  <c r="I447" i="76"/>
  <c r="H457" i="76"/>
  <c r="H502" i="76" s="1"/>
  <c r="H546" i="76" s="1"/>
  <c r="I445" i="76"/>
  <c r="H455" i="76"/>
  <c r="H500" i="76" s="1"/>
  <c r="H544" i="76" s="1"/>
  <c r="I452" i="76"/>
  <c r="H462" i="76"/>
  <c r="H507" i="76" s="1"/>
  <c r="H551" i="76" s="1"/>
  <c r="H463" i="76"/>
  <c r="H508" i="76" s="1"/>
  <c r="H552" i="76" s="1"/>
  <c r="I453" i="76"/>
  <c r="I448" i="76"/>
  <c r="H458" i="76"/>
  <c r="H503" i="76" s="1"/>
  <c r="H547" i="76" s="1"/>
  <c r="H461" i="76"/>
  <c r="H506" i="76" s="1"/>
  <c r="H550" i="76" s="1"/>
  <c r="I451" i="76"/>
  <c r="H460" i="76"/>
  <c r="H505" i="76" s="1"/>
  <c r="H549" i="76" s="1"/>
  <c r="I450" i="76"/>
  <c r="H456" i="76"/>
  <c r="H501" i="76" s="1"/>
  <c r="H545" i="76" s="1"/>
  <c r="I446" i="76"/>
  <c r="H366" i="76"/>
  <c r="G376" i="76"/>
  <c r="G495" i="76" s="1"/>
  <c r="G539" i="76" s="1"/>
  <c r="I370" i="76"/>
  <c r="I489" i="76" s="1"/>
  <c r="I533" i="76" s="1"/>
  <c r="J360" i="76"/>
  <c r="G377" i="76"/>
  <c r="G496" i="76" s="1"/>
  <c r="G540" i="76" s="1"/>
  <c r="H367" i="76"/>
  <c r="H361" i="76"/>
  <c r="G371" i="76"/>
  <c r="G490" i="76" s="1"/>
  <c r="G534" i="76" s="1"/>
  <c r="H368" i="76"/>
  <c r="G378" i="76"/>
  <c r="G497" i="76" s="1"/>
  <c r="G541" i="76" s="1"/>
  <c r="G374" i="76"/>
  <c r="G493" i="76" s="1"/>
  <c r="G537" i="76" s="1"/>
  <c r="H364" i="76"/>
  <c r="H369" i="76"/>
  <c r="G379" i="76"/>
  <c r="G498" i="76" s="1"/>
  <c r="G542" i="76" s="1"/>
  <c r="G372" i="76"/>
  <c r="G491" i="76" s="1"/>
  <c r="G535" i="76" s="1"/>
  <c r="H362" i="76"/>
  <c r="G373" i="76"/>
  <c r="G492" i="76" s="1"/>
  <c r="G536" i="76" s="1"/>
  <c r="H363" i="76"/>
  <c r="G375" i="76"/>
  <c r="G494" i="76" s="1"/>
  <c r="G538" i="76" s="1"/>
  <c r="H365" i="76"/>
  <c r="H292" i="76"/>
  <c r="H485" i="76" s="1"/>
  <c r="H529" i="76" s="1"/>
  <c r="I282" i="76"/>
  <c r="H289" i="76"/>
  <c r="H482" i="76" s="1"/>
  <c r="H526" i="76" s="1"/>
  <c r="I279" i="76"/>
  <c r="H288" i="76"/>
  <c r="H481" i="76" s="1"/>
  <c r="H525" i="76" s="1"/>
  <c r="I278" i="76"/>
  <c r="I276" i="76"/>
  <c r="H286" i="76"/>
  <c r="H479" i="76" s="1"/>
  <c r="H523" i="76" s="1"/>
  <c r="I277" i="76"/>
  <c r="H287" i="76"/>
  <c r="H480" i="76" s="1"/>
  <c r="H524" i="76" s="1"/>
  <c r="I280" i="76"/>
  <c r="H290" i="76"/>
  <c r="H483" i="76" s="1"/>
  <c r="H527" i="76" s="1"/>
  <c r="H293" i="76"/>
  <c r="H486" i="76" s="1"/>
  <c r="H530" i="76" s="1"/>
  <c r="I283" i="76"/>
  <c r="H295" i="76"/>
  <c r="H488" i="76" s="1"/>
  <c r="H532" i="76" s="1"/>
  <c r="I285" i="76"/>
  <c r="I294" i="76"/>
  <c r="I487" i="76" s="1"/>
  <c r="I531" i="76" s="1"/>
  <c r="J284" i="76"/>
  <c r="H291" i="76"/>
  <c r="H484" i="76" s="1"/>
  <c r="H528" i="76" s="1"/>
  <c r="I281" i="76"/>
  <c r="I201" i="76"/>
  <c r="H211" i="76"/>
  <c r="H478" i="76" s="1"/>
  <c r="I192" i="76"/>
  <c r="H202" i="76"/>
  <c r="H469" i="76" s="1"/>
  <c r="I198" i="76"/>
  <c r="H208" i="76"/>
  <c r="H475" i="76" s="1"/>
  <c r="I197" i="76"/>
  <c r="H207" i="76"/>
  <c r="H474" i="76" s="1"/>
  <c r="I196" i="76"/>
  <c r="H206" i="76"/>
  <c r="H473" i="76" s="1"/>
  <c r="J194" i="76"/>
  <c r="I199" i="76"/>
  <c r="H209" i="76"/>
  <c r="H476" i="76" s="1"/>
  <c r="G599" i="76"/>
  <c r="G643" i="76" s="1"/>
  <c r="F643" i="76"/>
  <c r="I633" i="76"/>
  <c r="F633" i="76"/>
  <c r="K633" i="76"/>
  <c r="L599" i="76"/>
  <c r="L643" i="76" s="1"/>
  <c r="J599" i="76"/>
  <c r="J643" i="76" s="1"/>
  <c r="K599" i="76"/>
  <c r="K643" i="76" s="1"/>
  <c r="H599" i="76"/>
  <c r="H643" i="76" s="1"/>
  <c r="I599" i="76"/>
  <c r="I643" i="76" s="1"/>
  <c r="G125" i="76"/>
  <c r="G604" i="76"/>
  <c r="G648" i="76" s="1"/>
  <c r="G605" i="76"/>
  <c r="G649" i="76" s="1"/>
  <c r="G600" i="76"/>
  <c r="G601" i="76"/>
  <c r="G645" i="76" s="1"/>
  <c r="G602" i="76"/>
  <c r="G646" i="76" s="1"/>
  <c r="G603" i="76"/>
  <c r="G647" i="76" s="1"/>
  <c r="G123" i="76"/>
  <c r="G578" i="76"/>
  <c r="G628" i="76" s="1"/>
  <c r="G579" i="76"/>
  <c r="G629" i="76" s="1"/>
  <c r="G577" i="76"/>
  <c r="G627" i="76" s="1"/>
  <c r="G574" i="76"/>
  <c r="G624" i="76" s="1"/>
  <c r="G575" i="76"/>
  <c r="G625" i="76" s="1"/>
  <c r="G576" i="76"/>
  <c r="G626" i="76" s="1"/>
  <c r="G124" i="76"/>
  <c r="G592" i="76"/>
  <c r="G639" i="76" s="1"/>
  <c r="G587" i="76"/>
  <c r="G588" i="76"/>
  <c r="G635" i="76" s="1"/>
  <c r="G591" i="76"/>
  <c r="G638" i="76" s="1"/>
  <c r="G589" i="76"/>
  <c r="G636" i="76" s="1"/>
  <c r="G590" i="76"/>
  <c r="G637" i="76" s="1"/>
  <c r="J633" i="76"/>
  <c r="L633" i="76"/>
  <c r="G633" i="76"/>
  <c r="H633" i="76"/>
  <c r="G122" i="76"/>
  <c r="G563" i="76"/>
  <c r="G616" i="76" s="1"/>
  <c r="G564" i="76"/>
  <c r="G617" i="76" s="1"/>
  <c r="G565" i="76"/>
  <c r="G618" i="76" s="1"/>
  <c r="G566" i="76"/>
  <c r="G619" i="76" s="1"/>
  <c r="G561" i="76"/>
  <c r="G614" i="76" s="1"/>
  <c r="G562" i="76"/>
  <c r="G615" i="76" s="1"/>
  <c r="G519" i="76"/>
  <c r="G518" i="76"/>
  <c r="G513" i="76"/>
  <c r="G520" i="76"/>
  <c r="G522" i="76"/>
  <c r="I104" i="76"/>
  <c r="H113" i="76"/>
  <c r="I105" i="76"/>
  <c r="H114" i="76"/>
  <c r="I106" i="76"/>
  <c r="H115" i="76"/>
  <c r="I103" i="76"/>
  <c r="H112" i="76"/>
  <c r="I107" i="76"/>
  <c r="H121" i="76"/>
  <c r="H200" i="76" l="1"/>
  <c r="G210" i="76"/>
  <c r="G477" i="76" s="1"/>
  <c r="G521" i="76" s="1"/>
  <c r="G205" i="76"/>
  <c r="G472" i="76" s="1"/>
  <c r="G516" i="76" s="1"/>
  <c r="H195" i="76"/>
  <c r="H193" i="76"/>
  <c r="G203" i="76"/>
  <c r="G470" i="76" s="1"/>
  <c r="G514" i="76" s="1"/>
  <c r="J448" i="76"/>
  <c r="I458" i="76"/>
  <c r="I503" i="76" s="1"/>
  <c r="I547" i="76" s="1"/>
  <c r="J447" i="76"/>
  <c r="I457" i="76"/>
  <c r="I502" i="76" s="1"/>
  <c r="I546" i="76" s="1"/>
  <c r="J446" i="76"/>
  <c r="I456" i="76"/>
  <c r="I501" i="76" s="1"/>
  <c r="I545" i="76" s="1"/>
  <c r="I463" i="76"/>
  <c r="I508" i="76" s="1"/>
  <c r="I552" i="76" s="1"/>
  <c r="J453" i="76"/>
  <c r="I459" i="76"/>
  <c r="I504" i="76" s="1"/>
  <c r="I548" i="76" s="1"/>
  <c r="J449" i="76"/>
  <c r="I460" i="76"/>
  <c r="I505" i="76" s="1"/>
  <c r="I549" i="76" s="1"/>
  <c r="J450" i="76"/>
  <c r="I462" i="76"/>
  <c r="I507" i="76" s="1"/>
  <c r="I551" i="76" s="1"/>
  <c r="J452" i="76"/>
  <c r="I454" i="76"/>
  <c r="I499" i="76" s="1"/>
  <c r="I543" i="76" s="1"/>
  <c r="J444" i="76"/>
  <c r="I455" i="76"/>
  <c r="I500" i="76" s="1"/>
  <c r="I544" i="76" s="1"/>
  <c r="J445" i="76"/>
  <c r="I461" i="76"/>
  <c r="I506" i="76" s="1"/>
  <c r="I550" i="76" s="1"/>
  <c r="J451" i="76"/>
  <c r="H371" i="76"/>
  <c r="H490" i="76" s="1"/>
  <c r="H534" i="76" s="1"/>
  <c r="I361" i="76"/>
  <c r="H377" i="76"/>
  <c r="H496" i="76" s="1"/>
  <c r="H540" i="76" s="1"/>
  <c r="I367" i="76"/>
  <c r="I362" i="76"/>
  <c r="H372" i="76"/>
  <c r="H491" i="76" s="1"/>
  <c r="H535" i="76" s="1"/>
  <c r="H379" i="76"/>
  <c r="H498" i="76" s="1"/>
  <c r="H542" i="76" s="1"/>
  <c r="I369" i="76"/>
  <c r="H375" i="76"/>
  <c r="H494" i="76" s="1"/>
  <c r="H538" i="76" s="1"/>
  <c r="I365" i="76"/>
  <c r="I364" i="76"/>
  <c r="H374" i="76"/>
  <c r="H493" i="76" s="1"/>
  <c r="H537" i="76" s="1"/>
  <c r="J370" i="76"/>
  <c r="J489" i="76" s="1"/>
  <c r="J533" i="76" s="1"/>
  <c r="K360" i="76"/>
  <c r="H373" i="76"/>
  <c r="H492" i="76" s="1"/>
  <c r="H536" i="76" s="1"/>
  <c r="I363" i="76"/>
  <c r="H378" i="76"/>
  <c r="H497" i="76" s="1"/>
  <c r="H541" i="76" s="1"/>
  <c r="I368" i="76"/>
  <c r="I366" i="76"/>
  <c r="H376" i="76"/>
  <c r="H495" i="76" s="1"/>
  <c r="H539" i="76" s="1"/>
  <c r="I286" i="76"/>
  <c r="I479" i="76" s="1"/>
  <c r="I523" i="76" s="1"/>
  <c r="J276" i="76"/>
  <c r="I295" i="76"/>
  <c r="I488" i="76" s="1"/>
  <c r="I532" i="76" s="1"/>
  <c r="J285" i="76"/>
  <c r="J283" i="76"/>
  <c r="I293" i="76"/>
  <c r="I486" i="76" s="1"/>
  <c r="I530" i="76" s="1"/>
  <c r="I288" i="76"/>
  <c r="I481" i="76" s="1"/>
  <c r="I525" i="76" s="1"/>
  <c r="J278" i="76"/>
  <c r="J279" i="76"/>
  <c r="I289" i="76"/>
  <c r="I482" i="76" s="1"/>
  <c r="I526" i="76" s="1"/>
  <c r="J281" i="76"/>
  <c r="I291" i="76"/>
  <c r="I484" i="76" s="1"/>
  <c r="I528" i="76" s="1"/>
  <c r="J280" i="76"/>
  <c r="I290" i="76"/>
  <c r="I483" i="76" s="1"/>
  <c r="I527" i="76" s="1"/>
  <c r="J294" i="76"/>
  <c r="J487" i="76" s="1"/>
  <c r="J531" i="76" s="1"/>
  <c r="K284" i="76"/>
  <c r="J282" i="76"/>
  <c r="I292" i="76"/>
  <c r="I485" i="76" s="1"/>
  <c r="I529" i="76" s="1"/>
  <c r="J277" i="76"/>
  <c r="I287" i="76"/>
  <c r="I480" i="76" s="1"/>
  <c r="I524" i="76" s="1"/>
  <c r="K194" i="76"/>
  <c r="J204" i="76"/>
  <c r="J471" i="76" s="1"/>
  <c r="J198" i="76"/>
  <c r="I208" i="76"/>
  <c r="I475" i="76" s="1"/>
  <c r="J196" i="76"/>
  <c r="I206" i="76"/>
  <c r="I473" i="76" s="1"/>
  <c r="J197" i="76"/>
  <c r="I207" i="76"/>
  <c r="I474" i="76" s="1"/>
  <c r="J192" i="76"/>
  <c r="I202" i="76"/>
  <c r="I469" i="76" s="1"/>
  <c r="J199" i="76"/>
  <c r="I209" i="76"/>
  <c r="I476" i="76" s="1"/>
  <c r="I211" i="76"/>
  <c r="I478" i="76" s="1"/>
  <c r="J201" i="76"/>
  <c r="G517" i="76"/>
  <c r="K600" i="76"/>
  <c r="K644" i="76" s="1"/>
  <c r="G644" i="76"/>
  <c r="I634" i="76"/>
  <c r="G634" i="76"/>
  <c r="J600" i="76"/>
  <c r="J644" i="76" s="1"/>
  <c r="H123" i="76"/>
  <c r="H576" i="76"/>
  <c r="H626" i="76" s="1"/>
  <c r="H577" i="76"/>
  <c r="H627" i="76" s="1"/>
  <c r="H578" i="76"/>
  <c r="H628" i="76" s="1"/>
  <c r="H579" i="76"/>
  <c r="H629" i="76" s="1"/>
  <c r="H575" i="76"/>
  <c r="H625" i="76" s="1"/>
  <c r="I600" i="76"/>
  <c r="I644" i="76" s="1"/>
  <c r="H125" i="76"/>
  <c r="H602" i="76"/>
  <c r="H646" i="76" s="1"/>
  <c r="H603" i="76"/>
  <c r="H647" i="76" s="1"/>
  <c r="H604" i="76"/>
  <c r="H648" i="76" s="1"/>
  <c r="H601" i="76"/>
  <c r="H605" i="76"/>
  <c r="H649" i="76" s="1"/>
  <c r="L600" i="76"/>
  <c r="L644" i="76" s="1"/>
  <c r="H600" i="76"/>
  <c r="H644" i="76" s="1"/>
  <c r="H124" i="76"/>
  <c r="H590" i="76"/>
  <c r="H637" i="76" s="1"/>
  <c r="H591" i="76"/>
  <c r="H638" i="76" s="1"/>
  <c r="H592" i="76"/>
  <c r="H639" i="76" s="1"/>
  <c r="H588" i="76"/>
  <c r="H635" i="76" s="1"/>
  <c r="H589" i="76"/>
  <c r="H636" i="76" s="1"/>
  <c r="H634" i="76"/>
  <c r="K634" i="76"/>
  <c r="J634" i="76"/>
  <c r="L634" i="76"/>
  <c r="H122" i="76"/>
  <c r="H562" i="76"/>
  <c r="H615" i="76" s="1"/>
  <c r="H563" i="76"/>
  <c r="H616" i="76" s="1"/>
  <c r="H564" i="76"/>
  <c r="H617" i="76" s="1"/>
  <c r="H565" i="76"/>
  <c r="H618" i="76" s="1"/>
  <c r="H566" i="76"/>
  <c r="H619" i="76" s="1"/>
  <c r="H520" i="76"/>
  <c r="H515" i="76"/>
  <c r="H513" i="76"/>
  <c r="H522" i="76"/>
  <c r="H519" i="76"/>
  <c r="H517" i="76"/>
  <c r="J103" i="76"/>
  <c r="I112" i="76"/>
  <c r="J106" i="76"/>
  <c r="I115" i="76"/>
  <c r="J105" i="76"/>
  <c r="I114" i="76"/>
  <c r="J104" i="76"/>
  <c r="I113" i="76"/>
  <c r="J107" i="76"/>
  <c r="I121" i="76"/>
  <c r="I200" i="76" l="1"/>
  <c r="H210" i="76"/>
  <c r="H477" i="76" s="1"/>
  <c r="H521" i="76" s="1"/>
  <c r="H203" i="76"/>
  <c r="H470" i="76" s="1"/>
  <c r="H514" i="76" s="1"/>
  <c r="I193" i="76"/>
  <c r="I195" i="76"/>
  <c r="H205" i="76"/>
  <c r="H472" i="76" s="1"/>
  <c r="H516" i="76" s="1"/>
  <c r="J454" i="76"/>
  <c r="J499" i="76" s="1"/>
  <c r="J543" i="76" s="1"/>
  <c r="K444" i="76"/>
  <c r="J463" i="76"/>
  <c r="J508" i="76" s="1"/>
  <c r="J552" i="76" s="1"/>
  <c r="K453" i="76"/>
  <c r="J462" i="76"/>
  <c r="J507" i="76" s="1"/>
  <c r="J551" i="76" s="1"/>
  <c r="K452" i="76"/>
  <c r="K446" i="76"/>
  <c r="J456" i="76"/>
  <c r="J501" i="76" s="1"/>
  <c r="J545" i="76" s="1"/>
  <c r="K451" i="76"/>
  <c r="J461" i="76"/>
  <c r="J506" i="76" s="1"/>
  <c r="J550" i="76" s="1"/>
  <c r="J460" i="76"/>
  <c r="J505" i="76" s="1"/>
  <c r="J549" i="76" s="1"/>
  <c r="K450" i="76"/>
  <c r="K447" i="76"/>
  <c r="J457" i="76"/>
  <c r="J502" i="76" s="1"/>
  <c r="J546" i="76" s="1"/>
  <c r="K445" i="76"/>
  <c r="J455" i="76"/>
  <c r="J500" i="76" s="1"/>
  <c r="J544" i="76" s="1"/>
  <c r="J459" i="76"/>
  <c r="J504" i="76" s="1"/>
  <c r="J548" i="76" s="1"/>
  <c r="K449" i="76"/>
  <c r="J458" i="76"/>
  <c r="J503" i="76" s="1"/>
  <c r="J547" i="76" s="1"/>
  <c r="K448" i="76"/>
  <c r="K370" i="76"/>
  <c r="K489" i="76" s="1"/>
  <c r="K533" i="76" s="1"/>
  <c r="L360" i="76"/>
  <c r="L370" i="76" s="1"/>
  <c r="L489" i="76" s="1"/>
  <c r="L533" i="76" s="1"/>
  <c r="J369" i="76"/>
  <c r="I379" i="76"/>
  <c r="I498" i="76" s="1"/>
  <c r="I542" i="76" s="1"/>
  <c r="I372" i="76"/>
  <c r="I491" i="76" s="1"/>
  <c r="I535" i="76" s="1"/>
  <c r="J362" i="76"/>
  <c r="J363" i="76"/>
  <c r="I373" i="76"/>
  <c r="I492" i="76" s="1"/>
  <c r="I536" i="76" s="1"/>
  <c r="J367" i="76"/>
  <c r="I377" i="76"/>
  <c r="I496" i="76" s="1"/>
  <c r="I540" i="76" s="1"/>
  <c r="I376" i="76"/>
  <c r="I495" i="76" s="1"/>
  <c r="I539" i="76" s="1"/>
  <c r="J366" i="76"/>
  <c r="J364" i="76"/>
  <c r="I374" i="76"/>
  <c r="I493" i="76" s="1"/>
  <c r="I537" i="76" s="1"/>
  <c r="I378" i="76"/>
  <c r="I497" i="76" s="1"/>
  <c r="I541" i="76" s="1"/>
  <c r="J368" i="76"/>
  <c r="J365" i="76"/>
  <c r="I375" i="76"/>
  <c r="I494" i="76" s="1"/>
  <c r="I538" i="76" s="1"/>
  <c r="I371" i="76"/>
  <c r="I490" i="76" s="1"/>
  <c r="I534" i="76" s="1"/>
  <c r="J361" i="76"/>
  <c r="K294" i="76"/>
  <c r="K487" i="76" s="1"/>
  <c r="K531" i="76" s="1"/>
  <c r="L284" i="76"/>
  <c r="L294" i="76" s="1"/>
  <c r="L487" i="76" s="1"/>
  <c r="L531" i="76" s="1"/>
  <c r="J288" i="76"/>
  <c r="J481" i="76" s="1"/>
  <c r="J525" i="76" s="1"/>
  <c r="K278" i="76"/>
  <c r="K285" i="76"/>
  <c r="J295" i="76"/>
  <c r="J488" i="76" s="1"/>
  <c r="J532" i="76" s="1"/>
  <c r="K277" i="76"/>
  <c r="J287" i="76"/>
  <c r="J480" i="76" s="1"/>
  <c r="J524" i="76" s="1"/>
  <c r="J291" i="76"/>
  <c r="J484" i="76" s="1"/>
  <c r="J528" i="76" s="1"/>
  <c r="K281" i="76"/>
  <c r="K280" i="76"/>
  <c r="J290" i="76"/>
  <c r="J483" i="76" s="1"/>
  <c r="J527" i="76" s="1"/>
  <c r="J286" i="76"/>
  <c r="J479" i="76" s="1"/>
  <c r="J523" i="76" s="1"/>
  <c r="K276" i="76"/>
  <c r="J293" i="76"/>
  <c r="J486" i="76" s="1"/>
  <c r="J530" i="76" s="1"/>
  <c r="K283" i="76"/>
  <c r="J292" i="76"/>
  <c r="J485" i="76" s="1"/>
  <c r="J529" i="76" s="1"/>
  <c r="K282" i="76"/>
  <c r="J289" i="76"/>
  <c r="J482" i="76" s="1"/>
  <c r="J526" i="76" s="1"/>
  <c r="K279" i="76"/>
  <c r="K199" i="76"/>
  <c r="J209" i="76"/>
  <c r="J476" i="76" s="1"/>
  <c r="K196" i="76"/>
  <c r="J206" i="76"/>
  <c r="J473" i="76" s="1"/>
  <c r="K201" i="76"/>
  <c r="J211" i="76"/>
  <c r="J478" i="76" s="1"/>
  <c r="K192" i="76"/>
  <c r="J202" i="76"/>
  <c r="J469" i="76" s="1"/>
  <c r="K197" i="76"/>
  <c r="J207" i="76"/>
  <c r="J474" i="76" s="1"/>
  <c r="K198" i="76"/>
  <c r="J208" i="76"/>
  <c r="J475" i="76" s="1"/>
  <c r="L194" i="76"/>
  <c r="L204" i="76" s="1"/>
  <c r="L471" i="76" s="1"/>
  <c r="K204" i="76"/>
  <c r="K471" i="76" s="1"/>
  <c r="H518" i="76"/>
  <c r="L601" i="76"/>
  <c r="L645" i="76" s="1"/>
  <c r="H645" i="76"/>
  <c r="I601" i="76"/>
  <c r="I645" i="76" s="1"/>
  <c r="K601" i="76"/>
  <c r="K645" i="76" s="1"/>
  <c r="I125" i="76"/>
  <c r="I602" i="76"/>
  <c r="I603" i="76"/>
  <c r="I647" i="76" s="1"/>
  <c r="I604" i="76"/>
  <c r="I648" i="76" s="1"/>
  <c r="I605" i="76"/>
  <c r="I649" i="76" s="1"/>
  <c r="K635" i="76"/>
  <c r="L635" i="76"/>
  <c r="I123" i="76"/>
  <c r="I576" i="76"/>
  <c r="I626" i="76" s="1"/>
  <c r="I577" i="76"/>
  <c r="I627" i="76" s="1"/>
  <c r="I578" i="76"/>
  <c r="I628" i="76" s="1"/>
  <c r="I579" i="76"/>
  <c r="I629" i="76" s="1"/>
  <c r="J635" i="76"/>
  <c r="I635" i="76"/>
  <c r="J601" i="76"/>
  <c r="J645" i="76" s="1"/>
  <c r="I124" i="76"/>
  <c r="I589" i="76"/>
  <c r="I590" i="76"/>
  <c r="I637" i="76" s="1"/>
  <c r="I591" i="76"/>
  <c r="I638" i="76" s="1"/>
  <c r="I592" i="76"/>
  <c r="I639" i="76" s="1"/>
  <c r="I122" i="76"/>
  <c r="I566" i="76"/>
  <c r="I619" i="76" s="1"/>
  <c r="I563" i="76"/>
  <c r="I616" i="76" s="1"/>
  <c r="I564" i="76"/>
  <c r="I617" i="76" s="1"/>
  <c r="I565" i="76"/>
  <c r="I618" i="76" s="1"/>
  <c r="I517" i="76"/>
  <c r="I518" i="76"/>
  <c r="I515" i="76"/>
  <c r="I513" i="76"/>
  <c r="I522" i="76"/>
  <c r="I520" i="76"/>
  <c r="K104" i="76"/>
  <c r="J113" i="76"/>
  <c r="K105" i="76"/>
  <c r="J114" i="76"/>
  <c r="K106" i="76"/>
  <c r="J115" i="76"/>
  <c r="K103" i="76"/>
  <c r="J112" i="76"/>
  <c r="K107" i="76"/>
  <c r="J121" i="76"/>
  <c r="J200" i="76" l="1"/>
  <c r="I210" i="76"/>
  <c r="I477" i="76" s="1"/>
  <c r="I521" i="76" s="1"/>
  <c r="J195" i="76"/>
  <c r="I205" i="76"/>
  <c r="I472" i="76" s="1"/>
  <c r="I516" i="76" s="1"/>
  <c r="I203" i="76"/>
  <c r="I470" i="76" s="1"/>
  <c r="I514" i="76" s="1"/>
  <c r="J193" i="76"/>
  <c r="K455" i="76"/>
  <c r="K500" i="76" s="1"/>
  <c r="K544" i="76" s="1"/>
  <c r="L445" i="76"/>
  <c r="L455" i="76" s="1"/>
  <c r="L500" i="76" s="1"/>
  <c r="L544" i="76" s="1"/>
  <c r="L446" i="76"/>
  <c r="L456" i="76" s="1"/>
  <c r="L501" i="76" s="1"/>
  <c r="L545" i="76" s="1"/>
  <c r="K456" i="76"/>
  <c r="K501" i="76" s="1"/>
  <c r="K545" i="76" s="1"/>
  <c r="K462" i="76"/>
  <c r="K507" i="76" s="1"/>
  <c r="K551" i="76" s="1"/>
  <c r="L452" i="76"/>
  <c r="L462" i="76" s="1"/>
  <c r="L507" i="76" s="1"/>
  <c r="L551" i="76" s="1"/>
  <c r="L447" i="76"/>
  <c r="L457" i="76" s="1"/>
  <c r="L502" i="76" s="1"/>
  <c r="L546" i="76" s="1"/>
  <c r="K457" i="76"/>
  <c r="K502" i="76" s="1"/>
  <c r="K546" i="76" s="1"/>
  <c r="K458" i="76"/>
  <c r="K503" i="76" s="1"/>
  <c r="K547" i="76" s="1"/>
  <c r="L448" i="76"/>
  <c r="L458" i="76" s="1"/>
  <c r="L503" i="76" s="1"/>
  <c r="L547" i="76" s="1"/>
  <c r="L450" i="76"/>
  <c r="L460" i="76" s="1"/>
  <c r="L505" i="76" s="1"/>
  <c r="L549" i="76" s="1"/>
  <c r="K460" i="76"/>
  <c r="K505" i="76" s="1"/>
  <c r="K549" i="76" s="1"/>
  <c r="K463" i="76"/>
  <c r="K508" i="76" s="1"/>
  <c r="K552" i="76" s="1"/>
  <c r="L453" i="76"/>
  <c r="L463" i="76" s="1"/>
  <c r="L508" i="76" s="1"/>
  <c r="L552" i="76" s="1"/>
  <c r="L449" i="76"/>
  <c r="L459" i="76" s="1"/>
  <c r="L504" i="76" s="1"/>
  <c r="L548" i="76" s="1"/>
  <c r="K459" i="76"/>
  <c r="K504" i="76" s="1"/>
  <c r="K548" i="76" s="1"/>
  <c r="K454" i="76"/>
  <c r="K499" i="76" s="1"/>
  <c r="K543" i="76" s="1"/>
  <c r="L444" i="76"/>
  <c r="L454" i="76" s="1"/>
  <c r="L499" i="76" s="1"/>
  <c r="L543" i="76" s="1"/>
  <c r="L451" i="76"/>
  <c r="L461" i="76" s="1"/>
  <c r="L506" i="76" s="1"/>
  <c r="L550" i="76" s="1"/>
  <c r="K461" i="76"/>
  <c r="K506" i="76" s="1"/>
  <c r="K550" i="76" s="1"/>
  <c r="K363" i="76"/>
  <c r="J373" i="76"/>
  <c r="J492" i="76" s="1"/>
  <c r="J536" i="76" s="1"/>
  <c r="J372" i="76"/>
  <c r="J491" i="76" s="1"/>
  <c r="J535" i="76" s="1"/>
  <c r="K362" i="76"/>
  <c r="J374" i="76"/>
  <c r="J493" i="76" s="1"/>
  <c r="J537" i="76" s="1"/>
  <c r="K364" i="76"/>
  <c r="K361" i="76"/>
  <c r="J371" i="76"/>
  <c r="J490" i="76" s="1"/>
  <c r="J534" i="76" s="1"/>
  <c r="J376" i="76"/>
  <c r="J495" i="76" s="1"/>
  <c r="J539" i="76" s="1"/>
  <c r="K366" i="76"/>
  <c r="J378" i="76"/>
  <c r="J497" i="76" s="1"/>
  <c r="J541" i="76" s="1"/>
  <c r="K368" i="76"/>
  <c r="J379" i="76"/>
  <c r="J498" i="76" s="1"/>
  <c r="J542" i="76" s="1"/>
  <c r="K369" i="76"/>
  <c r="K365" i="76"/>
  <c r="J375" i="76"/>
  <c r="J494" i="76" s="1"/>
  <c r="J538" i="76" s="1"/>
  <c r="K367" i="76"/>
  <c r="J377" i="76"/>
  <c r="J496" i="76" s="1"/>
  <c r="J540" i="76" s="1"/>
  <c r="K287" i="76"/>
  <c r="K480" i="76" s="1"/>
  <c r="K524" i="76" s="1"/>
  <c r="L277" i="76"/>
  <c r="L287" i="76" s="1"/>
  <c r="L480" i="76" s="1"/>
  <c r="L524" i="76" s="1"/>
  <c r="L276" i="76"/>
  <c r="L286" i="76" s="1"/>
  <c r="L479" i="76" s="1"/>
  <c r="L523" i="76" s="1"/>
  <c r="K286" i="76"/>
  <c r="K479" i="76" s="1"/>
  <c r="K523" i="76" s="1"/>
  <c r="K295" i="76"/>
  <c r="K488" i="76" s="1"/>
  <c r="K532" i="76" s="1"/>
  <c r="L285" i="76"/>
  <c r="L295" i="76" s="1"/>
  <c r="L488" i="76" s="1"/>
  <c r="L532" i="76" s="1"/>
  <c r="K289" i="76"/>
  <c r="K482" i="76" s="1"/>
  <c r="K526" i="76" s="1"/>
  <c r="L279" i="76"/>
  <c r="L289" i="76" s="1"/>
  <c r="L482" i="76" s="1"/>
  <c r="L526" i="76" s="1"/>
  <c r="K288" i="76"/>
  <c r="K481" i="76" s="1"/>
  <c r="K525" i="76" s="1"/>
  <c r="L278" i="76"/>
  <c r="L288" i="76" s="1"/>
  <c r="L481" i="76" s="1"/>
  <c r="L525" i="76" s="1"/>
  <c r="K290" i="76"/>
  <c r="K483" i="76" s="1"/>
  <c r="K527" i="76" s="1"/>
  <c r="L280" i="76"/>
  <c r="L290" i="76" s="1"/>
  <c r="L483" i="76" s="1"/>
  <c r="L527" i="76" s="1"/>
  <c r="L283" i="76"/>
  <c r="L293" i="76" s="1"/>
  <c r="L486" i="76" s="1"/>
  <c r="L530" i="76" s="1"/>
  <c r="K293" i="76"/>
  <c r="K486" i="76" s="1"/>
  <c r="K530" i="76" s="1"/>
  <c r="K292" i="76"/>
  <c r="K485" i="76" s="1"/>
  <c r="K529" i="76" s="1"/>
  <c r="L282" i="76"/>
  <c r="L292" i="76" s="1"/>
  <c r="L485" i="76" s="1"/>
  <c r="L529" i="76" s="1"/>
  <c r="K291" i="76"/>
  <c r="K484" i="76" s="1"/>
  <c r="K528" i="76" s="1"/>
  <c r="L281" i="76"/>
  <c r="L291" i="76" s="1"/>
  <c r="L484" i="76" s="1"/>
  <c r="L528" i="76" s="1"/>
  <c r="L201" i="76"/>
  <c r="L211" i="76" s="1"/>
  <c r="L478" i="76" s="1"/>
  <c r="K211" i="76"/>
  <c r="K478" i="76" s="1"/>
  <c r="L198" i="76"/>
  <c r="L208" i="76" s="1"/>
  <c r="L475" i="76" s="1"/>
  <c r="K208" i="76"/>
  <c r="K475" i="76" s="1"/>
  <c r="L197" i="76"/>
  <c r="L207" i="76" s="1"/>
  <c r="L474" i="76" s="1"/>
  <c r="K207" i="76"/>
  <c r="K474" i="76" s="1"/>
  <c r="K206" i="76"/>
  <c r="K473" i="76" s="1"/>
  <c r="L196" i="76"/>
  <c r="L206" i="76" s="1"/>
  <c r="L473" i="76" s="1"/>
  <c r="L192" i="76"/>
  <c r="L202" i="76" s="1"/>
  <c r="L469" i="76" s="1"/>
  <c r="K202" i="76"/>
  <c r="K469" i="76" s="1"/>
  <c r="L199" i="76"/>
  <c r="L209" i="76" s="1"/>
  <c r="L476" i="76" s="1"/>
  <c r="K209" i="76"/>
  <c r="K476" i="76" s="1"/>
  <c r="I519" i="76"/>
  <c r="L602" i="76"/>
  <c r="L646" i="76" s="1"/>
  <c r="I646" i="76"/>
  <c r="K636" i="76"/>
  <c r="I636" i="76"/>
  <c r="J124" i="76"/>
  <c r="J591" i="76"/>
  <c r="J638" i="76" s="1"/>
  <c r="J592" i="76"/>
  <c r="J639" i="76" s="1"/>
  <c r="J590" i="76"/>
  <c r="J637" i="76" s="1"/>
  <c r="J123" i="76"/>
  <c r="J577" i="76"/>
  <c r="J627" i="76" s="1"/>
  <c r="J578" i="76"/>
  <c r="J628" i="76" s="1"/>
  <c r="J579" i="76"/>
  <c r="J629" i="76" s="1"/>
  <c r="K602" i="76"/>
  <c r="K646" i="76" s="1"/>
  <c r="J602" i="76"/>
  <c r="J646" i="76" s="1"/>
  <c r="J125" i="76"/>
  <c r="J603" i="76"/>
  <c r="J604" i="76"/>
  <c r="J648" i="76" s="1"/>
  <c r="J605" i="76"/>
  <c r="J649" i="76" s="1"/>
  <c r="J636" i="76"/>
  <c r="L636" i="76"/>
  <c r="J122" i="76"/>
  <c r="J564" i="76"/>
  <c r="J617" i="76" s="1"/>
  <c r="J565" i="76"/>
  <c r="J618" i="76" s="1"/>
  <c r="J566" i="76"/>
  <c r="J619" i="76" s="1"/>
  <c r="J522" i="76"/>
  <c r="J519" i="76"/>
  <c r="J517" i="76"/>
  <c r="J513" i="76"/>
  <c r="J515" i="76"/>
  <c r="J518" i="76"/>
  <c r="L103" i="76"/>
  <c r="L112" i="76" s="1"/>
  <c r="K112" i="76"/>
  <c r="L106" i="76"/>
  <c r="L115" i="76" s="1"/>
  <c r="K115" i="76"/>
  <c r="L105" i="76"/>
  <c r="L114" i="76" s="1"/>
  <c r="K114" i="76"/>
  <c r="L104" i="76"/>
  <c r="L113" i="76" s="1"/>
  <c r="K113" i="76"/>
  <c r="L107" i="76"/>
  <c r="L121" i="76" s="1"/>
  <c r="K121" i="76"/>
  <c r="J210" i="76" l="1"/>
  <c r="J477" i="76" s="1"/>
  <c r="J521" i="76" s="1"/>
  <c r="K200" i="76"/>
  <c r="K193" i="76"/>
  <c r="J203" i="76"/>
  <c r="J470" i="76" s="1"/>
  <c r="J514" i="76" s="1"/>
  <c r="K195" i="76"/>
  <c r="J205" i="76"/>
  <c r="J472" i="76" s="1"/>
  <c r="J516" i="76" s="1"/>
  <c r="K375" i="76"/>
  <c r="K494" i="76" s="1"/>
  <c r="K538" i="76" s="1"/>
  <c r="L365" i="76"/>
  <c r="L375" i="76" s="1"/>
  <c r="L494" i="76" s="1"/>
  <c r="L538" i="76" s="1"/>
  <c r="K371" i="76"/>
  <c r="K490" i="76" s="1"/>
  <c r="K534" i="76" s="1"/>
  <c r="L361" i="76"/>
  <c r="L371" i="76" s="1"/>
  <c r="L490" i="76" s="1"/>
  <c r="L534" i="76" s="1"/>
  <c r="L369" i="76"/>
  <c r="L379" i="76" s="1"/>
  <c r="L498" i="76" s="1"/>
  <c r="L542" i="76" s="1"/>
  <c r="K379" i="76"/>
  <c r="K498" i="76" s="1"/>
  <c r="K542" i="76" s="1"/>
  <c r="K374" i="76"/>
  <c r="K493" i="76" s="1"/>
  <c r="K537" i="76" s="1"/>
  <c r="L364" i="76"/>
  <c r="L374" i="76" s="1"/>
  <c r="L493" i="76" s="1"/>
  <c r="L537" i="76" s="1"/>
  <c r="K378" i="76"/>
  <c r="K497" i="76" s="1"/>
  <c r="K541" i="76" s="1"/>
  <c r="L368" i="76"/>
  <c r="L378" i="76" s="1"/>
  <c r="L497" i="76" s="1"/>
  <c r="L541" i="76" s="1"/>
  <c r="K372" i="76"/>
  <c r="K491" i="76" s="1"/>
  <c r="K535" i="76" s="1"/>
  <c r="L362" i="76"/>
  <c r="L372" i="76" s="1"/>
  <c r="L491" i="76" s="1"/>
  <c r="L535" i="76" s="1"/>
  <c r="L366" i="76"/>
  <c r="L376" i="76" s="1"/>
  <c r="L495" i="76" s="1"/>
  <c r="L539" i="76" s="1"/>
  <c r="K376" i="76"/>
  <c r="K495" i="76" s="1"/>
  <c r="K539" i="76" s="1"/>
  <c r="K377" i="76"/>
  <c r="K496" i="76" s="1"/>
  <c r="K540" i="76" s="1"/>
  <c r="L367" i="76"/>
  <c r="L377" i="76" s="1"/>
  <c r="L496" i="76" s="1"/>
  <c r="L540" i="76" s="1"/>
  <c r="L363" i="76"/>
  <c r="L373" i="76" s="1"/>
  <c r="L492" i="76" s="1"/>
  <c r="L536" i="76" s="1"/>
  <c r="K373" i="76"/>
  <c r="K492" i="76" s="1"/>
  <c r="K536" i="76" s="1"/>
  <c r="J520" i="76"/>
  <c r="L603" i="76"/>
  <c r="L647" i="76" s="1"/>
  <c r="J647" i="76"/>
  <c r="K124" i="76"/>
  <c r="K591" i="76"/>
  <c r="K592" i="76"/>
  <c r="K639" i="76" s="1"/>
  <c r="L124" i="76"/>
  <c r="L592" i="76"/>
  <c r="L639" i="76" s="1"/>
  <c r="K125" i="76"/>
  <c r="K605" i="76"/>
  <c r="K649" i="76" s="1"/>
  <c r="K604" i="76"/>
  <c r="L125" i="76"/>
  <c r="L605" i="76"/>
  <c r="L649" i="76" s="1"/>
  <c r="L637" i="76"/>
  <c r="K637" i="76"/>
  <c r="K123" i="76"/>
  <c r="K578" i="76"/>
  <c r="K628" i="76" s="1"/>
  <c r="K579" i="76"/>
  <c r="K629" i="76" s="1"/>
  <c r="K603" i="76"/>
  <c r="K647" i="76" s="1"/>
  <c r="L123" i="76"/>
  <c r="L579" i="76"/>
  <c r="L629" i="76" s="1"/>
  <c r="K122" i="76"/>
  <c r="K565" i="76"/>
  <c r="K618" i="76" s="1"/>
  <c r="K566" i="76"/>
  <c r="K619" i="76" s="1"/>
  <c r="L122" i="76"/>
  <c r="L566" i="76"/>
  <c r="L619" i="76" s="1"/>
  <c r="L518" i="76"/>
  <c r="K517" i="76"/>
  <c r="K522" i="76"/>
  <c r="K515" i="76"/>
  <c r="L517" i="76"/>
  <c r="L522" i="76"/>
  <c r="L515" i="76"/>
  <c r="K513" i="76"/>
  <c r="L513" i="76"/>
  <c r="K519" i="76"/>
  <c r="K520" i="76"/>
  <c r="L519" i="76"/>
  <c r="L520" i="76"/>
  <c r="K518" i="76"/>
  <c r="K210" i="76" l="1"/>
  <c r="K477" i="76" s="1"/>
  <c r="K521" i="76" s="1"/>
  <c r="L200" i="76"/>
  <c r="L210" i="76" s="1"/>
  <c r="L477" i="76" s="1"/>
  <c r="L521" i="76" s="1"/>
  <c r="L195" i="76"/>
  <c r="L205" i="76" s="1"/>
  <c r="L472" i="76" s="1"/>
  <c r="L516" i="76" s="1"/>
  <c r="K205" i="76"/>
  <c r="K472" i="76" s="1"/>
  <c r="K516" i="76" s="1"/>
  <c r="L193" i="76"/>
  <c r="L203" i="76" s="1"/>
  <c r="L470" i="76" s="1"/>
  <c r="L514" i="76" s="1"/>
  <c r="K203" i="76"/>
  <c r="K470" i="76" s="1"/>
  <c r="K514" i="76" s="1"/>
  <c r="J593" i="76"/>
  <c r="J640" i="76" s="1"/>
  <c r="K606" i="76"/>
  <c r="K650" i="76" s="1"/>
  <c r="K638" i="76"/>
  <c r="L604" i="76"/>
  <c r="L648" i="76" s="1"/>
  <c r="K648" i="76"/>
  <c r="K593" i="76"/>
  <c r="K640" i="76" s="1"/>
  <c r="F567" i="76"/>
  <c r="F620" i="76" s="1"/>
  <c r="I567" i="76"/>
  <c r="I620" i="76" s="1"/>
  <c r="G567" i="76"/>
  <c r="G620" i="76" s="1"/>
  <c r="J567" i="76"/>
  <c r="J620" i="76" s="1"/>
  <c r="L567" i="76"/>
  <c r="L620" i="76" s="1"/>
  <c r="H567" i="76"/>
  <c r="H620" i="76" s="1"/>
  <c r="K567" i="76"/>
  <c r="K620" i="76" s="1"/>
  <c r="E567" i="76"/>
  <c r="E620" i="76" s="1"/>
  <c r="E593" i="76"/>
  <c r="E640" i="76" s="1"/>
  <c r="F593" i="76"/>
  <c r="F640" i="76" s="1"/>
  <c r="G593" i="76"/>
  <c r="G640" i="76" s="1"/>
  <c r="H593" i="76"/>
  <c r="H640" i="76" s="1"/>
  <c r="I593" i="76"/>
  <c r="I640" i="76" s="1"/>
  <c r="K580" i="76"/>
  <c r="K630" i="76" s="1"/>
  <c r="L580" i="76"/>
  <c r="L630" i="76" s="1"/>
  <c r="F580" i="76"/>
  <c r="F630" i="76" s="1"/>
  <c r="H580" i="76"/>
  <c r="H630" i="76" s="1"/>
  <c r="I580" i="76"/>
  <c r="I630" i="76" s="1"/>
  <c r="J580" i="76"/>
  <c r="J630" i="76" s="1"/>
  <c r="G580" i="76"/>
  <c r="G630" i="76" s="1"/>
  <c r="E580" i="76"/>
  <c r="E630" i="76" s="1"/>
  <c r="E606" i="76"/>
  <c r="E650" i="76" s="1"/>
  <c r="G606" i="76"/>
  <c r="G650" i="76" s="1"/>
  <c r="F606" i="76"/>
  <c r="F650" i="76" s="1"/>
  <c r="H606" i="76"/>
  <c r="H650" i="76" s="1"/>
  <c r="I606" i="76"/>
  <c r="I650" i="76" s="1"/>
  <c r="J606" i="76"/>
  <c r="J650" i="76" s="1"/>
  <c r="L593" i="76" l="1"/>
  <c r="L640" i="76" s="1"/>
  <c r="L638" i="76"/>
  <c r="L606" i="76"/>
  <c r="L650" i="7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Munz, Johannes</author>
  </authors>
  <commentList>
    <comment ref="L34" authorId="0" shapeId="0" xr:uid="{7174151E-DF69-4724-B0D9-FAF1E20502F9}">
      <text>
        <r>
          <rPr>
            <b/>
            <sz val="9"/>
            <color indexed="81"/>
            <rFont val="Segoe UI"/>
            <family val="2"/>
          </rPr>
          <t>Munz, Johannes:</t>
        </r>
        <r>
          <rPr>
            <sz val="9"/>
            <color indexed="81"/>
            <rFont val="Segoe UI"/>
            <family val="2"/>
          </rPr>
          <t xml:space="preserve">
costs for mobile data
</t>
        </r>
      </text>
    </comment>
    <comment ref="A56" authorId="0" shapeId="0" xr:uid="{00000000-0006-0000-0900-000015000000}">
      <text>
        <r>
          <rPr>
            <b/>
            <sz val="9"/>
            <color indexed="81"/>
            <rFont val="Segoe UI"/>
            <family val="2"/>
          </rPr>
          <t>Munz, Johannes:</t>
        </r>
        <r>
          <rPr>
            <sz val="9"/>
            <color indexed="81"/>
            <rFont val="Segoe UI"/>
            <family val="2"/>
          </rPr>
          <t xml:space="preserve">
Annahme, dass GPS-Signal vom GPS-Empfänger des Traktors genutzt werden kann und das Anbaugerät keinen eigenen Empfänger benötigt</t>
        </r>
      </text>
    </comment>
  </commentList>
</comments>
</file>

<file path=xl/sharedStrings.xml><?xml version="1.0" encoding="utf-8"?>
<sst xmlns="http://schemas.openxmlformats.org/spreadsheetml/2006/main" count="1263" uniqueCount="449">
  <si>
    <t>M1</t>
  </si>
  <si>
    <t>M2</t>
  </si>
  <si>
    <t>M3</t>
  </si>
  <si>
    <t>M4</t>
  </si>
  <si>
    <t>https://www.agris.de/de/mueller-elektronik/paralellfahren/track-guide-3-ag200-UT-TC-SC-Aktion.html</t>
  </si>
  <si>
    <t>https://agripp.de/produkt/isobus-ut-4/</t>
  </si>
  <si>
    <t>https://www.myagrar.de/m-c3-bcllerelektronik-grundausr-c3-bcstung-iii-isobus-m-incab-steckdose-50600008-00.html</t>
  </si>
  <si>
    <t>https://www.baywa.de/de/pflanzenbau/smart-farming/agrarsoftware/next-farming-teilflaeche-paket-betriebsmanagement-software/p-000000000002030897/</t>
  </si>
  <si>
    <t>https://www.baywa.de/de/pflanzenbau/smart-farming/agrarsoftware/next-farming-teilflaeche-paket-betriebsmanagement-software/p-000000000002030898/</t>
  </si>
  <si>
    <t>https://www.baywa.de/de/pflanzenbau/smart-farming/agrarsoftware/next-farming-teilflaeche-paket-betriebsmanagement-software/p-000000000002034112/</t>
  </si>
  <si>
    <t>https://www.baywa.de/de/pflanzenbau/smart-farming/agrarsoftware/next-farming-teilflaeche-paket-betriebsmanagement-software/p-000000000002030899/</t>
  </si>
  <si>
    <t>https://dittec.de/fjdynamics/?gclid=Cj0KCQiApKagBhC1ARIsAFc7Mc6uNDE1ue0cEyxbMVxOxPNmuqY8zNC05yN7vM7S96x0EyeRboYKh_4aAs3ZEALw_wcB</t>
  </si>
  <si>
    <t>https://www.eder-landtechnik.de/aktuelles/angebote/uebersicht-angebote/angebote-rtk/premo-rtk-spurfuehrungssystem/</t>
  </si>
  <si>
    <t>http://media.repro-mayr.de/84/572184.pdf</t>
  </si>
  <si>
    <t>https://de.tec24.com/c-18800/m-fendt/t-varioguide-rtk-novatel/mid-3529856.html</t>
  </si>
  <si>
    <t>https://www.profi.de/dl/0/0/1/8/d/e/154510173_4ce20e8180.pdf</t>
  </si>
  <si>
    <t>https://dittec.de/fjdynamics/?gclid=Cj0KCQiAx6ugBhCcARIsAGNmMbg6oM2yBc4DkPENfYmr6gTxbsFtg1IpkyMkb-fL7l9huRetbqkB1KoaAuVpEALw_wcB</t>
  </si>
  <si>
    <t>https://www.landwirt.com/gebrauchte,3342388,Steyr-RTK-Lenksystem---STEYR-S-GUIDE---CASE-ACCUGUIDE.html</t>
  </si>
  <si>
    <t>https://www.landwirt.com/gebrauchte,2897796,Trimble-XCN-1050-autom-Lenksystem-fuer-jeden-Traktor.html</t>
  </si>
  <si>
    <t>https://www.landwirt.com/gebrauchte,2875239,New-Holland-IntelliSteer-RTK-Lenksystem-%C2%B1-1-5-cm.html</t>
  </si>
  <si>
    <t>https://www.parallelfahren.de/automatische-lenkung/</t>
  </si>
  <si>
    <t>https://www.agris.at/media/downloads/Presse/ME_Touch_1200_BLUE.pdf</t>
  </si>
  <si>
    <t>https://agripp.de/produkt/section-control/</t>
  </si>
  <si>
    <t>https://agripp.de/produkt/isobus-ut-2/</t>
  </si>
  <si>
    <t>https://agripp.de/produkt/isobus-ut/</t>
  </si>
  <si>
    <t>https://agripp.de/produkt/touch1200/</t>
  </si>
  <si>
    <t>https://www.agris.de/de/mueller-elektronik/isobus-terminals/touch1200-terminal.html</t>
  </si>
  <si>
    <t>https://www.agris.de/de/mueller-elektronik/paralellfahren/zubehoer-paralellfahren/isobus-tc-app-auftragsbearbeitung.html</t>
  </si>
  <si>
    <t>https://www.agris.de/de/mueller-elektronik/paralellfahren/zubehoer-paralellfahren/section-control-app-teilbreitenschaltung.html</t>
  </si>
  <si>
    <t>https://www.agris.de/de/mueller-elektronik/paralellfahren/zubehoer-paralellfahren/isobus-ut-app-maschinensteuerung.html</t>
  </si>
  <si>
    <t>https://landtechnik-horsch.de/wp-content/uploads/2018/03/180306_Preisblatt_Fieldtronic_2018-Gesamt_DE.pdf</t>
  </si>
  <si>
    <t>https://www.spritzenteile.de/Geraetesteuerung/Mueller-Elektronik-Geraetesteuerungen/Geraetesteuuerung-Spurfuehrung-Parallelfahrsysteme-Precision-farming/mueller-elektronik-app-variable-rate-control.html?language=de</t>
  </si>
  <si>
    <t>http://www.kg-agrartechnik.de/pdf/me-2014.pdf</t>
  </si>
  <si>
    <t>https://schlepperteilewelt.de/isobus-basic-kit-vollstaendiger-kabelbaum</t>
  </si>
  <si>
    <t>https://geo-konzept.de/wp-content/uploads/2018/06/Topcon-Apollo-Prospekt.pdf</t>
  </si>
  <si>
    <t>https://landtechnik-mueller.ch/Dokumente/Bogballe/Bogballe_DLZMai2015_GenialEinfach.PDF</t>
  </si>
  <si>
    <t>Junction box ECU</t>
  </si>
  <si>
    <t>https://www.agrarheute.com/technik/ackerbautechnik/precision-farming-teilflaechenspezifisch-duengen-so-starten-569971</t>
  </si>
  <si>
    <t>in h</t>
  </si>
  <si>
    <t>https://www.maschinenring.de/fileadmin/media/Lokale_Ringe/MR_Landshut-Rottenburg/MR_VSKZ-Liste_ab_2022.pdf</t>
  </si>
  <si>
    <t>F1_M2_B</t>
  </si>
  <si>
    <t>F1_M1_B</t>
  </si>
  <si>
    <t>F1_M3_B</t>
  </si>
  <si>
    <t>F1_M4_B</t>
  </si>
  <si>
    <t>F1_M1_C</t>
  </si>
  <si>
    <t>F1_M2_C</t>
  </si>
  <si>
    <t>F1_M3_C</t>
  </si>
  <si>
    <t>F1_M4_C</t>
  </si>
  <si>
    <t>F1_M1_AB</t>
  </si>
  <si>
    <t>F1_M2_AB</t>
  </si>
  <si>
    <t>F1_M3_AB</t>
  </si>
  <si>
    <t>F1_M4_AB</t>
  </si>
  <si>
    <t>F1_M1_AC</t>
  </si>
  <si>
    <t>F1_M2_AC</t>
  </si>
  <si>
    <t>F1_M3_AC</t>
  </si>
  <si>
    <t>F1_M4_AC</t>
  </si>
  <si>
    <t>F1_AB_Mean</t>
  </si>
  <si>
    <t>F1_B_Mean</t>
  </si>
  <si>
    <t>F1_M1_R</t>
  </si>
  <si>
    <t>F1_M2_R</t>
  </si>
  <si>
    <t>F1_M3_R</t>
  </si>
  <si>
    <t>F1_M4_R</t>
  </si>
  <si>
    <t>Result (AB-AC)</t>
  </si>
  <si>
    <t>Year</t>
  </si>
  <si>
    <t>Benefit (of the farm in the respective year) in €</t>
  </si>
  <si>
    <t>Costs (of the farm in the respective year) in €</t>
  </si>
  <si>
    <t>B=Benefit, C=Costs, AB = aggregated benefit, AC = aggregated cost, R=Result (AB-AC)</t>
  </si>
  <si>
    <t>Aggregated Benefit</t>
  </si>
  <si>
    <t>Aggregated Costs</t>
  </si>
  <si>
    <t>Results</t>
  </si>
  <si>
    <t>Results per hectare</t>
  </si>
  <si>
    <t>Year of use</t>
  </si>
  <si>
    <t>Exit in year 1</t>
  </si>
  <si>
    <t>Exit in year 2</t>
  </si>
  <si>
    <t>Exit in year 3</t>
  </si>
  <si>
    <t>Exit in year 4</t>
  </si>
  <si>
    <t>Exit in year 5</t>
  </si>
  <si>
    <t>Exit in year 6</t>
  </si>
  <si>
    <t>Exit in year 7</t>
  </si>
  <si>
    <t>Exit in year 8</t>
  </si>
  <si>
    <t>Exit in year 9</t>
  </si>
  <si>
    <t>M1_Exit Year 1</t>
  </si>
  <si>
    <t>M1_Exit Year 2</t>
  </si>
  <si>
    <t>M1_Exit Year 3</t>
  </si>
  <si>
    <t>M1_Exit Year 4</t>
  </si>
  <si>
    <t>M1_Exit Year 5</t>
  </si>
  <si>
    <t>M1_Exit Year 6</t>
  </si>
  <si>
    <t>M1_Exit Year 7</t>
  </si>
  <si>
    <t>M1_Exit Year 8</t>
  </si>
  <si>
    <t>M1_Exit Year 9</t>
  </si>
  <si>
    <t>M1_Exit Year 10</t>
  </si>
  <si>
    <t>M2_Exit Year 1</t>
  </si>
  <si>
    <t>M2_Exit Year 2</t>
  </si>
  <si>
    <t>M2_Exit Year 3</t>
  </si>
  <si>
    <t>M2_Exit Year 4</t>
  </si>
  <si>
    <t>M2_Exit Year 5</t>
  </si>
  <si>
    <t>M2_Exit Year 6</t>
  </si>
  <si>
    <t>M2_Exit Year 7</t>
  </si>
  <si>
    <t>M2_Exit Year 8</t>
  </si>
  <si>
    <t>M2_Exit Year 9</t>
  </si>
  <si>
    <t>M2_Exit Year 10</t>
  </si>
  <si>
    <t>M3_Exit Year 1</t>
  </si>
  <si>
    <t>M3_Exit Year 2</t>
  </si>
  <si>
    <t>M3_Exit Year 3</t>
  </si>
  <si>
    <t>M3_Exit Year 4</t>
  </si>
  <si>
    <t>M3_Exit Year 5</t>
  </si>
  <si>
    <t>M3_Exit Year 6</t>
  </si>
  <si>
    <t>M3_Exit Year 7</t>
  </si>
  <si>
    <t>M3_Exit Year 8</t>
  </si>
  <si>
    <t>M3_Exit Year 9</t>
  </si>
  <si>
    <t>M3_Exit Year 10</t>
  </si>
  <si>
    <t>M4_Exit Year 1</t>
  </si>
  <si>
    <t>M4_Exit Year 2</t>
  </si>
  <si>
    <t>M4_Exit Year 3</t>
  </si>
  <si>
    <t>M4_Exit Year 4</t>
  </si>
  <si>
    <t>M4_Exit Year 5</t>
  </si>
  <si>
    <t>M4_Exit Year 6</t>
  </si>
  <si>
    <t>M4_Exit Year 7</t>
  </si>
  <si>
    <t>M4_Exit Year 8</t>
  </si>
  <si>
    <t>M4_Exit Year 9</t>
  </si>
  <si>
    <t>M4_Exit Year 10</t>
  </si>
  <si>
    <t>Actual Result</t>
  </si>
  <si>
    <t>Maximum Variation from final Result when exiting in the respective year</t>
  </si>
  <si>
    <t>Average Farm</t>
  </si>
  <si>
    <t>Arable land (in ha)</t>
  </si>
  <si>
    <t>https://www.statistik-bw.de/Landwirtschaft/Bodennutzung/LF-NutzngKultFrucht.jsp</t>
  </si>
  <si>
    <t>na</t>
  </si>
  <si>
    <t>Average BW Farm</t>
  </si>
  <si>
    <t>Source</t>
  </si>
  <si>
    <t>Crops</t>
  </si>
  <si>
    <t>Yield</t>
  </si>
  <si>
    <t>Change in Revenue</t>
  </si>
  <si>
    <t>Number of plots</t>
  </si>
  <si>
    <t>Mean</t>
  </si>
  <si>
    <t>No Exit</t>
  </si>
  <si>
    <t>Estimate_Year 3</t>
  </si>
  <si>
    <t>Estimate_Year 4</t>
  </si>
  <si>
    <t>Estimate_Year 5</t>
  </si>
  <si>
    <t>Estimate_Year 6</t>
  </si>
  <si>
    <t>Estimate_Year 7</t>
  </si>
  <si>
    <t>Estimate_Year 8</t>
  </si>
  <si>
    <t>Estimate_Year 9</t>
  </si>
  <si>
    <t>Estimate_Year 10</t>
  </si>
  <si>
    <t>Regression line</t>
  </si>
  <si>
    <t>M1 - from year 3 on non linear regression</t>
  </si>
  <si>
    <t>M2 - from year 3 on non linear regression</t>
  </si>
  <si>
    <t>M3 - only linear regression</t>
  </si>
  <si>
    <t>M4 - only linear regression</t>
  </si>
  <si>
    <t>R²</t>
  </si>
  <si>
    <t>NA</t>
  </si>
  <si>
    <t>Scenarios</t>
  </si>
  <si>
    <t>Existing machinery outdated, no retrofitting</t>
  </si>
  <si>
    <t>Existing fleet can be retrofitted</t>
  </si>
  <si>
    <t>Existing fleet is state of the art</t>
  </si>
  <si>
    <t>Engaging a service provider</t>
  </si>
  <si>
    <t>Entry Scenarios</t>
  </si>
  <si>
    <t>Exit Scenarios</t>
  </si>
  <si>
    <t>Complete exit – Sale of the new machines acquired</t>
  </si>
  <si>
    <t>Sale of removable retrofit parts</t>
  </si>
  <si>
    <t>Service provider is no longer contracted</t>
  </si>
  <si>
    <t>Farm Data</t>
  </si>
  <si>
    <t>(Assumption)</t>
  </si>
  <si>
    <t>Wage rate (in €)</t>
  </si>
  <si>
    <t>KTBL</t>
  </si>
  <si>
    <t>Degressive Depreciation</t>
  </si>
  <si>
    <t>Crops/ Specifications</t>
  </si>
  <si>
    <t>Share</t>
  </si>
  <si>
    <t>Yield (per ha)</t>
  </si>
  <si>
    <t>Price (per t)</t>
  </si>
  <si>
    <t>Direct Cost Savings SSM</t>
  </si>
  <si>
    <t>Change in Revenue SSM</t>
  </si>
  <si>
    <t>Direct Cost Savings GPS</t>
  </si>
  <si>
    <t>Number of fertilization measures</t>
  </si>
  <si>
    <t>Rapeseed</t>
  </si>
  <si>
    <t>Crop</t>
  </si>
  <si>
    <t>Permanent Grasland</t>
  </si>
  <si>
    <t>Fallow land</t>
  </si>
  <si>
    <t>total</t>
  </si>
  <si>
    <t>Size in 1000 ha</t>
  </si>
  <si>
    <t>with Fallow land</t>
  </si>
  <si>
    <t>without fallow land and permanent grasland</t>
  </si>
  <si>
    <t>share</t>
  </si>
  <si>
    <t>Entry</t>
  </si>
  <si>
    <t>Exit</t>
  </si>
  <si>
    <t>Benefit</t>
  </si>
  <si>
    <t>Costs</t>
  </si>
  <si>
    <r>
      <t xml:space="preserve">M1 - </t>
    </r>
    <r>
      <rPr>
        <sz val="11"/>
        <color theme="1"/>
        <rFont val="Calibri"/>
        <family val="2"/>
        <scheme val="minor"/>
      </rPr>
      <t>Existing machinery outdated, no retrofitting</t>
    </r>
  </si>
  <si>
    <r>
      <t xml:space="preserve">M2 - </t>
    </r>
    <r>
      <rPr>
        <sz val="11"/>
        <color theme="1"/>
        <rFont val="Calibri"/>
        <family val="2"/>
        <scheme val="minor"/>
      </rPr>
      <t>Existing fleet can be retrofitted</t>
    </r>
  </si>
  <si>
    <r>
      <t>M3</t>
    </r>
    <r>
      <rPr>
        <sz val="11"/>
        <color theme="1"/>
        <rFont val="Calibri"/>
        <family val="2"/>
        <scheme val="minor"/>
      </rPr>
      <t xml:space="preserve"> - Existing fleet is state of the art</t>
    </r>
  </si>
  <si>
    <r>
      <t>M4 -</t>
    </r>
    <r>
      <rPr>
        <sz val="11"/>
        <color theme="1"/>
        <rFont val="Calibri"/>
        <family val="2"/>
        <scheme val="minor"/>
      </rPr>
      <t xml:space="preserve"> Engaging a service provider</t>
    </r>
  </si>
  <si>
    <t>Investment costs/benefits
(in € per farm, in starting year)</t>
  </si>
  <si>
    <t>Additional var. costs
(in € per farm, occurring annually)</t>
  </si>
  <si>
    <t>Overview</t>
  </si>
  <si>
    <t>Detailed Results</t>
  </si>
  <si>
    <t>Investment Machinery</t>
  </si>
  <si>
    <t>Working time/learning costs/retrofitting/building back (on exit)</t>
  </si>
  <si>
    <t>Tractor</t>
  </si>
  <si>
    <t>Implement - Retrofitting</t>
  </si>
  <si>
    <t>Implement - New aquisition</t>
  </si>
  <si>
    <t>Implement base price</t>
  </si>
  <si>
    <t>Implement sale (old)</t>
  </si>
  <si>
    <t>Additional</t>
  </si>
  <si>
    <t>Service provider</t>
  </si>
  <si>
    <t>Familiarization - Tractor</t>
  </si>
  <si>
    <t>Familiarization - implement</t>
  </si>
  <si>
    <t>Familiarization - application map</t>
  </si>
  <si>
    <t>Recurring work steps</t>
  </si>
  <si>
    <t>Activation ISOBUS UT</t>
  </si>
  <si>
    <t>Activation ISOBUS TC</t>
  </si>
  <si>
    <t>Activation ISOBUS SC</t>
  </si>
  <si>
    <t>Activation ISOBUS VRC</t>
  </si>
  <si>
    <t>ISOBUS Terminal - Retrofit</t>
  </si>
  <si>
    <t>ISOBUS wiring</t>
  </si>
  <si>
    <t>GPS Guidance (RTK), permanently installed, ex works</t>
  </si>
  <si>
    <t>GPS Guidance (retrofit solution)</t>
  </si>
  <si>
    <t>Base price tractor (New)</t>
  </si>
  <si>
    <t>Sales price tractor (old)</t>
  </si>
  <si>
    <t>ISOBUS control unit</t>
  </si>
  <si>
    <t>Weighing cell(s)</t>
  </si>
  <si>
    <t>Sensor working position dosing unit</t>
  </si>
  <si>
    <t>Actuator volume control</t>
  </si>
  <si>
    <t>Sensor speed spreading discs</t>
  </si>
  <si>
    <t>Price new (VRC functionalities included)</t>
  </si>
  <si>
    <t>Price without TFS functionalities</t>
  </si>
  <si>
    <t>Sales value of the old implement (15-20 years)</t>
  </si>
  <si>
    <t>application map</t>
  </si>
  <si>
    <t>Omission of var. costs due to contractor use</t>
  </si>
  <si>
    <t>Machine check</t>
  </si>
  <si>
    <t>Search investment</t>
  </si>
  <si>
    <t>Terminal retrofit (installation + wiring)</t>
  </si>
  <si>
    <t>Activating ISOBUS</t>
  </si>
  <si>
    <t>Installation guidance system</t>
  </si>
  <si>
    <t xml:space="preserve">Familiarization time Guidance system </t>
  </si>
  <si>
    <t>Retrofitting missing components</t>
  </si>
  <si>
    <t>Test run, familiarization Handling</t>
  </si>
  <si>
    <t>Check operating software</t>
  </si>
  <si>
    <t>First settings/familiarization</t>
  </si>
  <si>
    <t>Create + validate application map</t>
  </si>
  <si>
    <t>Transfer of the application map + implementation of the measure</t>
  </si>
  <si>
    <t>Documentation of the measure (retransfer to farm PC)</t>
  </si>
  <si>
    <t>B(n) - Anual Benefit, € per year and farm</t>
  </si>
  <si>
    <t>IE(0) - Implementation Effort, € per year and farm</t>
  </si>
  <si>
    <t>EC(t) - Exit Costs, € per year and farm</t>
  </si>
  <si>
    <t>C(n) - additional costs anually, € per year and farm</t>
  </si>
  <si>
    <t>RC(n) - Anual Costs Contractor, € per year and farm</t>
  </si>
  <si>
    <t>Result per Year (not aggregated)</t>
  </si>
  <si>
    <t>Aggregated Result (€ per Farm and year)</t>
  </si>
  <si>
    <t>Aggregated Result (€ per ha)</t>
  </si>
  <si>
    <t>M2_1.2 - Result split up according to Eq. 1</t>
  </si>
  <si>
    <t>M3_1.3 - Result split up according to Eq. 1</t>
  </si>
  <si>
    <t>M4_1.2 - Result split up according to Eq. 1</t>
  </si>
  <si>
    <t>M1-1.2 - Result split up according to Eq. 1 (in Euro per year and whole farm)</t>
  </si>
  <si>
    <t>M1-1.2 - Result split up according to Eq. 1 (in Euro per year and ha)</t>
  </si>
  <si>
    <t>M2-1.2 - Result split up according to Eq. 1 (in Euro per year and ha)</t>
  </si>
  <si>
    <t>M3_1.3 - Result split up according to Eq. 1 - per hectare</t>
  </si>
  <si>
    <t>Supplementary Material of the publication "What if precision agriculture is not profitable? - A comprehensive analysis of the right timing for exiting, taking into account different entry options" (Journal: Precision Agriculture)
Author: Johannes Munz, Institute of Applied Agricultural Science, Nuertingen-Geislingen University, Hechingerstr. 8, 72622 Nuertingen, Germany, Correspondence: johannes.munz@hfwu.de</t>
  </si>
  <si>
    <t>Opterational Changes_Cash Flow Analysis - Chapter 3.1</t>
  </si>
  <si>
    <t>Detailed Results per hectare - Static Analysis chapter 3.2</t>
  </si>
  <si>
    <t>Detailed Results (whole farm) - Static Analysis chapter 3.2</t>
  </si>
  <si>
    <t>Dynamic Analysis - Predicting the outcome_Average Farm_M1-M4_chapter 3.2 Dynamic Analysis (Results whole farm)</t>
  </si>
  <si>
    <t>Results per Hectare (dynamic analysis) - for chapter 3.2 Comparison Static with Dynamic</t>
  </si>
  <si>
    <t>Used estimation curves with associated R²</t>
  </si>
  <si>
    <t>Working Time</t>
  </si>
  <si>
    <t>M1_Entry</t>
  </si>
  <si>
    <t>M1_Exit</t>
  </si>
  <si>
    <t>M2_Entry</t>
  </si>
  <si>
    <t>M2_Exit</t>
  </si>
  <si>
    <t>M3_Entry</t>
  </si>
  <si>
    <t>M3_Exit</t>
  </si>
  <si>
    <t>M4_Entry</t>
  </si>
  <si>
    <t>M4_Exit</t>
  </si>
  <si>
    <t>Implement</t>
  </si>
  <si>
    <t>Application map</t>
  </si>
  <si>
    <t>IE(0)</t>
  </si>
  <si>
    <t>annually recurring (per fertilization measure)</t>
  </si>
  <si>
    <t>Comment</t>
  </si>
  <si>
    <t>Selection</t>
  </si>
  <si>
    <t xml:space="preserve">Familiarization time (e.g. for guidance system) </t>
  </si>
  <si>
    <t>Test run, familiarization with handling etc.</t>
  </si>
  <si>
    <t>Working steps (detailed description in Supplementary Materials under "Description_Decision Paths.pdf")</t>
  </si>
  <si>
    <t>Check farm software</t>
  </si>
  <si>
    <t>Technology for site-specific N fertilization</t>
  </si>
  <si>
    <t>Complete Exit (M1/M2/M4)</t>
  </si>
  <si>
    <t>Exit partly (M3)</t>
  </si>
  <si>
    <t>Selection - Exit</t>
  </si>
  <si>
    <t>Selection - Entry</t>
  </si>
  <si>
    <t>Parts/Description</t>
  </si>
  <si>
    <t>Limitation farm size (ha)</t>
  </si>
  <si>
    <t>Investmentcosts</t>
  </si>
  <si>
    <t>Hectare pricing (if applicable)</t>
  </si>
  <si>
    <t>additional annual costs (if applicable)</t>
  </si>
  <si>
    <t>additional sources/comments</t>
  </si>
  <si>
    <t>Costs contractor</t>
  </si>
  <si>
    <t>ISOBUS-Activations</t>
  </si>
  <si>
    <t>ISOBUS Terminal - Retrofitting</t>
  </si>
  <si>
    <t>GPS Guidance system (RTK) - new tractor</t>
  </si>
  <si>
    <t>based on KTBL values</t>
  </si>
  <si>
    <t>Selection Matrix</t>
  </si>
  <si>
    <t>0=no selection/not considered; 1=selection; negative value in case of sale of machinery</t>
  </si>
  <si>
    <t>GPS Guidance system (RTK) - retrofittable</t>
  </si>
  <si>
    <t>Base price Tractor</t>
  </si>
  <si>
    <t>Sales price old tractor</t>
  </si>
  <si>
    <t>Retrofit solution</t>
  </si>
  <si>
    <t>New</t>
  </si>
  <si>
    <t>Base price implement</t>
  </si>
  <si>
    <t>Sales price old implement</t>
  </si>
  <si>
    <t>any</t>
  </si>
  <si>
    <t xml:space="preserve">Touch1200 BLUE edition as universal terminal, with UT/TC/SC as standard Functionality = 5712 gross without installation, less UT/TC/SC </t>
  </si>
  <si>
    <t>Touch1200 as universal terminal, standard with UT/TC/SC functionality = 4527.95 gross without installation, less UT/TC/SC</t>
  </si>
  <si>
    <t>Touch1200 as universal terminal, with UT/TC/SC functionality as standard = 6152.3 gross without installation, less UT/TC</t>
  </si>
  <si>
    <t>CCI-1200 ISOBUS terminal, UT pre-installed, incl. holder, Incab connection cable and transport case, price gross, without mounting = 3450</t>
  </si>
  <si>
    <t>ISOBUS wiring harness retrofit kit</t>
  </si>
  <si>
    <t>ISOBUS wiring harness tractor basic equipment retrofit kit (battery connection incl. fuse, implement socket for connecting an ISOBUS-capable implement, InCab socket for connecting an ISOBUS-capable operator terminal)</t>
  </si>
  <si>
    <t>ISOBUS wiring harness, basic equipment with job computer tractor for connection to signal socket according to DIN 9684.1/ISO 11786, cable length for rear socket 0.5 m</t>
  </si>
  <si>
    <t>ISOBUS harness, Basic Kit complete harness, with rear connector, in-cab connector, CANBUS communication between tractor and implement according to ISO 11783</t>
  </si>
  <si>
    <t>GPS guidance system RTK - permanently installed (Fendt VarioGuide RTK), annual additional costs for Sim card 150 €, SAPOS correction signal management fee of 150 € included in investment costs</t>
  </si>
  <si>
    <t>Case ICH Accuguide, AFS 600 (10.4 -inch) touch-screen monitor, navigation controller with integrated T3 tilt sensor, antenna/receiver unit with possible 3 accuracy levels, steering angle sensor, without own RTK base station</t>
  </si>
  <si>
    <t>Claas GPS Pilot, Outback S3 control unit, RTK GPS guidance system</t>
  </si>
  <si>
    <t>John Deere, AutoTrac, operation with original GreenStar display, with mobile RTK station</t>
  </si>
  <si>
    <t>New Holland, IntellSteer, for machines with steering system preparation, incl. Trible NAV-3 controller, Timble AG-372 antenna, Trimble RV-55 cellular modem, RTK activation for GPS antenna, required cabling, installation and configuration, initial instruction</t>
  </si>
  <si>
    <t>Steyr S-Guide, RTK guidance system (+AFS 700 display for 1800 €, display has ISOBUS functionalities), with antenna AG372, NAV III controller for steering valve control and slope compensation, mobile modem incl. cable (for tractors with guidance system preparation) - price gross, without installation</t>
  </si>
  <si>
    <t>Source (accessed 01.02.-30.05.2023)</t>
  </si>
  <si>
    <t>GPS guidance system RTK - retrofit (includes Control Terminal, Satellite Antenna, Electric Steering wheel, Sensor Modules e.g. high precision angle sensors) - FJD Autosteering Kit with additional terminal, annual additional costs for sim card (approx. 150 €), SAPOS RTK correction signal theoretically free of charge (150 € administration fee for application) - price gross and without installation</t>
  </si>
  <si>
    <t>Premo+ RTK guidance system - gross price without assembly</t>
  </si>
  <si>
    <t>FJDYNAMICS, Steering Motor Based Steering System, Monitor 10 Inch - Gross Price Without Mounting</t>
  </si>
  <si>
    <t>Trimble XCN 1050 with automatic steering SAM200 steering wheel motor and RTK accuracy, price gross without mounting</t>
  </si>
  <si>
    <t>RTK guidance system with parallel driving terminal and mobile modem for RTK reception, steering wheel motor with gear rim, sensor box for compensation of inclination and unevenness, control ECU box for steering wheel motor control, wheel angle sensor, GNSS receiver with RTK accuracy, price gross without assembly</t>
  </si>
  <si>
    <t>Standard tractor, all-wheel drive, continuously variable transmission, 40 km/h, 45 kW</t>
  </si>
  <si>
    <t>Standard tractor, all-wheel drive, continuously variable transmission, 40 km/h, 67 kW</t>
  </si>
  <si>
    <t>Standard tractor, all-wheel drive, continuously variable transmission, 40 km/h, 83 kW</t>
  </si>
  <si>
    <t>Assumption, based on prices for used parts and prices of similar components</t>
  </si>
  <si>
    <t>ISOBUS cabling (from the ISOBUS control unit/job computer on the implement to the tractor cab)</t>
  </si>
  <si>
    <t>ISOBUS Controller CM-40 (ISO 11783, 4 channels for flow control, Multiple encoder, digital and analog inputs, IP69K protection class, ISO UT interface compatibility with existing tractor terminals, Fertilizer flow control possible)</t>
  </si>
  <si>
    <t>Junction box ECU (consolidation of sensors/actuators)</t>
  </si>
  <si>
    <t>Weighing cells (e.g. for flow control)/weighing triangle between tractor and implement</t>
  </si>
  <si>
    <t>Sensor working position dosing device</t>
  </si>
  <si>
    <t>Actuator flow control + adjustment of the feed point (e.g. controllable hydraulic/e-actuators)</t>
  </si>
  <si>
    <t>Cost of application maps per ha (minimum 2€/ha)</t>
  </si>
  <si>
    <t>Cost of application maps per ha (Max 5 €/ha)</t>
  </si>
  <si>
    <t>Calculated value (declining balance depreciation) Wert (degressive Abschreibung)</t>
  </si>
  <si>
    <t>Calculated value (declining balance depreciation)</t>
  </si>
  <si>
    <t>NEXT Farming site-specific farm management software - farm size &lt; 100 ha</t>
  </si>
  <si>
    <t>assumption based on the software costs below</t>
  </si>
  <si>
    <t>NEXT Farming Site-specific Farm Management Software - Farm Size &lt; 200 ha</t>
  </si>
  <si>
    <t>NEXT Farming Site-specific Farm Management Software - Farm Size &lt; 300 ha</t>
  </si>
  <si>
    <t>NEXT Farming Site-specific Farm Management Software - Farm Size &lt; 500 ha</t>
  </si>
  <si>
    <t>negative value for "additional annual var. costs" comes from saving var. costs of own mechanization</t>
  </si>
  <si>
    <t>Sum</t>
  </si>
  <si>
    <t>Site-Spezific Fertilizing contractor</t>
  </si>
  <si>
    <t>Working time requirement fertilization per year</t>
  </si>
  <si>
    <t>var Cost tractor+implement in €/h</t>
  </si>
  <si>
    <t>Tractor use</t>
  </si>
  <si>
    <t>Implement use</t>
  </si>
  <si>
    <t>calculation based on KTBL values</t>
  </si>
  <si>
    <t>Direct Costs (per ha)</t>
  </si>
  <si>
    <t>Applicator</t>
  </si>
  <si>
    <t>Sales value at exit (years of use) - double declining balance</t>
  </si>
  <si>
    <t>Loss upon exit - (in the respective year) - double declining balance</t>
  </si>
  <si>
    <t>lineare depreciation + differenciation of years 5-10-15</t>
  </si>
  <si>
    <t>Nitrogen Sensor</t>
  </si>
  <si>
    <t>Price N-Sensor</t>
  </si>
  <si>
    <t>Search and purchase Sensor</t>
  </si>
  <si>
    <t>Familiarization Nitrogen Sensor</t>
  </si>
  <si>
    <t>Calibration of sensor</t>
  </si>
  <si>
    <t>Search and purchase N-Sensor</t>
  </si>
  <si>
    <t>Calibration Sensor (each fertilizer application)</t>
  </si>
  <si>
    <t>https://www.dettmer-agrarservice.de/medien/pdf/flaechenspezifische-maisaussaat.pdf</t>
  </si>
  <si>
    <t>Tractor + applicator + N-Sensor</t>
  </si>
  <si>
    <t>H. Drücker: Precision Farming - Sensorgestützte Stickstoffdüngung KTBL Heft 113, S. 26</t>
  </si>
  <si>
    <t>H. Drücker: Precision Farming - Sensorgestützte Stickstoffdüngung KTBL Heft 113, S. 26 (5-10 min for Calibration)</t>
  </si>
  <si>
    <t>Claas Crop Sensor ISARIA</t>
  </si>
  <si>
    <t>H. Drücker: Precision Farming - Sensorgestützte Stickstoffdüngung KTBL Heft 113, S. 31</t>
  </si>
  <si>
    <t>AO Greenseeker Profi (20.396 €) + additional required Software for usage (350 €)</t>
  </si>
  <si>
    <t>Assumption based on practical experience of the author (can be overwritten as soon as there is an empirically determined value)</t>
  </si>
  <si>
    <t>With Sensor</t>
  </si>
  <si>
    <t>Crop X</t>
  </si>
  <si>
    <t>Crop Y</t>
  </si>
  <si>
    <t>Wheat</t>
  </si>
  <si>
    <t>Barley</t>
  </si>
  <si>
    <t>Existing mechanization is retained (except N-Sensor)</t>
  </si>
  <si>
    <t>KTBL checked at 21.10.23</t>
  </si>
  <si>
    <t>No Technology use</t>
  </si>
  <si>
    <t>Revenue</t>
  </si>
  <si>
    <t>Product price</t>
  </si>
  <si>
    <t>Seeding</t>
  </si>
  <si>
    <t>Fertilizer</t>
  </si>
  <si>
    <t>Pesticides</t>
  </si>
  <si>
    <t>Insurance</t>
  </si>
  <si>
    <t>rest (interest, water etc.)</t>
  </si>
  <si>
    <t>Summ Direct costs</t>
  </si>
  <si>
    <t>Savings GPS Guidance</t>
  </si>
  <si>
    <t>Savings SSM</t>
  </si>
  <si>
    <t>Revenue Change SSM</t>
  </si>
  <si>
    <t>Reckleben, Y. (2007): Teilflächenspezifische N-Düngung, KTBL-heft 75</t>
  </si>
  <si>
    <t>Specified for wheat</t>
  </si>
  <si>
    <t>Assumption, that similar effects can be observed in barley (compared to wheat)</t>
  </si>
  <si>
    <t>Noack, O.P.: Precision Farming Smart Farming Digital Farming - Grundlagen und Anwendungsfelder</t>
  </si>
  <si>
    <t>Assumption of Author, guidance system is not further specified</t>
  </si>
  <si>
    <t>Treiber-Niemann et al.: Parallelfahrsysteme, KTBL Heft 96, S.41</t>
  </si>
  <si>
    <t>Arith. Mean from used savings</t>
  </si>
  <si>
    <t>KTBL (2018): Faustzahlen für die Landwirtschaft, S.254 f.</t>
  </si>
  <si>
    <t>Shockley at al. (2011): A whole farm analysis of the influence of auto-steer navigation on net returns, risk and production practices</t>
  </si>
  <si>
    <t xml:space="preserve">Munz, J.; Schuele, H. Influencing the Success of Precision Farming Technology Adoption—A Model-Based Investigation of Economic Success Factors in Small-Scale Agriculture. Agriculture 2022, 12, 1773. https://doi.org/10.3390/agriculture12111773 </t>
  </si>
  <si>
    <t>Gandorfer Dissertation: https://mediatum.ub.tum.de/doc/603702/00000bd5.pdf</t>
  </si>
  <si>
    <t>Assumption that increase in yield can be achieved in all crops</t>
  </si>
  <si>
    <t>Heege, H.J.: precision in crop farming site specific concepts and sensing methods: applications and results, p. 260 f.</t>
  </si>
  <si>
    <t>Assumption, that increase in yield (in winter wheat) can be achieved in other crops too</t>
  </si>
  <si>
    <t>same amount of N is used, only distribution differs from uniform application)</t>
  </si>
  <si>
    <t>Medici, M. (2021): A web-tool for calculating the economic performance of precision agriculture technology</t>
  </si>
  <si>
    <t>S. Fabiani et al. (2020): Assessment of the economic and environmental sustainability of Variable
Rate Technology (VRT) application in different wheat intensive European
agricultural areas. A Water energy food nexus approach</t>
  </si>
  <si>
    <t>Results of the study are calculated for Wheat, but assumed to be similar in barley</t>
  </si>
  <si>
    <t>https://doi.org/10.1016/j.fcr.2018.01.007</t>
  </si>
  <si>
    <t>Arith. Mean from literature study (Table 1/2), all 27 wheat studies</t>
  </si>
  <si>
    <t>Arith. Mean from literature study (Table 1/2), two canola studies</t>
  </si>
  <si>
    <t>Change in %</t>
  </si>
  <si>
    <t xml:space="preserve">Values about product price and direct costs from KTBL Leistungs-Kostenrechner Pflanzenbau, onlinetool: https://daten.ktbl.de/dslkrpflanze/postHv.html#Ergebnis </t>
  </si>
  <si>
    <t>see "Impact Technologies"</t>
  </si>
  <si>
    <t>16 € per hour for tractor + plus 8 € per hour diesel + 15 € per hour for driver = 39 € per hour tractor use</t>
  </si>
  <si>
    <r>
      <t xml:space="preserve">Average Arable Farm Germany (spec. cereals, oilseeds and protein crop farms ): Statistisches Bundesamt, Fachserie 3, Reihe 2.1.4, 2016, p.14, online available under: </t>
    </r>
    <r>
      <rPr>
        <sz val="9"/>
        <color rgb="FFFF0000"/>
        <rFont val="Calibri"/>
        <family val="2"/>
        <scheme val="minor"/>
      </rPr>
      <t>https://www.destatis.de/DE/Themen/Branchen-Unternehmen/Landwirtschaft-Forstwirtschaft-Fischerei/Landwirtschaftliche-Betriebe/Publikationen/Downloads-Landwirtschaftliche-Betriebe/betriebswirtschaftliche-ausrichtung-standardoutput-2030214169004.pdf?__blob=publicationFile</t>
    </r>
  </si>
  <si>
    <t>Size Average Farm Germany (in ha)</t>
  </si>
  <si>
    <t>https://www.destatis.de/DE/Themen/Branchen-Unternehmen/Landwirtschaft-Forstwirtschaft-Fischerei/Feldfruechte-Gruenland/Publikationen/Downloads-Feldfruechte/feldfruechte-august-september-2030321222094.pdf?__blob=publicationFile</t>
  </si>
  <si>
    <t>Agricultural Statistics Germany - destatis Land- und Forstwirtschaft, Fischrei: Wachstum und Ernte Feldfrüchte 2022</t>
  </si>
  <si>
    <t>KTBL, assumption based on market prices</t>
  </si>
  <si>
    <t>Centrifugal spreader, mounted, 4000 l, with TFS functionalities etc.</t>
  </si>
  <si>
    <t>R(n) =-23104*n + 3056.4</t>
  </si>
  <si>
    <t>R(n) = 1734.3*n^2 - 25760*n + 2555</t>
  </si>
  <si>
    <t>R(n) = 2886*n² - 31762*n + 8828.3</t>
  </si>
  <si>
    <t>R(n) = 2597.4*n² - 30665*n + 7962.5</t>
  </si>
  <si>
    <t>R(n) = 2341.8*n² - 29489*n + 6888.9</t>
  </si>
  <si>
    <t>R(n) = 2115*n² - 28265*n + 5619.1</t>
  </si>
  <si>
    <t>R(n) = 1913.5*n² - 27015*n + 4168.5</t>
  </si>
  <si>
    <t>R(n) = -3428.7*n - 6242.2</t>
  </si>
  <si>
    <t>R(n) = 918.49*n² - 6184.2*n - 4405.2</t>
  </si>
  <si>
    <t>R(n) = 826.64*n² - 5835.2*n - 4680.8</t>
  </si>
  <si>
    <t>R(n) = 745.29*n² - 5460.9*n - 5022.4</t>
  </si>
  <si>
    <t>R(n) = 673.12*n² - 5071.2*n - 5426.6</t>
  </si>
  <si>
    <t>R(n) = 609*n² - 4673.7*n - 5888.2</t>
  </si>
  <si>
    <t>R(n) = 551.94*n² - 4274.3*n - 6401.8</t>
  </si>
  <si>
    <t>R(n) = 501.09*n² - 3877.6*n - 6961.2</t>
  </si>
  <si>
    <t>R(n) = -60.872*n - 3995.6</t>
  </si>
  <si>
    <t>R(n) = 389.65*n² - 1229.8*n - 3216.3</t>
  </si>
  <si>
    <t>R(n) = 350.69*n² - 1081.8*n - 3333.2</t>
  </si>
  <si>
    <t>R(n) = 316.17*n² - 923*n - 3478.1</t>
  </si>
  <si>
    <t>R(n) = 285.56*n² - 757.68*n - 3649.6</t>
  </si>
  <si>
    <t>R(n) = 258.36*n² - 589.03*n - 3845.4</t>
  </si>
  <si>
    <t>R(n) = 234.15*n² - 419.59*n - 4063.3</t>
  </si>
  <si>
    <t>R(n) = 212.58*n² - 251.31*n - 4300.6</t>
  </si>
  <si>
    <t>R(n) = 1574.5*n² - 24514*n + 797.31</t>
  </si>
  <si>
    <t>Summ 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</si>
</sst>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34" x14ac:knownFonts="1">
    <font>
      <sz val="11"/>
      <color theme="1"/>
      <name val="Calibri"/>
      <family val="2"/>
      <scheme val="minor"/>
    </font>
    <font>
      <sz val="9"/>
      <color indexed="81"/>
      <name val="Segoe UI"/>
      <family val="2"/>
    </font>
    <font>
      <b/>
      <sz val="9"/>
      <color indexed="81"/>
      <name val="Segoe UI"/>
      <family val="2"/>
    </font>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1"/>
      <name val="Calibri"/>
      <family val="2"/>
      <scheme val="minor"/>
    </font>
    <font>
      <sz val="8"/>
      <color theme="1"/>
      <name val="Calibri"/>
      <family val="2"/>
      <scheme val="minor"/>
    </font>
    <font>
      <u/>
      <sz val="11"/>
      <color theme="10"/>
      <name val="Calibri"/>
      <family val="2"/>
      <scheme val="minor"/>
    </font>
    <font>
      <sz val="11"/>
      <color rgb="FF7030A0"/>
      <name val="Calibri"/>
      <family val="2"/>
      <scheme val="minor"/>
    </font>
    <font>
      <sz val="11"/>
      <name val="Arial"/>
      <family val="2"/>
    </font>
    <font>
      <sz val="7"/>
      <name val="Arial"/>
      <family val="2"/>
    </font>
    <font>
      <b/>
      <sz val="8"/>
      <name val="Arial"/>
      <family val="2"/>
    </font>
    <font>
      <u/>
      <sz val="11"/>
      <color theme="10"/>
      <name val="Arial"/>
      <family val="2"/>
    </font>
    <font>
      <b/>
      <sz val="11"/>
      <color rgb="FF7030A0"/>
      <name val="Calibri"/>
      <family val="2"/>
      <scheme val="minor"/>
    </font>
    <font>
      <b/>
      <sz val="10"/>
      <color rgb="FFFF0000"/>
      <name val="Calibri"/>
      <family val="2"/>
      <scheme val="minor"/>
    </font>
    <font>
      <sz val="8"/>
      <name val="Calibri"/>
      <family val="2"/>
      <scheme val="minor"/>
    </font>
    <font>
      <sz val="11"/>
      <color rgb="FF3399FF"/>
      <name val="Calibri"/>
      <family val="2"/>
      <scheme val="minor"/>
    </font>
    <font>
      <sz val="9"/>
      <color theme="1"/>
      <name val="Calibri"/>
      <family val="2"/>
      <scheme val="minor"/>
    </font>
    <font>
      <sz val="11"/>
      <color rgb="FF66CCFF"/>
      <name val="Calibri"/>
      <family val="2"/>
      <scheme val="minor"/>
    </font>
    <font>
      <sz val="12"/>
      <color theme="1"/>
      <name val="Calibri"/>
      <family val="2"/>
      <scheme val="minor"/>
    </font>
    <font>
      <b/>
      <sz val="10"/>
      <name val="Calibri"/>
      <family val="2"/>
      <scheme val="minor"/>
    </font>
    <font>
      <b/>
      <sz val="14"/>
      <color theme="1"/>
      <name val="Calibri"/>
      <family val="2"/>
      <scheme val="minor"/>
    </font>
    <font>
      <sz val="14"/>
      <color theme="1"/>
      <name val="Calibri"/>
      <family val="2"/>
      <scheme val="minor"/>
    </font>
    <font>
      <sz val="14"/>
      <name val="Calibri"/>
      <family val="2"/>
      <scheme val="minor"/>
    </font>
    <font>
      <sz val="8"/>
      <color rgb="FFFF0000"/>
      <name val="Calibri"/>
      <family val="2"/>
      <scheme val="minor"/>
    </font>
    <font>
      <sz val="9"/>
      <color rgb="FFFF0000"/>
      <name val="Calibri"/>
      <family val="2"/>
      <scheme val="minor"/>
    </font>
    <font>
      <sz val="11"/>
      <color rgb="FFFA54E6"/>
      <name val="Calibri"/>
      <family val="2"/>
      <scheme val="minor"/>
    </font>
    <font>
      <sz val="10"/>
      <name val="Calibri"/>
      <family val="2"/>
    </font>
    <font>
      <sz val="11"/>
      <name val="Calibri"/>
      <family val="2"/>
    </font>
    <font>
      <b/>
      <sz val="11"/>
      <color rgb="FFBA1697"/>
      <name val="Calibri"/>
      <family val="2"/>
      <scheme val="minor"/>
    </font>
    <font>
      <b/>
      <sz val="11"/>
      <color rgb="FFFA54E6"/>
      <name val="Calibri"/>
      <family val="2"/>
      <scheme val="minor"/>
    </font>
  </fonts>
  <fills count="25">
    <fill>
      <patternFill patternType="none"/>
    </fill>
    <fill>
      <patternFill patternType="gray125"/>
    </fill>
    <fill>
      <patternFill patternType="solid">
        <fgColor theme="7"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9"/>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rgb="FFF8F8F8"/>
        <bgColor indexed="64"/>
      </patternFill>
    </fill>
    <fill>
      <patternFill patternType="solid">
        <fgColor rgb="FFCCFFCC"/>
        <bgColor indexed="64"/>
      </patternFill>
    </fill>
    <fill>
      <patternFill patternType="solid">
        <fgColor rgb="FFFFCCCC"/>
        <bgColor indexed="64"/>
      </patternFill>
    </fill>
    <fill>
      <patternFill patternType="solid">
        <fgColor theme="2"/>
        <bgColor indexed="64"/>
      </patternFill>
    </fill>
    <fill>
      <patternFill patternType="solid">
        <fgColor rgb="FFFFFFCC"/>
        <bgColor indexed="64"/>
      </patternFill>
    </fill>
    <fill>
      <patternFill patternType="solid">
        <fgColor rgb="FFFFFF99"/>
        <bgColor indexed="64"/>
      </patternFill>
    </fill>
    <fill>
      <patternFill patternType="solid">
        <fgColor theme="7" tint="0.59999389629810485"/>
        <bgColor indexed="64"/>
      </patternFill>
    </fill>
    <fill>
      <patternFill patternType="solid">
        <fgColor theme="2" tint="-9.9978637043366805E-2"/>
        <bgColor indexed="64"/>
      </patternFill>
    </fill>
  </fills>
  <borders count="2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double">
        <color indexed="64"/>
      </top>
      <bottom/>
      <diagonal/>
    </border>
  </borders>
  <cellStyleXfs count="8">
    <xf numFmtId="0" fontId="0" fillId="0" borderId="0"/>
    <xf numFmtId="9" fontId="3" fillId="0" borderId="0" applyFont="0" applyFill="0" applyBorder="0" applyAlignment="0" applyProtection="0"/>
    <xf numFmtId="0" fontId="10" fillId="0" borderId="0" applyNumberFormat="0" applyFill="0" applyBorder="0" applyAlignment="0" applyProtection="0"/>
    <xf numFmtId="0" fontId="12" fillId="0" borderId="0"/>
    <xf numFmtId="1" fontId="13" fillId="0" borderId="0" applyBorder="0">
      <alignment horizontal="center" vertical="center" wrapText="1"/>
    </xf>
    <xf numFmtId="1" fontId="13" fillId="0" borderId="0" applyBorder="0">
      <alignment horizontal="center" vertical="center"/>
    </xf>
    <xf numFmtId="1" fontId="14" fillId="0" borderId="0">
      <alignment horizontal="left"/>
    </xf>
    <xf numFmtId="0" fontId="15" fillId="0" borderId="0" applyNumberFormat="0" applyFill="0" applyBorder="0" applyAlignment="0" applyProtection="0"/>
  </cellStyleXfs>
  <cellXfs count="541">
    <xf numFmtId="0" fontId="0" fillId="0" borderId="0" xfId="0"/>
    <xf numFmtId="0" fontId="0" fillId="0" borderId="0" xfId="0" applyAlignment="1">
      <alignment horizontal="right"/>
    </xf>
    <xf numFmtId="0" fontId="0" fillId="2" borderId="0" xfId="0" applyFill="1"/>
    <xf numFmtId="0" fontId="4" fillId="0" borderId="0" xfId="0" applyFont="1"/>
    <xf numFmtId="0" fontId="0" fillId="0" borderId="1" xfId="0" applyBorder="1"/>
    <xf numFmtId="0" fontId="0" fillId="0" borderId="2" xfId="0" applyBorder="1"/>
    <xf numFmtId="0" fontId="0" fillId="0" borderId="0" xfId="0" applyAlignment="1"/>
    <xf numFmtId="0" fontId="0" fillId="0" borderId="0" xfId="0" applyBorder="1"/>
    <xf numFmtId="0" fontId="0" fillId="0" borderId="0" xfId="0" applyAlignment="1">
      <alignment wrapText="1"/>
    </xf>
    <xf numFmtId="0" fontId="0" fillId="0" borderId="0" xfId="0" applyAlignment="1">
      <alignment vertical="top" wrapText="1"/>
    </xf>
    <xf numFmtId="0" fontId="4" fillId="0" borderId="3" xfId="0" applyFont="1" applyBorder="1"/>
    <xf numFmtId="0" fontId="7" fillId="0" borderId="0" xfId="0" applyFont="1"/>
    <xf numFmtId="0" fontId="0" fillId="0" borderId="3" xfId="0" applyBorder="1"/>
    <xf numFmtId="0" fontId="0" fillId="2" borderId="0" xfId="0" applyFill="1" applyAlignment="1">
      <alignment wrapText="1"/>
    </xf>
    <xf numFmtId="0" fontId="4" fillId="0" borderId="0" xfId="0" applyFont="1" applyBorder="1"/>
    <xf numFmtId="0" fontId="0" fillId="0" borderId="3" xfId="0" applyBorder="1" applyAlignment="1">
      <alignment horizontal="center"/>
    </xf>
    <xf numFmtId="0" fontId="7" fillId="0" borderId="0" xfId="0" applyFont="1" applyAlignment="1">
      <alignment horizontal="center"/>
    </xf>
    <xf numFmtId="0" fontId="0" fillId="3" borderId="0" xfId="0" applyFill="1" applyAlignment="1">
      <alignment horizontal="center"/>
    </xf>
    <xf numFmtId="0" fontId="4" fillId="0" borderId="0" xfId="0" applyFont="1" applyAlignment="1">
      <alignment wrapText="1"/>
    </xf>
    <xf numFmtId="0" fontId="0" fillId="4" borderId="0" xfId="0" applyFill="1"/>
    <xf numFmtId="2" fontId="0" fillId="0" borderId="0" xfId="0" applyNumberFormat="1" applyAlignment="1">
      <alignment horizontal="center"/>
    </xf>
    <xf numFmtId="1" fontId="0" fillId="0" borderId="0" xfId="0" applyNumberFormat="1" applyAlignment="1">
      <alignment horizontal="center"/>
    </xf>
    <xf numFmtId="2" fontId="0" fillId="0" borderId="0" xfId="0" applyNumberFormat="1"/>
    <xf numFmtId="2" fontId="4" fillId="0" borderId="0" xfId="0" applyNumberFormat="1" applyFont="1"/>
    <xf numFmtId="0" fontId="0" fillId="0" borderId="0" xfId="0" applyAlignment="1">
      <alignment horizontal="left"/>
    </xf>
    <xf numFmtId="0" fontId="0" fillId="0" borderId="0" xfId="0" applyFill="1" applyBorder="1"/>
    <xf numFmtId="164" fontId="0" fillId="0" borderId="0" xfId="0" applyNumberFormat="1" applyAlignment="1">
      <alignment horizontal="center"/>
    </xf>
    <xf numFmtId="0" fontId="4" fillId="4" borderId="0" xfId="0" applyFont="1" applyFill="1"/>
    <xf numFmtId="0" fontId="0" fillId="0" borderId="0" xfId="0"/>
    <xf numFmtId="0" fontId="0" fillId="0" borderId="0" xfId="0" applyAlignment="1">
      <alignment vertical="center" wrapText="1"/>
    </xf>
    <xf numFmtId="2" fontId="0" fillId="0" borderId="0" xfId="0" applyNumberFormat="1" applyFill="1"/>
    <xf numFmtId="0" fontId="4" fillId="0" borderId="3" xfId="0" applyFont="1" applyBorder="1" applyAlignment="1">
      <alignment horizontal="center"/>
    </xf>
    <xf numFmtId="1" fontId="0" fillId="0" borderId="0" xfId="0" applyNumberFormat="1"/>
    <xf numFmtId="0" fontId="0" fillId="0" borderId="0" xfId="0" applyAlignment="1">
      <alignment horizontal="left" wrapText="1"/>
    </xf>
    <xf numFmtId="0" fontId="8" fillId="0" borderId="0" xfId="0" applyFont="1" applyAlignment="1">
      <alignment horizontal="center"/>
    </xf>
    <xf numFmtId="0" fontId="7" fillId="0" borderId="0" xfId="0" applyFont="1" applyBorder="1" applyAlignment="1">
      <alignment horizontal="center"/>
    </xf>
    <xf numFmtId="0" fontId="0" fillId="0" borderId="0" xfId="0" applyBorder="1" applyAlignment="1">
      <alignment horizontal="left"/>
    </xf>
    <xf numFmtId="0" fontId="0" fillId="0" borderId="5" xfId="0" applyBorder="1"/>
    <xf numFmtId="0" fontId="11" fillId="0" borderId="0" xfId="0" applyFont="1"/>
    <xf numFmtId="0" fontId="5" fillId="0" borderId="0" xfId="0" applyFont="1" applyFill="1" applyBorder="1"/>
    <xf numFmtId="0" fontId="0" fillId="0" borderId="0" xfId="0" applyAlignment="1">
      <alignment horizontal="center"/>
    </xf>
    <xf numFmtId="0" fontId="4" fillId="0" borderId="0" xfId="0" applyFont="1" applyAlignment="1">
      <alignment horizontal="center"/>
    </xf>
    <xf numFmtId="0" fontId="0" fillId="9" borderId="0" xfId="0" applyFill="1"/>
    <xf numFmtId="0" fontId="0" fillId="10" borderId="0" xfId="0" applyFill="1"/>
    <xf numFmtId="0" fontId="10" fillId="0" borderId="0" xfId="2"/>
    <xf numFmtId="0" fontId="0" fillId="10" borderId="0" xfId="0" applyFill="1" applyAlignment="1">
      <alignment wrapText="1"/>
    </xf>
    <xf numFmtId="0" fontId="0" fillId="0" borderId="0" xfId="0" applyAlignment="1">
      <alignment vertical="top"/>
    </xf>
    <xf numFmtId="0" fontId="0" fillId="10" borderId="2" xfId="0" applyFill="1" applyBorder="1"/>
    <xf numFmtId="0" fontId="4" fillId="2" borderId="0" xfId="0" applyFont="1" applyFill="1" applyAlignment="1">
      <alignment vertical="top" wrapText="1"/>
    </xf>
    <xf numFmtId="0" fontId="4" fillId="2" borderId="0" xfId="0" applyFont="1" applyFill="1" applyAlignment="1">
      <alignment horizontal="center" wrapText="1"/>
    </xf>
    <xf numFmtId="0" fontId="4" fillId="10" borderId="0" xfId="0" applyFont="1" applyFill="1" applyAlignment="1">
      <alignment vertical="top"/>
    </xf>
    <xf numFmtId="0" fontId="0" fillId="0" borderId="5" xfId="0" applyBorder="1" applyAlignment="1">
      <alignment horizontal="center"/>
    </xf>
    <xf numFmtId="0" fontId="0" fillId="0" borderId="5" xfId="0" applyBorder="1" applyAlignment="1">
      <alignment wrapText="1"/>
    </xf>
    <xf numFmtId="0" fontId="6" fillId="0" borderId="5" xfId="0" applyFont="1" applyBorder="1" applyAlignment="1">
      <alignment wrapText="1"/>
    </xf>
    <xf numFmtId="0" fontId="5" fillId="0" borderId="0" xfId="0" applyFont="1" applyAlignment="1">
      <alignment vertical="top"/>
    </xf>
    <xf numFmtId="0" fontId="0" fillId="10" borderId="0" xfId="0" applyFill="1" applyAlignment="1">
      <alignment horizontal="center"/>
    </xf>
    <xf numFmtId="164" fontId="4" fillId="0" borderId="0" xfId="0" applyNumberFormat="1" applyFont="1" applyAlignment="1">
      <alignment horizontal="center"/>
    </xf>
    <xf numFmtId="0" fontId="4" fillId="0" borderId="0" xfId="0" applyFont="1" applyAlignment="1">
      <alignment horizontal="right" wrapText="1"/>
    </xf>
    <xf numFmtId="0" fontId="0" fillId="0" borderId="0" xfId="0" applyFont="1" applyBorder="1" applyAlignment="1">
      <alignment wrapText="1"/>
    </xf>
    <xf numFmtId="0" fontId="0" fillId="10" borderId="0" xfId="0" applyFill="1" applyAlignment="1">
      <alignment horizontal="left" wrapText="1"/>
    </xf>
    <xf numFmtId="0" fontId="4" fillId="2" borderId="0" xfId="0" applyFont="1" applyFill="1" applyAlignment="1">
      <alignment horizontal="left" wrapText="1"/>
    </xf>
    <xf numFmtId="0" fontId="0" fillId="0" borderId="5" xfId="0" applyBorder="1" applyAlignment="1">
      <alignment horizontal="left"/>
    </xf>
    <xf numFmtId="0" fontId="0" fillId="0" borderId="3" xfId="0" applyBorder="1" applyAlignment="1">
      <alignment horizontal="left"/>
    </xf>
    <xf numFmtId="0" fontId="0" fillId="0" borderId="0" xfId="0" applyAlignment="1">
      <alignment horizontal="center"/>
    </xf>
    <xf numFmtId="0" fontId="0" fillId="11" borderId="0" xfId="0" applyFill="1"/>
    <xf numFmtId="0" fontId="0" fillId="12" borderId="0" xfId="0" applyFill="1"/>
    <xf numFmtId="0" fontId="0" fillId="0" borderId="0" xfId="0" applyAlignment="1">
      <alignment wrapText="1"/>
    </xf>
    <xf numFmtId="0" fontId="0" fillId="0" borderId="0" xfId="0"/>
    <xf numFmtId="0" fontId="5" fillId="0" borderId="0" xfId="0" applyFont="1"/>
    <xf numFmtId="0" fontId="4" fillId="0" borderId="0" xfId="0" applyFont="1"/>
    <xf numFmtId="0" fontId="0" fillId="0" borderId="0" xfId="0" applyAlignment="1">
      <alignment wrapText="1"/>
    </xf>
    <xf numFmtId="0" fontId="6" fillId="0" borderId="0" xfId="0" applyFont="1"/>
    <xf numFmtId="0" fontId="4" fillId="0" borderId="0" xfId="0" applyFont="1" applyAlignment="1">
      <alignment horizontal="right"/>
    </xf>
    <xf numFmtId="0" fontId="5" fillId="0" borderId="0" xfId="0" applyFont="1" applyAlignment="1"/>
    <xf numFmtId="0" fontId="0" fillId="0" borderId="0" xfId="0" applyBorder="1" applyAlignment="1">
      <alignment wrapText="1"/>
    </xf>
    <xf numFmtId="164" fontId="0" fillId="0" borderId="1" xfId="0" applyNumberFormat="1" applyBorder="1"/>
    <xf numFmtId="0" fontId="0" fillId="0" borderId="0" xfId="0"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center" textRotation="90"/>
    </xf>
    <xf numFmtId="0" fontId="0" fillId="11"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0" fillId="12" borderId="0" xfId="0" applyFill="1" applyAlignment="1">
      <alignment horizontal="center" vertical="center"/>
    </xf>
    <xf numFmtId="0" fontId="4" fillId="10" borderId="0" xfId="0" applyFont="1" applyFill="1" applyAlignment="1">
      <alignment wrapText="1"/>
    </xf>
    <xf numFmtId="0" fontId="4" fillId="10" borderId="0" xfId="0" applyFont="1" applyFill="1"/>
    <xf numFmtId="0" fontId="0" fillId="0" borderId="3" xfId="0" applyBorder="1" applyAlignment="1">
      <alignment horizontal="left" wrapText="1"/>
    </xf>
    <xf numFmtId="0" fontId="5" fillId="0" borderId="0" xfId="0" applyFont="1" applyBorder="1"/>
    <xf numFmtId="0" fontId="4" fillId="10" borderId="0" xfId="0" applyFont="1" applyFill="1" applyAlignment="1">
      <alignment horizontal="center" vertical="center" wrapText="1"/>
    </xf>
    <xf numFmtId="0" fontId="0" fillId="0" borderId="0" xfId="0" applyFont="1" applyAlignment="1">
      <alignment wrapText="1"/>
    </xf>
    <xf numFmtId="0" fontId="0" fillId="0" borderId="0" xfId="0" applyFont="1" applyFill="1" applyBorder="1" applyAlignment="1">
      <alignment wrapText="1"/>
    </xf>
    <xf numFmtId="0" fontId="4" fillId="0" borderId="0" xfId="0" applyFont="1" applyAlignment="1">
      <alignment vertical="top"/>
    </xf>
    <xf numFmtId="0" fontId="5" fillId="0" borderId="1" xfId="0" applyFont="1" applyFill="1" applyBorder="1" applyAlignment="1">
      <alignment horizontal="center" vertical="center" wrapText="1"/>
    </xf>
    <xf numFmtId="0" fontId="16" fillId="0" borderId="0" xfId="0" applyFont="1"/>
    <xf numFmtId="0" fontId="11" fillId="0" borderId="0" xfId="0" applyFont="1" applyAlignment="1">
      <alignment vertical="top"/>
    </xf>
    <xf numFmtId="0" fontId="11" fillId="0" borderId="3" xfId="0" applyFont="1" applyBorder="1"/>
    <xf numFmtId="0" fontId="0" fillId="10" borderId="2" xfId="0" applyFill="1" applyBorder="1" applyAlignment="1">
      <alignment vertical="top"/>
    </xf>
    <xf numFmtId="0" fontId="0" fillId="2" borderId="2" xfId="0" applyFill="1" applyBorder="1" applyAlignment="1">
      <alignment vertical="top"/>
    </xf>
    <xf numFmtId="0" fontId="4" fillId="0" borderId="10" xfId="0" applyFont="1" applyBorder="1" applyAlignment="1">
      <alignment horizontal="right" wrapText="1"/>
    </xf>
    <xf numFmtId="0" fontId="11" fillId="0" borderId="0" xfId="0" applyFont="1" applyBorder="1"/>
    <xf numFmtId="0" fontId="11" fillId="0" borderId="14" xfId="0" applyFont="1" applyBorder="1"/>
    <xf numFmtId="0" fontId="0" fillId="0" borderId="14" xfId="0" applyBorder="1"/>
    <xf numFmtId="0" fontId="0" fillId="0" borderId="0" xfId="0" applyFont="1" applyAlignment="1"/>
    <xf numFmtId="0" fontId="0" fillId="8" borderId="0" xfId="0" applyFill="1" applyAlignment="1">
      <alignment wrapText="1"/>
    </xf>
    <xf numFmtId="0" fontId="0" fillId="8" borderId="0" xfId="0" applyFill="1" applyAlignment="1">
      <alignment horizontal="left" wrapText="1"/>
    </xf>
    <xf numFmtId="0" fontId="0" fillId="8" borderId="0" xfId="0" applyFill="1" applyAlignment="1">
      <alignment horizontal="center"/>
    </xf>
    <xf numFmtId="0" fontId="0" fillId="8" borderId="0" xfId="0" applyFill="1"/>
    <xf numFmtId="0" fontId="4" fillId="8" borderId="0" xfId="0" applyFont="1" applyFill="1" applyAlignment="1">
      <alignment vertical="top" wrapText="1"/>
    </xf>
    <xf numFmtId="0" fontId="4" fillId="0" borderId="3" xfId="0" applyFont="1" applyBorder="1" applyAlignment="1">
      <alignment horizontal="right" wrapText="1"/>
    </xf>
    <xf numFmtId="0" fontId="0" fillId="16" borderId="0" xfId="0" applyFill="1"/>
    <xf numFmtId="2" fontId="6" fillId="0" borderId="0" xfId="0" applyNumberFormat="1" applyFont="1"/>
    <xf numFmtId="0" fontId="7" fillId="0" borderId="0" xfId="0" applyFont="1" applyAlignment="1">
      <alignment wrapText="1"/>
    </xf>
    <xf numFmtId="1" fontId="7" fillId="0" borderId="0" xfId="0" applyNumberFormat="1" applyFont="1" applyAlignment="1">
      <alignment horizontal="center"/>
    </xf>
    <xf numFmtId="1" fontId="7" fillId="0" borderId="0" xfId="0" applyNumberFormat="1" applyFont="1" applyAlignment="1">
      <alignment horizontal="center" wrapText="1"/>
    </xf>
    <xf numFmtId="0" fontId="5" fillId="0" borderId="3" xfId="0" applyFont="1" applyFill="1" applyBorder="1"/>
    <xf numFmtId="0" fontId="5" fillId="0" borderId="0" xfId="0" applyFont="1" applyAlignment="1">
      <alignment vertical="center"/>
    </xf>
    <xf numFmtId="0" fontId="4" fillId="0" borderId="5" xfId="0" applyFont="1" applyBorder="1"/>
    <xf numFmtId="0" fontId="7" fillId="0" borderId="5" xfId="0" applyFont="1" applyBorder="1" applyAlignment="1">
      <alignment horizontal="center"/>
    </xf>
    <xf numFmtId="0" fontId="8" fillId="0" borderId="3" xfId="0" applyFont="1" applyBorder="1" applyAlignment="1">
      <alignment horizontal="center"/>
    </xf>
    <xf numFmtId="0" fontId="7" fillId="0" borderId="3" xfId="0" applyFont="1" applyBorder="1" applyAlignment="1">
      <alignment horizontal="center"/>
    </xf>
    <xf numFmtId="0" fontId="7" fillId="0" borderId="0" xfId="0" applyFont="1" applyAlignment="1">
      <alignment vertical="top" wrapText="1"/>
    </xf>
    <xf numFmtId="0" fontId="17" fillId="0" borderId="0" xfId="0" applyFont="1" applyAlignment="1">
      <alignment horizontal="left"/>
    </xf>
    <xf numFmtId="0" fontId="0" fillId="14" borderId="0" xfId="0" applyFill="1"/>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4" fillId="0" borderId="0" xfId="0" applyFont="1" applyAlignment="1">
      <alignment horizontal="center"/>
    </xf>
    <xf numFmtId="0" fontId="11" fillId="0" borderId="0" xfId="0" applyFont="1" applyAlignment="1">
      <alignment horizontal="center" vertical="center"/>
    </xf>
    <xf numFmtId="0" fontId="16" fillId="0" borderId="0" xfId="0" applyFont="1" applyAlignment="1">
      <alignment horizontal="center" vertical="center"/>
    </xf>
    <xf numFmtId="0" fontId="0" fillId="2" borderId="0" xfId="0" applyFill="1" applyAlignment="1">
      <alignment horizontal="center" vertical="center"/>
    </xf>
    <xf numFmtId="0" fontId="16" fillId="0" borderId="3" xfId="0" applyFont="1" applyBorder="1" applyAlignment="1">
      <alignment horizontal="center" vertical="center"/>
    </xf>
    <xf numFmtId="0" fontId="11" fillId="0" borderId="3" xfId="0" applyFont="1" applyBorder="1" applyAlignment="1">
      <alignment horizontal="center" vertical="center"/>
    </xf>
    <xf numFmtId="0" fontId="11" fillId="0" borderId="0" xfId="0" applyFont="1" applyBorder="1" applyAlignment="1">
      <alignment horizontal="center" vertical="center"/>
    </xf>
    <xf numFmtId="0" fontId="11" fillId="0" borderId="14" xfId="0" applyFont="1" applyBorder="1" applyAlignment="1">
      <alignment horizontal="center" vertical="center"/>
    </xf>
    <xf numFmtId="0" fontId="7" fillId="0" borderId="0" xfId="0" applyFont="1" applyAlignment="1">
      <alignment horizontal="center" vertical="center"/>
    </xf>
    <xf numFmtId="0" fontId="0" fillId="0" borderId="14" xfId="0" applyBorder="1" applyAlignment="1">
      <alignment horizontal="center" vertical="center"/>
    </xf>
    <xf numFmtId="0" fontId="0" fillId="0" borderId="0" xfId="0" applyBorder="1" applyAlignment="1">
      <alignment horizontal="center" vertical="center"/>
    </xf>
    <xf numFmtId="0" fontId="0" fillId="0" borderId="3" xfId="0" applyBorder="1" applyAlignment="1">
      <alignment horizontal="center" vertical="center"/>
    </xf>
    <xf numFmtId="0" fontId="7" fillId="15" borderId="0" xfId="0" applyFont="1" applyFill="1" applyBorder="1" applyAlignment="1">
      <alignment horizontal="center"/>
    </xf>
    <xf numFmtId="164" fontId="7" fillId="15" borderId="0" xfId="0" applyNumberFormat="1" applyFont="1" applyFill="1" applyBorder="1" applyAlignment="1">
      <alignment horizontal="center"/>
    </xf>
    <xf numFmtId="0" fontId="0" fillId="0" borderId="0" xfId="0" applyFill="1" applyBorder="1" applyAlignment="1">
      <alignment horizontal="center" vertical="center"/>
    </xf>
    <xf numFmtId="0" fontId="8" fillId="0" borderId="0" xfId="0" applyFont="1" applyBorder="1" applyAlignment="1">
      <alignment horizontal="center" vertical="center"/>
    </xf>
    <xf numFmtId="0" fontId="4" fillId="3" borderId="0" xfId="0" applyFont="1" applyFill="1" applyAlignment="1">
      <alignment wrapText="1"/>
    </xf>
    <xf numFmtId="0" fontId="0" fillId="3" borderId="0" xfId="0" applyFill="1" applyAlignment="1">
      <alignment horizontal="left" wrapText="1"/>
    </xf>
    <xf numFmtId="9" fontId="4" fillId="0" borderId="0" xfId="1" applyFont="1" applyAlignment="1">
      <alignment horizontal="right"/>
    </xf>
    <xf numFmtId="1" fontId="0" fillId="0" borderId="0" xfId="0" applyNumberFormat="1" applyBorder="1" applyAlignment="1">
      <alignment horizontal="center"/>
    </xf>
    <xf numFmtId="0" fontId="7" fillId="7" borderId="1" xfId="0" applyFont="1" applyFill="1" applyBorder="1"/>
    <xf numFmtId="0" fontId="7" fillId="2" borderId="0" xfId="0" applyFont="1" applyFill="1"/>
    <xf numFmtId="0" fontId="0" fillId="17" borderId="0" xfId="0" applyFill="1"/>
    <xf numFmtId="0" fontId="0" fillId="17" borderId="1" xfId="0" applyFill="1" applyBorder="1"/>
    <xf numFmtId="1" fontId="0" fillId="17" borderId="0" xfId="0" applyNumberFormat="1" applyFill="1"/>
    <xf numFmtId="0" fontId="0" fillId="17" borderId="3" xfId="0" applyFill="1" applyBorder="1"/>
    <xf numFmtId="0" fontId="0" fillId="17" borderId="10" xfId="0" applyFill="1" applyBorder="1"/>
    <xf numFmtId="0" fontId="0" fillId="17" borderId="11" xfId="0" applyFill="1" applyBorder="1"/>
    <xf numFmtId="0" fontId="4" fillId="4" borderId="0" xfId="0" applyFont="1" applyFill="1" applyAlignment="1"/>
    <xf numFmtId="0" fontId="4" fillId="4" borderId="0" xfId="0" applyFont="1" applyFill="1" applyAlignment="1">
      <alignment wrapText="1"/>
    </xf>
    <xf numFmtId="0" fontId="0" fillId="4" borderId="0" xfId="0" applyFill="1" applyAlignment="1">
      <alignment horizontal="center" vertical="center" wrapText="1"/>
    </xf>
    <xf numFmtId="0" fontId="8" fillId="4" borderId="0" xfId="0" applyFont="1" applyFill="1" applyAlignment="1">
      <alignment horizontal="left" vertical="center"/>
    </xf>
    <xf numFmtId="0" fontId="7" fillId="0" borderId="0" xfId="0" applyFont="1" applyAlignment="1">
      <alignment vertical="center" wrapText="1"/>
    </xf>
    <xf numFmtId="0" fontId="7" fillId="0" borderId="3" xfId="0" applyFont="1" applyBorder="1" applyAlignment="1">
      <alignment horizontal="center" vertical="center" wrapText="1"/>
    </xf>
    <xf numFmtId="0" fontId="8" fillId="2" borderId="0" xfId="0" applyFont="1" applyFill="1" applyAlignment="1">
      <alignment horizontal="left" vertical="center"/>
    </xf>
    <xf numFmtId="0" fontId="0" fillId="2" borderId="0" xfId="0" applyFill="1" applyAlignment="1">
      <alignment horizontal="center" vertical="center" textRotation="90"/>
    </xf>
    <xf numFmtId="0" fontId="0" fillId="2" borderId="0" xfId="0" applyFill="1" applyAlignment="1">
      <alignment horizontal="center" vertical="center" wrapText="1"/>
    </xf>
    <xf numFmtId="1" fontId="0" fillId="18" borderId="0" xfId="0" applyNumberFormat="1" applyFill="1" applyAlignment="1">
      <alignment horizontal="center" vertical="center"/>
    </xf>
    <xf numFmtId="1" fontId="0" fillId="19" borderId="0" xfId="0" applyNumberFormat="1" applyFill="1" applyAlignment="1">
      <alignment horizontal="center" vertical="center"/>
    </xf>
    <xf numFmtId="1" fontId="0" fillId="19" borderId="0" xfId="0" applyNumberFormat="1" applyFill="1" applyAlignment="1">
      <alignment horizontal="center"/>
    </xf>
    <xf numFmtId="1" fontId="0" fillId="19" borderId="3" xfId="0" applyNumberFormat="1" applyFill="1" applyBorder="1" applyAlignment="1">
      <alignment horizontal="center" vertical="center"/>
    </xf>
    <xf numFmtId="1" fontId="7" fillId="19" borderId="3" xfId="0" applyNumberFormat="1" applyFont="1" applyFill="1" applyBorder="1" applyAlignment="1">
      <alignment horizontal="center" vertical="center"/>
    </xf>
    <xf numFmtId="1" fontId="0" fillId="18" borderId="0" xfId="0" applyNumberFormat="1" applyFill="1" applyAlignment="1">
      <alignment horizontal="center"/>
    </xf>
    <xf numFmtId="0" fontId="0" fillId="4" borderId="0" xfId="0" applyFill="1" applyAlignment="1">
      <alignment horizontal="left" vertical="center"/>
    </xf>
    <xf numFmtId="1" fontId="4" fillId="0" borderId="0" xfId="0" applyNumberFormat="1" applyFont="1" applyAlignment="1">
      <alignment horizontal="center"/>
    </xf>
    <xf numFmtId="1" fontId="0" fillId="0" borderId="0" xfId="0" applyNumberFormat="1" applyFont="1" applyAlignment="1">
      <alignment horizontal="center"/>
    </xf>
    <xf numFmtId="0" fontId="0" fillId="0" borderId="3" xfId="0" applyBorder="1" applyAlignment="1">
      <alignment horizontal="center" vertical="center" textRotation="90" wrapText="1"/>
    </xf>
    <xf numFmtId="1" fontId="0" fillId="17" borderId="1" xfId="0" applyNumberFormat="1" applyFill="1" applyBorder="1"/>
    <xf numFmtId="164" fontId="0" fillId="17" borderId="1" xfId="0" applyNumberFormat="1" applyFill="1" applyBorder="1"/>
    <xf numFmtId="0" fontId="10" fillId="0" borderId="5" xfId="2" applyBorder="1"/>
    <xf numFmtId="0" fontId="0" fillId="0" borderId="0" xfId="0" applyBorder="1" applyAlignment="1">
      <alignment horizontal="right" vertical="center"/>
    </xf>
    <xf numFmtId="0" fontId="0" fillId="0" borderId="0" xfId="0" applyFill="1" applyBorder="1" applyAlignment="1">
      <alignment horizontal="right" vertical="center"/>
    </xf>
    <xf numFmtId="0" fontId="0" fillId="0" borderId="3" xfId="0" applyBorder="1" applyAlignment="1">
      <alignment horizontal="right"/>
    </xf>
    <xf numFmtId="0" fontId="6" fillId="0" borderId="0" xfId="0" applyFont="1" applyAlignment="1">
      <alignment horizontal="center" vertical="top" wrapText="1"/>
    </xf>
    <xf numFmtId="10" fontId="5" fillId="0" borderId="0" xfId="1" applyNumberFormat="1" applyFont="1"/>
    <xf numFmtId="0" fontId="0" fillId="0" borderId="0" xfId="0" applyAlignment="1">
      <alignment horizontal="center"/>
    </xf>
    <xf numFmtId="0" fontId="7" fillId="5" borderId="0" xfId="0" applyFont="1" applyFill="1" applyBorder="1" applyAlignment="1">
      <alignment horizontal="center" vertical="center"/>
    </xf>
    <xf numFmtId="0" fontId="19" fillId="0" borderId="3" xfId="0" applyFont="1" applyBorder="1"/>
    <xf numFmtId="1" fontId="19" fillId="0" borderId="3" xfId="0" applyNumberFormat="1" applyFont="1" applyBorder="1" applyAlignment="1">
      <alignment horizontal="center"/>
    </xf>
    <xf numFmtId="0" fontId="0" fillId="20" borderId="0" xfId="0" applyFill="1"/>
    <xf numFmtId="0" fontId="0" fillId="20" borderId="0" xfId="0" applyFill="1" applyAlignment="1">
      <alignment horizontal="right"/>
    </xf>
    <xf numFmtId="2" fontId="0" fillId="0" borderId="3" xfId="0" applyNumberFormat="1" applyBorder="1" applyAlignment="1">
      <alignment horizontal="center"/>
    </xf>
    <xf numFmtId="0" fontId="0" fillId="0" borderId="0" xfId="0" applyAlignment="1">
      <alignment horizontal="center"/>
    </xf>
    <xf numFmtId="0" fontId="0" fillId="0" borderId="0" xfId="0" applyBorder="1" applyAlignment="1">
      <alignment horizontal="center" vertical="center" textRotation="90" wrapText="1"/>
    </xf>
    <xf numFmtId="0" fontId="5" fillId="0" borderId="0" xfId="0" applyFont="1" applyAlignment="1">
      <alignment horizontal="center"/>
    </xf>
    <xf numFmtId="2" fontId="0" fillId="0" borderId="3" xfId="0" applyNumberFormat="1" applyBorder="1" applyAlignment="1">
      <alignment horizontal="center" vertical="center"/>
    </xf>
    <xf numFmtId="166" fontId="0" fillId="0" borderId="0" xfId="0" applyNumberFormat="1" applyBorder="1" applyAlignment="1">
      <alignment horizontal="center" vertical="center"/>
    </xf>
    <xf numFmtId="10" fontId="7" fillId="0" borderId="0" xfId="1" applyNumberFormat="1" applyFont="1"/>
    <xf numFmtId="0" fontId="0" fillId="0" borderId="0" xfId="0" applyAlignment="1">
      <alignment vertical="center"/>
    </xf>
    <xf numFmtId="0" fontId="0" fillId="0" borderId="0" xfId="0" applyFont="1" applyAlignment="1">
      <alignment vertical="center" wrapText="1"/>
    </xf>
    <xf numFmtId="0" fontId="7" fillId="2" borderId="1" xfId="0" applyFont="1" applyFill="1" applyBorder="1"/>
    <xf numFmtId="0" fontId="7" fillId="7" borderId="0" xfId="0" applyFont="1" applyFill="1" applyBorder="1"/>
    <xf numFmtId="0" fontId="7" fillId="7" borderId="2" xfId="0" applyFont="1" applyFill="1" applyBorder="1"/>
    <xf numFmtId="0" fontId="0" fillId="17" borderId="0" xfId="0" applyFill="1" applyBorder="1"/>
    <xf numFmtId="0" fontId="0" fillId="17" borderId="2" xfId="0" applyFill="1" applyBorder="1"/>
    <xf numFmtId="1" fontId="0" fillId="0" borderId="1" xfId="0" applyNumberFormat="1" applyFill="1" applyBorder="1"/>
    <xf numFmtId="1" fontId="0" fillId="0" borderId="0" xfId="0" applyNumberFormat="1" applyBorder="1"/>
    <xf numFmtId="1" fontId="0" fillId="0" borderId="2" xfId="0" applyNumberFormat="1" applyBorder="1"/>
    <xf numFmtId="1" fontId="0" fillId="17" borderId="0" xfId="0" applyNumberFormat="1" applyFill="1" applyBorder="1"/>
    <xf numFmtId="1" fontId="0" fillId="17" borderId="2" xfId="0" applyNumberFormat="1" applyFill="1" applyBorder="1"/>
    <xf numFmtId="0" fontId="5" fillId="17" borderId="1" xfId="0" applyFont="1" applyFill="1" applyBorder="1"/>
    <xf numFmtId="1" fontId="0" fillId="0" borderId="2" xfId="0" applyNumberFormat="1" applyFill="1" applyBorder="1"/>
    <xf numFmtId="1" fontId="7" fillId="13" borderId="0" xfId="0" applyNumberFormat="1" applyFont="1" applyFill="1" applyBorder="1" applyAlignment="1">
      <alignment horizontal="center"/>
    </xf>
    <xf numFmtId="1" fontId="7" fillId="13" borderId="3" xfId="0" applyNumberFormat="1" applyFont="1" applyFill="1" applyBorder="1" applyAlignment="1">
      <alignment horizontal="center"/>
    </xf>
    <xf numFmtId="0" fontId="7" fillId="7" borderId="0" xfId="0" applyFont="1" applyFill="1" applyAlignment="1">
      <alignment horizontal="center" vertical="center"/>
    </xf>
    <xf numFmtId="0" fontId="7" fillId="5" borderId="0" xfId="0" applyFont="1" applyFill="1" applyAlignment="1">
      <alignment horizontal="center" vertical="center"/>
    </xf>
    <xf numFmtId="0" fontId="7" fillId="2" borderId="0" xfId="0" applyFont="1" applyFill="1" applyAlignment="1">
      <alignment horizontal="center" vertical="center"/>
    </xf>
    <xf numFmtId="0" fontId="7" fillId="6" borderId="0" xfId="0" applyFont="1" applyFill="1" applyAlignment="1">
      <alignment horizontal="center" vertical="center"/>
    </xf>
    <xf numFmtId="164" fontId="7" fillId="15" borderId="0" xfId="0" applyNumberFormat="1" applyFont="1" applyFill="1" applyAlignment="1">
      <alignment horizontal="center"/>
    </xf>
    <xf numFmtId="1" fontId="7" fillId="13" borderId="0" xfId="0" applyNumberFormat="1" applyFont="1" applyFill="1" applyAlignment="1">
      <alignment horizontal="center"/>
    </xf>
    <xf numFmtId="0" fontId="7" fillId="7" borderId="0" xfId="0" applyFont="1" applyFill="1" applyBorder="1" applyAlignment="1">
      <alignment horizontal="center" vertical="center"/>
    </xf>
    <xf numFmtId="0" fontId="7" fillId="2" borderId="0" xfId="0" applyFont="1" applyFill="1" applyBorder="1" applyAlignment="1">
      <alignment horizontal="center" vertical="center"/>
    </xf>
    <xf numFmtId="0" fontId="7" fillId="6" borderId="0" xfId="0" applyFont="1" applyFill="1" applyBorder="1" applyAlignment="1">
      <alignment horizontal="center" vertical="center"/>
    </xf>
    <xf numFmtId="164" fontId="7" fillId="15" borderId="0" xfId="0" applyNumberFormat="1" applyFont="1" applyFill="1" applyBorder="1" applyAlignment="1">
      <alignment horizontal="center" vertical="center"/>
    </xf>
    <xf numFmtId="164" fontId="7" fillId="15" borderId="0" xfId="0" applyNumberFormat="1" applyFont="1" applyFill="1" applyAlignment="1">
      <alignment horizontal="center" vertical="center"/>
    </xf>
    <xf numFmtId="1" fontId="7" fillId="13" borderId="0" xfId="0" applyNumberFormat="1" applyFont="1" applyFill="1" applyBorder="1" applyAlignment="1">
      <alignment horizontal="center" vertical="center"/>
    </xf>
    <xf numFmtId="1" fontId="7" fillId="15" borderId="0" xfId="0" applyNumberFormat="1" applyFont="1" applyFill="1" applyBorder="1" applyAlignment="1">
      <alignment horizontal="center"/>
    </xf>
    <xf numFmtId="0" fontId="7" fillId="7" borderId="3" xfId="0" applyFont="1" applyFill="1" applyBorder="1" applyAlignment="1">
      <alignment horizontal="center" vertical="center"/>
    </xf>
    <xf numFmtId="0" fontId="7" fillId="5" borderId="3" xfId="0" applyFont="1" applyFill="1" applyBorder="1" applyAlignment="1">
      <alignment horizontal="center" vertical="center"/>
    </xf>
    <xf numFmtId="0" fontId="7" fillId="2" borderId="3" xfId="0" applyFont="1" applyFill="1" applyBorder="1" applyAlignment="1">
      <alignment horizontal="center" vertical="center"/>
    </xf>
    <xf numFmtId="0" fontId="7" fillId="6" borderId="3" xfId="0" applyFont="1" applyFill="1" applyBorder="1" applyAlignment="1">
      <alignment horizontal="center" vertical="center"/>
    </xf>
    <xf numFmtId="0" fontId="7" fillId="15" borderId="3" xfId="0" applyFont="1" applyFill="1" applyBorder="1" applyAlignment="1">
      <alignment horizontal="center"/>
    </xf>
    <xf numFmtId="0" fontId="19" fillId="0" borderId="0" xfId="0" applyFont="1" applyBorder="1"/>
    <xf numFmtId="1" fontId="19" fillId="0" borderId="0" xfId="0" applyNumberFormat="1" applyFont="1" applyFill="1" applyBorder="1" applyAlignment="1">
      <alignment horizontal="center"/>
    </xf>
    <xf numFmtId="0" fontId="9" fillId="0" borderId="9" xfId="0" applyFont="1" applyBorder="1" applyAlignment="1">
      <alignment vertical="center" wrapText="1"/>
    </xf>
    <xf numFmtId="0" fontId="9" fillId="0" borderId="12" xfId="0" applyFont="1" applyBorder="1"/>
    <xf numFmtId="0" fontId="0" fillId="0" borderId="0" xfId="0"/>
    <xf numFmtId="0" fontId="0" fillId="0" borderId="0" xfId="0" applyFill="1" applyBorder="1" applyAlignment="1">
      <alignment horizontal="center" vertical="center" textRotation="90" wrapText="1"/>
    </xf>
    <xf numFmtId="0" fontId="0" fillId="0" borderId="0" xfId="0" applyFill="1" applyBorder="1" applyAlignment="1">
      <alignment horizontal="center" vertical="center" textRotation="90" wrapText="1"/>
    </xf>
    <xf numFmtId="0" fontId="0" fillId="0" borderId="0" xfId="0" applyBorder="1" applyAlignment="1">
      <alignment horizontal="center" vertical="center" textRotation="90" wrapText="1"/>
    </xf>
    <xf numFmtId="0" fontId="20" fillId="0" borderId="0" xfId="0" applyFont="1"/>
    <xf numFmtId="0" fontId="18" fillId="0" borderId="0" xfId="0" applyFont="1" applyBorder="1" applyAlignment="1">
      <alignment wrapText="1"/>
    </xf>
    <xf numFmtId="0" fontId="18" fillId="0" borderId="0" xfId="0" applyFont="1" applyBorder="1" applyAlignment="1">
      <alignment horizontal="left" wrapText="1"/>
    </xf>
    <xf numFmtId="0" fontId="18" fillId="0" borderId="3" xfId="0" applyFont="1" applyBorder="1" applyAlignment="1">
      <alignment wrapText="1"/>
    </xf>
    <xf numFmtId="1" fontId="0" fillId="0" borderId="3" xfId="0" applyNumberFormat="1" applyBorder="1" applyAlignment="1">
      <alignment horizontal="center"/>
    </xf>
    <xf numFmtId="1" fontId="21" fillId="0" borderId="3" xfId="0" applyNumberFormat="1" applyFont="1" applyBorder="1" applyAlignment="1">
      <alignment horizontal="center"/>
    </xf>
    <xf numFmtId="0" fontId="0" fillId="0" borderId="0" xfId="0" applyFill="1" applyBorder="1" applyAlignment="1">
      <alignment horizontal="center" vertical="center" textRotation="90" wrapText="1"/>
    </xf>
    <xf numFmtId="2" fontId="7" fillId="0" borderId="0" xfId="0" applyNumberFormat="1" applyFont="1" applyAlignment="1">
      <alignment horizontal="center"/>
    </xf>
    <xf numFmtId="1" fontId="0" fillId="0" borderId="5" xfId="0" applyNumberFormat="1" applyBorder="1" applyAlignment="1">
      <alignment horizontal="center"/>
    </xf>
    <xf numFmtId="1" fontId="0" fillId="21" borderId="0" xfId="0" applyNumberFormat="1" applyFill="1" applyAlignment="1">
      <alignment horizontal="center"/>
    </xf>
    <xf numFmtId="1" fontId="0" fillId="0" borderId="0" xfId="0" applyNumberFormat="1" applyFill="1" applyAlignment="1">
      <alignment horizontal="center"/>
    </xf>
    <xf numFmtId="1" fontId="0" fillId="22" borderId="0" xfId="0" applyNumberFormat="1" applyFill="1" applyAlignment="1">
      <alignment horizontal="center"/>
    </xf>
    <xf numFmtId="2" fontId="0" fillId="0" borderId="0" xfId="0" applyNumberFormat="1" applyFill="1" applyBorder="1" applyAlignment="1">
      <alignment horizontal="center"/>
    </xf>
    <xf numFmtId="10" fontId="0" fillId="0" borderId="0" xfId="1" applyNumberFormat="1" applyFont="1" applyFill="1" applyBorder="1" applyAlignment="1">
      <alignment horizontal="center"/>
    </xf>
    <xf numFmtId="0" fontId="5" fillId="0" borderId="3" xfId="0" applyFont="1" applyBorder="1" applyAlignment="1">
      <alignment horizontal="left"/>
    </xf>
    <xf numFmtId="1" fontId="0" fillId="0" borderId="0" xfId="0" applyNumberFormat="1" applyFill="1" applyBorder="1" applyAlignment="1">
      <alignment horizontal="center"/>
    </xf>
    <xf numFmtId="0" fontId="0" fillId="0" borderId="0" xfId="0" applyFill="1" applyBorder="1" applyAlignment="1">
      <alignment horizontal="center" vertical="center" textRotation="90" wrapText="1"/>
    </xf>
    <xf numFmtId="0" fontId="0" fillId="0" borderId="1" xfId="0" applyBorder="1" applyAlignment="1">
      <alignment horizontal="center" vertical="center"/>
    </xf>
    <xf numFmtId="0" fontId="0" fillId="0" borderId="10" xfId="0" applyBorder="1" applyAlignment="1">
      <alignment horizontal="center" vertical="center"/>
    </xf>
    <xf numFmtId="0" fontId="7" fillId="0" borderId="10" xfId="0" applyFont="1" applyBorder="1" applyAlignment="1">
      <alignment horizontal="center" vertical="center" wrapText="1"/>
    </xf>
    <xf numFmtId="2" fontId="0" fillId="0" borderId="1" xfId="0" applyNumberFormat="1" applyFill="1" applyBorder="1" applyAlignment="1">
      <alignment horizontal="center"/>
    </xf>
    <xf numFmtId="0" fontId="5" fillId="0" borderId="1" xfId="0" applyFont="1" applyBorder="1" applyAlignment="1">
      <alignment horizontal="center"/>
    </xf>
    <xf numFmtId="0" fontId="0" fillId="2" borderId="1" xfId="0" applyFill="1" applyBorder="1" applyAlignment="1">
      <alignment horizontal="center" vertical="center"/>
    </xf>
    <xf numFmtId="0" fontId="4" fillId="10" borderId="1" xfId="0" applyFont="1" applyFill="1" applyBorder="1" applyAlignment="1">
      <alignment horizontal="center" vertical="center"/>
    </xf>
    <xf numFmtId="0" fontId="16" fillId="0" borderId="1" xfId="0" applyFont="1" applyBorder="1" applyAlignment="1">
      <alignment horizontal="center" vertical="center"/>
    </xf>
    <xf numFmtId="0" fontId="16" fillId="0" borderId="10" xfId="0" applyFont="1" applyBorder="1" applyAlignment="1">
      <alignment horizontal="center" vertical="center"/>
    </xf>
    <xf numFmtId="0" fontId="11" fillId="0" borderId="1" xfId="0" applyFont="1" applyBorder="1" applyAlignment="1">
      <alignment horizontal="center" vertical="center"/>
    </xf>
    <xf numFmtId="0" fontId="16" fillId="0" borderId="13" xfId="0" applyFont="1" applyBorder="1" applyAlignment="1">
      <alignment horizontal="center" vertical="center"/>
    </xf>
    <xf numFmtId="0" fontId="11" fillId="0" borderId="10" xfId="0" applyFont="1" applyBorder="1" applyAlignment="1">
      <alignment horizontal="center" vertical="center"/>
    </xf>
    <xf numFmtId="0" fontId="7" fillId="0" borderId="1" xfId="0" applyFont="1" applyBorder="1" applyAlignment="1">
      <alignment horizontal="center" vertical="center"/>
    </xf>
    <xf numFmtId="0" fontId="0" fillId="0" borderId="13" xfId="0"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center" vertical="center"/>
    </xf>
    <xf numFmtId="0" fontId="0" fillId="0" borderId="1" xfId="0" applyFill="1" applyBorder="1" applyAlignment="1">
      <alignment horizontal="center" vertical="center"/>
    </xf>
    <xf numFmtId="0" fontId="8" fillId="0" borderId="0" xfId="0" applyFont="1"/>
    <xf numFmtId="0" fontId="7" fillId="0" borderId="0" xfId="0" applyFont="1" applyBorder="1" applyAlignment="1">
      <alignment horizontal="center" vertical="center"/>
    </xf>
    <xf numFmtId="0" fontId="7" fillId="2"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0"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7" fillId="0" borderId="1"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3"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2" xfId="0" applyFont="1" applyFill="1" applyBorder="1" applyAlignment="1">
      <alignment horizontal="center" vertical="center" wrapText="1"/>
    </xf>
    <xf numFmtId="0" fontId="7" fillId="0" borderId="15" xfId="0" applyFont="1" applyBorder="1" applyAlignment="1">
      <alignment horizontal="center" vertical="center" wrapText="1"/>
    </xf>
    <xf numFmtId="0" fontId="8" fillId="10" borderId="0" xfId="0" applyFont="1" applyFill="1" applyAlignment="1">
      <alignment vertical="top"/>
    </xf>
    <xf numFmtId="0" fontId="7" fillId="10" borderId="0" xfId="0" applyFont="1" applyFill="1" applyAlignment="1">
      <alignment vertical="top" wrapText="1"/>
    </xf>
    <xf numFmtId="0" fontId="8" fillId="2" borderId="0" xfId="0" applyFont="1" applyFill="1" applyAlignment="1">
      <alignment vertical="top" wrapText="1"/>
    </xf>
    <xf numFmtId="0" fontId="8" fillId="2" borderId="0" xfId="0" applyFont="1" applyFill="1" applyAlignment="1">
      <alignment horizontal="center" vertical="top" wrapText="1"/>
    </xf>
    <xf numFmtId="0" fontId="7" fillId="0" borderId="10" xfId="0" applyFont="1" applyBorder="1" applyAlignment="1">
      <alignment horizontal="center"/>
    </xf>
    <xf numFmtId="0" fontId="7" fillId="0" borderId="3" xfId="0" applyFont="1" applyBorder="1"/>
    <xf numFmtId="0" fontId="7" fillId="0" borderId="3" xfId="0" applyFont="1" applyBorder="1" applyAlignment="1">
      <alignment vertical="top" wrapText="1"/>
    </xf>
    <xf numFmtId="0" fontId="7" fillId="8" borderId="0" xfId="0" applyFont="1" applyFill="1" applyAlignment="1">
      <alignment vertical="top" wrapText="1"/>
    </xf>
    <xf numFmtId="0" fontId="7" fillId="0" borderId="0" xfId="0" applyFont="1" applyAlignment="1">
      <alignment horizontal="right" vertical="top"/>
    </xf>
    <xf numFmtId="164" fontId="7" fillId="0" borderId="0" xfId="0" applyNumberFormat="1" applyFont="1" applyAlignment="1">
      <alignment horizontal="center" vertical="top" wrapText="1"/>
    </xf>
    <xf numFmtId="164" fontId="7" fillId="0" borderId="0" xfId="0" applyNumberFormat="1" applyFont="1" applyAlignment="1">
      <alignment horizontal="left" vertical="top" wrapText="1"/>
    </xf>
    <xf numFmtId="0" fontId="7" fillId="0" borderId="0" xfId="0" applyFont="1" applyAlignment="1">
      <alignment horizontal="left" vertical="top" wrapText="1"/>
    </xf>
    <xf numFmtId="0" fontId="24" fillId="4" borderId="0" xfId="0" applyFont="1" applyFill="1"/>
    <xf numFmtId="0" fontId="25" fillId="4" borderId="0" xfId="0" applyFont="1" applyFill="1" applyBorder="1" applyAlignment="1">
      <alignment horizontal="left" vertical="center"/>
    </xf>
    <xf numFmtId="0" fontId="25" fillId="4" borderId="0" xfId="0" applyFont="1" applyFill="1" applyBorder="1"/>
    <xf numFmtId="1" fontId="25" fillId="4" borderId="0" xfId="0" applyNumberFormat="1" applyFont="1" applyFill="1" applyBorder="1" applyAlignment="1">
      <alignment horizontal="center"/>
    </xf>
    <xf numFmtId="0" fontId="25" fillId="4" borderId="0" xfId="0" applyFont="1" applyFill="1"/>
    <xf numFmtId="0" fontId="24" fillId="4" borderId="0" xfId="0" applyFont="1" applyFill="1" applyBorder="1" applyAlignment="1">
      <alignment horizontal="right" vertical="center"/>
    </xf>
    <xf numFmtId="2" fontId="24" fillId="4" borderId="0" xfId="0" applyNumberFormat="1" applyFont="1" applyFill="1" applyAlignment="1">
      <alignment horizontal="center"/>
    </xf>
    <xf numFmtId="0" fontId="26" fillId="4" borderId="0" xfId="0" applyFont="1" applyFill="1"/>
    <xf numFmtId="0" fontId="25" fillId="4" borderId="0" xfId="0" applyFont="1" applyFill="1" applyAlignment="1">
      <alignment horizontal="right"/>
    </xf>
    <xf numFmtId="0" fontId="25" fillId="4" borderId="0" xfId="0" applyFont="1" applyFill="1" applyAlignment="1">
      <alignment horizontal="center"/>
    </xf>
    <xf numFmtId="2" fontId="25" fillId="4" borderId="0" xfId="0" applyNumberFormat="1" applyFont="1" applyFill="1" applyAlignment="1">
      <alignment horizontal="center"/>
    </xf>
    <xf numFmtId="2" fontId="0" fillId="0" borderId="16" xfId="0" applyNumberFormat="1" applyBorder="1" applyAlignment="1">
      <alignment horizontal="center"/>
    </xf>
    <xf numFmtId="0" fontId="0" fillId="0" borderId="3" xfId="0" applyBorder="1" applyAlignment="1">
      <alignment horizontal="center" vertical="top"/>
    </xf>
    <xf numFmtId="0" fontId="8" fillId="0" borderId="0" xfId="0" applyFont="1" applyAlignment="1">
      <alignment wrapText="1"/>
    </xf>
    <xf numFmtId="0" fontId="7" fillId="0" borderId="5" xfId="0" applyFont="1" applyBorder="1"/>
    <xf numFmtId="0" fontId="7" fillId="0" borderId="0" xfId="0" applyFont="1" applyBorder="1"/>
    <xf numFmtId="0" fontId="5" fillId="0" borderId="3" xfId="0" applyFont="1" applyBorder="1"/>
    <xf numFmtId="0" fontId="7" fillId="0" borderId="0" xfId="0" applyFont="1" applyBorder="1" applyAlignment="1">
      <alignment wrapText="1"/>
    </xf>
    <xf numFmtId="0" fontId="7" fillId="0" borderId="0" xfId="0" applyFont="1" applyFill="1" applyBorder="1" applyAlignment="1">
      <alignment horizontal="left"/>
    </xf>
    <xf numFmtId="0" fontId="8" fillId="0" borderId="0" xfId="0" applyFont="1" applyBorder="1" applyAlignment="1">
      <alignment horizontal="center"/>
    </xf>
    <xf numFmtId="0" fontId="8" fillId="0" borderId="3" xfId="0" applyFont="1" applyBorder="1" applyAlignment="1">
      <alignment horizontal="right" wrapText="1"/>
    </xf>
    <xf numFmtId="0" fontId="7" fillId="0" borderId="3" xfId="0" applyFont="1" applyFill="1" applyBorder="1" applyAlignment="1">
      <alignment horizontal="left"/>
    </xf>
    <xf numFmtId="0" fontId="7" fillId="0" borderId="0" xfId="0" applyFont="1" applyBorder="1" applyAlignment="1">
      <alignment horizontal="left"/>
    </xf>
    <xf numFmtId="0" fontId="8" fillId="0" borderId="3" xfId="0" applyFont="1" applyBorder="1" applyAlignment="1">
      <alignment horizontal="left"/>
    </xf>
    <xf numFmtId="0" fontId="8" fillId="0" borderId="3" xfId="0" applyFont="1" applyBorder="1"/>
    <xf numFmtId="0" fontId="7" fillId="0" borderId="0" xfId="0" applyFont="1" applyFill="1" applyBorder="1"/>
    <xf numFmtId="0" fontId="5" fillId="0" borderId="1" xfId="0" applyFont="1" applyBorder="1"/>
    <xf numFmtId="0" fontId="5" fillId="0" borderId="0" xfId="0" applyFont="1" applyBorder="1" applyAlignment="1">
      <alignment horizontal="center"/>
    </xf>
    <xf numFmtId="10" fontId="0" fillId="0" borderId="0" xfId="1" applyNumberFormat="1" applyFont="1"/>
    <xf numFmtId="0" fontId="0" fillId="0" borderId="0" xfId="0" applyAlignment="1">
      <alignment horizontal="center"/>
    </xf>
    <xf numFmtId="0" fontId="27" fillId="0" borderId="0" xfId="0" applyFont="1" applyBorder="1" applyAlignment="1">
      <alignment wrapText="1"/>
    </xf>
    <xf numFmtId="0" fontId="27" fillId="0" borderId="7" xfId="0" applyFont="1" applyBorder="1"/>
    <xf numFmtId="0" fontId="5" fillId="7" borderId="16" xfId="0" applyFont="1" applyFill="1" applyBorder="1" applyAlignment="1">
      <alignment horizontal="center" vertical="center"/>
    </xf>
    <xf numFmtId="0" fontId="5" fillId="5" borderId="16" xfId="0" applyFont="1" applyFill="1" applyBorder="1" applyAlignment="1">
      <alignment horizontal="center" vertical="center"/>
    </xf>
    <xf numFmtId="0" fontId="5" fillId="2" borderId="16" xfId="0" applyFont="1" applyFill="1" applyBorder="1" applyAlignment="1">
      <alignment horizontal="center" vertical="center"/>
    </xf>
    <xf numFmtId="0" fontId="5" fillId="6" borderId="16" xfId="0" applyFont="1" applyFill="1" applyBorder="1" applyAlignment="1">
      <alignment horizontal="center" vertical="center"/>
    </xf>
    <xf numFmtId="0" fontId="5" fillId="15" borderId="16" xfId="0" applyFont="1" applyFill="1" applyBorder="1" applyAlignment="1">
      <alignment horizontal="center"/>
    </xf>
    <xf numFmtId="1" fontId="5" fillId="13" borderId="16" xfId="0" applyNumberFormat="1" applyFont="1" applyFill="1" applyBorder="1" applyAlignment="1">
      <alignment horizontal="center"/>
    </xf>
    <xf numFmtId="0" fontId="5" fillId="7" borderId="0" xfId="0" applyFont="1" applyFill="1" applyBorder="1" applyAlignment="1">
      <alignment horizontal="center" vertical="center"/>
    </xf>
    <xf numFmtId="0" fontId="5" fillId="5" borderId="0" xfId="0" applyFont="1" applyFill="1" applyBorder="1" applyAlignment="1">
      <alignment horizontal="center" vertical="center"/>
    </xf>
    <xf numFmtId="0" fontId="5" fillId="2" borderId="0" xfId="0" applyFont="1" applyFill="1" applyBorder="1" applyAlignment="1">
      <alignment horizontal="center" vertical="center"/>
    </xf>
    <xf numFmtId="0" fontId="5" fillId="6" borderId="0" xfId="0" applyFont="1" applyFill="1" applyBorder="1" applyAlignment="1">
      <alignment horizontal="center" vertical="center"/>
    </xf>
    <xf numFmtId="0" fontId="5" fillId="15" borderId="0" xfId="0" applyFont="1" applyFill="1" applyBorder="1" applyAlignment="1">
      <alignment horizontal="center"/>
    </xf>
    <xf numFmtId="1" fontId="5" fillId="13" borderId="0" xfId="0" applyNumberFormat="1" applyFont="1" applyFill="1" applyBorder="1" applyAlignment="1">
      <alignment horizontal="center"/>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5" fillId="0" borderId="19"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0" xfId="0" applyFont="1" applyBorder="1" applyAlignment="1">
      <alignment horizontal="center" vertical="center"/>
    </xf>
    <xf numFmtId="0" fontId="6" fillId="0" borderId="10" xfId="0" applyFont="1" applyBorder="1" applyAlignment="1">
      <alignment horizontal="right" wrapText="1"/>
    </xf>
    <xf numFmtId="0" fontId="5" fillId="0" borderId="10"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0"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10" xfId="0" applyFont="1" applyBorder="1" applyAlignment="1">
      <alignment horizontal="center" vertical="center"/>
    </xf>
    <xf numFmtId="0" fontId="5" fillId="0" borderId="3" xfId="0" applyFont="1" applyBorder="1" applyAlignment="1">
      <alignment horizontal="center" vertical="center"/>
    </xf>
    <xf numFmtId="0" fontId="6" fillId="0" borderId="0" xfId="0" applyFont="1" applyBorder="1" applyAlignment="1">
      <alignment horizontal="right" wrapText="1"/>
    </xf>
    <xf numFmtId="0" fontId="5" fillId="0" borderId="4" xfId="0" applyFont="1" applyFill="1" applyBorder="1" applyAlignment="1">
      <alignment horizontal="center" vertical="center" wrapText="1"/>
    </xf>
    <xf numFmtId="0" fontId="5" fillId="0" borderId="0" xfId="0" applyFont="1" applyBorder="1" applyAlignment="1">
      <alignment horizontal="left" wrapText="1"/>
    </xf>
    <xf numFmtId="0" fontId="5" fillId="0" borderId="0" xfId="0" applyFont="1" applyBorder="1" applyAlignment="1">
      <alignment horizontal="left"/>
    </xf>
    <xf numFmtId="0" fontId="6" fillId="0" borderId="0" xfId="0" applyFont="1" applyBorder="1" applyAlignment="1">
      <alignment horizontal="center"/>
    </xf>
    <xf numFmtId="0" fontId="5" fillId="0" borderId="3" xfId="0" applyFont="1" applyBorder="1" applyAlignment="1">
      <alignment horizontal="center"/>
    </xf>
    <xf numFmtId="0" fontId="6" fillId="0" borderId="3" xfId="0" applyFont="1" applyBorder="1" applyAlignment="1">
      <alignment horizontal="right" wrapText="1"/>
    </xf>
    <xf numFmtId="0" fontId="6" fillId="0" borderId="3" xfId="0" applyFont="1" applyBorder="1" applyAlignment="1">
      <alignment horizontal="center"/>
    </xf>
    <xf numFmtId="0" fontId="5" fillId="0" borderId="3" xfId="0" applyFont="1" applyBorder="1" applyAlignment="1">
      <alignment horizontal="left" wrapText="1"/>
    </xf>
    <xf numFmtId="1" fontId="5" fillId="17" borderId="18" xfId="0" applyNumberFormat="1" applyFont="1" applyFill="1" applyBorder="1"/>
    <xf numFmtId="1" fontId="5" fillId="17" borderId="16" xfId="0" applyNumberFormat="1" applyFont="1" applyFill="1" applyBorder="1"/>
    <xf numFmtId="1" fontId="5" fillId="17" borderId="17" xfId="0" applyNumberFormat="1" applyFont="1" applyFill="1" applyBorder="1"/>
    <xf numFmtId="0" fontId="5" fillId="13" borderId="0" xfId="0" applyFont="1" applyFill="1" applyBorder="1" applyAlignment="1">
      <alignment horizontal="center"/>
    </xf>
    <xf numFmtId="1" fontId="5" fillId="15" borderId="0" xfId="0" applyNumberFormat="1" applyFont="1" applyFill="1" applyBorder="1" applyAlignment="1">
      <alignment horizontal="center"/>
    </xf>
    <xf numFmtId="2" fontId="5" fillId="0" borderId="0" xfId="0" applyNumberFormat="1" applyFont="1" applyAlignment="1">
      <alignment horizontal="center"/>
    </xf>
    <xf numFmtId="2" fontId="5" fillId="0" borderId="0" xfId="0" applyNumberFormat="1" applyFont="1"/>
    <xf numFmtId="0" fontId="29" fillId="0" borderId="0" xfId="0" applyFont="1" applyBorder="1" applyAlignment="1">
      <alignment wrapText="1"/>
    </xf>
    <xf numFmtId="0" fontId="7" fillId="0" borderId="4" xfId="0" applyFont="1" applyBorder="1"/>
    <xf numFmtId="0" fontId="7" fillId="0" borderId="6" xfId="0" applyFont="1" applyBorder="1"/>
    <xf numFmtId="0" fontId="7" fillId="0" borderId="1" xfId="0" applyFont="1" applyBorder="1" applyAlignment="1">
      <alignment wrapText="1"/>
    </xf>
    <xf numFmtId="0" fontId="7" fillId="0" borderId="2" xfId="0" applyFont="1" applyBorder="1"/>
    <xf numFmtId="0" fontId="7" fillId="0" borderId="1" xfId="0" applyFont="1" applyBorder="1"/>
    <xf numFmtId="9" fontId="7" fillId="0" borderId="0" xfId="1" applyFont="1" applyBorder="1" applyAlignment="1">
      <alignment horizontal="center"/>
    </xf>
    <xf numFmtId="10" fontId="7" fillId="0" borderId="0" xfId="1" applyNumberFormat="1" applyFont="1" applyBorder="1" applyAlignment="1">
      <alignment horizontal="center"/>
    </xf>
    <xf numFmtId="0" fontId="30" fillId="0" borderId="2" xfId="0" applyFont="1" applyBorder="1"/>
    <xf numFmtId="165" fontId="7" fillId="0" borderId="1" xfId="1" applyNumberFormat="1" applyFont="1" applyBorder="1"/>
    <xf numFmtId="0" fontId="7" fillId="0" borderId="0" xfId="0" applyFont="1" applyBorder="1" applyAlignment="1"/>
    <xf numFmtId="165" fontId="7" fillId="0" borderId="0" xfId="1" applyNumberFormat="1" applyFont="1" applyBorder="1" applyAlignment="1">
      <alignment horizontal="center"/>
    </xf>
    <xf numFmtId="0" fontId="31" fillId="0" borderId="2" xfId="0" applyFont="1" applyBorder="1" applyAlignment="1">
      <alignment wrapText="1"/>
    </xf>
    <xf numFmtId="0" fontId="31" fillId="0" borderId="2" xfId="0" applyFont="1" applyBorder="1"/>
    <xf numFmtId="0" fontId="7" fillId="0" borderId="10" xfId="0" applyFont="1" applyBorder="1"/>
    <xf numFmtId="9" fontId="7" fillId="0" borderId="3" xfId="1" applyFont="1" applyBorder="1" applyAlignment="1">
      <alignment horizontal="center"/>
    </xf>
    <xf numFmtId="165" fontId="7" fillId="0" borderId="3" xfId="1" applyNumberFormat="1" applyFont="1" applyBorder="1"/>
    <xf numFmtId="0" fontId="7" fillId="0" borderId="3" xfId="0" applyFont="1" applyBorder="1" applyAlignment="1"/>
    <xf numFmtId="0" fontId="31" fillId="0" borderId="11" xfId="0" applyFont="1" applyBorder="1"/>
    <xf numFmtId="2" fontId="7" fillId="0" borderId="0" xfId="0" applyNumberFormat="1" applyFont="1"/>
    <xf numFmtId="2" fontId="7" fillId="0" borderId="0" xfId="0" applyNumberFormat="1" applyFont="1" applyAlignment="1">
      <alignment wrapText="1"/>
    </xf>
    <xf numFmtId="10" fontId="7" fillId="0" borderId="0" xfId="1" applyNumberFormat="1" applyFont="1" applyAlignment="1">
      <alignment wrapText="1"/>
    </xf>
    <xf numFmtId="10" fontId="7" fillId="0" borderId="0" xfId="1" applyNumberFormat="1" applyFont="1" applyAlignment="1">
      <alignment horizontal="center"/>
    </xf>
    <xf numFmtId="0" fontId="10" fillId="0" borderId="2" xfId="2" applyBorder="1"/>
    <xf numFmtId="0" fontId="0" fillId="24" borderId="0" xfId="0" applyFill="1"/>
    <xf numFmtId="0" fontId="4" fillId="24" borderId="0" xfId="0" applyFont="1" applyFill="1"/>
    <xf numFmtId="10" fontId="4" fillId="0" borderId="0" xfId="1" applyNumberFormat="1" applyFont="1"/>
    <xf numFmtId="0" fontId="0" fillId="24" borderId="0" xfId="0" applyFill="1" applyAlignment="1">
      <alignment horizontal="center"/>
    </xf>
    <xf numFmtId="0" fontId="32" fillId="0" borderId="0" xfId="0" applyFont="1"/>
    <xf numFmtId="10" fontId="32" fillId="0" borderId="0" xfId="1" applyNumberFormat="1" applyFont="1"/>
    <xf numFmtId="0" fontId="7" fillId="0" borderId="0" xfId="0" applyFont="1" applyFill="1" applyAlignment="1">
      <alignment wrapText="1"/>
    </xf>
    <xf numFmtId="10" fontId="7" fillId="0" borderId="0" xfId="1" applyNumberFormat="1" applyFont="1" applyFill="1"/>
    <xf numFmtId="10" fontId="7" fillId="0" borderId="0" xfId="1" applyNumberFormat="1" applyFont="1" applyFill="1" applyAlignment="1">
      <alignment wrapText="1"/>
    </xf>
    <xf numFmtId="0" fontId="29" fillId="0" borderId="5" xfId="0" applyFont="1" applyBorder="1"/>
    <xf numFmtId="0" fontId="29" fillId="0" borderId="0" xfId="0" applyFont="1" applyAlignment="1">
      <alignment horizontal="left"/>
    </xf>
    <xf numFmtId="0" fontId="29" fillId="0" borderId="0" xfId="0" applyFont="1" applyFill="1" applyBorder="1" applyAlignment="1">
      <alignment horizontal="center"/>
    </xf>
    <xf numFmtId="0" fontId="29" fillId="0" borderId="0" xfId="0" applyFont="1" applyBorder="1" applyAlignment="1">
      <alignment horizontal="left"/>
    </xf>
    <xf numFmtId="0" fontId="29" fillId="0" borderId="0" xfId="0" applyFont="1" applyBorder="1" applyAlignment="1">
      <alignment horizontal="center"/>
    </xf>
    <xf numFmtId="0" fontId="29" fillId="0" borderId="5" xfId="0" applyFont="1" applyBorder="1" applyAlignment="1">
      <alignment wrapText="1"/>
    </xf>
    <xf numFmtId="0" fontId="29" fillId="0" borderId="5" xfId="0" applyFont="1" applyBorder="1" applyAlignment="1">
      <alignment horizontal="left"/>
    </xf>
    <xf numFmtId="1" fontId="29" fillId="0" borderId="5" xfId="0" applyNumberFormat="1" applyFont="1" applyBorder="1" applyAlignment="1">
      <alignment horizontal="center"/>
    </xf>
    <xf numFmtId="0" fontId="29" fillId="0" borderId="0" xfId="0" applyFont="1" applyFill="1" applyBorder="1" applyAlignment="1">
      <alignment horizontal="left"/>
    </xf>
    <xf numFmtId="1" fontId="33" fillId="0" borderId="0" xfId="0" applyNumberFormat="1" applyFont="1" applyBorder="1" applyAlignment="1">
      <alignment horizontal="center"/>
    </xf>
    <xf numFmtId="0" fontId="29" fillId="0" borderId="0" xfId="0" applyFont="1" applyAlignment="1">
      <alignment wrapText="1"/>
    </xf>
    <xf numFmtId="0" fontId="29" fillId="0" borderId="0" xfId="0" applyFont="1" applyAlignment="1">
      <alignment horizontal="center"/>
    </xf>
    <xf numFmtId="0" fontId="29" fillId="0" borderId="0" xfId="0" applyFont="1"/>
    <xf numFmtId="0" fontId="33" fillId="0" borderId="3" xfId="0" applyFont="1" applyBorder="1" applyAlignment="1">
      <alignment horizontal="right" wrapText="1"/>
    </xf>
    <xf numFmtId="0" fontId="29" fillId="0" borderId="3" xfId="0" applyFont="1" applyBorder="1"/>
    <xf numFmtId="0" fontId="33" fillId="0" borderId="3" xfId="0" applyFont="1" applyBorder="1" applyAlignment="1">
      <alignment horizontal="center"/>
    </xf>
    <xf numFmtId="0" fontId="29" fillId="0" borderId="16" xfId="0" applyFont="1" applyBorder="1" applyAlignment="1">
      <alignment wrapText="1"/>
    </xf>
    <xf numFmtId="0" fontId="29" fillId="0" borderId="3" xfId="0" applyFont="1" applyFill="1" applyBorder="1" applyAlignment="1">
      <alignment horizontal="left"/>
    </xf>
    <xf numFmtId="0" fontId="7" fillId="0" borderId="5" xfId="0" applyFont="1" applyBorder="1" applyAlignment="1">
      <alignment wrapText="1"/>
    </xf>
    <xf numFmtId="0" fontId="7" fillId="0" borderId="5" xfId="0" applyFont="1" applyFill="1" applyBorder="1" applyAlignment="1">
      <alignment horizontal="left"/>
    </xf>
    <xf numFmtId="0" fontId="8" fillId="0" borderId="5" xfId="0" applyFont="1" applyBorder="1" applyAlignment="1">
      <alignment horizontal="center"/>
    </xf>
    <xf numFmtId="0" fontId="0" fillId="0" borderId="0" xfId="0" applyAlignment="1">
      <alignment horizontal="center"/>
    </xf>
    <xf numFmtId="2" fontId="0" fillId="2" borderId="0" xfId="0" applyNumberFormat="1" applyFill="1" applyAlignment="1">
      <alignment horizontal="center"/>
    </xf>
    <xf numFmtId="49" fontId="7" fillId="0" borderId="1" xfId="0" applyNumberFormat="1" applyFont="1" applyBorder="1" applyAlignment="1">
      <alignment horizontal="left"/>
    </xf>
    <xf numFmtId="3" fontId="7" fillId="0" borderId="0" xfId="0" applyNumberFormat="1" applyFont="1" applyBorder="1" applyAlignment="1">
      <alignment horizontal="right"/>
    </xf>
    <xf numFmtId="0" fontId="0" fillId="0" borderId="3" xfId="0" applyBorder="1" applyAlignment="1">
      <alignment horizontal="right" vertical="center"/>
    </xf>
    <xf numFmtId="0" fontId="0" fillId="0" borderId="3" xfId="0" applyFill="1" applyBorder="1" applyAlignment="1">
      <alignment horizontal="right" vertical="center"/>
    </xf>
    <xf numFmtId="2" fontId="0" fillId="0" borderId="0" xfId="0" applyNumberFormat="1" applyBorder="1"/>
    <xf numFmtId="2" fontId="7" fillId="2" borderId="0" xfId="0" applyNumberFormat="1" applyFont="1" applyFill="1" applyAlignment="1">
      <alignment horizontal="center"/>
    </xf>
    <xf numFmtId="0" fontId="7" fillId="0" borderId="0" xfId="0" applyFont="1" applyAlignment="1">
      <alignment horizontal="right"/>
    </xf>
    <xf numFmtId="2" fontId="7" fillId="0" borderId="3" xfId="0" applyNumberFormat="1" applyFont="1" applyBorder="1" applyAlignment="1">
      <alignment horizontal="center"/>
    </xf>
    <xf numFmtId="10" fontId="0" fillId="24" borderId="0" xfId="1" applyNumberFormat="1" applyFont="1" applyFill="1"/>
    <xf numFmtId="10" fontId="4" fillId="24" borderId="0" xfId="1" applyNumberFormat="1" applyFont="1" applyFill="1"/>
    <xf numFmtId="10" fontId="0" fillId="2" borderId="0" xfId="1" applyNumberFormat="1" applyFont="1" applyFill="1"/>
    <xf numFmtId="0" fontId="4" fillId="9" borderId="1" xfId="0" applyFont="1" applyFill="1" applyBorder="1" applyAlignment="1">
      <alignment horizontal="center"/>
    </xf>
    <xf numFmtId="0" fontId="4" fillId="9" borderId="0" xfId="0" applyFont="1" applyFill="1" applyBorder="1" applyAlignment="1">
      <alignment horizontal="center"/>
    </xf>
    <xf numFmtId="0" fontId="7" fillId="0" borderId="1" xfId="0" applyFont="1" applyBorder="1" applyAlignment="1">
      <alignment horizontal="center" vertical="center" wrapText="1"/>
    </xf>
    <xf numFmtId="0" fontId="7" fillId="0" borderId="0" xfId="0" applyFont="1" applyBorder="1" applyAlignment="1">
      <alignment horizontal="center" vertical="center" wrapText="1"/>
    </xf>
    <xf numFmtId="0" fontId="4" fillId="11" borderId="1" xfId="0" applyFont="1" applyFill="1" applyBorder="1" applyAlignment="1">
      <alignment horizontal="center"/>
    </xf>
    <xf numFmtId="0" fontId="4" fillId="11" borderId="0" xfId="0" applyFont="1" applyFill="1" applyBorder="1" applyAlignment="1">
      <alignment horizontal="center"/>
    </xf>
    <xf numFmtId="0" fontId="0" fillId="0" borderId="0" xfId="0" applyFill="1" applyBorder="1" applyAlignment="1">
      <alignment horizontal="center" vertical="center" textRotation="90" wrapText="1"/>
    </xf>
    <xf numFmtId="0" fontId="0" fillId="0" borderId="3" xfId="0" applyFill="1" applyBorder="1" applyAlignment="1">
      <alignment horizontal="center" vertical="center" textRotation="90" wrapText="1"/>
    </xf>
    <xf numFmtId="0" fontId="4" fillId="11" borderId="0" xfId="0" applyFont="1" applyFill="1" applyAlignment="1">
      <alignment horizontal="center"/>
    </xf>
    <xf numFmtId="0" fontId="7" fillId="0" borderId="0" xfId="0" applyFont="1" applyAlignment="1">
      <alignment horizontal="center" vertical="center" wrapText="1"/>
    </xf>
    <xf numFmtId="0" fontId="0" fillId="0" borderId="0" xfId="0" applyBorder="1" applyAlignment="1">
      <alignment horizontal="center" vertical="top"/>
    </xf>
    <xf numFmtId="0" fontId="0" fillId="0" borderId="3" xfId="0" applyBorder="1" applyAlignment="1">
      <alignment horizontal="center" vertical="top"/>
    </xf>
    <xf numFmtId="0" fontId="0" fillId="0" borderId="5" xfId="0" applyBorder="1" applyAlignment="1">
      <alignment horizontal="center" vertical="top"/>
    </xf>
    <xf numFmtId="0" fontId="0" fillId="0" borderId="5" xfId="0" applyFill="1" applyBorder="1" applyAlignment="1">
      <alignment horizontal="center" vertical="center" textRotation="90" wrapText="1"/>
    </xf>
    <xf numFmtId="0" fontId="0" fillId="0" borderId="0" xfId="0" applyAlignment="1">
      <alignment horizontal="center"/>
    </xf>
    <xf numFmtId="0" fontId="4" fillId="9" borderId="0" xfId="0" applyFont="1" applyFill="1" applyAlignment="1">
      <alignment horizontal="center"/>
    </xf>
    <xf numFmtId="0" fontId="0" fillId="0" borderId="0" xfId="0" applyAlignment="1">
      <alignment horizontal="center" vertical="center" textRotation="90" wrapText="1"/>
    </xf>
    <xf numFmtId="0" fontId="0" fillId="0" borderId="0" xfId="0" applyAlignment="1">
      <alignment horizontal="center" vertical="center" textRotation="90"/>
    </xf>
    <xf numFmtId="0" fontId="4" fillId="0" borderId="0" xfId="0" applyFont="1" applyAlignment="1">
      <alignment horizontal="center" vertical="center" wrapText="1"/>
    </xf>
    <xf numFmtId="0" fontId="0" fillId="0" borderId="0" xfId="0" applyAlignment="1">
      <alignment horizontal="center" vertical="center"/>
    </xf>
    <xf numFmtId="0" fontId="7" fillId="2" borderId="1" xfId="0" applyFont="1" applyFill="1" applyBorder="1" applyAlignment="1">
      <alignment horizontal="center"/>
    </xf>
    <xf numFmtId="0" fontId="7" fillId="2" borderId="0" xfId="0" applyFont="1" applyFill="1" applyAlignment="1">
      <alignment horizontal="center"/>
    </xf>
    <xf numFmtId="0" fontId="7" fillId="7" borderId="1" xfId="0" applyFont="1" applyFill="1" applyBorder="1" applyAlignment="1">
      <alignment horizontal="center"/>
    </xf>
    <xf numFmtId="0" fontId="7" fillId="7" borderId="0" xfId="0" applyFont="1" applyFill="1" applyBorder="1" applyAlignment="1">
      <alignment horizontal="center"/>
    </xf>
    <xf numFmtId="0" fontId="7" fillId="7" borderId="2" xfId="0" applyFont="1" applyFill="1" applyBorder="1" applyAlignment="1">
      <alignment horizontal="center"/>
    </xf>
    <xf numFmtId="0" fontId="4" fillId="10" borderId="0" xfId="0" applyFont="1" applyFill="1" applyAlignment="1">
      <alignment horizontal="center"/>
    </xf>
    <xf numFmtId="0" fontId="0" fillId="0" borderId="7" xfId="0" applyBorder="1" applyAlignment="1">
      <alignment horizontal="center" vertical="center" textRotation="90" wrapText="1"/>
    </xf>
    <xf numFmtId="0" fontId="0" fillId="0" borderId="8" xfId="0" applyBorder="1" applyAlignment="1">
      <alignment horizontal="center" vertical="center" textRotation="90" wrapText="1"/>
    </xf>
    <xf numFmtId="0" fontId="0" fillId="0" borderId="9" xfId="0" applyBorder="1" applyAlignment="1">
      <alignment horizontal="center" vertical="center" textRotation="90"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7" fillId="0" borderId="0" xfId="0" applyFont="1" applyAlignment="1">
      <alignment horizontal="center"/>
    </xf>
    <xf numFmtId="0" fontId="0" fillId="0" borderId="0" xfId="0" applyAlignment="1">
      <alignment horizontal="center" vertical="center" wrapText="1"/>
    </xf>
    <xf numFmtId="0" fontId="18" fillId="0" borderId="7" xfId="0" applyFont="1" applyBorder="1" applyAlignment="1">
      <alignment horizontal="center" wrapText="1"/>
    </xf>
    <xf numFmtId="0" fontId="18" fillId="0" borderId="9" xfId="0" applyFont="1" applyBorder="1" applyAlignment="1">
      <alignment horizont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0" fillId="0" borderId="7" xfId="0" applyBorder="1" applyAlignment="1">
      <alignment horizontal="center" vertical="center" textRotation="90"/>
    </xf>
    <xf numFmtId="0" fontId="0" fillId="0" borderId="8" xfId="0" applyBorder="1" applyAlignment="1">
      <alignment horizontal="center" vertical="center" textRotation="90"/>
    </xf>
    <xf numFmtId="0" fontId="0" fillId="0" borderId="9" xfId="0" applyBorder="1" applyAlignment="1">
      <alignment horizontal="center" vertical="center" textRotation="90"/>
    </xf>
    <xf numFmtId="0" fontId="27" fillId="0" borderId="8" xfId="0" applyFont="1" applyBorder="1" applyAlignment="1">
      <alignment horizontal="center" vertical="center" wrapText="1"/>
    </xf>
    <xf numFmtId="0" fontId="5" fillId="0" borderId="0" xfId="0" applyFont="1" applyAlignment="1">
      <alignment horizontal="center"/>
    </xf>
    <xf numFmtId="0" fontId="5" fillId="0" borderId="0" xfId="0" applyFont="1" applyAlignment="1">
      <alignment horizontal="center" vertical="center" wrapText="1"/>
    </xf>
    <xf numFmtId="0" fontId="22" fillId="0" borderId="0" xfId="0" applyFont="1" applyAlignment="1">
      <alignment horizontal="left" wrapText="1"/>
    </xf>
    <xf numFmtId="0" fontId="0" fillId="23" borderId="1" xfId="0" applyFill="1" applyBorder="1" applyAlignment="1">
      <alignment horizontal="center"/>
    </xf>
    <xf numFmtId="0" fontId="0" fillId="23" borderId="0" xfId="0" applyFill="1" applyBorder="1" applyAlignment="1">
      <alignment horizontal="center"/>
    </xf>
    <xf numFmtId="0" fontId="4" fillId="12" borderId="1" xfId="0" applyFont="1" applyFill="1" applyBorder="1" applyAlignment="1">
      <alignment horizontal="center"/>
    </xf>
    <xf numFmtId="0" fontId="4" fillId="12" borderId="0" xfId="0" applyFont="1" applyFill="1" applyBorder="1" applyAlignment="1">
      <alignment horizontal="center"/>
    </xf>
    <xf numFmtId="0" fontId="4" fillId="10" borderId="1" xfId="0" applyFont="1" applyFill="1" applyBorder="1" applyAlignment="1">
      <alignment horizontal="center"/>
    </xf>
    <xf numFmtId="0" fontId="4" fillId="10" borderId="0" xfId="0" applyFont="1" applyFill="1" applyBorder="1" applyAlignment="1">
      <alignment horizontal="center"/>
    </xf>
    <xf numFmtId="0" fontId="4" fillId="12" borderId="0" xfId="0" applyFont="1" applyFill="1" applyAlignment="1">
      <alignment horizontal="center"/>
    </xf>
    <xf numFmtId="0" fontId="8" fillId="10" borderId="1" xfId="0" applyFont="1" applyFill="1" applyBorder="1" applyAlignment="1">
      <alignment horizontal="center" vertical="center" wrapText="1"/>
    </xf>
    <xf numFmtId="0" fontId="8" fillId="10" borderId="0" xfId="0" applyFont="1" applyFill="1" applyBorder="1" applyAlignment="1">
      <alignment horizontal="center" vertical="center" wrapText="1"/>
    </xf>
    <xf numFmtId="0" fontId="4" fillId="0" borderId="2" xfId="0" applyFont="1" applyBorder="1" applyAlignment="1">
      <alignment horizontal="center" vertical="center" textRotation="90"/>
    </xf>
    <xf numFmtId="0" fontId="4" fillId="0" borderId="11" xfId="0" applyFont="1" applyBorder="1" applyAlignment="1">
      <alignment horizontal="center" vertical="center" textRotation="90"/>
    </xf>
    <xf numFmtId="0" fontId="4" fillId="0" borderId="6" xfId="0" applyFont="1" applyBorder="1" applyAlignment="1">
      <alignment horizontal="center" vertical="center" textRotation="90"/>
    </xf>
    <xf numFmtId="0" fontId="6" fillId="0" borderId="6" xfId="0" applyFont="1" applyBorder="1" applyAlignment="1">
      <alignment horizontal="center" vertical="center" textRotation="90"/>
    </xf>
    <xf numFmtId="0" fontId="6" fillId="0" borderId="2" xfId="0" applyFont="1" applyBorder="1" applyAlignment="1">
      <alignment horizontal="center" vertical="center" textRotation="90"/>
    </xf>
    <xf numFmtId="0" fontId="6" fillId="0" borderId="11" xfId="0" applyFont="1" applyBorder="1" applyAlignment="1">
      <alignment horizontal="center" vertical="center" textRotation="90"/>
    </xf>
    <xf numFmtId="0" fontId="23" fillId="2" borderId="0" xfId="0" applyFont="1" applyFill="1" applyAlignment="1">
      <alignment horizontal="center" wrapText="1"/>
    </xf>
    <xf numFmtId="0" fontId="8" fillId="0" borderId="5" xfId="0" applyFont="1" applyBorder="1" applyAlignment="1">
      <alignment horizontal="center" vertical="center" textRotation="90"/>
    </xf>
    <xf numFmtId="0" fontId="8" fillId="0" borderId="0" xfId="0" applyFont="1" applyBorder="1" applyAlignment="1">
      <alignment horizontal="center" vertical="center" textRotation="90"/>
    </xf>
    <xf numFmtId="0" fontId="8" fillId="0" borderId="3" xfId="0" applyFont="1" applyBorder="1" applyAlignment="1">
      <alignment horizontal="center" vertical="center" textRotation="90"/>
    </xf>
    <xf numFmtId="0" fontId="8" fillId="0" borderId="0" xfId="0" applyFont="1" applyAlignment="1">
      <alignment horizontal="center" vertical="center" textRotation="90"/>
    </xf>
    <xf numFmtId="0" fontId="8" fillId="0" borderId="0" xfId="0" applyFont="1" applyAlignment="1">
      <alignment horizontal="center" vertical="center" textRotation="90" wrapText="1"/>
    </xf>
    <xf numFmtId="0" fontId="8" fillId="2" borderId="0" xfId="0" applyFont="1" applyFill="1" applyAlignment="1">
      <alignment horizontal="center"/>
    </xf>
    <xf numFmtId="0" fontId="4" fillId="2" borderId="0" xfId="0" applyFont="1" applyFill="1" applyBorder="1" applyAlignment="1">
      <alignment horizont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8" fillId="0" borderId="5" xfId="0" applyFont="1" applyBorder="1" applyAlignment="1">
      <alignment horizontal="center" vertical="center" textRotation="90" wrapText="1"/>
    </xf>
    <xf numFmtId="0" fontId="8" fillId="0" borderId="0" xfId="0" applyFont="1" applyBorder="1" applyAlignment="1">
      <alignment horizontal="center" vertical="center" textRotation="90" wrapText="1"/>
    </xf>
    <xf numFmtId="0" fontId="8" fillId="0" borderId="3" xfId="0" applyFont="1" applyBorder="1" applyAlignment="1">
      <alignment horizontal="center" vertical="center" textRotation="90" wrapText="1"/>
    </xf>
    <xf numFmtId="0" fontId="4" fillId="0" borderId="7" xfId="0" applyFont="1" applyBorder="1" applyAlignment="1">
      <alignment horizontal="center" vertical="top"/>
    </xf>
    <xf numFmtId="0" fontId="4" fillId="0" borderId="8" xfId="0" applyFont="1" applyBorder="1" applyAlignment="1">
      <alignment horizontal="center" vertical="top"/>
    </xf>
    <xf numFmtId="0" fontId="4" fillId="0" borderId="5" xfId="0" applyFont="1" applyBorder="1" applyAlignment="1">
      <alignment horizontal="center" vertical="top"/>
    </xf>
    <xf numFmtId="0" fontId="4" fillId="0" borderId="0" xfId="0" applyFont="1" applyBorder="1" applyAlignment="1">
      <alignment horizontal="center" vertical="top"/>
    </xf>
    <xf numFmtId="0" fontId="4" fillId="0" borderId="3" xfId="0" applyFont="1" applyBorder="1" applyAlignment="1">
      <alignment horizontal="center" vertical="top"/>
    </xf>
    <xf numFmtId="0" fontId="8" fillId="0" borderId="7" xfId="0" applyFont="1" applyBorder="1" applyAlignment="1">
      <alignment horizontal="center" vertical="center" textRotation="90" wrapText="1"/>
    </xf>
    <xf numFmtId="0" fontId="8" fillId="0" borderId="8" xfId="0" applyFont="1" applyBorder="1" applyAlignment="1">
      <alignment horizontal="center" vertical="center" textRotation="90" wrapText="1"/>
    </xf>
    <xf numFmtId="0" fontId="6" fillId="0" borderId="0" xfId="0" applyFont="1" applyBorder="1" applyAlignment="1">
      <alignment horizontal="center" vertical="top"/>
    </xf>
    <xf numFmtId="0" fontId="6" fillId="0" borderId="3" xfId="0" applyFont="1" applyBorder="1" applyAlignment="1">
      <alignment horizontal="center" vertical="top"/>
    </xf>
  </cellXfs>
  <cellStyles count="8">
    <cellStyle name="Hyperlink" xfId="2" builtinId="8"/>
    <cellStyle name="Link 2" xfId="7" xr:uid="{00000000-0005-0000-0000-000001000000}"/>
    <cellStyle name="Normal" xfId="0" builtinId="0"/>
    <cellStyle name="Percent" xfId="1" builtinId="5"/>
    <cellStyle name="Standard 2" xfId="3" xr:uid="{00000000-0005-0000-0000-000004000000}"/>
    <cellStyle name="Tab_kopf verbundene Zellen" xfId="4" xr:uid="{00000000-0005-0000-0000-000005000000}"/>
    <cellStyle name="Textzelle Tabellenkopf" xfId="5" xr:uid="{00000000-0005-0000-0000-000006000000}"/>
    <cellStyle name="Überschrift 5" xfId="6" xr:uid="{00000000-0005-0000-0000-000007000000}"/>
  </cellStyles>
  <dxfs count="0"/>
  <tableStyles count="0" defaultTableStyle="TableStyleMedium2" defaultPivotStyle="PivotStyleLight16"/>
  <colors>
    <mruColors>
      <color rgb="FFFA54E6"/>
      <color rgb="FFBA1697"/>
      <color rgb="FFFFFF99"/>
      <color rgb="FFFFFFCC"/>
      <color rgb="FF66CCFF"/>
      <color rgb="FF3399FF"/>
      <color rgb="FFFFFF66"/>
      <color rgb="FF00CCFF"/>
      <color rgb="FF0099FF"/>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'Result_Lock-in-effect'!$B$469</c:f>
              <c:strCache>
                <c:ptCount val="1"/>
                <c:pt idx="0">
                  <c:v>M1_Exit Year 1</c:v>
                </c:pt>
              </c:strCache>
            </c:strRef>
          </c:tx>
          <c:spPr>
            <a:ln w="28575" cap="rnd">
              <a:solidFill>
                <a:schemeClr val="accent1"/>
              </a:solidFill>
              <a:round/>
            </a:ln>
            <a:effectLst/>
          </c:spPr>
          <c:marker>
            <c:symbol val="none"/>
          </c:marker>
          <c:cat>
            <c:numRef>
              <c:f>'Result_Lock-in-effect'!$C$468:$L$468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'Result_Lock-in-effect'!$C$469:$L$469</c:f>
              <c:numCache>
                <c:formatCode>0.00</c:formatCode>
                <c:ptCount val="10"/>
                <c:pt idx="0">
                  <c:v>-373.45622506643957</c:v>
                </c:pt>
                <c:pt idx="1">
                  <c:v>-373.45622506643957</c:v>
                </c:pt>
                <c:pt idx="2">
                  <c:v>-373.45622506643957</c:v>
                </c:pt>
                <c:pt idx="3">
                  <c:v>-373.45622506643957</c:v>
                </c:pt>
                <c:pt idx="4">
                  <c:v>-373.45622506643957</c:v>
                </c:pt>
                <c:pt idx="5">
                  <c:v>-373.45622506643957</c:v>
                </c:pt>
                <c:pt idx="6">
                  <c:v>-373.45622506643957</c:v>
                </c:pt>
                <c:pt idx="7">
                  <c:v>-373.45622506643957</c:v>
                </c:pt>
                <c:pt idx="8">
                  <c:v>-373.45622506643957</c:v>
                </c:pt>
                <c:pt idx="9">
                  <c:v>-373.45622506643957</c:v>
                </c:pt>
              </c:numCache>
            </c:numRef>
          </c:val>
          <c:smooth val="0"/>
          <c:extLst>
            <c:ext xmlns:c16="http://schemas.microsoft.com/office/drawing/2014/chart" uri="{C3380CC4-5D6E-409C-BE32-E72D297353CC}">
              <c16:uniqueId val="{00000000-997F-4FB7-8573-509E7087C574}"/>
            </c:ext>
          </c:extLst>
        </c:ser>
        <c:ser>
          <c:idx val="1"/>
          <c:order val="1"/>
          <c:tx>
            <c:strRef>
              <c:f>'Result_Lock-in-effect'!$B$470</c:f>
              <c:strCache>
                <c:ptCount val="1"/>
                <c:pt idx="0">
                  <c:v>M1_Exit Year 2</c:v>
                </c:pt>
              </c:strCache>
            </c:strRef>
          </c:tx>
          <c:spPr>
            <a:ln w="28575" cap="rnd">
              <a:solidFill>
                <a:schemeClr val="accent2"/>
              </a:solidFill>
              <a:round/>
            </a:ln>
            <a:effectLst/>
          </c:spPr>
          <c:marker>
            <c:symbol val="none"/>
          </c:marker>
          <c:cat>
            <c:numRef>
              <c:f>'Result_Lock-in-effect'!$C$468:$L$468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'Result_Lock-in-effect'!$C$470:$L$470</c:f>
              <c:numCache>
                <c:formatCode>0.00</c:formatCode>
                <c:ptCount val="10"/>
                <c:pt idx="0">
                  <c:v>-223.11929907868213</c:v>
                </c:pt>
                <c:pt idx="1">
                  <c:v>-630.59175942079514</c:v>
                </c:pt>
                <c:pt idx="2">
                  <c:v>-630.59175942079514</c:v>
                </c:pt>
                <c:pt idx="3">
                  <c:v>-630.59175942079514</c:v>
                </c:pt>
                <c:pt idx="4">
                  <c:v>-630.59175942079514</c:v>
                </c:pt>
                <c:pt idx="5">
                  <c:v>-630.59175942079514</c:v>
                </c:pt>
                <c:pt idx="6">
                  <c:v>-630.59175942079514</c:v>
                </c:pt>
                <c:pt idx="7">
                  <c:v>-630.59175942079514</c:v>
                </c:pt>
                <c:pt idx="8">
                  <c:v>-630.59175942079514</c:v>
                </c:pt>
                <c:pt idx="9">
                  <c:v>-630.59175942079514</c:v>
                </c:pt>
              </c:numCache>
            </c:numRef>
          </c:val>
          <c:smooth val="0"/>
          <c:extLst>
            <c:ext xmlns:c16="http://schemas.microsoft.com/office/drawing/2014/chart" uri="{C3380CC4-5D6E-409C-BE32-E72D297353CC}">
              <c16:uniqueId val="{00000001-997F-4FB7-8573-509E7087C574}"/>
            </c:ext>
          </c:extLst>
        </c:ser>
        <c:ser>
          <c:idx val="2"/>
          <c:order val="2"/>
          <c:tx>
            <c:strRef>
              <c:f>'Result_Lock-in-effect'!$B$471</c:f>
              <c:strCache>
                <c:ptCount val="1"/>
                <c:pt idx="0">
                  <c:v>M1_Exit Year 3</c:v>
                </c:pt>
              </c:strCache>
            </c:strRef>
          </c:tx>
          <c:spPr>
            <a:ln w="28575" cap="rnd">
              <a:solidFill>
                <a:schemeClr val="accent3"/>
              </a:solidFill>
              <a:round/>
            </a:ln>
            <a:effectLst/>
          </c:spPr>
          <c:marker>
            <c:symbol val="none"/>
          </c:marker>
          <c:cat>
            <c:numRef>
              <c:f>'Result_Lock-in-effect'!$C$468:$L$468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'Result_Lock-in-effect'!$C$471:$L$471</c:f>
              <c:numCache>
                <c:formatCode>0.00</c:formatCode>
                <c:ptCount val="10"/>
                <c:pt idx="0">
                  <c:v>-223.11929907868213</c:v>
                </c:pt>
                <c:pt idx="1">
                  <c:v>-480.25483343303773</c:v>
                </c:pt>
                <c:pt idx="2">
                  <c:v>-823.48742080167654</c:v>
                </c:pt>
                <c:pt idx="3">
                  <c:v>-823.48742080167654</c:v>
                </c:pt>
                <c:pt idx="4">
                  <c:v>-823.48742080167654</c:v>
                </c:pt>
                <c:pt idx="5">
                  <c:v>-823.48742080167654</c:v>
                </c:pt>
                <c:pt idx="6">
                  <c:v>-823.48742080167654</c:v>
                </c:pt>
                <c:pt idx="7">
                  <c:v>-823.48742080167654</c:v>
                </c:pt>
                <c:pt idx="8">
                  <c:v>-823.48742080167654</c:v>
                </c:pt>
                <c:pt idx="9">
                  <c:v>-823.48742080167654</c:v>
                </c:pt>
              </c:numCache>
            </c:numRef>
          </c:val>
          <c:smooth val="0"/>
          <c:extLst>
            <c:ext xmlns:c16="http://schemas.microsoft.com/office/drawing/2014/chart" uri="{C3380CC4-5D6E-409C-BE32-E72D297353CC}">
              <c16:uniqueId val="{00000002-997F-4FB7-8573-509E7087C574}"/>
            </c:ext>
          </c:extLst>
        </c:ser>
        <c:ser>
          <c:idx val="3"/>
          <c:order val="3"/>
          <c:tx>
            <c:strRef>
              <c:f>'Result_Lock-in-effect'!$B$472</c:f>
              <c:strCache>
                <c:ptCount val="1"/>
                <c:pt idx="0">
                  <c:v>M1_Exit Year 4</c:v>
                </c:pt>
              </c:strCache>
            </c:strRef>
          </c:tx>
          <c:spPr>
            <a:ln w="28575" cap="rnd">
              <a:solidFill>
                <a:schemeClr val="accent4"/>
              </a:solidFill>
              <a:round/>
            </a:ln>
            <a:effectLst/>
          </c:spPr>
          <c:marker>
            <c:symbol val="none"/>
          </c:marker>
          <c:cat>
            <c:numRef>
              <c:f>'Result_Lock-in-effect'!$C$468:$L$468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'Result_Lock-in-effect'!$C$472:$L$472</c:f>
              <c:numCache>
                <c:formatCode>0.00</c:formatCode>
                <c:ptCount val="10"/>
                <c:pt idx="0">
                  <c:v>-223.11929907868213</c:v>
                </c:pt>
                <c:pt idx="1">
                  <c:v>-480.25483343303773</c:v>
                </c:pt>
                <c:pt idx="2">
                  <c:v>-673.15049481391907</c:v>
                </c:pt>
                <c:pt idx="3">
                  <c:v>-964.99118380377831</c:v>
                </c:pt>
                <c:pt idx="4">
                  <c:v>-964.99118380377831</c:v>
                </c:pt>
                <c:pt idx="5">
                  <c:v>-964.99118380377831</c:v>
                </c:pt>
                <c:pt idx="6">
                  <c:v>-964.99118380377831</c:v>
                </c:pt>
                <c:pt idx="7">
                  <c:v>-964.99118380377831</c:v>
                </c:pt>
                <c:pt idx="8">
                  <c:v>-964.99118380377831</c:v>
                </c:pt>
                <c:pt idx="9">
                  <c:v>-964.99118380377831</c:v>
                </c:pt>
              </c:numCache>
            </c:numRef>
          </c:val>
          <c:smooth val="0"/>
          <c:extLst>
            <c:ext xmlns:c16="http://schemas.microsoft.com/office/drawing/2014/chart" uri="{C3380CC4-5D6E-409C-BE32-E72D297353CC}">
              <c16:uniqueId val="{00000003-997F-4FB7-8573-509E7087C574}"/>
            </c:ext>
          </c:extLst>
        </c:ser>
        <c:ser>
          <c:idx val="4"/>
          <c:order val="4"/>
          <c:tx>
            <c:strRef>
              <c:f>'Result_Lock-in-effect'!$B$473</c:f>
              <c:strCache>
                <c:ptCount val="1"/>
                <c:pt idx="0">
                  <c:v>M1_Exit Year 5</c:v>
                </c:pt>
              </c:strCache>
            </c:strRef>
          </c:tx>
          <c:spPr>
            <a:ln w="28575" cap="rnd">
              <a:solidFill>
                <a:schemeClr val="accent5"/>
              </a:solidFill>
              <a:round/>
            </a:ln>
            <a:effectLst/>
          </c:spPr>
          <c:marker>
            <c:symbol val="none"/>
          </c:marker>
          <c:cat>
            <c:numRef>
              <c:f>'Result_Lock-in-effect'!$C$468:$L$468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'Result_Lock-in-effect'!$C$473:$L$473</c:f>
              <c:numCache>
                <c:formatCode>0.00</c:formatCode>
                <c:ptCount val="10"/>
                <c:pt idx="0">
                  <c:v>-223.11929907868213</c:v>
                </c:pt>
                <c:pt idx="1">
                  <c:v>-480.25483343303773</c:v>
                </c:pt>
                <c:pt idx="2">
                  <c:v>-673.15049481391907</c:v>
                </c:pt>
                <c:pt idx="3">
                  <c:v>-814.65425781602096</c:v>
                </c:pt>
                <c:pt idx="4">
                  <c:v>-1065.3814281028567</c:v>
                </c:pt>
                <c:pt idx="5">
                  <c:v>-1065.3814281028567</c:v>
                </c:pt>
                <c:pt idx="6">
                  <c:v>-1065.3814281028567</c:v>
                </c:pt>
                <c:pt idx="7">
                  <c:v>-1065.3814281028567</c:v>
                </c:pt>
                <c:pt idx="8">
                  <c:v>-1065.3814281028567</c:v>
                </c:pt>
                <c:pt idx="9">
                  <c:v>-1065.3814281028567</c:v>
                </c:pt>
              </c:numCache>
            </c:numRef>
          </c:val>
          <c:smooth val="0"/>
          <c:extLst>
            <c:ext xmlns:c16="http://schemas.microsoft.com/office/drawing/2014/chart" uri="{C3380CC4-5D6E-409C-BE32-E72D297353CC}">
              <c16:uniqueId val="{00000004-997F-4FB7-8573-509E7087C574}"/>
            </c:ext>
          </c:extLst>
        </c:ser>
        <c:ser>
          <c:idx val="5"/>
          <c:order val="5"/>
          <c:tx>
            <c:strRef>
              <c:f>'Result_Lock-in-effect'!$B$474</c:f>
              <c:strCache>
                <c:ptCount val="1"/>
                <c:pt idx="0">
                  <c:v>M1_Exit Year 6</c:v>
                </c:pt>
              </c:strCache>
            </c:strRef>
          </c:tx>
          <c:spPr>
            <a:ln w="28575" cap="rnd">
              <a:solidFill>
                <a:schemeClr val="accent6"/>
              </a:solidFill>
              <a:round/>
            </a:ln>
            <a:effectLst/>
          </c:spPr>
          <c:marker>
            <c:symbol val="none"/>
          </c:marker>
          <c:cat>
            <c:numRef>
              <c:f>'Result_Lock-in-effect'!$C$468:$L$468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'Result_Lock-in-effect'!$C$474:$L$474</c:f>
              <c:numCache>
                <c:formatCode>0.00</c:formatCode>
                <c:ptCount val="10"/>
                <c:pt idx="0">
                  <c:v>-223.11929907868213</c:v>
                </c:pt>
                <c:pt idx="1">
                  <c:v>-480.25483343303773</c:v>
                </c:pt>
                <c:pt idx="2">
                  <c:v>-673.15049481391907</c:v>
                </c:pt>
                <c:pt idx="3">
                  <c:v>-814.65425781602096</c:v>
                </c:pt>
                <c:pt idx="4">
                  <c:v>-915.04450211509925</c:v>
                </c:pt>
                <c:pt idx="5">
                  <c:v>-1132.8808574395161</c:v>
                </c:pt>
                <c:pt idx="6">
                  <c:v>-1132.8808574395161</c:v>
                </c:pt>
                <c:pt idx="7">
                  <c:v>-1132.8808574395161</c:v>
                </c:pt>
                <c:pt idx="8">
                  <c:v>-1132.8808574395161</c:v>
                </c:pt>
                <c:pt idx="9">
                  <c:v>-1132.8808574395161</c:v>
                </c:pt>
              </c:numCache>
            </c:numRef>
          </c:val>
          <c:smooth val="0"/>
          <c:extLst>
            <c:ext xmlns:c16="http://schemas.microsoft.com/office/drawing/2014/chart" uri="{C3380CC4-5D6E-409C-BE32-E72D297353CC}">
              <c16:uniqueId val="{00000005-997F-4FB7-8573-509E7087C574}"/>
            </c:ext>
          </c:extLst>
        </c:ser>
        <c:ser>
          <c:idx val="6"/>
          <c:order val="6"/>
          <c:tx>
            <c:strRef>
              <c:f>'Result_Lock-in-effect'!$B$475</c:f>
              <c:strCache>
                <c:ptCount val="1"/>
                <c:pt idx="0">
                  <c:v>M1_Exit Year 7</c:v>
                </c:pt>
              </c:strCache>
            </c:strRef>
          </c:tx>
          <c:spPr>
            <a:ln w="28575" cap="rnd">
              <a:solidFill>
                <a:schemeClr val="accent1">
                  <a:lumMod val="60000"/>
                </a:schemeClr>
              </a:solidFill>
              <a:round/>
            </a:ln>
            <a:effectLst/>
          </c:spPr>
          <c:marker>
            <c:symbol val="none"/>
          </c:marker>
          <c:cat>
            <c:numRef>
              <c:f>'Result_Lock-in-effect'!$C$468:$L$468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'Result_Lock-in-effect'!$C$475:$L$475</c:f>
              <c:numCache>
                <c:formatCode>0.00</c:formatCode>
                <c:ptCount val="10"/>
                <c:pt idx="0">
                  <c:v>-223.11929907868213</c:v>
                </c:pt>
                <c:pt idx="1">
                  <c:v>-480.25483343303773</c:v>
                </c:pt>
                <c:pt idx="2">
                  <c:v>-673.15049481391907</c:v>
                </c:pt>
                <c:pt idx="3">
                  <c:v>-814.65425781602096</c:v>
                </c:pt>
                <c:pt idx="4">
                  <c:v>-915.04450211509925</c:v>
                </c:pt>
                <c:pt idx="5">
                  <c:v>-982.54393145175868</c:v>
                </c:pt>
                <c:pt idx="6">
                  <c:v>-1174.0676348062404</c:v>
                </c:pt>
                <c:pt idx="7">
                  <c:v>-1174.0676348062404</c:v>
                </c:pt>
                <c:pt idx="8">
                  <c:v>-1174.0676348062404</c:v>
                </c:pt>
                <c:pt idx="9">
                  <c:v>-1174.0676348062404</c:v>
                </c:pt>
              </c:numCache>
            </c:numRef>
          </c:val>
          <c:smooth val="0"/>
          <c:extLst>
            <c:ext xmlns:c16="http://schemas.microsoft.com/office/drawing/2014/chart" uri="{C3380CC4-5D6E-409C-BE32-E72D297353CC}">
              <c16:uniqueId val="{00000006-997F-4FB7-8573-509E7087C574}"/>
            </c:ext>
          </c:extLst>
        </c:ser>
        <c:ser>
          <c:idx val="7"/>
          <c:order val="7"/>
          <c:tx>
            <c:strRef>
              <c:f>'Result_Lock-in-effect'!$B$476</c:f>
              <c:strCache>
                <c:ptCount val="1"/>
                <c:pt idx="0">
                  <c:v>M1_Exit Year 8</c:v>
                </c:pt>
              </c:strCache>
            </c:strRef>
          </c:tx>
          <c:spPr>
            <a:ln w="28575" cap="rnd">
              <a:solidFill>
                <a:schemeClr val="accent2">
                  <a:lumMod val="60000"/>
                </a:schemeClr>
              </a:solidFill>
              <a:round/>
            </a:ln>
            <a:effectLst/>
          </c:spPr>
          <c:marker>
            <c:symbol val="none"/>
          </c:marker>
          <c:cat>
            <c:numRef>
              <c:f>'Result_Lock-in-effect'!$C$468:$L$468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'Result_Lock-in-effect'!$C$476:$L$476</c:f>
              <c:numCache>
                <c:formatCode>0.00</c:formatCode>
                <c:ptCount val="10"/>
                <c:pt idx="0">
                  <c:v>-223.11929907868213</c:v>
                </c:pt>
                <c:pt idx="1">
                  <c:v>-480.25483343303773</c:v>
                </c:pt>
                <c:pt idx="2">
                  <c:v>-673.15049481391907</c:v>
                </c:pt>
                <c:pt idx="3">
                  <c:v>-814.65425781602096</c:v>
                </c:pt>
                <c:pt idx="4">
                  <c:v>-915.04450211509925</c:v>
                </c:pt>
                <c:pt idx="5">
                  <c:v>-982.54393145175868</c:v>
                </c:pt>
                <c:pt idx="6">
                  <c:v>-1023.7307088184831</c:v>
                </c:pt>
                <c:pt idx="7">
                  <c:v>-1194.2042905970168</c:v>
                </c:pt>
                <c:pt idx="8">
                  <c:v>-1194.2042905970168</c:v>
                </c:pt>
                <c:pt idx="9">
                  <c:v>-1194.2042905970168</c:v>
                </c:pt>
              </c:numCache>
            </c:numRef>
          </c:val>
          <c:smooth val="0"/>
          <c:extLst>
            <c:ext xmlns:c16="http://schemas.microsoft.com/office/drawing/2014/chart" uri="{C3380CC4-5D6E-409C-BE32-E72D297353CC}">
              <c16:uniqueId val="{00000007-997F-4FB7-8573-509E7087C574}"/>
            </c:ext>
          </c:extLst>
        </c:ser>
        <c:ser>
          <c:idx val="8"/>
          <c:order val="8"/>
          <c:tx>
            <c:strRef>
              <c:f>'Result_Lock-in-effect'!$B$477</c:f>
              <c:strCache>
                <c:ptCount val="1"/>
                <c:pt idx="0">
                  <c:v>M1_Exit Year 9</c:v>
                </c:pt>
              </c:strCache>
            </c:strRef>
          </c:tx>
          <c:spPr>
            <a:ln w="28575" cap="rnd">
              <a:solidFill>
                <a:schemeClr val="accent3">
                  <a:lumMod val="60000"/>
                </a:schemeClr>
              </a:solidFill>
              <a:round/>
            </a:ln>
            <a:effectLst/>
          </c:spPr>
          <c:marker>
            <c:symbol val="none"/>
          </c:marker>
          <c:cat>
            <c:numRef>
              <c:f>'Result_Lock-in-effect'!$C$468:$L$468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'Result_Lock-in-effect'!$C$477:$L$477</c:f>
              <c:numCache>
                <c:formatCode>0.00</c:formatCode>
                <c:ptCount val="10"/>
                <c:pt idx="0">
                  <c:v>-223.11929907868213</c:v>
                </c:pt>
                <c:pt idx="1">
                  <c:v>-480.25483343303773</c:v>
                </c:pt>
                <c:pt idx="2">
                  <c:v>-673.15049481391907</c:v>
                </c:pt>
                <c:pt idx="3">
                  <c:v>-814.65425781602096</c:v>
                </c:pt>
                <c:pt idx="4">
                  <c:v>-915.04450211509925</c:v>
                </c:pt>
                <c:pt idx="5">
                  <c:v>-982.54393145175868</c:v>
                </c:pt>
                <c:pt idx="6">
                  <c:v>-1023.7307088184831</c:v>
                </c:pt>
                <c:pt idx="7">
                  <c:v>-1043.8673646092593</c:v>
                </c:pt>
                <c:pt idx="8">
                  <c:v>-1197.5008491270348</c:v>
                </c:pt>
                <c:pt idx="9">
                  <c:v>-1197.5008491270348</c:v>
                </c:pt>
              </c:numCache>
            </c:numRef>
          </c:val>
          <c:smooth val="0"/>
          <c:extLst>
            <c:ext xmlns:c16="http://schemas.microsoft.com/office/drawing/2014/chart" uri="{C3380CC4-5D6E-409C-BE32-E72D297353CC}">
              <c16:uniqueId val="{00000008-997F-4FB7-8573-509E7087C574}"/>
            </c:ext>
          </c:extLst>
        </c:ser>
        <c:ser>
          <c:idx val="9"/>
          <c:order val="9"/>
          <c:tx>
            <c:strRef>
              <c:f>'Result_Lock-in-effect'!$B$478</c:f>
              <c:strCache>
                <c:ptCount val="1"/>
                <c:pt idx="0">
                  <c:v>M1_Exit Year 10</c:v>
                </c:pt>
              </c:strCache>
            </c:strRef>
          </c:tx>
          <c:spPr>
            <a:ln w="28575" cap="rnd">
              <a:solidFill>
                <a:schemeClr val="accent4">
                  <a:lumMod val="60000"/>
                </a:schemeClr>
              </a:solidFill>
              <a:round/>
            </a:ln>
            <a:effectLst/>
          </c:spPr>
          <c:marker>
            <c:symbol val="none"/>
          </c:marker>
          <c:cat>
            <c:numRef>
              <c:f>'Result_Lock-in-effect'!$C$468:$L$468</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'Result_Lock-in-effect'!$C$478:$L$478</c:f>
              <c:numCache>
                <c:formatCode>0.00</c:formatCode>
                <c:ptCount val="10"/>
                <c:pt idx="0">
                  <c:v>-223.11929907868213</c:v>
                </c:pt>
                <c:pt idx="1">
                  <c:v>-480.25483343303773</c:v>
                </c:pt>
                <c:pt idx="2">
                  <c:v>-673.15049481391907</c:v>
                </c:pt>
                <c:pt idx="3">
                  <c:v>-814.65425781602096</c:v>
                </c:pt>
                <c:pt idx="4">
                  <c:v>-915.04450211509925</c:v>
                </c:pt>
                <c:pt idx="5">
                  <c:v>-982.54393145175868</c:v>
                </c:pt>
                <c:pt idx="6">
                  <c:v>-1023.7307088184831</c:v>
                </c:pt>
                <c:pt idx="7">
                  <c:v>-1043.8673646092593</c:v>
                </c:pt>
                <c:pt idx="8">
                  <c:v>-1047.1639231392774</c:v>
                </c:pt>
                <c:pt idx="9">
                  <c:v>-1036.9884038606885</c:v>
                </c:pt>
              </c:numCache>
            </c:numRef>
          </c:val>
          <c:smooth val="0"/>
          <c:extLst>
            <c:ext xmlns:c16="http://schemas.microsoft.com/office/drawing/2014/chart" uri="{C3380CC4-5D6E-409C-BE32-E72D297353CC}">
              <c16:uniqueId val="{00000009-997F-4FB7-8573-509E7087C574}"/>
            </c:ext>
          </c:extLst>
        </c:ser>
        <c:dLbls>
          <c:showLegendKey val="0"/>
          <c:showVal val="0"/>
          <c:showCatName val="0"/>
          <c:showSerName val="0"/>
          <c:showPercent val="0"/>
          <c:showBubbleSize val="0"/>
        </c:dLbls>
        <c:smooth val="0"/>
        <c:axId val="1988712703"/>
        <c:axId val="1988713119"/>
      </c:lineChart>
      <c:catAx>
        <c:axId val="198871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88713119"/>
        <c:crosses val="autoZero"/>
        <c:auto val="1"/>
        <c:lblAlgn val="ctr"/>
        <c:lblOffset val="100"/>
        <c:noMultiLvlLbl val="0"/>
      </c:catAx>
      <c:valAx>
        <c:axId val="19887131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88712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617459</xdr:colOff>
      <xdr:row>469</xdr:row>
      <xdr:rowOff>3054</xdr:rowOff>
    </xdr:from>
    <xdr:to>
      <xdr:col>21</xdr:col>
      <xdr:colOff>326730</xdr:colOff>
      <xdr:row>493</xdr:row>
      <xdr:rowOff>121480</xdr:rowOff>
    </xdr:to>
    <xdr:graphicFrame macro="">
      <xdr:nvGraphicFramePr>
        <xdr:cNvPr id="2" name="Diagramm 1">
          <a:extLst>
            <a:ext uri="{FF2B5EF4-FFF2-40B4-BE49-F238E27FC236}">
              <a16:creationId xmlns:a16="http://schemas.microsoft.com/office/drawing/2014/main" id="{E3B50B0A-408D-48E8-91F4-4AA546DEF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destatis.de/DE/Themen/Branchen-Unternehmen/Landwirtschaft-Forstwirtschaft-Fischerei/Feldfruechte-Gruenland/Publikationen/Downloads-Feldfruechte/feldfruechte-august-september-2030321222094.pdf?__blob=publicationFil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media.repro-mayr.de/84/572184.pdf" TargetMode="External"/><Relationship Id="rId13" Type="http://schemas.openxmlformats.org/officeDocument/2006/relationships/comments" Target="../comments1.xml"/><Relationship Id="rId3" Type="http://schemas.openxmlformats.org/officeDocument/2006/relationships/hyperlink" Target="https://www.profi.de/dl/0/0/1/8/d/e/154510173_4ce20e8180.pdf" TargetMode="External"/><Relationship Id="rId7" Type="http://schemas.openxmlformats.org/officeDocument/2006/relationships/hyperlink" Target="https://www.profi.de/dl/0/0/1/8/d/e/154510173_4ce20e8180.pdf" TargetMode="External"/><Relationship Id="rId12" Type="http://schemas.openxmlformats.org/officeDocument/2006/relationships/vmlDrawing" Target="../drawings/vmlDrawing1.vml"/><Relationship Id="rId2" Type="http://schemas.openxmlformats.org/officeDocument/2006/relationships/hyperlink" Target="https://agripp.de/produkt/touch1200/" TargetMode="External"/><Relationship Id="rId1" Type="http://schemas.openxmlformats.org/officeDocument/2006/relationships/hyperlink" Target="https://agripp.de/produkt/section-control/" TargetMode="External"/><Relationship Id="rId6" Type="http://schemas.openxmlformats.org/officeDocument/2006/relationships/hyperlink" Target="https://www.landwirt.com/gebrauchte,3342388,Steyr-RTK-Lenksystem---STEYR-S-GUIDE---CASE-ACCUGUIDE.html" TargetMode="External"/><Relationship Id="rId11" Type="http://schemas.openxmlformats.org/officeDocument/2006/relationships/printerSettings" Target="../printerSettings/printerSettings3.bin"/><Relationship Id="rId5" Type="http://schemas.openxmlformats.org/officeDocument/2006/relationships/hyperlink" Target="https://www.landwirt.com/gebrauchte,2875239,New-Holland-IntelliSteer-RTK-Lenksystem-%C2%B1-1-5-cm.html" TargetMode="External"/><Relationship Id="rId10" Type="http://schemas.openxmlformats.org/officeDocument/2006/relationships/hyperlink" Target="https://www.baywa.de/de/pflanzenbau/smart-farming/agrarsoftware/next-farming-teilflaeche-paket-betriebsmanagement-software/p-000000000002034112/" TargetMode="External"/><Relationship Id="rId4" Type="http://schemas.openxmlformats.org/officeDocument/2006/relationships/hyperlink" Target="https://de.tec24.com/c-18800/m-fendt/t-varioguide-rtk-novatel/mid-3529856.html" TargetMode="External"/><Relationship Id="rId9" Type="http://schemas.openxmlformats.org/officeDocument/2006/relationships/hyperlink" Target="https://www.parallelfahren.de/automatische-lenku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oi.org/10.1016/j.fcr.2018.01.007" TargetMode="External"/><Relationship Id="rId7" Type="http://schemas.openxmlformats.org/officeDocument/2006/relationships/printerSettings" Target="../printerSettings/printerSettings4.bin"/><Relationship Id="rId2" Type="http://schemas.openxmlformats.org/officeDocument/2006/relationships/hyperlink" Target="https://doi.org/10.1016/j.fcr.2018.01.007" TargetMode="External"/><Relationship Id="rId1" Type="http://schemas.openxmlformats.org/officeDocument/2006/relationships/hyperlink" Target="https://doi.org/10.1016/j.fcr.2018.01.007" TargetMode="External"/><Relationship Id="rId6" Type="http://schemas.openxmlformats.org/officeDocument/2006/relationships/hyperlink" Target="https://doi.org/10.1016/j.fcr.2018.01.007" TargetMode="External"/><Relationship Id="rId5" Type="http://schemas.openxmlformats.org/officeDocument/2006/relationships/hyperlink" Target="https://doi.org/10.1016/j.fcr.2018.01.007" TargetMode="External"/><Relationship Id="rId4" Type="http://schemas.openxmlformats.org/officeDocument/2006/relationships/hyperlink" Target="https://doi.org/10.1016/j.fcr.2018.01.0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U673"/>
  <sheetViews>
    <sheetView tabSelected="1" topLeftCell="A461" zoomScale="70" zoomScaleNormal="70" workbookViewId="0">
      <selection activeCell="A474" sqref="A474:XFD474"/>
    </sheetView>
  </sheetViews>
  <sheetFormatPr defaultColWidth="11.5546875" defaultRowHeight="14.4" outlineLevelRow="2" x14ac:dyDescent="0.3"/>
  <cols>
    <col min="1" max="1" width="14.88671875" customWidth="1"/>
    <col min="3" max="3" width="12.44140625" customWidth="1"/>
    <col min="4" max="4" width="22.109375" customWidth="1"/>
    <col min="5" max="7" width="13.5546875" bestFit="1" customWidth="1"/>
    <col min="8" max="8" width="12.33203125" bestFit="1" customWidth="1"/>
    <col min="9" max="9" width="12.77734375" bestFit="1" customWidth="1"/>
    <col min="10" max="10" width="12.33203125" bestFit="1" customWidth="1"/>
    <col min="11" max="11" width="15.21875" bestFit="1" customWidth="1"/>
    <col min="12" max="12" width="12.33203125" bestFit="1" customWidth="1"/>
    <col min="14" max="14" width="15.33203125" customWidth="1"/>
    <col min="15" max="15" width="12.33203125" customWidth="1"/>
    <col min="16" max="16" width="8.88671875" customWidth="1"/>
    <col min="17" max="17" width="9.109375" customWidth="1"/>
    <col min="18" max="18" width="7.77734375" customWidth="1"/>
    <col min="19" max="19" width="8" customWidth="1"/>
    <col min="20" max="20" width="9.6640625" customWidth="1"/>
    <col min="21" max="21" width="8.6640625" customWidth="1"/>
    <col min="22" max="22" width="7.88671875" customWidth="1"/>
    <col min="23" max="23" width="7.5546875" customWidth="1"/>
    <col min="24" max="24" width="8.44140625" customWidth="1"/>
    <col min="25" max="25" width="8.6640625" customWidth="1"/>
    <col min="26" max="26" width="6.6640625" bestFit="1" customWidth="1"/>
    <col min="27" max="27" width="6" customWidth="1"/>
    <col min="28" max="28" width="7.109375" customWidth="1"/>
    <col min="29" max="33" width="6" bestFit="1" customWidth="1"/>
    <col min="34" max="34" width="6.109375" customWidth="1"/>
    <col min="35" max="36" width="5" bestFit="1" customWidth="1"/>
    <col min="37" max="37" width="6.44140625" customWidth="1"/>
    <col min="38" max="44" width="6" bestFit="1" customWidth="1"/>
    <col min="45" max="46" width="5" bestFit="1" customWidth="1"/>
    <col min="47" max="47" width="7.21875" customWidth="1"/>
    <col min="48" max="55" width="6" bestFit="1" customWidth="1"/>
    <col min="56" max="56" width="5" bestFit="1" customWidth="1"/>
    <col min="57" max="57" width="7.5546875" bestFit="1" customWidth="1"/>
    <col min="58" max="58" width="6.6640625" customWidth="1"/>
    <col min="59" max="66" width="5" bestFit="1" customWidth="1"/>
    <col min="67" max="67" width="7.33203125" customWidth="1"/>
    <col min="68" max="69" width="6" bestFit="1" customWidth="1"/>
    <col min="70" max="76" width="5" bestFit="1" customWidth="1"/>
    <col min="77" max="77" width="6.77734375" customWidth="1"/>
    <col min="78" max="80" width="6" bestFit="1" customWidth="1"/>
    <col min="81" max="86" width="5" bestFit="1" customWidth="1"/>
  </cols>
  <sheetData>
    <row r="1" spans="1:22" s="231" customFormat="1" ht="31.8" customHeight="1" x14ac:dyDescent="0.3">
      <c r="A1" s="502" t="s">
        <v>255</v>
      </c>
      <c r="B1" s="502"/>
      <c r="C1" s="502"/>
      <c r="D1" s="502"/>
      <c r="E1" s="502"/>
      <c r="F1" s="502"/>
      <c r="G1" s="502"/>
      <c r="H1" s="502"/>
      <c r="I1" s="502"/>
      <c r="J1" s="502"/>
      <c r="K1" s="502"/>
      <c r="L1" s="502"/>
      <c r="M1" s="502"/>
      <c r="N1" s="502"/>
      <c r="O1" s="502"/>
      <c r="P1" s="502"/>
      <c r="Q1" s="502"/>
    </row>
    <row r="2" spans="1:22" s="19" customFormat="1" x14ac:dyDescent="0.3">
      <c r="A2" s="27" t="s">
        <v>150</v>
      </c>
    </row>
    <row r="3" spans="1:22" s="67" customFormat="1" outlineLevel="1" x14ac:dyDescent="0.3">
      <c r="A3" s="461" t="s">
        <v>155</v>
      </c>
      <c r="B3" s="64" t="s">
        <v>0</v>
      </c>
      <c r="C3" t="s">
        <v>151</v>
      </c>
      <c r="D3"/>
    </row>
    <row r="4" spans="1:22" s="67" customFormat="1" outlineLevel="1" x14ac:dyDescent="0.3">
      <c r="A4" s="461"/>
      <c r="B4" s="42" t="s">
        <v>1</v>
      </c>
      <c r="C4" t="s">
        <v>152</v>
      </c>
      <c r="D4"/>
    </row>
    <row r="5" spans="1:22" s="67" customFormat="1" outlineLevel="1" x14ac:dyDescent="0.3">
      <c r="A5" s="461"/>
      <c r="B5" s="43" t="s">
        <v>2</v>
      </c>
      <c r="C5" t="s">
        <v>153</v>
      </c>
      <c r="D5"/>
    </row>
    <row r="6" spans="1:22" s="67" customFormat="1" outlineLevel="1" x14ac:dyDescent="0.3">
      <c r="A6" s="461"/>
      <c r="B6" s="65" t="s">
        <v>3</v>
      </c>
      <c r="C6" t="s">
        <v>154</v>
      </c>
      <c r="D6"/>
    </row>
    <row r="7" spans="1:22" s="67" customFormat="1" outlineLevel="1" x14ac:dyDescent="0.3">
      <c r="A7" s="461" t="s">
        <v>156</v>
      </c>
      <c r="B7" s="64" t="s">
        <v>0</v>
      </c>
      <c r="C7" s="67" t="s">
        <v>157</v>
      </c>
      <c r="D7"/>
    </row>
    <row r="8" spans="1:22" s="67" customFormat="1" outlineLevel="1" x14ac:dyDescent="0.3">
      <c r="A8" s="461"/>
      <c r="B8" s="42" t="s">
        <v>1</v>
      </c>
      <c r="C8" s="67" t="s">
        <v>158</v>
      </c>
      <c r="D8"/>
      <c r="I8" s="92"/>
    </row>
    <row r="9" spans="1:22" s="67" customFormat="1" outlineLevel="1" x14ac:dyDescent="0.3">
      <c r="A9" s="461"/>
      <c r="B9" s="43" t="s">
        <v>2</v>
      </c>
      <c r="C9" s="67" t="s">
        <v>379</v>
      </c>
      <c r="D9"/>
      <c r="I9" s="92"/>
    </row>
    <row r="10" spans="1:22" s="67" customFormat="1" outlineLevel="1" x14ac:dyDescent="0.3">
      <c r="A10" s="461"/>
      <c r="B10" s="65" t="s">
        <v>3</v>
      </c>
      <c r="C10" s="67" t="s">
        <v>159</v>
      </c>
      <c r="D10"/>
      <c r="I10" s="92"/>
    </row>
    <row r="11" spans="1:22" s="67" customFormat="1" x14ac:dyDescent="0.3"/>
    <row r="12" spans="1:22" s="19" customFormat="1" x14ac:dyDescent="0.3">
      <c r="A12" s="153" t="s">
        <v>160</v>
      </c>
      <c r="C12" s="154"/>
      <c r="F12" s="154"/>
      <c r="G12" s="27"/>
      <c r="H12" s="27"/>
    </row>
    <row r="13" spans="1:22" s="67" customFormat="1" x14ac:dyDescent="0.3">
      <c r="A13" s="67" t="s">
        <v>419</v>
      </c>
      <c r="D13" s="68">
        <v>89.85</v>
      </c>
      <c r="E13" s="71" t="s">
        <v>418</v>
      </c>
    </row>
    <row r="14" spans="1:22" s="67" customFormat="1" outlineLevel="1" x14ac:dyDescent="0.3">
      <c r="B14" s="67" t="s">
        <v>123</v>
      </c>
      <c r="P14" s="376" t="s">
        <v>421</v>
      </c>
      <c r="Q14" s="316"/>
      <c r="R14" s="316"/>
      <c r="S14" s="316"/>
      <c r="T14" s="316"/>
      <c r="U14" s="316"/>
      <c r="V14" s="377"/>
    </row>
    <row r="15" spans="1:22" s="67" customFormat="1" ht="28.8" outlineLevel="1" x14ac:dyDescent="0.3">
      <c r="A15" s="70" t="s">
        <v>124</v>
      </c>
      <c r="B15" s="30">
        <f>D13</f>
        <v>89.85</v>
      </c>
      <c r="F15" s="71"/>
      <c r="P15" s="376"/>
      <c r="Q15" s="316"/>
      <c r="R15" s="316" t="s">
        <v>179</v>
      </c>
      <c r="S15" s="316" t="s">
        <v>180</v>
      </c>
      <c r="T15" s="316"/>
      <c r="U15" s="316"/>
      <c r="V15" s="377"/>
    </row>
    <row r="16" spans="1:22" s="67" customFormat="1" outlineLevel="1" x14ac:dyDescent="0.3">
      <c r="A16" s="70" t="s">
        <v>132</v>
      </c>
      <c r="B16" s="11">
        <v>45</v>
      </c>
      <c r="C16" s="11" t="s">
        <v>161</v>
      </c>
      <c r="D16" s="38"/>
      <c r="E16" s="38"/>
      <c r="P16" s="378" t="s">
        <v>174</v>
      </c>
      <c r="Q16" s="317" t="s">
        <v>178</v>
      </c>
      <c r="R16" s="319" t="s">
        <v>181</v>
      </c>
      <c r="S16" s="319" t="s">
        <v>181</v>
      </c>
      <c r="T16" s="317" t="s">
        <v>128</v>
      </c>
      <c r="U16" s="317" t="s">
        <v>130</v>
      </c>
      <c r="V16" s="379" t="s">
        <v>128</v>
      </c>
    </row>
    <row r="17" spans="1:47" s="67" customFormat="1" outlineLevel="1" x14ac:dyDescent="0.3">
      <c r="A17" s="67" t="s">
        <v>162</v>
      </c>
      <c r="B17" s="67">
        <v>21.5</v>
      </c>
      <c r="C17" s="67" t="s">
        <v>163</v>
      </c>
      <c r="E17" s="231" t="s">
        <v>380</v>
      </c>
      <c r="F17" s="67" t="s">
        <v>380</v>
      </c>
      <c r="G17" s="489" t="s">
        <v>416</v>
      </c>
      <c r="H17" s="489"/>
      <c r="I17" s="489"/>
      <c r="J17" s="231" t="s">
        <v>380</v>
      </c>
      <c r="K17" s="114"/>
      <c r="L17" s="68"/>
      <c r="M17" s="68"/>
      <c r="P17" s="380" t="s">
        <v>377</v>
      </c>
      <c r="Q17" s="317">
        <v>2988</v>
      </c>
      <c r="R17" s="381">
        <f>Q17/$Q$24</f>
        <v>0.52810180275715801</v>
      </c>
      <c r="S17" s="382">
        <f>Q17/SUM($Q$17:$Q$21)</f>
        <v>0.52810180275715801</v>
      </c>
      <c r="T17" s="317" t="s">
        <v>125</v>
      </c>
      <c r="U17" s="317">
        <v>7.61</v>
      </c>
      <c r="V17" s="398" t="s">
        <v>420</v>
      </c>
    </row>
    <row r="18" spans="1:47" s="66" customFormat="1" ht="43.2" outlineLevel="1" x14ac:dyDescent="0.3">
      <c r="A18" s="490" t="s">
        <v>165</v>
      </c>
      <c r="B18" s="66" t="s">
        <v>129</v>
      </c>
      <c r="C18" s="66" t="s">
        <v>166</v>
      </c>
      <c r="D18" s="110" t="s">
        <v>167</v>
      </c>
      <c r="E18" s="110" t="s">
        <v>168</v>
      </c>
      <c r="F18" s="110" t="s">
        <v>354</v>
      </c>
      <c r="G18" s="405" t="s">
        <v>170</v>
      </c>
      <c r="H18" s="110" t="s">
        <v>169</v>
      </c>
      <c r="I18" s="110" t="s">
        <v>171</v>
      </c>
      <c r="J18" s="66" t="s">
        <v>172</v>
      </c>
      <c r="K18" s="68"/>
      <c r="L18" s="231"/>
      <c r="M18" s="231"/>
      <c r="P18" s="378" t="s">
        <v>378</v>
      </c>
      <c r="Q18" s="317">
        <v>1587</v>
      </c>
      <c r="R18" s="381">
        <f t="shared" ref="R18:R24" si="0">Q18/$Q$24</f>
        <v>0.28048780487804881</v>
      </c>
      <c r="S18" s="382">
        <f>Q18/SUM($Q$17:$Q$21)</f>
        <v>0.28048780487804881</v>
      </c>
      <c r="T18" s="317" t="s">
        <v>125</v>
      </c>
      <c r="U18" s="317">
        <v>5.31</v>
      </c>
      <c r="V18" s="398" t="s">
        <v>420</v>
      </c>
    </row>
    <row r="19" spans="1:47" outlineLevel="1" x14ac:dyDescent="0.3">
      <c r="A19" s="490"/>
      <c r="B19" t="s">
        <v>377</v>
      </c>
      <c r="C19" s="330">
        <f>S17</f>
        <v>0.52810180275715801</v>
      </c>
      <c r="D19" s="394">
        <f>U17</f>
        <v>7.61</v>
      </c>
      <c r="E19" s="394">
        <v>182</v>
      </c>
      <c r="F19" s="394">
        <v>546</v>
      </c>
      <c r="G19" s="406">
        <f>'Impact Technologies'!M12</f>
        <v>2.2082404761904761E-2</v>
      </c>
      <c r="H19" s="192">
        <f>'Impact Technologies'!M9</f>
        <v>4.046949241698157E-2</v>
      </c>
      <c r="I19" s="397">
        <f>'Impact Technologies'!M6</f>
        <v>4.6448246128112623E-2</v>
      </c>
      <c r="J19" s="111">
        <v>4</v>
      </c>
      <c r="K19" s="68"/>
      <c r="L19" s="231"/>
      <c r="M19" s="231"/>
      <c r="P19" s="384" t="s">
        <v>173</v>
      </c>
      <c r="Q19" s="317">
        <v>1083</v>
      </c>
      <c r="R19" s="381">
        <f t="shared" si="0"/>
        <v>0.19141039236479321</v>
      </c>
      <c r="S19" s="382">
        <f>Q19/SUM($Q$17:$Q$21)</f>
        <v>0.19141039236479321</v>
      </c>
      <c r="T19" s="317" t="s">
        <v>125</v>
      </c>
      <c r="U19" s="319">
        <v>3.96</v>
      </c>
      <c r="V19" s="383" t="s">
        <v>420</v>
      </c>
    </row>
    <row r="20" spans="1:47" s="8" customFormat="1" outlineLevel="1" x14ac:dyDescent="0.3">
      <c r="A20" s="490"/>
      <c r="B20" s="8" t="s">
        <v>378</v>
      </c>
      <c r="C20" s="330">
        <f>S18</f>
        <v>0.28048780487804881</v>
      </c>
      <c r="D20" s="394">
        <f>U18</f>
        <v>5.31</v>
      </c>
      <c r="E20" s="395">
        <v>188</v>
      </c>
      <c r="F20" s="395">
        <v>382.68</v>
      </c>
      <c r="G20" s="406">
        <f>'Impact Technologies'!M13</f>
        <v>2.2082404761904758E-2</v>
      </c>
      <c r="H20" s="192">
        <f>'Impact Technologies'!M10</f>
        <v>3.900429693700181E-2</v>
      </c>
      <c r="I20" s="397">
        <f>'Impact Technologies'!M7</f>
        <v>4.6325537437719944E-2</v>
      </c>
      <c r="J20" s="112">
        <v>2</v>
      </c>
      <c r="K20" s="68"/>
      <c r="L20" s="231"/>
      <c r="M20" s="231"/>
      <c r="P20" s="380" t="s">
        <v>375</v>
      </c>
      <c r="Q20" s="317">
        <v>0</v>
      </c>
      <c r="R20" s="381">
        <f t="shared" si="0"/>
        <v>0</v>
      </c>
      <c r="S20" s="382">
        <f>Q20/SUM($Q$17:$Q$21)</f>
        <v>0</v>
      </c>
      <c r="T20" s="317"/>
      <c r="U20" s="317">
        <v>0</v>
      </c>
      <c r="V20" s="383"/>
    </row>
    <row r="21" spans="1:47" s="8" customFormat="1" outlineLevel="1" x14ac:dyDescent="0.3">
      <c r="A21" s="490"/>
      <c r="B21" s="8" t="s">
        <v>173</v>
      </c>
      <c r="C21" s="330">
        <f>S19+S20+S21</f>
        <v>0.19141039236479321</v>
      </c>
      <c r="D21" s="394">
        <f>U19</f>
        <v>3.96</v>
      </c>
      <c r="E21" s="394">
        <v>409</v>
      </c>
      <c r="F21" s="394">
        <v>543.73</v>
      </c>
      <c r="G21" s="406">
        <f>'Impact Technologies'!M14</f>
        <v>1.5142666666666667E-2</v>
      </c>
      <c r="H21" s="192">
        <f>'Impact Technologies'!M11</f>
        <v>4.0150166442903645E-2</v>
      </c>
      <c r="I21" s="397">
        <f>'Impact Technologies'!M8</f>
        <v>4.4952263378269845E-2</v>
      </c>
      <c r="J21" s="112">
        <v>3</v>
      </c>
      <c r="K21" s="68"/>
      <c r="L21" s="231"/>
      <c r="M21" s="231"/>
      <c r="P21" s="378" t="s">
        <v>376</v>
      </c>
      <c r="Q21" s="317">
        <v>0</v>
      </c>
      <c r="R21" s="381">
        <f t="shared" si="0"/>
        <v>0</v>
      </c>
      <c r="S21" s="382">
        <f>Q21/SUM($Q$17:$Q$21)</f>
        <v>0</v>
      </c>
      <c r="T21" s="317"/>
      <c r="U21" s="385">
        <v>0</v>
      </c>
      <c r="V21" s="383"/>
    </row>
    <row r="22" spans="1:47" ht="14.4" customHeight="1" outlineLevel="1" x14ac:dyDescent="0.3">
      <c r="A22" s="490"/>
      <c r="B22" s="28" t="s">
        <v>375</v>
      </c>
      <c r="C22" s="330">
        <v>0</v>
      </c>
      <c r="D22" s="394">
        <f>U20</f>
        <v>0</v>
      </c>
      <c r="E22" s="394">
        <v>0</v>
      </c>
      <c r="F22" s="394">
        <v>0</v>
      </c>
      <c r="G22" s="407">
        <v>0</v>
      </c>
      <c r="H22" s="396">
        <v>0</v>
      </c>
      <c r="I22" s="397">
        <v>0</v>
      </c>
      <c r="J22" s="112">
        <v>0</v>
      </c>
      <c r="K22" s="68"/>
      <c r="L22" s="231"/>
      <c r="M22" s="231"/>
      <c r="P22" s="380" t="s">
        <v>176</v>
      </c>
      <c r="Q22" s="317">
        <v>0</v>
      </c>
      <c r="R22" s="386">
        <f t="shared" si="0"/>
        <v>0</v>
      </c>
      <c r="S22" s="317"/>
      <c r="T22" s="317"/>
      <c r="U22" s="385" t="s">
        <v>126</v>
      </c>
      <c r="V22" s="387"/>
    </row>
    <row r="23" spans="1:47" outlineLevel="1" x14ac:dyDescent="0.3">
      <c r="A23" s="490"/>
      <c r="B23" s="28" t="s">
        <v>376</v>
      </c>
      <c r="C23" s="330">
        <v>0</v>
      </c>
      <c r="D23" s="394">
        <f>U21</f>
        <v>0</v>
      </c>
      <c r="E23" s="394">
        <v>0</v>
      </c>
      <c r="F23" s="394">
        <v>0</v>
      </c>
      <c r="G23" s="407">
        <v>0</v>
      </c>
      <c r="H23" s="396">
        <v>0</v>
      </c>
      <c r="I23" s="397">
        <v>0</v>
      </c>
      <c r="J23" s="112">
        <v>0</v>
      </c>
      <c r="K23" s="68"/>
      <c r="L23" s="231"/>
      <c r="M23" s="231"/>
      <c r="P23" s="380" t="s">
        <v>175</v>
      </c>
      <c r="Q23" s="317">
        <v>0</v>
      </c>
      <c r="R23" s="381">
        <f t="shared" si="0"/>
        <v>0</v>
      </c>
      <c r="S23" s="317"/>
      <c r="T23" s="317"/>
      <c r="U23" s="385" t="s">
        <v>126</v>
      </c>
      <c r="V23" s="388"/>
    </row>
    <row r="24" spans="1:47" ht="28.8" outlineLevel="1" x14ac:dyDescent="0.3">
      <c r="A24" s="29" t="s">
        <v>164</v>
      </c>
      <c r="B24" s="143">
        <v>0.2</v>
      </c>
      <c r="E24" s="178"/>
      <c r="F24" s="178"/>
      <c r="G24" s="23"/>
      <c r="H24" s="109"/>
      <c r="I24" s="68"/>
      <c r="K24" s="192"/>
      <c r="L24" s="192"/>
      <c r="M24" s="192"/>
      <c r="N24" s="179"/>
      <c r="O24" s="179"/>
      <c r="P24" s="389" t="s">
        <v>177</v>
      </c>
      <c r="Q24" s="295">
        <f>SUM(Q17:Q23)</f>
        <v>5658</v>
      </c>
      <c r="R24" s="390">
        <f t="shared" si="0"/>
        <v>1</v>
      </c>
      <c r="S24" s="391"/>
      <c r="T24" s="295"/>
      <c r="U24" s="392" t="s">
        <v>126</v>
      </c>
      <c r="V24" s="393"/>
    </row>
    <row r="25" spans="1:47" s="67" customFormat="1" x14ac:dyDescent="0.3">
      <c r="A25" s="120"/>
      <c r="F25" s="72"/>
      <c r="G25" s="69"/>
      <c r="H25" s="69"/>
    </row>
    <row r="26" spans="1:47" s="19" customFormat="1" x14ac:dyDescent="0.3">
      <c r="A26" s="27" t="s">
        <v>297</v>
      </c>
    </row>
    <row r="27" spans="1:47" s="67" customFormat="1" outlineLevel="1" x14ac:dyDescent="0.3">
      <c r="C27" s="68"/>
      <c r="E27" s="461" t="s">
        <v>298</v>
      </c>
      <c r="F27" s="461"/>
      <c r="G27" s="461"/>
      <c r="H27" s="461"/>
      <c r="I27" s="461"/>
      <c r="J27" s="461"/>
      <c r="K27" s="461"/>
      <c r="L27" s="461"/>
      <c r="M27" s="193"/>
      <c r="N27" s="193"/>
      <c r="O27" s="464" t="s">
        <v>356</v>
      </c>
      <c r="P27" s="465"/>
      <c r="Q27" s="465"/>
      <c r="R27" s="465"/>
      <c r="S27" s="465"/>
      <c r="T27" s="465"/>
      <c r="U27" s="465"/>
      <c r="V27" s="465"/>
      <c r="W27" s="465"/>
      <c r="X27" s="466"/>
      <c r="Y27" s="462" t="s">
        <v>357</v>
      </c>
      <c r="Z27" s="463"/>
      <c r="AA27" s="463"/>
      <c r="AB27" s="463"/>
      <c r="AC27" s="463"/>
      <c r="AD27" s="463"/>
      <c r="AE27" s="463"/>
      <c r="AF27" s="463"/>
      <c r="AG27" s="463"/>
      <c r="AH27" s="463"/>
      <c r="AI27" s="4"/>
      <c r="AU27" s="4"/>
    </row>
    <row r="28" spans="1:47" s="67" customFormat="1" ht="39" customHeight="1" outlineLevel="1" x14ac:dyDescent="0.3">
      <c r="C28" s="68"/>
      <c r="E28" s="460" t="s">
        <v>186</v>
      </c>
      <c r="F28" s="460"/>
      <c r="G28" s="460" t="s">
        <v>187</v>
      </c>
      <c r="H28" s="460"/>
      <c r="I28" s="460" t="s">
        <v>188</v>
      </c>
      <c r="J28" s="460"/>
      <c r="K28" s="460" t="s">
        <v>189</v>
      </c>
      <c r="L28" s="460"/>
      <c r="M28" s="194" t="s">
        <v>190</v>
      </c>
      <c r="N28" s="88" t="s">
        <v>191</v>
      </c>
      <c r="O28" s="145">
        <v>1</v>
      </c>
      <c r="P28" s="196">
        <v>2</v>
      </c>
      <c r="Q28" s="196">
        <v>3</v>
      </c>
      <c r="R28" s="196">
        <v>4</v>
      </c>
      <c r="S28" s="196">
        <v>5</v>
      </c>
      <c r="T28" s="196">
        <v>6</v>
      </c>
      <c r="U28" s="196">
        <v>7</v>
      </c>
      <c r="V28" s="196">
        <v>8</v>
      </c>
      <c r="W28" s="196">
        <v>9</v>
      </c>
      <c r="X28" s="197">
        <v>10</v>
      </c>
      <c r="Y28" s="195">
        <v>1</v>
      </c>
      <c r="Z28" s="146">
        <v>2</v>
      </c>
      <c r="AA28" s="146">
        <v>3</v>
      </c>
      <c r="AB28" s="146">
        <v>4</v>
      </c>
      <c r="AC28" s="146">
        <v>5</v>
      </c>
      <c r="AD28" s="146">
        <v>6</v>
      </c>
      <c r="AE28" s="146">
        <v>7</v>
      </c>
      <c r="AF28" s="146">
        <v>8</v>
      </c>
      <c r="AG28" s="146">
        <v>9</v>
      </c>
      <c r="AH28" s="146">
        <v>10</v>
      </c>
      <c r="AI28" s="4"/>
      <c r="AJ28" s="68" t="s">
        <v>358</v>
      </c>
      <c r="AU28" s="4"/>
    </row>
    <row r="29" spans="1:47" s="67" customFormat="1" outlineLevel="1" x14ac:dyDescent="0.3">
      <c r="A29" s="29"/>
      <c r="D29" s="12"/>
      <c r="E29" s="79" t="s">
        <v>182</v>
      </c>
      <c r="F29" s="79" t="s">
        <v>183</v>
      </c>
      <c r="G29" s="80" t="s">
        <v>182</v>
      </c>
      <c r="H29" s="80" t="s">
        <v>183</v>
      </c>
      <c r="I29" s="81" t="s">
        <v>182</v>
      </c>
      <c r="J29" s="81" t="s">
        <v>183</v>
      </c>
      <c r="K29" s="82" t="s">
        <v>182</v>
      </c>
      <c r="L29" s="82" t="s">
        <v>183</v>
      </c>
      <c r="M29" s="108" t="s">
        <v>127</v>
      </c>
      <c r="N29" s="121" t="s">
        <v>127</v>
      </c>
      <c r="O29" s="148"/>
      <c r="P29" s="198"/>
      <c r="Q29" s="198"/>
      <c r="R29" s="198"/>
      <c r="S29" s="198"/>
      <c r="T29" s="198"/>
      <c r="U29" s="198"/>
      <c r="V29" s="198"/>
      <c r="W29" s="198"/>
      <c r="X29" s="199"/>
      <c r="Y29" s="148"/>
      <c r="Z29" s="147"/>
      <c r="AA29" s="147"/>
      <c r="AB29" s="147"/>
      <c r="AC29" s="147"/>
      <c r="AD29" s="147"/>
      <c r="AE29" s="147"/>
      <c r="AF29" s="147"/>
      <c r="AG29" s="147"/>
      <c r="AH29" s="147"/>
      <c r="AI29" s="4"/>
    </row>
    <row r="30" spans="1:47" s="67" customFormat="1" ht="14.4" customHeight="1" outlineLevel="1" x14ac:dyDescent="0.3">
      <c r="A30" s="468" t="s">
        <v>184</v>
      </c>
      <c r="B30" s="483" t="s">
        <v>131</v>
      </c>
      <c r="C30" s="484"/>
      <c r="D30" s="235" t="str">
        <f>B19</f>
        <v>Wheat</v>
      </c>
      <c r="E30" s="209">
        <v>1</v>
      </c>
      <c r="F30" s="209">
        <v>0</v>
      </c>
      <c r="G30" s="210">
        <v>1</v>
      </c>
      <c r="H30" s="210">
        <v>0</v>
      </c>
      <c r="I30" s="211">
        <v>1</v>
      </c>
      <c r="J30" s="211">
        <v>0</v>
      </c>
      <c r="K30" s="212">
        <v>1</v>
      </c>
      <c r="L30" s="212">
        <v>0</v>
      </c>
      <c r="M30" s="213">
        <f>$B$15*$C19*$D19*$E19*$G19</f>
        <v>1451.2363312827392</v>
      </c>
      <c r="N30" s="214">
        <v>0</v>
      </c>
      <c r="O30" s="148"/>
      <c r="P30" s="198"/>
      <c r="Q30" s="198"/>
      <c r="R30" s="198"/>
      <c r="S30" s="198"/>
      <c r="T30" s="198"/>
      <c r="U30" s="198"/>
      <c r="V30" s="198"/>
      <c r="W30" s="198"/>
      <c r="X30" s="199"/>
      <c r="Y30" s="148"/>
      <c r="Z30" s="147"/>
      <c r="AA30" s="147"/>
      <c r="AB30" s="147"/>
      <c r="AC30" s="147"/>
      <c r="AD30" s="147"/>
      <c r="AE30" s="147"/>
      <c r="AF30" s="147"/>
      <c r="AG30" s="147"/>
      <c r="AH30" s="147"/>
      <c r="AI30" s="4"/>
    </row>
    <row r="31" spans="1:47" s="67" customFormat="1" outlineLevel="1" x14ac:dyDescent="0.3">
      <c r="A31" s="469"/>
      <c r="B31" s="485"/>
      <c r="C31" s="486"/>
      <c r="D31" s="235" t="str">
        <f t="shared" ref="D31:D34" si="1">B20</f>
        <v>Barley</v>
      </c>
      <c r="E31" s="209">
        <v>1</v>
      </c>
      <c r="F31" s="209">
        <v>0</v>
      </c>
      <c r="G31" s="210">
        <v>1</v>
      </c>
      <c r="H31" s="210">
        <v>0</v>
      </c>
      <c r="I31" s="211">
        <v>1</v>
      </c>
      <c r="J31" s="211">
        <v>0</v>
      </c>
      <c r="K31" s="212">
        <v>1</v>
      </c>
      <c r="L31" s="212">
        <v>0</v>
      </c>
      <c r="M31" s="213">
        <f>$B$15*$C20*$D20*$E20*$G20</f>
        <v>555.55978541207128</v>
      </c>
      <c r="N31" s="214">
        <v>0</v>
      </c>
      <c r="O31" s="148"/>
      <c r="P31" s="198"/>
      <c r="Q31" s="198"/>
      <c r="R31" s="198"/>
      <c r="S31" s="198"/>
      <c r="T31" s="198"/>
      <c r="U31" s="198"/>
      <c r="V31" s="198"/>
      <c r="W31" s="198"/>
      <c r="X31" s="199"/>
      <c r="Y31" s="148"/>
      <c r="Z31" s="147"/>
      <c r="AA31" s="147"/>
      <c r="AB31" s="147"/>
      <c r="AC31" s="147"/>
      <c r="AD31" s="147"/>
      <c r="AE31" s="147"/>
      <c r="AF31" s="147"/>
      <c r="AG31" s="147"/>
      <c r="AH31" s="147"/>
      <c r="AI31" s="4"/>
    </row>
    <row r="32" spans="1:47" s="67" customFormat="1" outlineLevel="1" x14ac:dyDescent="0.3">
      <c r="A32" s="469"/>
      <c r="B32" s="485"/>
      <c r="C32" s="486"/>
      <c r="D32" s="235" t="str">
        <f t="shared" si="1"/>
        <v>Rapeseed</v>
      </c>
      <c r="E32" s="209">
        <v>1</v>
      </c>
      <c r="F32" s="209">
        <v>0</v>
      </c>
      <c r="G32" s="210">
        <v>1</v>
      </c>
      <c r="H32" s="210">
        <v>0</v>
      </c>
      <c r="I32" s="211">
        <v>1</v>
      </c>
      <c r="J32" s="211">
        <v>0</v>
      </c>
      <c r="K32" s="212">
        <v>1</v>
      </c>
      <c r="L32" s="212">
        <v>0</v>
      </c>
      <c r="M32" s="213">
        <f>$B$15*$C21*$D21*$E21*$G21</f>
        <v>421.7979369866087</v>
      </c>
      <c r="N32" s="214">
        <v>0</v>
      </c>
      <c r="O32" s="148"/>
      <c r="P32" s="198"/>
      <c r="Q32" s="198"/>
      <c r="R32" s="198"/>
      <c r="S32" s="198"/>
      <c r="T32" s="198"/>
      <c r="U32" s="198"/>
      <c r="V32" s="198"/>
      <c r="W32" s="198"/>
      <c r="X32" s="199"/>
      <c r="Y32" s="148"/>
      <c r="Z32" s="147"/>
      <c r="AA32" s="147"/>
      <c r="AB32" s="147"/>
      <c r="AC32" s="147"/>
      <c r="AD32" s="147"/>
      <c r="AE32" s="147"/>
      <c r="AF32" s="147"/>
      <c r="AG32" s="147"/>
      <c r="AH32" s="147"/>
      <c r="AI32" s="4"/>
    </row>
    <row r="33" spans="1:35" s="67" customFormat="1" outlineLevel="1" x14ac:dyDescent="0.3">
      <c r="A33" s="469"/>
      <c r="B33" s="485"/>
      <c r="C33" s="486"/>
      <c r="D33" s="235" t="str">
        <f t="shared" si="1"/>
        <v>Crop X</v>
      </c>
      <c r="E33" s="209">
        <v>0</v>
      </c>
      <c r="F33" s="209">
        <v>0</v>
      </c>
      <c r="G33" s="210">
        <v>0</v>
      </c>
      <c r="H33" s="210">
        <v>0</v>
      </c>
      <c r="I33" s="211">
        <v>0</v>
      </c>
      <c r="J33" s="211">
        <v>0</v>
      </c>
      <c r="K33" s="212">
        <v>0</v>
      </c>
      <c r="L33" s="212">
        <v>0</v>
      </c>
      <c r="M33" s="213">
        <f>$B$15*$C22*$D22*$E22*$G22</f>
        <v>0</v>
      </c>
      <c r="N33" s="214">
        <v>0</v>
      </c>
      <c r="O33" s="148"/>
      <c r="P33" s="198"/>
      <c r="Q33" s="198"/>
      <c r="R33" s="198"/>
      <c r="S33" s="198"/>
      <c r="T33" s="198"/>
      <c r="U33" s="198"/>
      <c r="V33" s="198"/>
      <c r="W33" s="198"/>
      <c r="X33" s="199"/>
      <c r="Y33" s="148"/>
      <c r="Z33" s="147"/>
      <c r="AA33" s="147"/>
      <c r="AB33" s="147"/>
      <c r="AC33" s="147"/>
      <c r="AD33" s="147"/>
      <c r="AE33" s="147"/>
      <c r="AF33" s="147"/>
      <c r="AG33" s="147"/>
      <c r="AH33" s="147"/>
      <c r="AI33" s="4"/>
    </row>
    <row r="34" spans="1:35" s="67" customFormat="1" outlineLevel="1" x14ac:dyDescent="0.3">
      <c r="A34" s="469"/>
      <c r="B34" s="487"/>
      <c r="C34" s="488"/>
      <c r="D34" s="235" t="str">
        <f t="shared" si="1"/>
        <v>Crop Y</v>
      </c>
      <c r="E34" s="209">
        <v>1</v>
      </c>
      <c r="F34" s="209">
        <v>0</v>
      </c>
      <c r="G34" s="210">
        <v>1</v>
      </c>
      <c r="H34" s="210">
        <v>0</v>
      </c>
      <c r="I34" s="211">
        <v>1</v>
      </c>
      <c r="J34" s="211">
        <v>0</v>
      </c>
      <c r="K34" s="212">
        <v>1</v>
      </c>
      <c r="L34" s="212">
        <v>0</v>
      </c>
      <c r="M34" s="213">
        <f>$B$15*$C23*$D23*$E23*$G23</f>
        <v>0</v>
      </c>
      <c r="N34" s="214">
        <v>0</v>
      </c>
      <c r="O34" s="148"/>
      <c r="P34" s="198"/>
      <c r="Q34" s="198"/>
      <c r="R34" s="198"/>
      <c r="S34" s="198"/>
      <c r="T34" s="198"/>
      <c r="U34" s="198"/>
      <c r="V34" s="198"/>
      <c r="W34" s="198"/>
      <c r="X34" s="199"/>
      <c r="Y34" s="148"/>
      <c r="Z34" s="147"/>
      <c r="AA34" s="147"/>
      <c r="AB34" s="147"/>
      <c r="AC34" s="147"/>
      <c r="AD34" s="147"/>
      <c r="AE34" s="147"/>
      <c r="AF34" s="147"/>
      <c r="AG34" s="147"/>
      <c r="AH34" s="147"/>
      <c r="AI34" s="4"/>
    </row>
    <row r="35" spans="1:35" s="67" customFormat="1" outlineLevel="1" x14ac:dyDescent="0.3">
      <c r="A35" s="469"/>
      <c r="B35" s="477" t="s">
        <v>169</v>
      </c>
      <c r="C35" s="478"/>
      <c r="D35" s="235" t="str">
        <f>B19</f>
        <v>Wheat</v>
      </c>
      <c r="E35" s="209">
        <v>1</v>
      </c>
      <c r="F35" s="209">
        <v>0</v>
      </c>
      <c r="G35" s="210">
        <v>1</v>
      </c>
      <c r="H35" s="210">
        <v>0</v>
      </c>
      <c r="I35" s="211">
        <v>1</v>
      </c>
      <c r="J35" s="211">
        <v>0</v>
      </c>
      <c r="K35" s="212">
        <v>1</v>
      </c>
      <c r="L35" s="212">
        <v>0</v>
      </c>
      <c r="M35" s="213">
        <f>$B$15*$C19*$F19*$H19</f>
        <v>1048.4702970931905</v>
      </c>
      <c r="N35" s="214">
        <v>0</v>
      </c>
      <c r="O35" s="148"/>
      <c r="P35" s="198"/>
      <c r="Q35" s="198"/>
      <c r="R35" s="198"/>
      <c r="S35" s="198"/>
      <c r="T35" s="198"/>
      <c r="U35" s="198"/>
      <c r="V35" s="198"/>
      <c r="W35" s="198"/>
      <c r="X35" s="199"/>
      <c r="Y35" s="148"/>
      <c r="Z35" s="147"/>
      <c r="AA35" s="147"/>
      <c r="AB35" s="147"/>
      <c r="AC35" s="147"/>
      <c r="AD35" s="147"/>
      <c r="AE35" s="147"/>
      <c r="AF35" s="147"/>
      <c r="AG35" s="147"/>
      <c r="AH35" s="147"/>
      <c r="AI35" s="4"/>
    </row>
    <row r="36" spans="1:35" s="67" customFormat="1" outlineLevel="1" x14ac:dyDescent="0.3">
      <c r="A36" s="469"/>
      <c r="B36" s="479"/>
      <c r="C36" s="480"/>
      <c r="D36" s="235" t="str">
        <f t="shared" ref="D36:D39" si="2">B20</f>
        <v>Barley</v>
      </c>
      <c r="E36" s="209">
        <v>1</v>
      </c>
      <c r="F36" s="209">
        <v>0</v>
      </c>
      <c r="G36" s="210">
        <v>1</v>
      </c>
      <c r="H36" s="210">
        <v>0</v>
      </c>
      <c r="I36" s="211">
        <v>1</v>
      </c>
      <c r="J36" s="211">
        <v>0</v>
      </c>
      <c r="K36" s="212">
        <v>1</v>
      </c>
      <c r="L36" s="212">
        <v>0</v>
      </c>
      <c r="M36" s="213">
        <f>$B$15*$C20*$F20*$H20</f>
        <v>376.16664562584691</v>
      </c>
      <c r="N36" s="214">
        <v>0</v>
      </c>
      <c r="O36" s="148"/>
      <c r="P36" s="198"/>
      <c r="Q36" s="198"/>
      <c r="R36" s="198"/>
      <c r="S36" s="198"/>
      <c r="T36" s="198"/>
      <c r="U36" s="198"/>
      <c r="V36" s="198"/>
      <c r="W36" s="198"/>
      <c r="X36" s="199"/>
      <c r="Y36" s="148"/>
      <c r="Z36" s="147"/>
      <c r="AA36" s="147"/>
      <c r="AB36" s="147"/>
      <c r="AC36" s="147"/>
      <c r="AD36" s="147"/>
      <c r="AE36" s="147"/>
      <c r="AF36" s="147"/>
      <c r="AG36" s="147"/>
      <c r="AH36" s="147"/>
      <c r="AI36" s="4"/>
    </row>
    <row r="37" spans="1:35" s="67" customFormat="1" outlineLevel="1" x14ac:dyDescent="0.3">
      <c r="A37" s="469"/>
      <c r="B37" s="479"/>
      <c r="C37" s="480"/>
      <c r="D37" s="235" t="str">
        <f t="shared" si="2"/>
        <v>Rapeseed</v>
      </c>
      <c r="E37" s="209">
        <v>1</v>
      </c>
      <c r="F37" s="209">
        <v>0</v>
      </c>
      <c r="G37" s="210">
        <v>1</v>
      </c>
      <c r="H37" s="210">
        <v>0</v>
      </c>
      <c r="I37" s="211">
        <v>1</v>
      </c>
      <c r="J37" s="211">
        <v>0</v>
      </c>
      <c r="K37" s="212">
        <v>1</v>
      </c>
      <c r="L37" s="212">
        <v>0</v>
      </c>
      <c r="M37" s="213">
        <f>$B$15*$C21*$F21*$H21</f>
        <v>375.45184303950163</v>
      </c>
      <c r="N37" s="214">
        <v>0</v>
      </c>
      <c r="O37" s="148"/>
      <c r="P37" s="198"/>
      <c r="Q37" s="198"/>
      <c r="R37" s="198"/>
      <c r="S37" s="198"/>
      <c r="T37" s="198"/>
      <c r="U37" s="198"/>
      <c r="V37" s="198"/>
      <c r="W37" s="198"/>
      <c r="X37" s="199"/>
      <c r="Y37" s="148"/>
      <c r="Z37" s="147"/>
      <c r="AA37" s="147"/>
      <c r="AB37" s="147"/>
      <c r="AC37" s="147"/>
      <c r="AD37" s="147"/>
      <c r="AE37" s="147"/>
      <c r="AF37" s="147"/>
      <c r="AG37" s="147"/>
      <c r="AH37" s="147"/>
      <c r="AI37" s="4"/>
    </row>
    <row r="38" spans="1:35" s="67" customFormat="1" outlineLevel="1" x14ac:dyDescent="0.3">
      <c r="A38" s="469"/>
      <c r="B38" s="479"/>
      <c r="C38" s="480"/>
      <c r="D38" s="235" t="str">
        <f t="shared" si="2"/>
        <v>Crop X</v>
      </c>
      <c r="E38" s="209">
        <v>0</v>
      </c>
      <c r="F38" s="209">
        <v>0</v>
      </c>
      <c r="G38" s="210">
        <v>0</v>
      </c>
      <c r="H38" s="210">
        <v>0</v>
      </c>
      <c r="I38" s="211">
        <v>0</v>
      </c>
      <c r="J38" s="211">
        <v>0</v>
      </c>
      <c r="K38" s="212">
        <v>0</v>
      </c>
      <c r="L38" s="212">
        <v>0</v>
      </c>
      <c r="M38" s="213">
        <f>$B$15*$C22*$F22*$H22</f>
        <v>0</v>
      </c>
      <c r="N38" s="214">
        <v>0</v>
      </c>
      <c r="O38" s="148"/>
      <c r="P38" s="198"/>
      <c r="Q38" s="198"/>
      <c r="R38" s="198"/>
      <c r="S38" s="198"/>
      <c r="T38" s="198"/>
      <c r="U38" s="198"/>
      <c r="V38" s="198"/>
      <c r="W38" s="198"/>
      <c r="X38" s="199"/>
      <c r="Y38" s="148"/>
      <c r="Z38" s="147"/>
      <c r="AA38" s="147"/>
      <c r="AB38" s="147"/>
      <c r="AC38" s="147"/>
      <c r="AD38" s="147"/>
      <c r="AE38" s="147"/>
      <c r="AF38" s="147"/>
      <c r="AG38" s="147"/>
      <c r="AH38" s="147"/>
      <c r="AI38" s="4"/>
    </row>
    <row r="39" spans="1:35" s="67" customFormat="1" outlineLevel="1" x14ac:dyDescent="0.3">
      <c r="A39" s="469"/>
      <c r="B39" s="481"/>
      <c r="C39" s="482"/>
      <c r="D39" s="235" t="str">
        <f t="shared" si="2"/>
        <v>Crop Y</v>
      </c>
      <c r="E39" s="209">
        <v>1</v>
      </c>
      <c r="F39" s="209">
        <v>0</v>
      </c>
      <c r="G39" s="210">
        <v>1</v>
      </c>
      <c r="H39" s="210">
        <v>0</v>
      </c>
      <c r="I39" s="211">
        <v>1</v>
      </c>
      <c r="J39" s="211">
        <v>0</v>
      </c>
      <c r="K39" s="212">
        <v>1</v>
      </c>
      <c r="L39" s="212">
        <v>0</v>
      </c>
      <c r="M39" s="213">
        <f>$B$15*$C23*$F23*$H23</f>
        <v>0</v>
      </c>
      <c r="N39" s="214">
        <v>0</v>
      </c>
      <c r="O39" s="148"/>
      <c r="P39" s="198"/>
      <c r="Q39" s="198"/>
      <c r="R39" s="198"/>
      <c r="S39" s="198"/>
      <c r="T39" s="198"/>
      <c r="U39" s="198"/>
      <c r="V39" s="198"/>
      <c r="W39" s="198"/>
      <c r="X39" s="199"/>
      <c r="Y39" s="148"/>
      <c r="Z39" s="147"/>
      <c r="AA39" s="147"/>
      <c r="AB39" s="147"/>
      <c r="AC39" s="147"/>
      <c r="AD39" s="147"/>
      <c r="AE39" s="147"/>
      <c r="AF39" s="147"/>
      <c r="AG39" s="147"/>
      <c r="AH39" s="147"/>
      <c r="AI39" s="4"/>
    </row>
    <row r="40" spans="1:35" s="67" customFormat="1" outlineLevel="1" x14ac:dyDescent="0.3">
      <c r="A40" s="469"/>
      <c r="B40" s="477" t="s">
        <v>171</v>
      </c>
      <c r="C40" s="478"/>
      <c r="D40" s="235" t="str">
        <f>B19</f>
        <v>Wheat</v>
      </c>
      <c r="E40" s="209">
        <v>1</v>
      </c>
      <c r="F40" s="209">
        <v>0</v>
      </c>
      <c r="G40" s="210">
        <v>1</v>
      </c>
      <c r="H40" s="210">
        <v>0</v>
      </c>
      <c r="I40" s="211">
        <v>0</v>
      </c>
      <c r="J40" s="211">
        <v>0</v>
      </c>
      <c r="K40" s="212">
        <v>1</v>
      </c>
      <c r="L40" s="212">
        <v>0</v>
      </c>
      <c r="M40" s="213">
        <f>$B$15*$C19*$F19*$I19</f>
        <v>1203.3658815291897</v>
      </c>
      <c r="N40" s="214">
        <v>0</v>
      </c>
      <c r="O40" s="148"/>
      <c r="P40" s="198"/>
      <c r="Q40" s="198"/>
      <c r="R40" s="198"/>
      <c r="S40" s="198"/>
      <c r="T40" s="198"/>
      <c r="U40" s="198"/>
      <c r="V40" s="198"/>
      <c r="W40" s="198"/>
      <c r="X40" s="199"/>
      <c r="Y40" s="148"/>
      <c r="Z40" s="147"/>
      <c r="AA40" s="147"/>
      <c r="AB40" s="147"/>
      <c r="AC40" s="147"/>
      <c r="AD40" s="147"/>
      <c r="AE40" s="147"/>
      <c r="AF40" s="147"/>
      <c r="AG40" s="147"/>
      <c r="AH40" s="147"/>
      <c r="AI40" s="4"/>
    </row>
    <row r="41" spans="1:35" s="67" customFormat="1" outlineLevel="1" x14ac:dyDescent="0.3">
      <c r="A41" s="469"/>
      <c r="B41" s="479"/>
      <c r="C41" s="480"/>
      <c r="D41" s="235" t="str">
        <f t="shared" ref="D41:D44" si="3">B20</f>
        <v>Barley</v>
      </c>
      <c r="E41" s="209">
        <v>1</v>
      </c>
      <c r="F41" s="209">
        <v>0</v>
      </c>
      <c r="G41" s="210">
        <v>1</v>
      </c>
      <c r="H41" s="210">
        <v>0</v>
      </c>
      <c r="I41" s="211">
        <v>0</v>
      </c>
      <c r="J41" s="211">
        <v>0</v>
      </c>
      <c r="K41" s="212">
        <v>1</v>
      </c>
      <c r="L41" s="212">
        <v>0</v>
      </c>
      <c r="M41" s="213">
        <f>$B$15*$C20*$F20*$I20</f>
        <v>446.77441700609762</v>
      </c>
      <c r="N41" s="214">
        <v>0</v>
      </c>
      <c r="O41" s="148"/>
      <c r="P41" s="198"/>
      <c r="Q41" s="198"/>
      <c r="R41" s="198"/>
      <c r="S41" s="198"/>
      <c r="T41" s="198"/>
      <c r="U41" s="198"/>
      <c r="V41" s="198"/>
      <c r="W41" s="198"/>
      <c r="X41" s="199"/>
      <c r="Y41" s="148"/>
      <c r="Z41" s="147"/>
      <c r="AA41" s="147"/>
      <c r="AB41" s="147"/>
      <c r="AC41" s="147"/>
      <c r="AD41" s="147"/>
      <c r="AE41" s="147"/>
      <c r="AF41" s="147"/>
      <c r="AG41" s="147"/>
      <c r="AH41" s="147"/>
      <c r="AI41" s="4"/>
    </row>
    <row r="42" spans="1:35" s="67" customFormat="1" outlineLevel="1" x14ac:dyDescent="0.3">
      <c r="A42" s="469"/>
      <c r="B42" s="479"/>
      <c r="C42" s="480"/>
      <c r="D42" s="235" t="str">
        <f t="shared" si="3"/>
        <v>Rapeseed</v>
      </c>
      <c r="E42" s="209">
        <v>1</v>
      </c>
      <c r="F42" s="209">
        <v>0</v>
      </c>
      <c r="G42" s="210">
        <v>1</v>
      </c>
      <c r="H42" s="210">
        <v>0</v>
      </c>
      <c r="I42" s="211">
        <v>0</v>
      </c>
      <c r="J42" s="211">
        <v>0</v>
      </c>
      <c r="K42" s="212">
        <v>1</v>
      </c>
      <c r="L42" s="212">
        <v>0</v>
      </c>
      <c r="M42" s="213">
        <f>$B$15*$C21*$F21*$I21</f>
        <v>420.35716484935045</v>
      </c>
      <c r="N42" s="214">
        <v>0</v>
      </c>
      <c r="O42" s="148"/>
      <c r="P42" s="198"/>
      <c r="Q42" s="198"/>
      <c r="R42" s="198"/>
      <c r="S42" s="198"/>
      <c r="T42" s="198"/>
      <c r="U42" s="198"/>
      <c r="V42" s="198"/>
      <c r="W42" s="198"/>
      <c r="X42" s="199"/>
      <c r="Y42" s="148"/>
      <c r="Z42" s="147"/>
      <c r="AA42" s="147"/>
      <c r="AB42" s="147"/>
      <c r="AC42" s="147"/>
      <c r="AD42" s="147"/>
      <c r="AE42" s="147"/>
      <c r="AF42" s="147"/>
      <c r="AG42" s="147"/>
      <c r="AH42" s="147"/>
      <c r="AI42" s="4"/>
    </row>
    <row r="43" spans="1:35" s="67" customFormat="1" outlineLevel="1" x14ac:dyDescent="0.3">
      <c r="A43" s="469"/>
      <c r="B43" s="479"/>
      <c r="C43" s="480"/>
      <c r="D43" s="235" t="str">
        <f t="shared" si="3"/>
        <v>Crop X</v>
      </c>
      <c r="E43" s="209">
        <v>1</v>
      </c>
      <c r="F43" s="209">
        <v>0</v>
      </c>
      <c r="G43" s="210">
        <v>1</v>
      </c>
      <c r="H43" s="210">
        <v>0</v>
      </c>
      <c r="I43" s="211">
        <v>0</v>
      </c>
      <c r="J43" s="211">
        <v>0</v>
      </c>
      <c r="K43" s="212">
        <v>1</v>
      </c>
      <c r="L43" s="212">
        <v>0</v>
      </c>
      <c r="M43" s="213">
        <f>$B$15*$C22*$F22*$I22</f>
        <v>0</v>
      </c>
      <c r="N43" s="214">
        <v>0</v>
      </c>
      <c r="O43" s="148"/>
      <c r="P43" s="198"/>
      <c r="Q43" s="198"/>
      <c r="R43" s="198"/>
      <c r="S43" s="198"/>
      <c r="T43" s="198"/>
      <c r="U43" s="198"/>
      <c r="V43" s="198"/>
      <c r="W43" s="198"/>
      <c r="X43" s="199"/>
      <c r="Y43" s="148"/>
      <c r="Z43" s="147"/>
      <c r="AA43" s="147"/>
      <c r="AB43" s="147"/>
      <c r="AC43" s="147"/>
      <c r="AD43" s="147"/>
      <c r="AE43" s="147"/>
      <c r="AF43" s="147"/>
      <c r="AG43" s="147"/>
      <c r="AH43" s="147"/>
      <c r="AI43" s="4"/>
    </row>
    <row r="44" spans="1:35" s="67" customFormat="1" outlineLevel="1" x14ac:dyDescent="0.3">
      <c r="A44" s="470"/>
      <c r="B44" s="481"/>
      <c r="C44" s="482"/>
      <c r="D44" s="235" t="str">
        <f t="shared" si="3"/>
        <v>Crop Y</v>
      </c>
      <c r="E44" s="209">
        <v>1</v>
      </c>
      <c r="F44" s="209">
        <v>0</v>
      </c>
      <c r="G44" s="210">
        <v>1</v>
      </c>
      <c r="H44" s="210">
        <v>0</v>
      </c>
      <c r="I44" s="211">
        <v>0</v>
      </c>
      <c r="J44" s="211">
        <v>0</v>
      </c>
      <c r="K44" s="212">
        <v>1</v>
      </c>
      <c r="L44" s="212">
        <v>0</v>
      </c>
      <c r="M44" s="213">
        <f>$B$15*$C23*$F23*$I23</f>
        <v>0</v>
      </c>
      <c r="N44" s="214">
        <v>0</v>
      </c>
      <c r="O44" s="148"/>
      <c r="P44" s="198"/>
      <c r="Q44" s="198"/>
      <c r="R44" s="198"/>
      <c r="S44" s="198"/>
      <c r="T44" s="198"/>
      <c r="U44" s="198"/>
      <c r="V44" s="198"/>
      <c r="W44" s="198"/>
      <c r="X44" s="199"/>
      <c r="Y44" s="148"/>
      <c r="Z44" s="147"/>
      <c r="AA44" s="147"/>
      <c r="AB44" s="147"/>
      <c r="AC44" s="147"/>
      <c r="AD44" s="147"/>
      <c r="AE44" s="147"/>
      <c r="AF44" s="147"/>
      <c r="AG44" s="147"/>
      <c r="AH44" s="147"/>
      <c r="AI44" s="4"/>
    </row>
    <row r="45" spans="1:35" s="67" customFormat="1" ht="14.4" customHeight="1" outlineLevel="1" x14ac:dyDescent="0.3">
      <c r="A45" s="474" t="s">
        <v>185</v>
      </c>
      <c r="B45" s="496" t="s">
        <v>194</v>
      </c>
      <c r="C45" s="493" t="s">
        <v>196</v>
      </c>
      <c r="D45" s="236" t="s">
        <v>207</v>
      </c>
      <c r="E45" s="215">
        <f>'Investment Costs'!C8</f>
        <v>0</v>
      </c>
      <c r="F45" s="215">
        <v>0</v>
      </c>
      <c r="G45" s="181">
        <f>'Investment Costs'!D8</f>
        <v>1</v>
      </c>
      <c r="H45" s="181">
        <v>0</v>
      </c>
      <c r="I45" s="216">
        <f>'Investment Costs'!E8</f>
        <v>0</v>
      </c>
      <c r="J45" s="216">
        <v>0</v>
      </c>
      <c r="K45" s="217">
        <v>0</v>
      </c>
      <c r="L45" s="217">
        <v>0</v>
      </c>
      <c r="M45" s="138">
        <f>'Investment Costs'!$J$8+'Investment Costs'!$K$8*'Result_Lock-in-effect'!B$15</f>
        <v>931.17499999999995</v>
      </c>
      <c r="N45" s="207">
        <f>'Investment Costs'!$K$8*B15+'Investment Costs'!$L$8</f>
        <v>0</v>
      </c>
      <c r="O45" s="200">
        <f>M45*(1-$B$24)</f>
        <v>744.94</v>
      </c>
      <c r="P45" s="201">
        <f>O45*(1-$B$24)</f>
        <v>595.95200000000011</v>
      </c>
      <c r="Q45" s="201">
        <f t="shared" ref="Q45:X45" si="4">P45*(1-$B$24)</f>
        <v>476.7616000000001</v>
      </c>
      <c r="R45" s="201">
        <f t="shared" si="4"/>
        <v>381.40928000000008</v>
      </c>
      <c r="S45" s="201">
        <f t="shared" si="4"/>
        <v>305.12742400000008</v>
      </c>
      <c r="T45" s="201">
        <f t="shared" si="4"/>
        <v>244.10193920000006</v>
      </c>
      <c r="U45" s="201">
        <f t="shared" si="4"/>
        <v>195.28155136000007</v>
      </c>
      <c r="V45" s="201">
        <f t="shared" si="4"/>
        <v>156.22524108800008</v>
      </c>
      <c r="W45" s="201">
        <f t="shared" si="4"/>
        <v>124.98019287040006</v>
      </c>
      <c r="X45" s="202">
        <f t="shared" si="4"/>
        <v>99.984154296320057</v>
      </c>
      <c r="Y45" s="75">
        <f t="shared" ref="Y45:Y53" si="5">M45-O45</f>
        <v>186.2349999999999</v>
      </c>
      <c r="Z45" s="32">
        <f t="shared" ref="Z45:Z53" si="6">O45-P45</f>
        <v>148.98799999999994</v>
      </c>
      <c r="AA45" s="32">
        <f t="shared" ref="AA45:AA53" si="7">P45-Q45</f>
        <v>119.19040000000001</v>
      </c>
      <c r="AB45" s="32">
        <f t="shared" ref="AB45:AB53" si="8">Q45-R45</f>
        <v>95.35232000000002</v>
      </c>
      <c r="AC45" s="32">
        <f t="shared" ref="AC45:AC53" si="9">R45-S45</f>
        <v>76.281856000000005</v>
      </c>
      <c r="AD45" s="32">
        <f t="shared" ref="AD45:AD53" si="10">S45-T45</f>
        <v>61.025484800000015</v>
      </c>
      <c r="AE45" s="32">
        <f t="shared" ref="AE45:AE53" si="11">T45-U45</f>
        <v>48.820387839999995</v>
      </c>
      <c r="AF45" s="32">
        <f t="shared" ref="AF45:AF53" si="12">U45-V45</f>
        <v>39.05631027199999</v>
      </c>
      <c r="AG45" s="32">
        <f t="shared" ref="AG45:AG53" si="13">V45-W45</f>
        <v>31.245048217600015</v>
      </c>
      <c r="AH45" s="32">
        <f t="shared" ref="AH45:AH53" si="14">W45-X45</f>
        <v>24.996038574080004</v>
      </c>
      <c r="AI45" s="4"/>
    </row>
    <row r="46" spans="1:35" s="67" customFormat="1" outlineLevel="1" x14ac:dyDescent="0.3">
      <c r="A46" s="475"/>
      <c r="B46" s="497"/>
      <c r="C46" s="494"/>
      <c r="D46" s="236" t="s">
        <v>208</v>
      </c>
      <c r="E46" s="215">
        <f>'Investment Costs'!C13</f>
        <v>0</v>
      </c>
      <c r="F46" s="215">
        <v>0</v>
      </c>
      <c r="G46" s="181">
        <f>'Investment Costs'!D13</f>
        <v>1</v>
      </c>
      <c r="H46" s="181">
        <v>0</v>
      </c>
      <c r="I46" s="216">
        <f>'Investment Costs'!E13</f>
        <v>0</v>
      </c>
      <c r="J46" s="216">
        <v>0</v>
      </c>
      <c r="K46" s="217">
        <v>0</v>
      </c>
      <c r="L46" s="217">
        <v>0</v>
      </c>
      <c r="M46" s="138">
        <f>'Investment Costs'!$J$13</f>
        <v>1157.9749999999999</v>
      </c>
      <c r="N46" s="207">
        <f>'Investment Costs'!$K$13*'Result_Lock-in-effect'!B15+'Investment Costs'!$L$13</f>
        <v>0</v>
      </c>
      <c r="O46" s="200">
        <f t="shared" ref="O46:O53" si="15">M46*(1-$B$24)</f>
        <v>926.38</v>
      </c>
      <c r="P46" s="201">
        <f>O46*(1-$B$24)</f>
        <v>741.10400000000004</v>
      </c>
      <c r="Q46" s="201">
        <f t="shared" ref="Q46:X60" si="16">P46*(1-$B$24)</f>
        <v>592.8832000000001</v>
      </c>
      <c r="R46" s="201">
        <f t="shared" si="16"/>
        <v>474.3065600000001</v>
      </c>
      <c r="S46" s="201">
        <f t="shared" si="16"/>
        <v>379.44524800000011</v>
      </c>
      <c r="T46" s="201">
        <f t="shared" si="16"/>
        <v>303.55619840000008</v>
      </c>
      <c r="U46" s="201">
        <f t="shared" si="16"/>
        <v>242.84495872000008</v>
      </c>
      <c r="V46" s="201">
        <f t="shared" si="16"/>
        <v>194.27596697600006</v>
      </c>
      <c r="W46" s="201">
        <f t="shared" si="16"/>
        <v>155.42077358080007</v>
      </c>
      <c r="X46" s="202">
        <f t="shared" si="16"/>
        <v>124.33661886464006</v>
      </c>
      <c r="Y46" s="75">
        <f t="shared" si="5"/>
        <v>231.59499999999991</v>
      </c>
      <c r="Z46" s="32">
        <f t="shared" si="6"/>
        <v>185.27599999999995</v>
      </c>
      <c r="AA46" s="32">
        <f t="shared" si="7"/>
        <v>148.22079999999994</v>
      </c>
      <c r="AB46" s="32">
        <f t="shared" si="8"/>
        <v>118.57664</v>
      </c>
      <c r="AC46" s="32">
        <f t="shared" si="9"/>
        <v>94.861311999999998</v>
      </c>
      <c r="AD46" s="32">
        <f t="shared" si="10"/>
        <v>75.889049600000021</v>
      </c>
      <c r="AE46" s="32">
        <f t="shared" si="11"/>
        <v>60.711239680000006</v>
      </c>
      <c r="AF46" s="32">
        <f t="shared" si="12"/>
        <v>48.568991744000016</v>
      </c>
      <c r="AG46" s="32">
        <f t="shared" si="13"/>
        <v>38.85519339519999</v>
      </c>
      <c r="AH46" s="32">
        <f t="shared" si="14"/>
        <v>31.084154716160015</v>
      </c>
      <c r="AI46" s="4"/>
    </row>
    <row r="47" spans="1:35" s="67" customFormat="1" outlineLevel="1" x14ac:dyDescent="0.3">
      <c r="A47" s="475"/>
      <c r="B47" s="497"/>
      <c r="C47" s="494"/>
      <c r="D47" s="236" t="s">
        <v>209</v>
      </c>
      <c r="E47" s="215">
        <f>'Investment Costs'!C18</f>
        <v>1</v>
      </c>
      <c r="F47" s="215">
        <v>0</v>
      </c>
      <c r="G47" s="181">
        <f>'Investment Costs'!D18</f>
        <v>1</v>
      </c>
      <c r="H47" s="181">
        <v>0</v>
      </c>
      <c r="I47" s="216">
        <f>'Investment Costs'!E18</f>
        <v>1</v>
      </c>
      <c r="J47" s="216">
        <f>'Investment Costs'!G18</f>
        <v>1</v>
      </c>
      <c r="K47" s="217">
        <v>0</v>
      </c>
      <c r="L47" s="217">
        <v>0</v>
      </c>
      <c r="M47" s="218">
        <f>'Investment Costs'!$J$18</f>
        <v>1279.71</v>
      </c>
      <c r="N47" s="207">
        <f>'Investment Costs'!$K$18*'Result_Lock-in-effect'!B15+'Investment Costs'!$L$18</f>
        <v>0</v>
      </c>
      <c r="O47" s="200">
        <f t="shared" si="15"/>
        <v>1023.768</v>
      </c>
      <c r="P47" s="201">
        <f t="shared" ref="P47:X63" si="17">O47*(1-$B$24)</f>
        <v>819.01440000000002</v>
      </c>
      <c r="Q47" s="201">
        <f t="shared" si="17"/>
        <v>655.21152000000006</v>
      </c>
      <c r="R47" s="201">
        <f t="shared" si="17"/>
        <v>524.16921600000012</v>
      </c>
      <c r="S47" s="201">
        <f t="shared" si="17"/>
        <v>419.33537280000013</v>
      </c>
      <c r="T47" s="201">
        <f t="shared" si="17"/>
        <v>335.46829824000014</v>
      </c>
      <c r="U47" s="201">
        <f t="shared" si="17"/>
        <v>268.37463859200011</v>
      </c>
      <c r="V47" s="201">
        <f t="shared" si="17"/>
        <v>214.69971087360011</v>
      </c>
      <c r="W47" s="201">
        <f t="shared" si="17"/>
        <v>171.75976869888009</v>
      </c>
      <c r="X47" s="202">
        <f t="shared" si="17"/>
        <v>137.40781495910409</v>
      </c>
      <c r="Y47" s="75">
        <f t="shared" si="5"/>
        <v>255.94200000000001</v>
      </c>
      <c r="Z47" s="32">
        <f t="shared" si="6"/>
        <v>204.75360000000001</v>
      </c>
      <c r="AA47" s="32">
        <f t="shared" si="7"/>
        <v>163.80287999999996</v>
      </c>
      <c r="AB47" s="32">
        <f t="shared" si="8"/>
        <v>131.04230399999994</v>
      </c>
      <c r="AC47" s="32">
        <f t="shared" si="9"/>
        <v>104.83384319999999</v>
      </c>
      <c r="AD47" s="32">
        <f t="shared" si="10"/>
        <v>83.867074559999992</v>
      </c>
      <c r="AE47" s="32">
        <f t="shared" si="11"/>
        <v>67.093659648000028</v>
      </c>
      <c r="AF47" s="32">
        <f t="shared" si="12"/>
        <v>53.674927718399999</v>
      </c>
      <c r="AG47" s="32">
        <f t="shared" si="13"/>
        <v>42.939942174720017</v>
      </c>
      <c r="AH47" s="32">
        <f t="shared" si="14"/>
        <v>34.351953739776008</v>
      </c>
      <c r="AI47" s="4"/>
    </row>
    <row r="48" spans="1:35" s="67" customFormat="1" outlineLevel="1" x14ac:dyDescent="0.3">
      <c r="A48" s="475"/>
      <c r="B48" s="497"/>
      <c r="C48" s="494"/>
      <c r="D48" s="236" t="s">
        <v>210</v>
      </c>
      <c r="E48" s="215">
        <f>'Investment Costs'!C23</f>
        <v>1</v>
      </c>
      <c r="F48" s="215">
        <v>0</v>
      </c>
      <c r="G48" s="181">
        <f>'Investment Costs'!D23</f>
        <v>1</v>
      </c>
      <c r="H48" s="181">
        <v>0</v>
      </c>
      <c r="I48" s="216">
        <f>'Investment Costs'!E23</f>
        <v>1</v>
      </c>
      <c r="J48" s="216">
        <f>'Investment Costs'!G23</f>
        <v>1</v>
      </c>
      <c r="K48" s="217">
        <v>0</v>
      </c>
      <c r="L48" s="217">
        <v>0</v>
      </c>
      <c r="M48" s="218">
        <f>'Investment Costs'!$J$23</f>
        <v>800.47500000000002</v>
      </c>
      <c r="N48" s="207">
        <f>'Investment Costs'!$K$23*'Result_Lock-in-effect'!B15+'Investment Costs'!$L$23</f>
        <v>0</v>
      </c>
      <c r="O48" s="200">
        <f t="shared" si="15"/>
        <v>640.38000000000011</v>
      </c>
      <c r="P48" s="201">
        <f t="shared" si="17"/>
        <v>512.30400000000009</v>
      </c>
      <c r="Q48" s="201">
        <f t="shared" si="16"/>
        <v>409.84320000000008</v>
      </c>
      <c r="R48" s="201">
        <f t="shared" si="16"/>
        <v>327.87456000000009</v>
      </c>
      <c r="S48" s="201">
        <f t="shared" si="16"/>
        <v>262.2996480000001</v>
      </c>
      <c r="T48" s="201">
        <f t="shared" si="16"/>
        <v>209.83971840000009</v>
      </c>
      <c r="U48" s="201">
        <f t="shared" si="16"/>
        <v>167.87177472000008</v>
      </c>
      <c r="V48" s="201">
        <f t="shared" si="16"/>
        <v>134.29741977600005</v>
      </c>
      <c r="W48" s="201">
        <f t="shared" si="16"/>
        <v>107.43793582080005</v>
      </c>
      <c r="X48" s="202">
        <f t="shared" si="16"/>
        <v>85.950348656640045</v>
      </c>
      <c r="Y48" s="75">
        <f t="shared" si="5"/>
        <v>160.09499999999991</v>
      </c>
      <c r="Z48" s="32">
        <f t="shared" si="6"/>
        <v>128.07600000000002</v>
      </c>
      <c r="AA48" s="32">
        <f t="shared" si="7"/>
        <v>102.46080000000001</v>
      </c>
      <c r="AB48" s="32">
        <f t="shared" si="8"/>
        <v>81.968639999999994</v>
      </c>
      <c r="AC48" s="32">
        <f t="shared" si="9"/>
        <v>65.574911999999983</v>
      </c>
      <c r="AD48" s="32">
        <f t="shared" si="10"/>
        <v>52.459929600000009</v>
      </c>
      <c r="AE48" s="32">
        <f t="shared" si="11"/>
        <v>41.967943680000019</v>
      </c>
      <c r="AF48" s="32">
        <f t="shared" si="12"/>
        <v>33.574354944000021</v>
      </c>
      <c r="AG48" s="32">
        <f t="shared" si="13"/>
        <v>26.859483955200005</v>
      </c>
      <c r="AH48" s="32">
        <f t="shared" si="14"/>
        <v>21.487587164160004</v>
      </c>
      <c r="AI48" s="4"/>
    </row>
    <row r="49" spans="1:35" s="67" customFormat="1" outlineLevel="1" x14ac:dyDescent="0.3">
      <c r="A49" s="475"/>
      <c r="B49" s="497"/>
      <c r="C49" s="494"/>
      <c r="D49" s="236" t="s">
        <v>211</v>
      </c>
      <c r="E49" s="215">
        <f>'Investment Costs'!C28</f>
        <v>0</v>
      </c>
      <c r="F49" s="215">
        <v>0</v>
      </c>
      <c r="G49" s="181">
        <f>'Investment Costs'!D28</f>
        <v>1</v>
      </c>
      <c r="H49" s="181">
        <v>0</v>
      </c>
      <c r="I49" s="216">
        <f>'Investment Costs'!E28</f>
        <v>0</v>
      </c>
      <c r="J49" s="216">
        <v>0</v>
      </c>
      <c r="K49" s="217">
        <v>0</v>
      </c>
      <c r="L49" s="217">
        <v>0</v>
      </c>
      <c r="M49" s="218">
        <f>'Investment Costs'!$J$28</f>
        <v>2200.8862499999996</v>
      </c>
      <c r="N49" s="207">
        <f>'Investment Costs'!$K$28*'Result_Lock-in-effect'!B15+'Investment Costs'!$L$28</f>
        <v>0</v>
      </c>
      <c r="O49" s="200">
        <f t="shared" si="15"/>
        <v>1760.7089999999998</v>
      </c>
      <c r="P49" s="201">
        <f t="shared" si="17"/>
        <v>1408.5672</v>
      </c>
      <c r="Q49" s="201">
        <f t="shared" si="16"/>
        <v>1126.85376</v>
      </c>
      <c r="R49" s="201">
        <f t="shared" si="16"/>
        <v>901.48300800000004</v>
      </c>
      <c r="S49" s="201">
        <f t="shared" si="16"/>
        <v>721.18640640000012</v>
      </c>
      <c r="T49" s="201">
        <f t="shared" si="16"/>
        <v>576.94912512000008</v>
      </c>
      <c r="U49" s="201">
        <f t="shared" si="16"/>
        <v>461.55930009600007</v>
      </c>
      <c r="V49" s="201">
        <f t="shared" si="16"/>
        <v>369.2474400768001</v>
      </c>
      <c r="W49" s="201">
        <f t="shared" si="16"/>
        <v>295.39795206144009</v>
      </c>
      <c r="X49" s="202">
        <f t="shared" si="16"/>
        <v>236.31836164915208</v>
      </c>
      <c r="Y49" s="75">
        <f t="shared" si="5"/>
        <v>440.17724999999973</v>
      </c>
      <c r="Z49" s="32">
        <f t="shared" si="6"/>
        <v>352.14179999999988</v>
      </c>
      <c r="AA49" s="32">
        <f t="shared" si="7"/>
        <v>281.71343999999999</v>
      </c>
      <c r="AB49" s="32">
        <f t="shared" si="8"/>
        <v>225.37075199999992</v>
      </c>
      <c r="AC49" s="32">
        <f t="shared" si="9"/>
        <v>180.29660159999992</v>
      </c>
      <c r="AD49" s="32">
        <f t="shared" si="10"/>
        <v>144.23728128000005</v>
      </c>
      <c r="AE49" s="32">
        <f t="shared" si="11"/>
        <v>115.389825024</v>
      </c>
      <c r="AF49" s="32">
        <f t="shared" si="12"/>
        <v>92.311860019199969</v>
      </c>
      <c r="AG49" s="32">
        <f t="shared" si="13"/>
        <v>73.849488015360009</v>
      </c>
      <c r="AH49" s="32">
        <f t="shared" si="14"/>
        <v>59.079590412288013</v>
      </c>
      <c r="AI49" s="4"/>
    </row>
    <row r="50" spans="1:35" s="67" customFormat="1" outlineLevel="1" x14ac:dyDescent="0.3">
      <c r="A50" s="475"/>
      <c r="B50" s="497"/>
      <c r="C50" s="494"/>
      <c r="D50" s="236" t="s">
        <v>212</v>
      </c>
      <c r="E50" s="215">
        <f>'Investment Costs'!C33</f>
        <v>0</v>
      </c>
      <c r="F50" s="215">
        <v>0</v>
      </c>
      <c r="G50" s="181">
        <f>'Investment Costs'!D33</f>
        <v>1</v>
      </c>
      <c r="H50" s="181">
        <v>0</v>
      </c>
      <c r="I50" s="216">
        <f>'Investment Costs'!E33</f>
        <v>0</v>
      </c>
      <c r="J50" s="216">
        <v>0</v>
      </c>
      <c r="K50" s="217">
        <v>0</v>
      </c>
      <c r="L50" s="217">
        <v>0</v>
      </c>
      <c r="M50" s="219">
        <f>'Investment Costs'!$J$33</f>
        <v>875.37750000000005</v>
      </c>
      <c r="N50" s="207">
        <f>'Investment Costs'!$K$33*'Result_Lock-in-effect'!B15+'Investment Costs'!$L$33</f>
        <v>0</v>
      </c>
      <c r="O50" s="200">
        <f t="shared" si="15"/>
        <v>700.30200000000013</v>
      </c>
      <c r="P50" s="201">
        <f t="shared" si="17"/>
        <v>560.24160000000018</v>
      </c>
      <c r="Q50" s="201">
        <f t="shared" si="16"/>
        <v>448.19328000000019</v>
      </c>
      <c r="R50" s="201">
        <f t="shared" si="16"/>
        <v>358.55462400000016</v>
      </c>
      <c r="S50" s="201">
        <f t="shared" si="16"/>
        <v>286.84369920000012</v>
      </c>
      <c r="T50" s="201">
        <f t="shared" si="16"/>
        <v>229.4749593600001</v>
      </c>
      <c r="U50" s="201">
        <f t="shared" si="16"/>
        <v>183.57996748800008</v>
      </c>
      <c r="V50" s="201">
        <f t="shared" si="16"/>
        <v>146.86397399040007</v>
      </c>
      <c r="W50" s="201">
        <f t="shared" si="16"/>
        <v>117.49117919232006</v>
      </c>
      <c r="X50" s="202">
        <f t="shared" si="16"/>
        <v>93.992943353856049</v>
      </c>
      <c r="Y50" s="75">
        <f t="shared" si="5"/>
        <v>175.07549999999992</v>
      </c>
      <c r="Z50" s="32">
        <f t="shared" si="6"/>
        <v>140.06039999999996</v>
      </c>
      <c r="AA50" s="32">
        <f t="shared" si="7"/>
        <v>112.04831999999999</v>
      </c>
      <c r="AB50" s="32">
        <f t="shared" si="8"/>
        <v>89.638656000000026</v>
      </c>
      <c r="AC50" s="32">
        <f t="shared" si="9"/>
        <v>71.710924800000043</v>
      </c>
      <c r="AD50" s="32">
        <f t="shared" si="10"/>
        <v>57.368739840000018</v>
      </c>
      <c r="AE50" s="32">
        <f t="shared" si="11"/>
        <v>45.89499187200002</v>
      </c>
      <c r="AF50" s="32">
        <f t="shared" si="12"/>
        <v>36.71599349760001</v>
      </c>
      <c r="AG50" s="32">
        <f t="shared" si="13"/>
        <v>29.372794798080008</v>
      </c>
      <c r="AH50" s="32">
        <f t="shared" si="14"/>
        <v>23.498235838464012</v>
      </c>
      <c r="AI50" s="4"/>
    </row>
    <row r="51" spans="1:35" s="67" customFormat="1" ht="25.2" customHeight="1" outlineLevel="1" x14ac:dyDescent="0.3">
      <c r="A51" s="475"/>
      <c r="B51" s="497"/>
      <c r="C51" s="494"/>
      <c r="D51" s="236" t="s">
        <v>213</v>
      </c>
      <c r="E51" s="215">
        <f>'Investment Costs'!C40</f>
        <v>1</v>
      </c>
      <c r="F51" s="215">
        <v>0</v>
      </c>
      <c r="G51" s="181">
        <f>'Investment Costs'!D40</f>
        <v>0</v>
      </c>
      <c r="H51" s="181">
        <v>0</v>
      </c>
      <c r="I51" s="216">
        <f>'Investment Costs'!E40</f>
        <v>0</v>
      </c>
      <c r="J51" s="216">
        <v>0</v>
      </c>
      <c r="K51" s="217">
        <v>0</v>
      </c>
      <c r="L51" s="217">
        <v>0</v>
      </c>
      <c r="M51" s="218">
        <f>'Investment Costs'!$J$40</f>
        <v>16020.333333333334</v>
      </c>
      <c r="N51" s="220">
        <f>'Investment Costs'!$K$40*'Result_Lock-in-effect'!B15+'Investment Costs'!$L$40</f>
        <v>150</v>
      </c>
      <c r="O51" s="200">
        <f t="shared" si="15"/>
        <v>12816.266666666668</v>
      </c>
      <c r="P51" s="201">
        <f t="shared" si="17"/>
        <v>10253.013333333336</v>
      </c>
      <c r="Q51" s="201">
        <f t="shared" si="16"/>
        <v>8202.4106666666685</v>
      </c>
      <c r="R51" s="201">
        <f t="shared" si="16"/>
        <v>6561.9285333333355</v>
      </c>
      <c r="S51" s="201">
        <f t="shared" si="16"/>
        <v>5249.5428266666686</v>
      </c>
      <c r="T51" s="201">
        <f t="shared" si="16"/>
        <v>4199.6342613333354</v>
      </c>
      <c r="U51" s="201">
        <f t="shared" si="16"/>
        <v>3359.7074090666683</v>
      </c>
      <c r="V51" s="201">
        <f t="shared" si="16"/>
        <v>2687.7659272533347</v>
      </c>
      <c r="W51" s="201">
        <f t="shared" si="16"/>
        <v>2150.212741802668</v>
      </c>
      <c r="X51" s="202">
        <f t="shared" si="16"/>
        <v>1720.1701934421344</v>
      </c>
      <c r="Y51" s="75">
        <f t="shared" si="5"/>
        <v>3204.0666666666657</v>
      </c>
      <c r="Z51" s="32">
        <f t="shared" si="6"/>
        <v>2563.2533333333322</v>
      </c>
      <c r="AA51" s="32">
        <f t="shared" si="7"/>
        <v>2050.6026666666676</v>
      </c>
      <c r="AB51" s="32">
        <f t="shared" si="8"/>
        <v>1640.482133333333</v>
      </c>
      <c r="AC51" s="32">
        <f t="shared" si="9"/>
        <v>1312.3857066666669</v>
      </c>
      <c r="AD51" s="32">
        <f t="shared" si="10"/>
        <v>1049.9085653333332</v>
      </c>
      <c r="AE51" s="32">
        <f t="shared" si="11"/>
        <v>839.92685226666708</v>
      </c>
      <c r="AF51" s="32">
        <f t="shared" si="12"/>
        <v>671.94148181333367</v>
      </c>
      <c r="AG51" s="32">
        <f t="shared" si="13"/>
        <v>537.55318545066666</v>
      </c>
      <c r="AH51" s="32">
        <f t="shared" si="14"/>
        <v>430.0425483605336</v>
      </c>
      <c r="AI51" s="4"/>
    </row>
    <row r="52" spans="1:35" s="67" customFormat="1" outlineLevel="1" x14ac:dyDescent="0.3">
      <c r="A52" s="475"/>
      <c r="B52" s="497"/>
      <c r="C52" s="494"/>
      <c r="D52" s="236" t="s">
        <v>214</v>
      </c>
      <c r="E52" s="215">
        <f>'Investment Costs'!C46</f>
        <v>0</v>
      </c>
      <c r="F52" s="215">
        <v>0</v>
      </c>
      <c r="G52" s="181">
        <f>'Investment Costs'!D46</f>
        <v>1</v>
      </c>
      <c r="H52" s="181">
        <v>0</v>
      </c>
      <c r="I52" s="216">
        <f>'Investment Costs'!E46</f>
        <v>0</v>
      </c>
      <c r="J52" s="216">
        <v>0</v>
      </c>
      <c r="K52" s="217">
        <v>0</v>
      </c>
      <c r="L52" s="217">
        <v>0</v>
      </c>
      <c r="M52" s="218">
        <f>'Investment Costs'!$J$46</f>
        <v>7716.8</v>
      </c>
      <c r="N52" s="207">
        <f>'Investment Costs'!$K$46*'Result_Lock-in-effect'!B15+'Investment Costs'!$L$46</f>
        <v>150</v>
      </c>
      <c r="O52" s="200">
        <f t="shared" si="15"/>
        <v>6173.4400000000005</v>
      </c>
      <c r="P52" s="201">
        <f t="shared" si="17"/>
        <v>4938.7520000000004</v>
      </c>
      <c r="Q52" s="201">
        <f t="shared" si="16"/>
        <v>3951.0016000000005</v>
      </c>
      <c r="R52" s="201">
        <f t="shared" si="16"/>
        <v>3160.8012800000006</v>
      </c>
      <c r="S52" s="201">
        <f t="shared" si="16"/>
        <v>2528.6410240000005</v>
      </c>
      <c r="T52" s="201">
        <f t="shared" si="16"/>
        <v>2022.9128192000005</v>
      </c>
      <c r="U52" s="201">
        <f t="shared" si="16"/>
        <v>1618.3302553600006</v>
      </c>
      <c r="V52" s="201">
        <f t="shared" si="16"/>
        <v>1294.6642042880005</v>
      </c>
      <c r="W52" s="201">
        <f t="shared" si="16"/>
        <v>1035.7313634304005</v>
      </c>
      <c r="X52" s="202">
        <f t="shared" si="16"/>
        <v>828.5850907443205</v>
      </c>
      <c r="Y52" s="75">
        <f t="shared" si="5"/>
        <v>1543.3599999999997</v>
      </c>
      <c r="Z52" s="32">
        <f t="shared" si="6"/>
        <v>1234.6880000000001</v>
      </c>
      <c r="AA52" s="32">
        <f t="shared" si="7"/>
        <v>987.7503999999999</v>
      </c>
      <c r="AB52" s="32">
        <f t="shared" si="8"/>
        <v>790.20031999999992</v>
      </c>
      <c r="AC52" s="32">
        <f t="shared" si="9"/>
        <v>632.16025600000012</v>
      </c>
      <c r="AD52" s="32">
        <f t="shared" si="10"/>
        <v>505.72820479999996</v>
      </c>
      <c r="AE52" s="32">
        <f t="shared" si="11"/>
        <v>404.58256383999992</v>
      </c>
      <c r="AF52" s="32">
        <f t="shared" si="12"/>
        <v>323.66605107200007</v>
      </c>
      <c r="AG52" s="32">
        <f t="shared" si="13"/>
        <v>258.93284085760001</v>
      </c>
      <c r="AH52" s="32">
        <f t="shared" si="14"/>
        <v>207.14627268608001</v>
      </c>
      <c r="AI52" s="4"/>
    </row>
    <row r="53" spans="1:35" s="67" customFormat="1" outlineLevel="1" x14ac:dyDescent="0.3">
      <c r="A53" s="475"/>
      <c r="B53" s="497"/>
      <c r="C53" s="494"/>
      <c r="D53" s="236" t="s">
        <v>215</v>
      </c>
      <c r="E53" s="215">
        <f>'Investment Costs'!C49</f>
        <v>1</v>
      </c>
      <c r="F53" s="215">
        <v>0</v>
      </c>
      <c r="G53" s="181">
        <f>'Investment Costs'!D49</f>
        <v>0</v>
      </c>
      <c r="H53" s="181">
        <v>0</v>
      </c>
      <c r="I53" s="216">
        <f>'Investment Costs'!E49</f>
        <v>0</v>
      </c>
      <c r="J53" s="216">
        <v>0</v>
      </c>
      <c r="K53" s="217">
        <v>0</v>
      </c>
      <c r="L53" s="217">
        <v>0</v>
      </c>
      <c r="M53" s="137">
        <f>'Investment Costs'!J49</f>
        <v>110000</v>
      </c>
      <c r="N53" s="207">
        <f>'Investment Costs'!$K$47*'Result_Lock-in-effect'!B15+'Investment Costs'!$L$47</f>
        <v>0</v>
      </c>
      <c r="O53" s="200">
        <f t="shared" si="15"/>
        <v>88000</v>
      </c>
      <c r="P53" s="201">
        <f t="shared" si="17"/>
        <v>70400</v>
      </c>
      <c r="Q53" s="201">
        <f t="shared" si="16"/>
        <v>56320</v>
      </c>
      <c r="R53" s="201">
        <f t="shared" si="16"/>
        <v>45056</v>
      </c>
      <c r="S53" s="201">
        <f t="shared" si="16"/>
        <v>36044.800000000003</v>
      </c>
      <c r="T53" s="201">
        <f t="shared" si="16"/>
        <v>28835.840000000004</v>
      </c>
      <c r="U53" s="201">
        <f t="shared" si="16"/>
        <v>23068.672000000006</v>
      </c>
      <c r="V53" s="201">
        <f t="shared" si="16"/>
        <v>18454.937600000005</v>
      </c>
      <c r="W53" s="201">
        <f t="shared" si="16"/>
        <v>14763.950080000004</v>
      </c>
      <c r="X53" s="202">
        <f t="shared" si="16"/>
        <v>11811.160064000003</v>
      </c>
      <c r="Y53" s="75">
        <f t="shared" si="5"/>
        <v>22000</v>
      </c>
      <c r="Z53" s="32">
        <f t="shared" si="6"/>
        <v>17600</v>
      </c>
      <c r="AA53" s="32">
        <f t="shared" si="7"/>
        <v>14080</v>
      </c>
      <c r="AB53" s="32">
        <f t="shared" si="8"/>
        <v>11264</v>
      </c>
      <c r="AC53" s="32">
        <f t="shared" si="9"/>
        <v>9011.1999999999971</v>
      </c>
      <c r="AD53" s="32">
        <f t="shared" si="10"/>
        <v>7208.9599999999991</v>
      </c>
      <c r="AE53" s="32">
        <f t="shared" si="11"/>
        <v>5767.1679999999978</v>
      </c>
      <c r="AF53" s="32">
        <f t="shared" si="12"/>
        <v>4613.7344000000012</v>
      </c>
      <c r="AG53" s="32">
        <f t="shared" si="13"/>
        <v>3690.9875200000006</v>
      </c>
      <c r="AH53" s="32">
        <f t="shared" si="14"/>
        <v>2952.7900160000008</v>
      </c>
      <c r="AI53" s="4"/>
    </row>
    <row r="54" spans="1:35" s="67" customFormat="1" outlineLevel="1" x14ac:dyDescent="0.3">
      <c r="A54" s="475"/>
      <c r="B54" s="497"/>
      <c r="C54" s="495"/>
      <c r="D54" s="236" t="s">
        <v>216</v>
      </c>
      <c r="E54" s="215">
        <f>'Investment Costs'!C50</f>
        <v>-1</v>
      </c>
      <c r="F54" s="215">
        <f>'Investment Costs'!F50</f>
        <v>1</v>
      </c>
      <c r="G54" s="181">
        <f>'Investment Costs'!D50</f>
        <v>0</v>
      </c>
      <c r="H54" s="181">
        <v>0</v>
      </c>
      <c r="I54" s="216">
        <f>'Investment Costs'!E50</f>
        <v>0</v>
      </c>
      <c r="J54" s="216">
        <f>'Investment Costs'!G50</f>
        <v>0</v>
      </c>
      <c r="K54" s="217">
        <v>0</v>
      </c>
      <c r="L54" s="217">
        <v>0</v>
      </c>
      <c r="M54" s="221">
        <f>'Investment Costs'!J55</f>
        <v>11811.160064000003</v>
      </c>
      <c r="N54" s="207">
        <f>'Investment Costs'!K55*'Result_Lock-in-effect'!B15+'Investment Costs'!L55</f>
        <v>0</v>
      </c>
      <c r="O54" s="172"/>
      <c r="P54" s="203"/>
      <c r="Q54" s="203"/>
      <c r="R54" s="203"/>
      <c r="S54" s="203"/>
      <c r="T54" s="203"/>
      <c r="U54" s="203"/>
      <c r="V54" s="203"/>
      <c r="W54" s="203"/>
      <c r="X54" s="204"/>
      <c r="Y54" s="173"/>
      <c r="Z54" s="149"/>
      <c r="AA54" s="149"/>
      <c r="AB54" s="149"/>
      <c r="AC54" s="149"/>
      <c r="AD54" s="149"/>
      <c r="AE54" s="149"/>
      <c r="AF54" s="149"/>
      <c r="AG54" s="149"/>
      <c r="AH54" s="149"/>
      <c r="AI54" s="4"/>
    </row>
    <row r="55" spans="1:35" s="67" customFormat="1" outlineLevel="1" x14ac:dyDescent="0.3">
      <c r="A55" s="475"/>
      <c r="B55" s="497"/>
      <c r="C55" s="472" t="s">
        <v>197</v>
      </c>
      <c r="D55" s="237" t="s">
        <v>212</v>
      </c>
      <c r="E55" s="215">
        <f>'Investment Costs'!C59</f>
        <v>0</v>
      </c>
      <c r="F55" s="215">
        <v>0</v>
      </c>
      <c r="G55" s="181">
        <f>'Investment Costs'!D59</f>
        <v>1</v>
      </c>
      <c r="H55" s="181">
        <v>1</v>
      </c>
      <c r="I55" s="216">
        <f>'Investment Costs'!E59</f>
        <v>0</v>
      </c>
      <c r="J55" s="216">
        <v>0</v>
      </c>
      <c r="K55" s="217">
        <v>0</v>
      </c>
      <c r="L55" s="217">
        <v>0</v>
      </c>
      <c r="M55" s="137">
        <f>'Investment Costs'!$J$59</f>
        <v>500</v>
      </c>
      <c r="N55" s="207">
        <f>'Investment Costs'!$K$59*'Result_Lock-in-effect'!B15+'Investment Costs'!$L$59</f>
        <v>0</v>
      </c>
      <c r="O55" s="200">
        <f t="shared" ref="O55:O62" si="18">M55*(1-$B$24)</f>
        <v>400</v>
      </c>
      <c r="P55" s="201">
        <f t="shared" si="17"/>
        <v>320</v>
      </c>
      <c r="Q55" s="201">
        <f t="shared" si="16"/>
        <v>256</v>
      </c>
      <c r="R55" s="201">
        <f t="shared" si="16"/>
        <v>204.8</v>
      </c>
      <c r="S55" s="201">
        <f t="shared" si="16"/>
        <v>163.84000000000003</v>
      </c>
      <c r="T55" s="201">
        <f t="shared" si="16"/>
        <v>131.07200000000003</v>
      </c>
      <c r="U55" s="201">
        <f t="shared" si="16"/>
        <v>104.85760000000003</v>
      </c>
      <c r="V55" s="201">
        <f t="shared" si="16"/>
        <v>83.886080000000035</v>
      </c>
      <c r="W55" s="201">
        <f t="shared" si="16"/>
        <v>67.108864000000025</v>
      </c>
      <c r="X55" s="202">
        <f t="shared" si="16"/>
        <v>53.687091200000026</v>
      </c>
      <c r="Y55" s="75">
        <f t="shared" ref="Y55:Y62" si="19">M55-O55</f>
        <v>100</v>
      </c>
      <c r="Z55" s="32">
        <f t="shared" ref="Z55:Z63" si="20">O55-P55</f>
        <v>80</v>
      </c>
      <c r="AA55" s="32">
        <f t="shared" ref="AA55:AA63" si="21">P55-Q55</f>
        <v>64</v>
      </c>
      <c r="AB55" s="32">
        <f t="shared" ref="AB55:AB63" si="22">Q55-R55</f>
        <v>51.199999999999989</v>
      </c>
      <c r="AC55" s="32">
        <f t="shared" ref="AC55:AC63" si="23">R55-S55</f>
        <v>40.95999999999998</v>
      </c>
      <c r="AD55" s="32">
        <f t="shared" ref="AD55:AD63" si="24">S55-T55</f>
        <v>32.768000000000001</v>
      </c>
      <c r="AE55" s="32">
        <f t="shared" ref="AE55:AE63" si="25">T55-U55</f>
        <v>26.214399999999998</v>
      </c>
      <c r="AF55" s="32">
        <f t="shared" ref="AF55:AF63" si="26">U55-V55</f>
        <v>20.971519999999998</v>
      </c>
      <c r="AG55" s="32">
        <f t="shared" ref="AG55:AG63" si="27">V55-W55</f>
        <v>16.77721600000001</v>
      </c>
      <c r="AH55" s="32">
        <f t="shared" ref="AH55:AH63" si="28">W55-X55</f>
        <v>13.421772799999999</v>
      </c>
      <c r="AI55" s="4"/>
    </row>
    <row r="56" spans="1:35" s="67" customFormat="1" outlineLevel="1" x14ac:dyDescent="0.3">
      <c r="A56" s="475"/>
      <c r="B56" s="497"/>
      <c r="C56" s="472"/>
      <c r="D56" s="237" t="s">
        <v>217</v>
      </c>
      <c r="E56" s="215">
        <f>'Investment Costs'!C63</f>
        <v>0</v>
      </c>
      <c r="F56" s="215">
        <v>0</v>
      </c>
      <c r="G56" s="181">
        <f>'Investment Costs'!D63</f>
        <v>1</v>
      </c>
      <c r="H56" s="181">
        <v>1</v>
      </c>
      <c r="I56" s="216">
        <f>'Investment Costs'!E63</f>
        <v>0</v>
      </c>
      <c r="J56" s="216">
        <v>0</v>
      </c>
      <c r="K56" s="217">
        <v>0</v>
      </c>
      <c r="L56" s="217">
        <v>0</v>
      </c>
      <c r="M56" s="137">
        <f>'Investment Costs'!$J$63</f>
        <v>1500</v>
      </c>
      <c r="N56" s="207">
        <f>'Investment Costs'!$K$63*'Result_Lock-in-effect'!B15+'Investment Costs'!$L$63</f>
        <v>0</v>
      </c>
      <c r="O56" s="200">
        <f t="shared" si="18"/>
        <v>1200</v>
      </c>
      <c r="P56" s="201">
        <f t="shared" si="17"/>
        <v>960</v>
      </c>
      <c r="Q56" s="201">
        <f t="shared" si="16"/>
        <v>768</v>
      </c>
      <c r="R56" s="201">
        <f t="shared" si="16"/>
        <v>614.40000000000009</v>
      </c>
      <c r="S56" s="201">
        <f t="shared" si="16"/>
        <v>491.5200000000001</v>
      </c>
      <c r="T56" s="201">
        <f t="shared" si="16"/>
        <v>393.21600000000012</v>
      </c>
      <c r="U56" s="201">
        <f t="shared" si="16"/>
        <v>314.57280000000014</v>
      </c>
      <c r="V56" s="201">
        <f t="shared" si="16"/>
        <v>251.65824000000012</v>
      </c>
      <c r="W56" s="201">
        <f t="shared" si="16"/>
        <v>201.32659200000012</v>
      </c>
      <c r="X56" s="202">
        <f t="shared" si="16"/>
        <v>161.06127360000011</v>
      </c>
      <c r="Y56" s="75">
        <f t="shared" si="19"/>
        <v>300</v>
      </c>
      <c r="Z56" s="32">
        <f t="shared" si="20"/>
        <v>240</v>
      </c>
      <c r="AA56" s="32">
        <f t="shared" si="21"/>
        <v>192</v>
      </c>
      <c r="AB56" s="32">
        <f t="shared" si="22"/>
        <v>153.59999999999991</v>
      </c>
      <c r="AC56" s="32">
        <f t="shared" si="23"/>
        <v>122.88</v>
      </c>
      <c r="AD56" s="32">
        <f t="shared" si="24"/>
        <v>98.303999999999974</v>
      </c>
      <c r="AE56" s="32">
        <f t="shared" si="25"/>
        <v>78.643199999999979</v>
      </c>
      <c r="AF56" s="32">
        <f t="shared" si="26"/>
        <v>62.914560000000023</v>
      </c>
      <c r="AG56" s="32">
        <f t="shared" si="27"/>
        <v>50.331648000000001</v>
      </c>
      <c r="AH56" s="32">
        <f t="shared" si="28"/>
        <v>40.265318400000012</v>
      </c>
      <c r="AI56" s="4"/>
    </row>
    <row r="57" spans="1:35" s="67" customFormat="1" outlineLevel="1" x14ac:dyDescent="0.3">
      <c r="A57" s="475"/>
      <c r="B57" s="497"/>
      <c r="C57" s="472"/>
      <c r="D57" s="237" t="s">
        <v>36</v>
      </c>
      <c r="E57" s="215">
        <f>'Investment Costs'!C67</f>
        <v>0</v>
      </c>
      <c r="F57" s="215">
        <v>0</v>
      </c>
      <c r="G57" s="181">
        <f>'Investment Costs'!D67</f>
        <v>1</v>
      </c>
      <c r="H57" s="181">
        <v>1</v>
      </c>
      <c r="I57" s="216">
        <f>'Investment Costs'!E67</f>
        <v>0</v>
      </c>
      <c r="J57" s="216">
        <v>0</v>
      </c>
      <c r="K57" s="217">
        <v>0</v>
      </c>
      <c r="L57" s="217">
        <v>0</v>
      </c>
      <c r="M57" s="137">
        <f>'Investment Costs'!$J$67</f>
        <v>1200</v>
      </c>
      <c r="N57" s="207">
        <f>'Investment Costs'!$K$67*'Result_Lock-in-effect'!B15+'Investment Costs'!$L$67</f>
        <v>0</v>
      </c>
      <c r="O57" s="200">
        <f t="shared" si="18"/>
        <v>960</v>
      </c>
      <c r="P57" s="201">
        <f t="shared" si="17"/>
        <v>768</v>
      </c>
      <c r="Q57" s="201">
        <f t="shared" si="16"/>
        <v>614.40000000000009</v>
      </c>
      <c r="R57" s="201">
        <f t="shared" si="16"/>
        <v>491.5200000000001</v>
      </c>
      <c r="S57" s="201">
        <f t="shared" si="16"/>
        <v>393.21600000000012</v>
      </c>
      <c r="T57" s="201">
        <f t="shared" si="16"/>
        <v>314.57280000000014</v>
      </c>
      <c r="U57" s="201">
        <f t="shared" si="16"/>
        <v>251.65824000000012</v>
      </c>
      <c r="V57" s="201">
        <f t="shared" si="16"/>
        <v>201.32659200000012</v>
      </c>
      <c r="W57" s="201">
        <f t="shared" si="16"/>
        <v>161.06127360000011</v>
      </c>
      <c r="X57" s="202">
        <f t="shared" si="16"/>
        <v>128.8490188800001</v>
      </c>
      <c r="Y57" s="75">
        <f t="shared" si="19"/>
        <v>240</v>
      </c>
      <c r="Z57" s="32">
        <f t="shared" si="20"/>
        <v>192</v>
      </c>
      <c r="AA57" s="32">
        <f t="shared" si="21"/>
        <v>153.59999999999991</v>
      </c>
      <c r="AB57" s="32">
        <f t="shared" si="22"/>
        <v>122.88</v>
      </c>
      <c r="AC57" s="32">
        <f t="shared" si="23"/>
        <v>98.303999999999974</v>
      </c>
      <c r="AD57" s="32">
        <f t="shared" si="24"/>
        <v>78.643199999999979</v>
      </c>
      <c r="AE57" s="32">
        <f t="shared" si="25"/>
        <v>62.914560000000023</v>
      </c>
      <c r="AF57" s="32">
        <f t="shared" si="26"/>
        <v>50.331648000000001</v>
      </c>
      <c r="AG57" s="32">
        <f t="shared" si="27"/>
        <v>40.265318400000012</v>
      </c>
      <c r="AH57" s="32">
        <f t="shared" si="28"/>
        <v>32.212254720000004</v>
      </c>
      <c r="AI57" s="4"/>
    </row>
    <row r="58" spans="1:35" s="67" customFormat="1" outlineLevel="1" x14ac:dyDescent="0.3">
      <c r="A58" s="475"/>
      <c r="B58" s="497"/>
      <c r="C58" s="472"/>
      <c r="D58" s="237" t="s">
        <v>218</v>
      </c>
      <c r="E58" s="215">
        <f>'Investment Costs'!C71</f>
        <v>0</v>
      </c>
      <c r="F58" s="215">
        <v>0</v>
      </c>
      <c r="G58" s="181">
        <f>'Investment Costs'!D71</f>
        <v>1</v>
      </c>
      <c r="H58" s="181">
        <v>1</v>
      </c>
      <c r="I58" s="216">
        <f>'Investment Costs'!E71</f>
        <v>0</v>
      </c>
      <c r="J58" s="216">
        <v>0</v>
      </c>
      <c r="K58" s="217">
        <v>0</v>
      </c>
      <c r="L58" s="217">
        <v>0</v>
      </c>
      <c r="M58" s="137">
        <f>'Investment Costs'!$J$71</f>
        <v>800</v>
      </c>
      <c r="N58" s="207">
        <f>'Investment Costs'!$K$71*'Result_Lock-in-effect'!B15+'Investment Costs'!$L$71</f>
        <v>0</v>
      </c>
      <c r="O58" s="200">
        <f t="shared" si="18"/>
        <v>640</v>
      </c>
      <c r="P58" s="201">
        <f t="shared" si="17"/>
        <v>512</v>
      </c>
      <c r="Q58" s="201">
        <f t="shared" si="16"/>
        <v>409.6</v>
      </c>
      <c r="R58" s="201">
        <f t="shared" si="16"/>
        <v>327.68000000000006</v>
      </c>
      <c r="S58" s="201">
        <f t="shared" si="16"/>
        <v>262.14400000000006</v>
      </c>
      <c r="T58" s="201">
        <f t="shared" si="16"/>
        <v>209.71520000000007</v>
      </c>
      <c r="U58" s="201">
        <f t="shared" si="16"/>
        <v>167.77216000000007</v>
      </c>
      <c r="V58" s="201">
        <f t="shared" si="16"/>
        <v>134.21772800000005</v>
      </c>
      <c r="W58" s="201">
        <f t="shared" si="16"/>
        <v>107.37418240000005</v>
      </c>
      <c r="X58" s="202">
        <f t="shared" si="16"/>
        <v>85.899345920000044</v>
      </c>
      <c r="Y58" s="75">
        <f t="shared" si="19"/>
        <v>160</v>
      </c>
      <c r="Z58" s="32">
        <f t="shared" si="20"/>
        <v>128</v>
      </c>
      <c r="AA58" s="32">
        <f t="shared" si="21"/>
        <v>102.39999999999998</v>
      </c>
      <c r="AB58" s="32">
        <f t="shared" si="22"/>
        <v>81.919999999999959</v>
      </c>
      <c r="AC58" s="32">
        <f t="shared" si="23"/>
        <v>65.536000000000001</v>
      </c>
      <c r="AD58" s="32">
        <f t="shared" si="24"/>
        <v>52.428799999999995</v>
      </c>
      <c r="AE58" s="32">
        <f t="shared" si="25"/>
        <v>41.943039999999996</v>
      </c>
      <c r="AF58" s="32">
        <f t="shared" si="26"/>
        <v>33.55443200000002</v>
      </c>
      <c r="AG58" s="32">
        <f t="shared" si="27"/>
        <v>26.843545599999999</v>
      </c>
      <c r="AH58" s="32">
        <f t="shared" si="28"/>
        <v>21.474836480000008</v>
      </c>
      <c r="AI58" s="4"/>
    </row>
    <row r="59" spans="1:35" s="67" customFormat="1" ht="25.2" customHeight="1" outlineLevel="1" x14ac:dyDescent="0.3">
      <c r="A59" s="475"/>
      <c r="B59" s="497"/>
      <c r="C59" s="472"/>
      <c r="D59" s="237" t="s">
        <v>219</v>
      </c>
      <c r="E59" s="215">
        <f>'Investment Costs'!C75</f>
        <v>0</v>
      </c>
      <c r="F59" s="215">
        <v>0</v>
      </c>
      <c r="G59" s="181">
        <f>'Investment Costs'!D75</f>
        <v>1</v>
      </c>
      <c r="H59" s="181">
        <v>1</v>
      </c>
      <c r="I59" s="216">
        <f>'Investment Costs'!E75</f>
        <v>0</v>
      </c>
      <c r="J59" s="216">
        <v>0</v>
      </c>
      <c r="K59" s="217">
        <v>0</v>
      </c>
      <c r="L59" s="217">
        <v>0</v>
      </c>
      <c r="M59" s="137">
        <f>'Investment Costs'!$J$75</f>
        <v>250</v>
      </c>
      <c r="N59" s="207">
        <f>'Investment Costs'!$K$75*'Result_Lock-in-effect'!B15+'Investment Costs'!$L$75</f>
        <v>0</v>
      </c>
      <c r="O59" s="200">
        <f t="shared" si="18"/>
        <v>200</v>
      </c>
      <c r="P59" s="201">
        <f t="shared" si="17"/>
        <v>160</v>
      </c>
      <c r="Q59" s="201">
        <f t="shared" si="16"/>
        <v>128</v>
      </c>
      <c r="R59" s="201">
        <f t="shared" si="16"/>
        <v>102.4</v>
      </c>
      <c r="S59" s="201">
        <f t="shared" si="16"/>
        <v>81.920000000000016</v>
      </c>
      <c r="T59" s="201">
        <f t="shared" si="16"/>
        <v>65.536000000000016</v>
      </c>
      <c r="U59" s="201">
        <f t="shared" si="16"/>
        <v>52.428800000000017</v>
      </c>
      <c r="V59" s="201">
        <f t="shared" si="16"/>
        <v>41.943040000000018</v>
      </c>
      <c r="W59" s="201">
        <f t="shared" si="16"/>
        <v>33.554432000000013</v>
      </c>
      <c r="X59" s="202">
        <f t="shared" si="16"/>
        <v>26.843545600000013</v>
      </c>
      <c r="Y59" s="75">
        <f t="shared" si="19"/>
        <v>50</v>
      </c>
      <c r="Z59" s="32">
        <f t="shared" si="20"/>
        <v>40</v>
      </c>
      <c r="AA59" s="32">
        <f t="shared" si="21"/>
        <v>32</v>
      </c>
      <c r="AB59" s="32">
        <f t="shared" si="22"/>
        <v>25.599999999999994</v>
      </c>
      <c r="AC59" s="32">
        <f t="shared" si="23"/>
        <v>20.47999999999999</v>
      </c>
      <c r="AD59" s="32">
        <f t="shared" si="24"/>
        <v>16.384</v>
      </c>
      <c r="AE59" s="32">
        <f t="shared" si="25"/>
        <v>13.107199999999999</v>
      </c>
      <c r="AF59" s="32">
        <f t="shared" si="26"/>
        <v>10.485759999999999</v>
      </c>
      <c r="AG59" s="32">
        <f t="shared" si="27"/>
        <v>8.3886080000000049</v>
      </c>
      <c r="AH59" s="32">
        <f t="shared" si="28"/>
        <v>6.7108863999999997</v>
      </c>
      <c r="AI59" s="4"/>
    </row>
    <row r="60" spans="1:35" s="67" customFormat="1" outlineLevel="1" x14ac:dyDescent="0.3">
      <c r="A60" s="475"/>
      <c r="B60" s="497"/>
      <c r="C60" s="472"/>
      <c r="D60" s="237" t="s">
        <v>220</v>
      </c>
      <c r="E60" s="215">
        <f>'Investment Costs'!C79</f>
        <v>0</v>
      </c>
      <c r="F60" s="215">
        <v>0</v>
      </c>
      <c r="G60" s="181">
        <f>'Investment Costs'!D79</f>
        <v>1</v>
      </c>
      <c r="H60" s="181">
        <v>1</v>
      </c>
      <c r="I60" s="216">
        <f>'Investment Costs'!E79</f>
        <v>0</v>
      </c>
      <c r="J60" s="216">
        <v>0</v>
      </c>
      <c r="K60" s="217">
        <v>0</v>
      </c>
      <c r="L60" s="217">
        <v>0</v>
      </c>
      <c r="M60" s="137">
        <f>'Investment Costs'!$J$79</f>
        <v>600</v>
      </c>
      <c r="N60" s="207">
        <f>'Investment Costs'!$K$79*'Result_Lock-in-effect'!B15+'Investment Costs'!$L$79</f>
        <v>0</v>
      </c>
      <c r="O60" s="200">
        <f t="shared" si="18"/>
        <v>480</v>
      </c>
      <c r="P60" s="201">
        <f t="shared" si="17"/>
        <v>384</v>
      </c>
      <c r="Q60" s="201">
        <f t="shared" si="16"/>
        <v>307.20000000000005</v>
      </c>
      <c r="R60" s="201">
        <f t="shared" si="16"/>
        <v>245.76000000000005</v>
      </c>
      <c r="S60" s="201">
        <f t="shared" si="16"/>
        <v>196.60800000000006</v>
      </c>
      <c r="T60" s="201">
        <f t="shared" si="16"/>
        <v>157.28640000000007</v>
      </c>
      <c r="U60" s="201">
        <f t="shared" si="16"/>
        <v>125.82912000000006</v>
      </c>
      <c r="V60" s="201">
        <f t="shared" si="16"/>
        <v>100.66329600000006</v>
      </c>
      <c r="W60" s="201">
        <f t="shared" si="16"/>
        <v>80.530636800000053</v>
      </c>
      <c r="X60" s="202">
        <f t="shared" si="16"/>
        <v>64.424509440000051</v>
      </c>
      <c r="Y60" s="75">
        <f t="shared" si="19"/>
        <v>120</v>
      </c>
      <c r="Z60" s="32">
        <f t="shared" si="20"/>
        <v>96</v>
      </c>
      <c r="AA60" s="32">
        <f t="shared" si="21"/>
        <v>76.799999999999955</v>
      </c>
      <c r="AB60" s="32">
        <f t="shared" si="22"/>
        <v>61.44</v>
      </c>
      <c r="AC60" s="32">
        <f t="shared" si="23"/>
        <v>49.151999999999987</v>
      </c>
      <c r="AD60" s="32">
        <f t="shared" si="24"/>
        <v>39.321599999999989</v>
      </c>
      <c r="AE60" s="32">
        <f t="shared" si="25"/>
        <v>31.457280000000011</v>
      </c>
      <c r="AF60" s="32">
        <f t="shared" si="26"/>
        <v>25.165824000000001</v>
      </c>
      <c r="AG60" s="32">
        <f t="shared" si="27"/>
        <v>20.132659200000006</v>
      </c>
      <c r="AH60" s="32">
        <f t="shared" si="28"/>
        <v>16.106127360000002</v>
      </c>
      <c r="AI60" s="4"/>
    </row>
    <row r="61" spans="1:35" s="67" customFormat="1" outlineLevel="1" x14ac:dyDescent="0.3">
      <c r="A61" s="475"/>
      <c r="B61" s="497"/>
      <c r="C61" s="472"/>
      <c r="D61" s="237" t="s">
        <v>221</v>
      </c>
      <c r="E61" s="215">
        <f>'Investment Costs'!C83</f>
        <v>0</v>
      </c>
      <c r="F61" s="215">
        <v>0</v>
      </c>
      <c r="G61" s="181">
        <f>'Investment Costs'!D83</f>
        <v>1</v>
      </c>
      <c r="H61" s="181">
        <v>1</v>
      </c>
      <c r="I61" s="216">
        <f>'Investment Costs'!E83</f>
        <v>0</v>
      </c>
      <c r="J61" s="216">
        <v>0</v>
      </c>
      <c r="K61" s="217">
        <v>0</v>
      </c>
      <c r="L61" s="217">
        <v>0</v>
      </c>
      <c r="M61" s="137">
        <f>'Investment Costs'!$J$83</f>
        <v>320</v>
      </c>
      <c r="N61" s="207">
        <f>'Investment Costs'!$K$83*'Result_Lock-in-effect'!B15+'Investment Costs'!$L$83</f>
        <v>0</v>
      </c>
      <c r="O61" s="200">
        <f t="shared" si="18"/>
        <v>256</v>
      </c>
      <c r="P61" s="201">
        <f t="shared" si="17"/>
        <v>204.8</v>
      </c>
      <c r="Q61" s="201">
        <f t="shared" ref="Q61:X63" si="29">P61*(1-$B$24)</f>
        <v>163.84000000000003</v>
      </c>
      <c r="R61" s="201">
        <f t="shared" si="29"/>
        <v>131.07200000000003</v>
      </c>
      <c r="S61" s="201">
        <f t="shared" si="29"/>
        <v>104.85760000000003</v>
      </c>
      <c r="T61" s="201">
        <f t="shared" si="29"/>
        <v>83.886080000000035</v>
      </c>
      <c r="U61" s="201">
        <f t="shared" si="29"/>
        <v>67.108864000000025</v>
      </c>
      <c r="V61" s="201">
        <f t="shared" si="29"/>
        <v>53.687091200000026</v>
      </c>
      <c r="W61" s="201">
        <f t="shared" si="29"/>
        <v>42.949672960000022</v>
      </c>
      <c r="X61" s="202">
        <f t="shared" si="29"/>
        <v>34.359738368000016</v>
      </c>
      <c r="Y61" s="75">
        <f t="shared" si="19"/>
        <v>64</v>
      </c>
      <c r="Z61" s="32">
        <f t="shared" si="20"/>
        <v>51.199999999999989</v>
      </c>
      <c r="AA61" s="32">
        <f t="shared" si="21"/>
        <v>40.95999999999998</v>
      </c>
      <c r="AB61" s="32">
        <f t="shared" si="22"/>
        <v>32.768000000000001</v>
      </c>
      <c r="AC61" s="32">
        <f t="shared" si="23"/>
        <v>26.214399999999998</v>
      </c>
      <c r="AD61" s="32">
        <f t="shared" si="24"/>
        <v>20.971519999999998</v>
      </c>
      <c r="AE61" s="32">
        <f t="shared" si="25"/>
        <v>16.77721600000001</v>
      </c>
      <c r="AF61" s="32">
        <f t="shared" si="26"/>
        <v>13.421772799999999</v>
      </c>
      <c r="AG61" s="32">
        <f t="shared" si="27"/>
        <v>10.737418240000004</v>
      </c>
      <c r="AH61" s="32">
        <f t="shared" si="28"/>
        <v>8.5899345920000059</v>
      </c>
      <c r="AI61" s="4"/>
    </row>
    <row r="62" spans="1:35" s="67" customFormat="1" ht="26.4" customHeight="1" outlineLevel="1" x14ac:dyDescent="0.3">
      <c r="A62" s="475"/>
      <c r="B62" s="497"/>
      <c r="C62" s="229" t="s">
        <v>198</v>
      </c>
      <c r="D62" s="236" t="s">
        <v>222</v>
      </c>
      <c r="E62" s="215">
        <f>'Investment Costs'!C84</f>
        <v>1</v>
      </c>
      <c r="F62" s="215">
        <v>0</v>
      </c>
      <c r="G62" s="181">
        <f>'Investment Costs'!D84</f>
        <v>0</v>
      </c>
      <c r="H62" s="181">
        <v>0</v>
      </c>
      <c r="I62" s="216">
        <f>'Investment Costs'!E84</f>
        <v>0</v>
      </c>
      <c r="J62" s="216">
        <v>0</v>
      </c>
      <c r="K62" s="217">
        <v>0</v>
      </c>
      <c r="L62" s="217">
        <v>0</v>
      </c>
      <c r="M62" s="137">
        <f>'Investment Costs'!J88</f>
        <v>30000</v>
      </c>
      <c r="N62" s="207">
        <f>'Investment Costs'!K88*'Result_Lock-in-effect'!B15+'Investment Costs'!L88</f>
        <v>0</v>
      </c>
      <c r="O62" s="200">
        <f t="shared" si="18"/>
        <v>24000</v>
      </c>
      <c r="P62" s="201">
        <f t="shared" si="17"/>
        <v>19200</v>
      </c>
      <c r="Q62" s="201">
        <f>P62*(1-$B$24)</f>
        <v>15360</v>
      </c>
      <c r="R62" s="201">
        <f t="shared" si="29"/>
        <v>12288</v>
      </c>
      <c r="S62" s="201">
        <f t="shared" si="29"/>
        <v>9830.4000000000015</v>
      </c>
      <c r="T62" s="201">
        <f t="shared" si="29"/>
        <v>7864.3200000000015</v>
      </c>
      <c r="U62" s="201">
        <f t="shared" si="29"/>
        <v>6291.4560000000019</v>
      </c>
      <c r="V62" s="201">
        <f t="shared" si="29"/>
        <v>5033.1648000000023</v>
      </c>
      <c r="W62" s="201">
        <f t="shared" si="29"/>
        <v>4026.5318400000019</v>
      </c>
      <c r="X62" s="202">
        <f t="shared" si="29"/>
        <v>3221.2254720000019</v>
      </c>
      <c r="Y62" s="75">
        <f t="shared" si="19"/>
        <v>6000</v>
      </c>
      <c r="Z62" s="32">
        <f t="shared" si="20"/>
        <v>4800</v>
      </c>
      <c r="AA62" s="32">
        <f t="shared" si="21"/>
        <v>3840</v>
      </c>
      <c r="AB62" s="32">
        <f t="shared" si="22"/>
        <v>3072</v>
      </c>
      <c r="AC62" s="32">
        <f t="shared" si="23"/>
        <v>2457.5999999999985</v>
      </c>
      <c r="AD62" s="32">
        <f t="shared" si="24"/>
        <v>1966.08</v>
      </c>
      <c r="AE62" s="32">
        <f t="shared" si="25"/>
        <v>1572.8639999999996</v>
      </c>
      <c r="AF62" s="32">
        <f t="shared" si="26"/>
        <v>1258.2911999999997</v>
      </c>
      <c r="AG62" s="32">
        <f t="shared" si="27"/>
        <v>1006.6329600000004</v>
      </c>
      <c r="AH62" s="32">
        <f t="shared" si="28"/>
        <v>805.30636800000002</v>
      </c>
      <c r="AI62" s="4"/>
    </row>
    <row r="63" spans="1:35" s="67" customFormat="1" ht="22.8" customHeight="1" outlineLevel="1" x14ac:dyDescent="0.3">
      <c r="A63" s="475"/>
      <c r="B63" s="497"/>
      <c r="C63" s="229" t="s">
        <v>199</v>
      </c>
      <c r="D63" s="236" t="s">
        <v>223</v>
      </c>
      <c r="E63" s="215">
        <f>'Investment Costs'!C89</f>
        <v>0</v>
      </c>
      <c r="F63" s="215">
        <v>0</v>
      </c>
      <c r="G63" s="181">
        <f>'Investment Costs'!D89</f>
        <v>1</v>
      </c>
      <c r="H63" s="181">
        <v>0</v>
      </c>
      <c r="I63" s="216">
        <f>'Investment Costs'!E89</f>
        <v>0</v>
      </c>
      <c r="J63" s="216">
        <f>'Investment Costs'!G89</f>
        <v>0</v>
      </c>
      <c r="K63" s="217">
        <v>0</v>
      </c>
      <c r="L63" s="217">
        <v>0</v>
      </c>
      <c r="M63" s="137">
        <f>'Investment Costs'!J93</f>
        <v>15000</v>
      </c>
      <c r="N63" s="207">
        <f>'Investment Costs'!K93*'Result_Lock-in-effect'!B15+'Investment Costs'!L93</f>
        <v>0</v>
      </c>
      <c r="O63" s="200">
        <f>M63*(1-$B$24)</f>
        <v>12000</v>
      </c>
      <c r="P63" s="201">
        <f t="shared" si="17"/>
        <v>9600</v>
      </c>
      <c r="Q63" s="201">
        <f t="shared" si="29"/>
        <v>7680</v>
      </c>
      <c r="R63" s="201">
        <f t="shared" si="29"/>
        <v>6144</v>
      </c>
      <c r="S63" s="201">
        <f t="shared" si="29"/>
        <v>4915.2000000000007</v>
      </c>
      <c r="T63" s="201">
        <f t="shared" si="29"/>
        <v>3932.1600000000008</v>
      </c>
      <c r="U63" s="201">
        <f t="shared" si="29"/>
        <v>3145.728000000001</v>
      </c>
      <c r="V63" s="201">
        <f t="shared" si="29"/>
        <v>2516.5824000000011</v>
      </c>
      <c r="W63" s="201">
        <f t="shared" si="29"/>
        <v>2013.265920000001</v>
      </c>
      <c r="X63" s="206">
        <f t="shared" si="29"/>
        <v>1610.612736000001</v>
      </c>
      <c r="Y63" s="75">
        <f>M63-O63</f>
        <v>3000</v>
      </c>
      <c r="Z63" s="32">
        <f t="shared" si="20"/>
        <v>2400</v>
      </c>
      <c r="AA63" s="32">
        <f t="shared" si="21"/>
        <v>1920</v>
      </c>
      <c r="AB63" s="32">
        <f t="shared" si="22"/>
        <v>1536</v>
      </c>
      <c r="AC63" s="32">
        <f t="shared" si="23"/>
        <v>1228.7999999999993</v>
      </c>
      <c r="AD63" s="32">
        <f t="shared" si="24"/>
        <v>983.04</v>
      </c>
      <c r="AE63" s="32">
        <f t="shared" si="25"/>
        <v>786.43199999999979</v>
      </c>
      <c r="AF63" s="32">
        <f t="shared" si="26"/>
        <v>629.14559999999983</v>
      </c>
      <c r="AG63" s="32">
        <f t="shared" si="27"/>
        <v>503.31648000000018</v>
      </c>
      <c r="AH63" s="32">
        <f t="shared" si="28"/>
        <v>402.65318400000001</v>
      </c>
      <c r="AI63" s="4"/>
    </row>
    <row r="64" spans="1:35" s="67" customFormat="1" ht="24.6" customHeight="1" outlineLevel="1" x14ac:dyDescent="0.3">
      <c r="A64" s="475"/>
      <c r="B64" s="497"/>
      <c r="C64" s="229" t="s">
        <v>200</v>
      </c>
      <c r="D64" s="236" t="s">
        <v>224</v>
      </c>
      <c r="E64" s="215">
        <f>'Investment Costs'!C94</f>
        <v>-1</v>
      </c>
      <c r="F64" s="215">
        <f>'Investment Costs'!F94</f>
        <v>1</v>
      </c>
      <c r="G64" s="181">
        <f>'Investment Costs'!D94</f>
        <v>0</v>
      </c>
      <c r="H64" s="181">
        <v>0</v>
      </c>
      <c r="I64" s="216">
        <f>'Investment Costs'!E94</f>
        <v>0</v>
      </c>
      <c r="J64" s="216">
        <f>'Investment Costs'!G94</f>
        <v>0</v>
      </c>
      <c r="K64" s="217">
        <v>0</v>
      </c>
      <c r="L64" s="217">
        <v>0</v>
      </c>
      <c r="M64" s="221">
        <f>'Investment Costs'!J98</f>
        <v>1610.612736000001</v>
      </c>
      <c r="N64" s="207">
        <f>'Investment Costs'!K98*'Result_Lock-in-effect'!B15+'Investment Costs'!L98</f>
        <v>0</v>
      </c>
      <c r="O64" s="172"/>
      <c r="P64" s="203"/>
      <c r="Q64" s="203"/>
      <c r="R64" s="203"/>
      <c r="S64" s="203"/>
      <c r="T64" s="203"/>
      <c r="U64" s="203"/>
      <c r="V64" s="203"/>
      <c r="W64" s="203"/>
      <c r="X64" s="204"/>
      <c r="Y64" s="148"/>
      <c r="Z64" s="147"/>
      <c r="AA64" s="147"/>
      <c r="AB64" s="147"/>
      <c r="AC64" s="147"/>
      <c r="AD64" s="147"/>
      <c r="AE64" s="147"/>
      <c r="AF64" s="147"/>
      <c r="AG64" s="147"/>
      <c r="AH64" s="147"/>
      <c r="AI64" s="4"/>
    </row>
    <row r="65" spans="1:35" s="67" customFormat="1" outlineLevel="1" x14ac:dyDescent="0.3">
      <c r="A65" s="475"/>
      <c r="B65" s="497"/>
      <c r="C65" s="230" t="s">
        <v>201</v>
      </c>
      <c r="D65" s="236" t="s">
        <v>225</v>
      </c>
      <c r="E65" s="215">
        <v>1</v>
      </c>
      <c r="F65" s="215">
        <v>0</v>
      </c>
      <c r="G65" s="181">
        <v>1</v>
      </c>
      <c r="H65" s="181">
        <v>0</v>
      </c>
      <c r="I65" s="216">
        <v>1</v>
      </c>
      <c r="J65" s="216">
        <v>0</v>
      </c>
      <c r="K65" s="217">
        <v>1</v>
      </c>
      <c r="L65" s="217">
        <v>0</v>
      </c>
      <c r="M65" s="137">
        <f>'Investment Costs'!J118</f>
        <v>1523.2</v>
      </c>
      <c r="N65" s="207">
        <f>'Investment Costs'!K118*'Result_Lock-in-effect'!B15+'Investment Costs'!L118</f>
        <v>314.47499999999997</v>
      </c>
      <c r="O65" s="148"/>
      <c r="P65" s="198"/>
      <c r="Q65" s="198"/>
      <c r="R65" s="198"/>
      <c r="S65" s="198"/>
      <c r="T65" s="198"/>
      <c r="U65" s="198"/>
      <c r="V65" s="198"/>
      <c r="W65" s="198"/>
      <c r="X65" s="199"/>
      <c r="Y65" s="148"/>
      <c r="Z65" s="147"/>
      <c r="AA65" s="147"/>
      <c r="AB65" s="147"/>
      <c r="AC65" s="147"/>
      <c r="AD65" s="147"/>
      <c r="AE65" s="147"/>
      <c r="AF65" s="147"/>
      <c r="AG65" s="147"/>
      <c r="AH65" s="147"/>
      <c r="AI65" s="4"/>
    </row>
    <row r="66" spans="1:35" s="231" customFormat="1" outlineLevel="1" x14ac:dyDescent="0.3">
      <c r="A66" s="475"/>
      <c r="B66" s="497"/>
      <c r="C66" s="333" t="s">
        <v>359</v>
      </c>
      <c r="D66" s="332" t="s">
        <v>360</v>
      </c>
      <c r="E66" s="334">
        <v>1</v>
      </c>
      <c r="F66" s="334">
        <v>0</v>
      </c>
      <c r="G66" s="335">
        <v>1</v>
      </c>
      <c r="H66" s="335">
        <v>0</v>
      </c>
      <c r="I66" s="336">
        <v>1</v>
      </c>
      <c r="J66" s="336">
        <v>0</v>
      </c>
      <c r="K66" s="337">
        <v>0</v>
      </c>
      <c r="L66" s="337">
        <v>0</v>
      </c>
      <c r="M66" s="338">
        <f>'Investment Costs'!J103</f>
        <v>22273</v>
      </c>
      <c r="N66" s="339">
        <f>'Investment Costs'!K103*'Result_Lock-in-effect'!B15+'Investment Costs'!L103</f>
        <v>0</v>
      </c>
      <c r="O66" s="368">
        <f>M66*(1-$B$24)</f>
        <v>17818.400000000001</v>
      </c>
      <c r="P66" s="369">
        <f>O66*(1-$B$24)</f>
        <v>14254.720000000001</v>
      </c>
      <c r="Q66" s="369">
        <f>P66*(1-$B$24)</f>
        <v>11403.776000000002</v>
      </c>
      <c r="R66" s="369">
        <f t="shared" ref="R66" si="30">Q66*(1-$B$24)</f>
        <v>9123.0208000000021</v>
      </c>
      <c r="S66" s="369">
        <f t="shared" ref="S66" si="31">R66*(1-$B$24)</f>
        <v>7298.4166400000022</v>
      </c>
      <c r="T66" s="369">
        <f t="shared" ref="T66" si="32">S66*(1-$B$24)</f>
        <v>5838.7333120000021</v>
      </c>
      <c r="U66" s="369">
        <f t="shared" ref="U66" si="33">T66*(1-$B$24)</f>
        <v>4670.9866496000022</v>
      </c>
      <c r="V66" s="369">
        <f t="shared" ref="V66" si="34">U66*(1-$B$24)</f>
        <v>3736.7893196800019</v>
      </c>
      <c r="W66" s="369">
        <f t="shared" ref="W66" si="35">V66*(1-$B$24)</f>
        <v>2989.4314557440016</v>
      </c>
      <c r="X66" s="370">
        <f t="shared" ref="X66" si="36">W66*(1-$B$24)</f>
        <v>2391.5451645952012</v>
      </c>
      <c r="Y66" s="368">
        <f>M66-O66</f>
        <v>4454.5999999999985</v>
      </c>
      <c r="Z66" s="369">
        <f t="shared" ref="Z66" si="37">O66-P66</f>
        <v>3563.6800000000003</v>
      </c>
      <c r="AA66" s="369">
        <f t="shared" ref="AA66" si="38">P66-Q66</f>
        <v>2850.9439999999995</v>
      </c>
      <c r="AB66" s="369">
        <f t="shared" ref="AB66" si="39">Q66-R66</f>
        <v>2280.7551999999996</v>
      </c>
      <c r="AC66" s="369">
        <f t="shared" ref="AC66" si="40">R66-S66</f>
        <v>1824.6041599999999</v>
      </c>
      <c r="AD66" s="369">
        <f t="shared" ref="AD66" si="41">S66-T66</f>
        <v>1459.6833280000001</v>
      </c>
      <c r="AE66" s="369">
        <f t="shared" ref="AE66" si="42">T66-U66</f>
        <v>1167.7466623999999</v>
      </c>
      <c r="AF66" s="369">
        <f t="shared" ref="AF66" si="43">U66-V66</f>
        <v>934.19732992000036</v>
      </c>
      <c r="AG66" s="369">
        <f t="shared" ref="AG66" si="44">V66-W66</f>
        <v>747.35786393600029</v>
      </c>
      <c r="AH66" s="370">
        <f t="shared" ref="AH66" si="45">W66-X66</f>
        <v>597.88629114880041</v>
      </c>
      <c r="AI66" s="4"/>
    </row>
    <row r="67" spans="1:35" s="67" customFormat="1" outlineLevel="1" x14ac:dyDescent="0.3">
      <c r="A67" s="475"/>
      <c r="B67" s="497"/>
      <c r="C67" s="491" t="s">
        <v>202</v>
      </c>
      <c r="D67" s="236" t="s">
        <v>367</v>
      </c>
      <c r="E67" s="215">
        <v>0</v>
      </c>
      <c r="F67" s="215">
        <v>0</v>
      </c>
      <c r="G67" s="181">
        <v>0</v>
      </c>
      <c r="H67" s="181">
        <v>0</v>
      </c>
      <c r="I67" s="216">
        <v>0</v>
      </c>
      <c r="J67" s="216">
        <v>0</v>
      </c>
      <c r="K67" s="217">
        <v>1</v>
      </c>
      <c r="L67" s="217">
        <v>0</v>
      </c>
      <c r="M67" s="137">
        <v>0</v>
      </c>
      <c r="N67" s="207">
        <f>'Investment Costs'!J142</f>
        <v>4827.6867112937425</v>
      </c>
      <c r="O67" s="148"/>
      <c r="P67" s="198"/>
      <c r="Q67" s="198"/>
      <c r="R67" s="198"/>
      <c r="S67" s="198"/>
      <c r="T67" s="198"/>
      <c r="U67" s="198"/>
      <c r="V67" s="198"/>
      <c r="W67" s="198"/>
      <c r="X67" s="199"/>
      <c r="Y67" s="148"/>
      <c r="Z67" s="147"/>
      <c r="AA67" s="147"/>
      <c r="AB67" s="147"/>
      <c r="AC67" s="147"/>
      <c r="AD67" s="147"/>
      <c r="AE67" s="147"/>
      <c r="AF67" s="147"/>
      <c r="AG67" s="147"/>
      <c r="AH67" s="147"/>
      <c r="AI67" s="4"/>
    </row>
    <row r="68" spans="1:35" s="67" customFormat="1" ht="28.8" customHeight="1" outlineLevel="1" x14ac:dyDescent="0.3">
      <c r="A68" s="475"/>
      <c r="B68" s="498"/>
      <c r="C68" s="492"/>
      <c r="D68" s="236" t="s">
        <v>226</v>
      </c>
      <c r="E68" s="215">
        <v>0</v>
      </c>
      <c r="F68" s="215">
        <v>0</v>
      </c>
      <c r="G68" s="181">
        <v>0</v>
      </c>
      <c r="H68" s="181">
        <v>0</v>
      </c>
      <c r="I68" s="216">
        <v>0</v>
      </c>
      <c r="J68" s="216">
        <v>0</v>
      </c>
      <c r="K68" s="217">
        <v>1</v>
      </c>
      <c r="L68" s="217">
        <v>0</v>
      </c>
      <c r="M68" s="137">
        <v>0</v>
      </c>
      <c r="N68" s="207">
        <f>'Investment Costs'!L142</f>
        <v>-832.67510869565206</v>
      </c>
      <c r="O68" s="148"/>
      <c r="P68" s="198"/>
      <c r="Q68" s="198"/>
      <c r="R68" s="198"/>
      <c r="S68" s="198"/>
      <c r="T68" s="198"/>
      <c r="U68" s="198"/>
      <c r="V68" s="198"/>
      <c r="W68" s="198"/>
      <c r="X68" s="199"/>
      <c r="Y68" s="148"/>
      <c r="Z68" s="147"/>
      <c r="AA68" s="147"/>
      <c r="AB68" s="147"/>
      <c r="AC68" s="147"/>
      <c r="AD68" s="147"/>
      <c r="AE68" s="147"/>
      <c r="AF68" s="147"/>
      <c r="AG68" s="147"/>
      <c r="AH68" s="147"/>
      <c r="AI68" s="4"/>
    </row>
    <row r="69" spans="1:35" s="67" customFormat="1" outlineLevel="1" x14ac:dyDescent="0.3">
      <c r="A69" s="475"/>
      <c r="B69" s="468" t="s">
        <v>195</v>
      </c>
      <c r="C69" s="471" t="s">
        <v>203</v>
      </c>
      <c r="D69" s="237" t="s">
        <v>227</v>
      </c>
      <c r="E69" s="215">
        <f>'Implementation Effort'!C8</f>
        <v>1</v>
      </c>
      <c r="F69" s="215">
        <f>'Implementation Effort'!D8</f>
        <v>0</v>
      </c>
      <c r="G69" s="181">
        <f>'Implementation Effort'!E8</f>
        <v>1</v>
      </c>
      <c r="H69" s="181">
        <f>'Implementation Effort'!F8</f>
        <v>0</v>
      </c>
      <c r="I69" s="216">
        <f>'Implementation Effort'!G8</f>
        <v>1</v>
      </c>
      <c r="J69" s="216">
        <f>'Implementation Effort'!H8</f>
        <v>0</v>
      </c>
      <c r="K69" s="217">
        <f>'Implementation Effort'!I8</f>
        <v>0</v>
      </c>
      <c r="L69" s="217">
        <f>'Implementation Effort'!J8</f>
        <v>0</v>
      </c>
      <c r="M69" s="137">
        <f>'Implementation Effort'!$K$8*'Result_Lock-in-effect'!$B$17</f>
        <v>43</v>
      </c>
      <c r="N69" s="207">
        <f>'Implementation Effort'!$L$8*'Result_Lock-in-effect'!$B$17</f>
        <v>0</v>
      </c>
      <c r="O69" s="205"/>
      <c r="P69" s="198"/>
      <c r="Q69" s="198"/>
      <c r="R69" s="198"/>
      <c r="S69" s="198"/>
      <c r="T69" s="198"/>
      <c r="U69" s="198"/>
      <c r="V69" s="198"/>
      <c r="W69" s="198"/>
      <c r="X69" s="199"/>
      <c r="Y69" s="148"/>
      <c r="Z69" s="147"/>
      <c r="AA69" s="147"/>
      <c r="AB69" s="147"/>
      <c r="AC69" s="147"/>
      <c r="AD69" s="147"/>
      <c r="AE69" s="147"/>
      <c r="AF69" s="147"/>
      <c r="AG69" s="147"/>
      <c r="AH69" s="147"/>
      <c r="AI69" s="4"/>
    </row>
    <row r="70" spans="1:35" s="67" customFormat="1" outlineLevel="1" x14ac:dyDescent="0.3">
      <c r="A70" s="475"/>
      <c r="B70" s="469"/>
      <c r="C70" s="472"/>
      <c r="D70" s="237" t="s">
        <v>228</v>
      </c>
      <c r="E70" s="215">
        <f>'Implementation Effort'!C13</f>
        <v>1</v>
      </c>
      <c r="F70" s="215">
        <f>'Implementation Effort'!D13</f>
        <v>0</v>
      </c>
      <c r="G70" s="181">
        <f>'Implementation Effort'!E13</f>
        <v>1</v>
      </c>
      <c r="H70" s="181">
        <f>'Implementation Effort'!F13</f>
        <v>0</v>
      </c>
      <c r="I70" s="216">
        <f>'Implementation Effort'!G13</f>
        <v>0</v>
      </c>
      <c r="J70" s="216">
        <f>'Implementation Effort'!H13</f>
        <v>0</v>
      </c>
      <c r="K70" s="217">
        <f>'Implementation Effort'!I13</f>
        <v>0</v>
      </c>
      <c r="L70" s="217">
        <f>'Implementation Effort'!J13</f>
        <v>0</v>
      </c>
      <c r="M70" s="137">
        <f>'Implementation Effort'!$K$13*'Result_Lock-in-effect'!$B$17</f>
        <v>129</v>
      </c>
      <c r="N70" s="207">
        <f>'Implementation Effort'!$L$13*'Result_Lock-in-effect'!$B$17</f>
        <v>0</v>
      </c>
      <c r="O70" s="148"/>
      <c r="P70" s="198"/>
      <c r="Q70" s="198"/>
      <c r="R70" s="198"/>
      <c r="S70" s="198"/>
      <c r="T70" s="198"/>
      <c r="U70" s="198"/>
      <c r="V70" s="198"/>
      <c r="W70" s="198"/>
      <c r="X70" s="199"/>
      <c r="Y70" s="148"/>
      <c r="Z70" s="147"/>
      <c r="AA70" s="147"/>
      <c r="AB70" s="147"/>
      <c r="AC70" s="147"/>
      <c r="AD70" s="147"/>
      <c r="AE70" s="147"/>
      <c r="AF70" s="147"/>
      <c r="AG70" s="147"/>
      <c r="AH70" s="147"/>
      <c r="AI70" s="4"/>
    </row>
    <row r="71" spans="1:35" s="67" customFormat="1" ht="23.4" customHeight="1" outlineLevel="1" x14ac:dyDescent="0.3">
      <c r="A71" s="475"/>
      <c r="B71" s="469"/>
      <c r="C71" s="472"/>
      <c r="D71" s="237" t="s">
        <v>229</v>
      </c>
      <c r="E71" s="215">
        <f>'Implementation Effort'!C18</f>
        <v>0</v>
      </c>
      <c r="F71" s="215">
        <f>'Implementation Effort'!D18</f>
        <v>0</v>
      </c>
      <c r="G71" s="181">
        <f>'Implementation Effort'!E18</f>
        <v>1</v>
      </c>
      <c r="H71" s="181">
        <f>'Implementation Effort'!F18</f>
        <v>1</v>
      </c>
      <c r="I71" s="216">
        <f>'Implementation Effort'!G18</f>
        <v>0</v>
      </c>
      <c r="J71" s="216">
        <f>'Implementation Effort'!H18</f>
        <v>0</v>
      </c>
      <c r="K71" s="217">
        <f>'Implementation Effort'!I18</f>
        <v>0</v>
      </c>
      <c r="L71" s="217">
        <f>'Implementation Effort'!J18</f>
        <v>0</v>
      </c>
      <c r="M71" s="137">
        <f>'Implementation Effort'!$K$18*'Result_Lock-in-effect'!$B$17</f>
        <v>64.5</v>
      </c>
      <c r="N71" s="207">
        <f>'Implementation Effort'!$L$18*'Result_Lock-in-effect'!$B$17</f>
        <v>0</v>
      </c>
      <c r="O71" s="148"/>
      <c r="P71" s="198"/>
      <c r="Q71" s="198"/>
      <c r="R71" s="198"/>
      <c r="S71" s="198"/>
      <c r="T71" s="198"/>
      <c r="U71" s="198"/>
      <c r="V71" s="198"/>
      <c r="W71" s="198"/>
      <c r="X71" s="199"/>
      <c r="Y71" s="148"/>
      <c r="Z71" s="147"/>
      <c r="AA71" s="147"/>
      <c r="AB71" s="147"/>
      <c r="AC71" s="147"/>
      <c r="AD71" s="147"/>
      <c r="AE71" s="147"/>
      <c r="AF71" s="147"/>
      <c r="AG71" s="147"/>
      <c r="AH71" s="147"/>
      <c r="AI71" s="4"/>
    </row>
    <row r="72" spans="1:35" s="67" customFormat="1" outlineLevel="1" x14ac:dyDescent="0.3">
      <c r="A72" s="475"/>
      <c r="B72" s="469"/>
      <c r="C72" s="472"/>
      <c r="D72" s="237" t="s">
        <v>230</v>
      </c>
      <c r="E72" s="215">
        <f>'Implementation Effort'!C23</f>
        <v>0</v>
      </c>
      <c r="F72" s="215">
        <f>'Implementation Effort'!D23</f>
        <v>0</v>
      </c>
      <c r="G72" s="181">
        <f>'Implementation Effort'!E23</f>
        <v>1</v>
      </c>
      <c r="H72" s="181">
        <f>'Implementation Effort'!F23</f>
        <v>0</v>
      </c>
      <c r="I72" s="216">
        <f>'Implementation Effort'!G23</f>
        <v>1</v>
      </c>
      <c r="J72" s="216">
        <f>'Implementation Effort'!H23</f>
        <v>0</v>
      </c>
      <c r="K72" s="217">
        <f>'Implementation Effort'!I23</f>
        <v>0</v>
      </c>
      <c r="L72" s="217">
        <f>'Implementation Effort'!J23</f>
        <v>0</v>
      </c>
      <c r="M72" s="137">
        <f>'Implementation Effort'!$K$23*'Result_Lock-in-effect'!$B$17</f>
        <v>86</v>
      </c>
      <c r="N72" s="207">
        <f>'Implementation Effort'!$L$23*'Result_Lock-in-effect'!$B$17</f>
        <v>0</v>
      </c>
      <c r="O72" s="148"/>
      <c r="P72" s="198"/>
      <c r="Q72" s="198"/>
      <c r="R72" s="198"/>
      <c r="S72" s="198"/>
      <c r="T72" s="198"/>
      <c r="U72" s="198"/>
      <c r="V72" s="198"/>
      <c r="W72" s="198"/>
      <c r="X72" s="199"/>
      <c r="Y72" s="148"/>
      <c r="Z72" s="147"/>
      <c r="AA72" s="147"/>
      <c r="AB72" s="147"/>
      <c r="AC72" s="147"/>
      <c r="AD72" s="147"/>
      <c r="AE72" s="147"/>
      <c r="AF72" s="147"/>
      <c r="AG72" s="147"/>
      <c r="AH72" s="147"/>
      <c r="AI72" s="4"/>
    </row>
    <row r="73" spans="1:35" s="67" customFormat="1" outlineLevel="1" x14ac:dyDescent="0.3">
      <c r="A73" s="475"/>
      <c r="B73" s="469"/>
      <c r="C73" s="472"/>
      <c r="D73" s="237" t="s">
        <v>231</v>
      </c>
      <c r="E73" s="215">
        <f>'Implementation Effort'!C28</f>
        <v>0</v>
      </c>
      <c r="F73" s="215">
        <f>'Implementation Effort'!D28</f>
        <v>0</v>
      </c>
      <c r="G73" s="181">
        <f>'Implementation Effort'!E28</f>
        <v>1</v>
      </c>
      <c r="H73" s="181">
        <f>'Implementation Effort'!F28</f>
        <v>1</v>
      </c>
      <c r="I73" s="216">
        <f>'Implementation Effort'!G28</f>
        <v>0</v>
      </c>
      <c r="J73" s="216">
        <f>'Implementation Effort'!H28</f>
        <v>0</v>
      </c>
      <c r="K73" s="217">
        <f>'Implementation Effort'!I28</f>
        <v>0</v>
      </c>
      <c r="L73" s="217">
        <f>'Implementation Effort'!J28</f>
        <v>0</v>
      </c>
      <c r="M73" s="137">
        <f>'Implementation Effort'!$K$28*'Result_Lock-in-effect'!$B$17</f>
        <v>129</v>
      </c>
      <c r="N73" s="207">
        <f>'Implementation Effort'!$L$28*'Result_Lock-in-effect'!$B$17</f>
        <v>0</v>
      </c>
      <c r="O73" s="148"/>
      <c r="P73" s="198"/>
      <c r="Q73" s="198"/>
      <c r="R73" s="198"/>
      <c r="S73" s="198"/>
      <c r="T73" s="198"/>
      <c r="U73" s="198"/>
      <c r="V73" s="198"/>
      <c r="W73" s="198"/>
      <c r="X73" s="199"/>
      <c r="Y73" s="148"/>
      <c r="Z73" s="147"/>
      <c r="AA73" s="147"/>
      <c r="AB73" s="147"/>
      <c r="AC73" s="147"/>
      <c r="AD73" s="147"/>
      <c r="AE73" s="147"/>
      <c r="AF73" s="147"/>
      <c r="AG73" s="147"/>
      <c r="AH73" s="147"/>
      <c r="AI73" s="4"/>
    </row>
    <row r="74" spans="1:35" s="67" customFormat="1" ht="26.4" customHeight="1" outlineLevel="1" x14ac:dyDescent="0.3">
      <c r="A74" s="475"/>
      <c r="B74" s="469"/>
      <c r="C74" s="472"/>
      <c r="D74" s="237" t="s">
        <v>232</v>
      </c>
      <c r="E74" s="215">
        <f>'Implementation Effort'!C33</f>
        <v>1</v>
      </c>
      <c r="F74" s="215">
        <f>'Implementation Effort'!D33</f>
        <v>0</v>
      </c>
      <c r="G74" s="181">
        <f>'Implementation Effort'!E33</f>
        <v>1</v>
      </c>
      <c r="H74" s="181">
        <f>'Implementation Effort'!F33</f>
        <v>0</v>
      </c>
      <c r="I74" s="216">
        <f>'Implementation Effort'!G33</f>
        <v>1</v>
      </c>
      <c r="J74" s="216">
        <f>'Implementation Effort'!H33</f>
        <v>0</v>
      </c>
      <c r="K74" s="217">
        <f>'Implementation Effort'!I33</f>
        <v>0</v>
      </c>
      <c r="L74" s="217">
        <f>'Implementation Effort'!J33</f>
        <v>0</v>
      </c>
      <c r="M74" s="137">
        <f>'Implementation Effort'!$K$33*'Result_Lock-in-effect'!$B$17</f>
        <v>344</v>
      </c>
      <c r="N74" s="207">
        <f>'Implementation Effort'!$L$33*'Result_Lock-in-effect'!$B$17</f>
        <v>0</v>
      </c>
      <c r="O74" s="148"/>
      <c r="P74" s="198"/>
      <c r="Q74" s="198"/>
      <c r="R74" s="198"/>
      <c r="S74" s="198"/>
      <c r="T74" s="198"/>
      <c r="U74" s="198"/>
      <c r="V74" s="198"/>
      <c r="W74" s="198"/>
      <c r="X74" s="199"/>
      <c r="Y74" s="148"/>
      <c r="Z74" s="147"/>
      <c r="AA74" s="147"/>
      <c r="AB74" s="147"/>
      <c r="AC74" s="147"/>
      <c r="AD74" s="147"/>
      <c r="AE74" s="147"/>
      <c r="AF74" s="147"/>
      <c r="AG74" s="147"/>
      <c r="AH74" s="147"/>
      <c r="AI74" s="4"/>
    </row>
    <row r="75" spans="1:35" s="67" customFormat="1" outlineLevel="1" x14ac:dyDescent="0.3">
      <c r="A75" s="475"/>
      <c r="B75" s="469"/>
      <c r="C75" s="472" t="s">
        <v>204</v>
      </c>
      <c r="D75" s="236" t="s">
        <v>227</v>
      </c>
      <c r="E75" s="215">
        <f>'Implementation Effort'!C38</f>
        <v>1</v>
      </c>
      <c r="F75" s="215">
        <f>'Implementation Effort'!D38</f>
        <v>0</v>
      </c>
      <c r="G75" s="181">
        <f>'Implementation Effort'!E38</f>
        <v>1</v>
      </c>
      <c r="H75" s="181">
        <f>'Implementation Effort'!F38</f>
        <v>0</v>
      </c>
      <c r="I75" s="216">
        <f>'Implementation Effort'!G38</f>
        <v>1</v>
      </c>
      <c r="J75" s="216">
        <f>'Implementation Effort'!H38</f>
        <v>0</v>
      </c>
      <c r="K75" s="217">
        <f>'Implementation Effort'!I38</f>
        <v>0</v>
      </c>
      <c r="L75" s="217">
        <f>'Implementation Effort'!J38</f>
        <v>0</v>
      </c>
      <c r="M75" s="137">
        <f>'Implementation Effort'!$K$38*'Result_Lock-in-effect'!$B$17</f>
        <v>43</v>
      </c>
      <c r="N75" s="207">
        <f>'Implementation Effort'!$L$38*'Result_Lock-in-effect'!$B$17</f>
        <v>0</v>
      </c>
      <c r="O75" s="148"/>
      <c r="P75" s="198"/>
      <c r="Q75" s="198"/>
      <c r="R75" s="198"/>
      <c r="S75" s="198"/>
      <c r="T75" s="198"/>
      <c r="U75" s="198"/>
      <c r="V75" s="198"/>
      <c r="W75" s="198"/>
      <c r="X75" s="199"/>
      <c r="Y75" s="148"/>
      <c r="Z75" s="147"/>
      <c r="AA75" s="147"/>
      <c r="AB75" s="147"/>
      <c r="AC75" s="147"/>
      <c r="AD75" s="147"/>
      <c r="AE75" s="147"/>
      <c r="AF75" s="147"/>
      <c r="AG75" s="147"/>
      <c r="AH75" s="147"/>
      <c r="AI75" s="4"/>
    </row>
    <row r="76" spans="1:35" s="67" customFormat="1" outlineLevel="1" x14ac:dyDescent="0.3">
      <c r="A76" s="475"/>
      <c r="B76" s="469"/>
      <c r="C76" s="472"/>
      <c r="D76" s="236" t="s">
        <v>228</v>
      </c>
      <c r="E76" s="215">
        <f>'Implementation Effort'!C43</f>
        <v>1</v>
      </c>
      <c r="F76" s="215">
        <f>'Implementation Effort'!D43</f>
        <v>0</v>
      </c>
      <c r="G76" s="181">
        <f>'Implementation Effort'!E43</f>
        <v>1</v>
      </c>
      <c r="H76" s="181">
        <f>'Implementation Effort'!F43</f>
        <v>0</v>
      </c>
      <c r="I76" s="216">
        <f>'Implementation Effort'!G43</f>
        <v>0</v>
      </c>
      <c r="J76" s="216">
        <f>'Implementation Effort'!H43</f>
        <v>0</v>
      </c>
      <c r="K76" s="217">
        <f>'Implementation Effort'!I43</f>
        <v>0</v>
      </c>
      <c r="L76" s="217">
        <f>'Implementation Effort'!J43</f>
        <v>0</v>
      </c>
      <c r="M76" s="137">
        <f>'Implementation Effort'!$K$43*'Result_Lock-in-effect'!$B$17</f>
        <v>86</v>
      </c>
      <c r="N76" s="207">
        <f>'Implementation Effort'!$L$43*'Result_Lock-in-effect'!$B$17</f>
        <v>0</v>
      </c>
      <c r="O76" s="148"/>
      <c r="P76" s="198"/>
      <c r="Q76" s="198"/>
      <c r="R76" s="198"/>
      <c r="S76" s="198"/>
      <c r="T76" s="198"/>
      <c r="U76" s="198"/>
      <c r="V76" s="198"/>
      <c r="W76" s="198"/>
      <c r="X76" s="199"/>
      <c r="Y76" s="148"/>
      <c r="Z76" s="147"/>
      <c r="AA76" s="147"/>
      <c r="AB76" s="147"/>
      <c r="AC76" s="147"/>
      <c r="AD76" s="147"/>
      <c r="AE76" s="147"/>
      <c r="AF76" s="147"/>
      <c r="AG76" s="147"/>
      <c r="AH76" s="147"/>
      <c r="AI76" s="4"/>
    </row>
    <row r="77" spans="1:35" s="67" customFormat="1" ht="24" customHeight="1" outlineLevel="1" x14ac:dyDescent="0.3">
      <c r="A77" s="475"/>
      <c r="B77" s="469"/>
      <c r="C77" s="472"/>
      <c r="D77" s="236" t="s">
        <v>233</v>
      </c>
      <c r="E77" s="215">
        <f>'Implementation Effort'!C48</f>
        <v>0</v>
      </c>
      <c r="F77" s="215">
        <f>'Implementation Effort'!D48</f>
        <v>0</v>
      </c>
      <c r="G77" s="181">
        <f>'Implementation Effort'!E48</f>
        <v>1</v>
      </c>
      <c r="H77" s="181">
        <f>'Implementation Effort'!F48</f>
        <v>1</v>
      </c>
      <c r="I77" s="216">
        <f>'Implementation Effort'!G48</f>
        <v>0</v>
      </c>
      <c r="J77" s="216">
        <f>'Implementation Effort'!H48</f>
        <v>0</v>
      </c>
      <c r="K77" s="217">
        <f>'Implementation Effort'!I48</f>
        <v>0</v>
      </c>
      <c r="L77" s="217">
        <f>'Implementation Effort'!J48</f>
        <v>0</v>
      </c>
      <c r="M77" s="137">
        <f>'Implementation Effort'!$K$48*'Result_Lock-in-effect'!$B$17</f>
        <v>516</v>
      </c>
      <c r="N77" s="207">
        <f>'Implementation Effort'!$L$48*'Result_Lock-in-effect'!$B$17</f>
        <v>0</v>
      </c>
      <c r="O77" s="148"/>
      <c r="P77" s="198"/>
      <c r="Q77" s="198"/>
      <c r="R77" s="198"/>
      <c r="S77" s="198"/>
      <c r="T77" s="198"/>
      <c r="U77" s="198"/>
      <c r="V77" s="198"/>
      <c r="W77" s="198"/>
      <c r="X77" s="199"/>
      <c r="Y77" s="148"/>
      <c r="Z77" s="147"/>
      <c r="AA77" s="147"/>
      <c r="AB77" s="147"/>
      <c r="AC77" s="147"/>
      <c r="AD77" s="147"/>
      <c r="AE77" s="147"/>
      <c r="AF77" s="147"/>
      <c r="AG77" s="147"/>
      <c r="AH77" s="147"/>
      <c r="AI77" s="4"/>
    </row>
    <row r="78" spans="1:35" s="67" customFormat="1" outlineLevel="1" x14ac:dyDescent="0.3">
      <c r="A78" s="475"/>
      <c r="B78" s="469"/>
      <c r="C78" s="472"/>
      <c r="D78" s="236" t="s">
        <v>234</v>
      </c>
      <c r="E78" s="215">
        <f>'Implementation Effort'!C53</f>
        <v>1</v>
      </c>
      <c r="F78" s="215">
        <f>'Implementation Effort'!D53</f>
        <v>0</v>
      </c>
      <c r="G78" s="181">
        <f>'Implementation Effort'!E53</f>
        <v>1</v>
      </c>
      <c r="H78" s="181">
        <f>'Implementation Effort'!F53</f>
        <v>0</v>
      </c>
      <c r="I78" s="216">
        <f>'Implementation Effort'!G53</f>
        <v>1</v>
      </c>
      <c r="J78" s="216">
        <f>'Implementation Effort'!H53</f>
        <v>0</v>
      </c>
      <c r="K78" s="217">
        <f>'Implementation Effort'!I53</f>
        <v>0</v>
      </c>
      <c r="L78" s="217">
        <f>'Implementation Effort'!J53</f>
        <v>0</v>
      </c>
      <c r="M78" s="137">
        <f>'Implementation Effort'!$K$53*'Result_Lock-in-effect'!$B$17</f>
        <v>172</v>
      </c>
      <c r="N78" s="207">
        <f>'Implementation Effort'!$L$53*'Result_Lock-in-effect'!$B$17</f>
        <v>0</v>
      </c>
      <c r="O78" s="148"/>
      <c r="P78" s="198"/>
      <c r="Q78" s="198"/>
      <c r="R78" s="198"/>
      <c r="S78" s="198"/>
      <c r="T78" s="198"/>
      <c r="U78" s="198"/>
      <c r="V78" s="198"/>
      <c r="W78" s="198"/>
      <c r="X78" s="199"/>
      <c r="Y78" s="148"/>
      <c r="Z78" s="147"/>
      <c r="AA78" s="147"/>
      <c r="AB78" s="147"/>
      <c r="AC78" s="147"/>
      <c r="AD78" s="147"/>
      <c r="AE78" s="147"/>
      <c r="AF78" s="147"/>
      <c r="AG78" s="147"/>
      <c r="AH78" s="147"/>
      <c r="AI78" s="4"/>
    </row>
    <row r="79" spans="1:35" s="231" customFormat="1" outlineLevel="1" x14ac:dyDescent="0.3">
      <c r="A79" s="475"/>
      <c r="B79" s="469"/>
      <c r="C79" s="499" t="s">
        <v>362</v>
      </c>
      <c r="D79" s="332" t="s">
        <v>227</v>
      </c>
      <c r="E79" s="340">
        <f>'Implementation Effort'!C58</f>
        <v>1</v>
      </c>
      <c r="F79" s="340">
        <f>'Implementation Effort'!D58</f>
        <v>0</v>
      </c>
      <c r="G79" s="341">
        <f>'Implementation Effort'!E58</f>
        <v>1</v>
      </c>
      <c r="H79" s="341">
        <f>'Implementation Effort'!F58</f>
        <v>0</v>
      </c>
      <c r="I79" s="342">
        <f>'Implementation Effort'!G58</f>
        <v>1</v>
      </c>
      <c r="J79" s="342">
        <f>'Implementation Effort'!H58</f>
        <v>0</v>
      </c>
      <c r="K79" s="343">
        <f>'Implementation Effort'!I58</f>
        <v>0</v>
      </c>
      <c r="L79" s="343">
        <f>'Implementation Effort'!J58</f>
        <v>0</v>
      </c>
      <c r="M79" s="344">
        <f>'Implementation Effort'!K58*'Result_Lock-in-effect'!$B17</f>
        <v>43</v>
      </c>
      <c r="N79" s="371">
        <f>'Implementation Effort'!L58*'Result_Lock-in-effect'!$B17</f>
        <v>0</v>
      </c>
      <c r="O79" s="148"/>
      <c r="P79" s="198"/>
      <c r="Q79" s="198"/>
      <c r="R79" s="198"/>
      <c r="S79" s="198"/>
      <c r="T79" s="198"/>
      <c r="U79" s="198"/>
      <c r="V79" s="198"/>
      <c r="W79" s="198"/>
      <c r="X79" s="199"/>
      <c r="Y79" s="148"/>
      <c r="Z79" s="147"/>
      <c r="AA79" s="147"/>
      <c r="AB79" s="147"/>
      <c r="AC79" s="147"/>
      <c r="AD79" s="147"/>
      <c r="AE79" s="147"/>
      <c r="AF79" s="147"/>
      <c r="AG79" s="147"/>
      <c r="AH79" s="147"/>
      <c r="AI79" s="4"/>
    </row>
    <row r="80" spans="1:35" s="231" customFormat="1" outlineLevel="1" x14ac:dyDescent="0.3">
      <c r="A80" s="475"/>
      <c r="B80" s="469"/>
      <c r="C80" s="499"/>
      <c r="D80" s="332" t="s">
        <v>361</v>
      </c>
      <c r="E80" s="340">
        <f>'Implementation Effort'!C63</f>
        <v>1</v>
      </c>
      <c r="F80" s="340">
        <f>'Implementation Effort'!D63</f>
        <v>1</v>
      </c>
      <c r="G80" s="341">
        <f>'Implementation Effort'!E63</f>
        <v>1</v>
      </c>
      <c r="H80" s="341">
        <f>'Implementation Effort'!F63</f>
        <v>1</v>
      </c>
      <c r="I80" s="342">
        <f>'Implementation Effort'!G63</f>
        <v>1</v>
      </c>
      <c r="J80" s="342">
        <f>'Implementation Effort'!H63</f>
        <v>1</v>
      </c>
      <c r="K80" s="343">
        <f>'Implementation Effort'!I63</f>
        <v>0</v>
      </c>
      <c r="L80" s="343">
        <f>'Implementation Effort'!J63</f>
        <v>0</v>
      </c>
      <c r="M80" s="344">
        <f>'Implementation Effort'!K63*'Result_Lock-in-effect'!$B17</f>
        <v>86</v>
      </c>
      <c r="N80" s="371">
        <f>'Implementation Effort'!L63*'Result_Lock-in-effect'!$B17</f>
        <v>0</v>
      </c>
      <c r="O80" s="148"/>
      <c r="P80" s="198"/>
      <c r="Q80" s="198"/>
      <c r="R80" s="198"/>
      <c r="S80" s="198"/>
      <c r="T80" s="198"/>
      <c r="U80" s="198"/>
      <c r="V80" s="198"/>
      <c r="W80" s="198"/>
      <c r="X80" s="199"/>
      <c r="Y80" s="148"/>
      <c r="Z80" s="147"/>
      <c r="AA80" s="147"/>
      <c r="AB80" s="147"/>
      <c r="AC80" s="147"/>
      <c r="AD80" s="147"/>
      <c r="AE80" s="147"/>
      <c r="AF80" s="147"/>
      <c r="AG80" s="147"/>
      <c r="AH80" s="147"/>
      <c r="AI80" s="4"/>
    </row>
    <row r="81" spans="1:35" s="231" customFormat="1" outlineLevel="1" x14ac:dyDescent="0.3">
      <c r="A81" s="475"/>
      <c r="B81" s="469"/>
      <c r="C81" s="499"/>
      <c r="D81" s="332" t="s">
        <v>236</v>
      </c>
      <c r="E81" s="340">
        <f>'Implementation Effort'!C68</f>
        <v>1</v>
      </c>
      <c r="F81" s="340">
        <f>'Implementation Effort'!D68</f>
        <v>0</v>
      </c>
      <c r="G81" s="341">
        <f>'Implementation Effort'!E68</f>
        <v>1</v>
      </c>
      <c r="H81" s="341">
        <f>'Implementation Effort'!F68</f>
        <v>0</v>
      </c>
      <c r="I81" s="342">
        <f>'Implementation Effort'!G68</f>
        <v>1</v>
      </c>
      <c r="J81" s="342">
        <f>'Implementation Effort'!H68</f>
        <v>0</v>
      </c>
      <c r="K81" s="343">
        <f>'Implementation Effort'!I68</f>
        <v>0</v>
      </c>
      <c r="L81" s="343">
        <f>'Implementation Effort'!J68</f>
        <v>0</v>
      </c>
      <c r="M81" s="344">
        <f>'Implementation Effort'!K68*'Result_Lock-in-effect'!$B17</f>
        <v>172</v>
      </c>
      <c r="N81" s="371">
        <f>'Implementation Effort'!L68*'Result_Lock-in-effect'!$B17</f>
        <v>0</v>
      </c>
      <c r="O81" s="148"/>
      <c r="P81" s="198"/>
      <c r="Q81" s="198"/>
      <c r="R81" s="198"/>
      <c r="S81" s="198"/>
      <c r="T81" s="198"/>
      <c r="U81" s="198"/>
      <c r="V81" s="198"/>
      <c r="W81" s="198"/>
      <c r="X81" s="199"/>
      <c r="Y81" s="148"/>
      <c r="Z81" s="147"/>
      <c r="AA81" s="147"/>
      <c r="AB81" s="147"/>
      <c r="AC81" s="147"/>
      <c r="AD81" s="147"/>
      <c r="AE81" s="147"/>
      <c r="AF81" s="147"/>
      <c r="AG81" s="147"/>
      <c r="AH81" s="147"/>
      <c r="AI81" s="4"/>
    </row>
    <row r="82" spans="1:35" s="67" customFormat="1" outlineLevel="1" x14ac:dyDescent="0.3">
      <c r="A82" s="475"/>
      <c r="B82" s="469"/>
      <c r="C82" s="472" t="s">
        <v>205</v>
      </c>
      <c r="D82" s="236" t="s">
        <v>235</v>
      </c>
      <c r="E82" s="215">
        <f>'Implementation Effort'!C78</f>
        <v>1</v>
      </c>
      <c r="F82" s="215">
        <f>'Implementation Effort'!D78</f>
        <v>0</v>
      </c>
      <c r="G82" s="181">
        <f>'Implementation Effort'!E78</f>
        <v>1</v>
      </c>
      <c r="H82" s="181">
        <f>'Implementation Effort'!F78</f>
        <v>0</v>
      </c>
      <c r="I82" s="216">
        <f>'Implementation Effort'!G78</f>
        <v>1</v>
      </c>
      <c r="J82" s="216">
        <f>'Implementation Effort'!H78</f>
        <v>0</v>
      </c>
      <c r="K82" s="217">
        <f>'Implementation Effort'!I78</f>
        <v>1</v>
      </c>
      <c r="L82" s="217">
        <f>'Implementation Effort'!J78</f>
        <v>0</v>
      </c>
      <c r="M82" s="137">
        <f>'Implementation Effort'!$K$78*'Result_Lock-in-effect'!$B$17</f>
        <v>10.75</v>
      </c>
      <c r="N82" s="207">
        <f>'Implementation Effort'!$L$78*'Result_Lock-in-effect'!$B$17</f>
        <v>0</v>
      </c>
      <c r="O82" s="148"/>
      <c r="P82" s="198"/>
      <c r="Q82" s="198"/>
      <c r="R82" s="198"/>
      <c r="S82" s="198"/>
      <c r="T82" s="198"/>
      <c r="U82" s="198"/>
      <c r="V82" s="198"/>
      <c r="W82" s="198"/>
      <c r="X82" s="199"/>
      <c r="Y82" s="148"/>
      <c r="Z82" s="147"/>
      <c r="AA82" s="147"/>
      <c r="AB82" s="147"/>
      <c r="AC82" s="147"/>
      <c r="AD82" s="147"/>
      <c r="AE82" s="147"/>
      <c r="AF82" s="147"/>
      <c r="AG82" s="147"/>
      <c r="AH82" s="147"/>
      <c r="AI82" s="4"/>
    </row>
    <row r="83" spans="1:35" s="67" customFormat="1" outlineLevel="1" x14ac:dyDescent="0.3">
      <c r="A83" s="475"/>
      <c r="B83" s="469"/>
      <c r="C83" s="472"/>
      <c r="D83" s="236" t="s">
        <v>228</v>
      </c>
      <c r="E83" s="215">
        <f>'Implementation Effort'!C83</f>
        <v>1</v>
      </c>
      <c r="F83" s="215">
        <f>'Implementation Effort'!D83</f>
        <v>0</v>
      </c>
      <c r="G83" s="181">
        <f>'Implementation Effort'!E83</f>
        <v>1</v>
      </c>
      <c r="H83" s="181">
        <f>'Implementation Effort'!F83</f>
        <v>0</v>
      </c>
      <c r="I83" s="216">
        <f>'Implementation Effort'!G83</f>
        <v>1</v>
      </c>
      <c r="J83" s="216">
        <f>'Implementation Effort'!H83</f>
        <v>0</v>
      </c>
      <c r="K83" s="217">
        <f>'Implementation Effort'!I83</f>
        <v>1</v>
      </c>
      <c r="L83" s="217">
        <f>'Implementation Effort'!J83</f>
        <v>0</v>
      </c>
      <c r="M83" s="137">
        <f>'Implementation Effort'!$K$83*'Result_Lock-in-effect'!$B$17</f>
        <v>86</v>
      </c>
      <c r="N83" s="207">
        <f>'Implementation Effort'!$L$83*'Result_Lock-in-effect'!$B$17</f>
        <v>0</v>
      </c>
      <c r="O83" s="148"/>
      <c r="P83" s="198"/>
      <c r="Q83" s="198"/>
      <c r="R83" s="198"/>
      <c r="S83" s="198"/>
      <c r="T83" s="198"/>
      <c r="U83" s="198"/>
      <c r="V83" s="198"/>
      <c r="W83" s="198"/>
      <c r="X83" s="199"/>
      <c r="Y83" s="148"/>
      <c r="Z83" s="147"/>
      <c r="AA83" s="147"/>
      <c r="AB83" s="147"/>
      <c r="AC83" s="147"/>
      <c r="AD83" s="147"/>
      <c r="AE83" s="147"/>
      <c r="AF83" s="147"/>
      <c r="AG83" s="147"/>
      <c r="AH83" s="147"/>
      <c r="AI83" s="4"/>
    </row>
    <row r="84" spans="1:35" s="67" customFormat="1" outlineLevel="1" x14ac:dyDescent="0.3">
      <c r="A84" s="475"/>
      <c r="B84" s="469"/>
      <c r="C84" s="472"/>
      <c r="D84" s="236" t="s">
        <v>236</v>
      </c>
      <c r="E84" s="215">
        <f>'Implementation Effort'!C88</f>
        <v>1</v>
      </c>
      <c r="F84" s="215">
        <f>'Implementation Effort'!D88</f>
        <v>0</v>
      </c>
      <c r="G84" s="181">
        <f>'Implementation Effort'!E88</f>
        <v>1</v>
      </c>
      <c r="H84" s="181">
        <f>'Implementation Effort'!F88</f>
        <v>0</v>
      </c>
      <c r="I84" s="216">
        <f>'Implementation Effort'!G88</f>
        <v>1</v>
      </c>
      <c r="J84" s="216">
        <f>'Implementation Effort'!H88</f>
        <v>0</v>
      </c>
      <c r="K84" s="217">
        <f>'Implementation Effort'!I88</f>
        <v>1</v>
      </c>
      <c r="L84" s="217">
        <f>'Implementation Effort'!J88</f>
        <v>0</v>
      </c>
      <c r="M84" s="137">
        <f>'Implementation Effort'!$K$88*'Result_Lock-in-effect'!$B$17*'Result_Lock-in-effect'!B16</f>
        <v>145.125</v>
      </c>
      <c r="N84" s="207">
        <f>'Implementation Effort'!$L$88*'Result_Lock-in-effect'!$B$17*'Result_Lock-in-effect'!B16</f>
        <v>0</v>
      </c>
      <c r="O84" s="148"/>
      <c r="P84" s="198"/>
      <c r="Q84" s="198"/>
      <c r="R84" s="198"/>
      <c r="S84" s="198"/>
      <c r="T84" s="198"/>
      <c r="U84" s="198"/>
      <c r="V84" s="198"/>
      <c r="W84" s="198"/>
      <c r="X84" s="199"/>
      <c r="Y84" s="148"/>
      <c r="Z84" s="147"/>
      <c r="AA84" s="147"/>
      <c r="AB84" s="147"/>
      <c r="AC84" s="147"/>
      <c r="AD84" s="147"/>
      <c r="AE84" s="147"/>
      <c r="AF84" s="147"/>
      <c r="AG84" s="147"/>
      <c r="AH84" s="147"/>
      <c r="AI84" s="4"/>
    </row>
    <row r="85" spans="1:35" s="67" customFormat="1" ht="24" customHeight="1" outlineLevel="1" x14ac:dyDescent="0.3">
      <c r="A85" s="475"/>
      <c r="B85" s="469"/>
      <c r="C85" s="471" t="s">
        <v>206</v>
      </c>
      <c r="D85" s="236" t="s">
        <v>237</v>
      </c>
      <c r="E85" s="215">
        <f>'Implementation Effort'!C93</f>
        <v>1</v>
      </c>
      <c r="F85" s="215">
        <v>0</v>
      </c>
      <c r="G85" s="181">
        <f>'Implementation Effort'!E93</f>
        <v>1</v>
      </c>
      <c r="H85" s="181">
        <v>0</v>
      </c>
      <c r="I85" s="216">
        <f>'Implementation Effort'!G93</f>
        <v>1</v>
      </c>
      <c r="J85" s="216">
        <v>0</v>
      </c>
      <c r="K85" s="217">
        <f>'Implementation Effort'!I93</f>
        <v>1</v>
      </c>
      <c r="L85" s="217">
        <v>0</v>
      </c>
      <c r="M85" s="138">
        <f>'Implementation Effort'!$K$93*'Result_Lock-in-effect'!$B$17*('Result_Lock-in-effect'!$J$19*'Result_Lock-in-effect'!B16*'Result_Lock-in-effect'!$C$19+'Result_Lock-in-effect'!$J$20*'Result_Lock-in-effect'!$C$20*'Result_Lock-in-effect'!B16+'Result_Lock-in-effect'!$J$21*'Result_Lock-in-effect'!$C$21*'Result_Lock-in-effect'!B16+'Result_Lock-in-effect'!$J$22*'Result_Lock-in-effect'!$C$22*'Result_Lock-in-effect'!B16+'Result_Lock-in-effect'!$J$23*'Result_Lock-in-effect'!$C$23*'Result_Lock-in-effect'!B16)</f>
        <v>157.1033271474019</v>
      </c>
      <c r="N85" s="207">
        <f>'Implementation Effort'!$L$93*'Result_Lock-in-effect'!$B$17*('Result_Lock-in-effect'!$J$19*'Result_Lock-in-effect'!B16*'Result_Lock-in-effect'!$C$19+'Result_Lock-in-effect'!$J$20*'Result_Lock-in-effect'!$C$20*'Result_Lock-in-effect'!B16+'Result_Lock-in-effect'!$J$21*'Result_Lock-in-effect'!$C$21*'Result_Lock-in-effect'!B16+'Result_Lock-in-effect'!$J$22*'Result_Lock-in-effect'!$C$22*'Result_Lock-in-effect'!B16+'Result_Lock-in-effect'!$J$23*'Result_Lock-in-effect'!$C$23*'Result_Lock-in-effect'!B16)</f>
        <v>53.415131230116657</v>
      </c>
      <c r="O85" s="148"/>
      <c r="P85" s="198"/>
      <c r="Q85" s="198"/>
      <c r="R85" s="198"/>
      <c r="S85" s="198"/>
      <c r="T85" s="198"/>
      <c r="U85" s="198"/>
      <c r="V85" s="198"/>
      <c r="W85" s="198"/>
      <c r="X85" s="199"/>
      <c r="Y85" s="148"/>
      <c r="Z85" s="147"/>
      <c r="AA85" s="147"/>
      <c r="AB85" s="147"/>
      <c r="AC85" s="147"/>
      <c r="AD85" s="147"/>
      <c r="AE85" s="147"/>
      <c r="AF85" s="147"/>
      <c r="AG85" s="147"/>
      <c r="AH85" s="147"/>
      <c r="AI85" s="4"/>
    </row>
    <row r="86" spans="1:35" s="67" customFormat="1" ht="25.2" customHeight="1" outlineLevel="1" x14ac:dyDescent="0.3">
      <c r="A86" s="475"/>
      <c r="B86" s="469"/>
      <c r="C86" s="472"/>
      <c r="D86" s="236" t="s">
        <v>238</v>
      </c>
      <c r="E86" s="215">
        <f>'Implementation Effort'!C98</f>
        <v>1</v>
      </c>
      <c r="F86" s="215">
        <v>0</v>
      </c>
      <c r="G86" s="181">
        <f>'Implementation Effort'!E98</f>
        <v>1</v>
      </c>
      <c r="H86" s="181">
        <v>0</v>
      </c>
      <c r="I86" s="216">
        <f>'Implementation Effort'!G98</f>
        <v>1</v>
      </c>
      <c r="J86" s="216">
        <v>0</v>
      </c>
      <c r="K86" s="217">
        <f>'Implementation Effort'!I98</f>
        <v>1</v>
      </c>
      <c r="L86" s="217">
        <v>0</v>
      </c>
      <c r="M86" s="137">
        <f>'Implementation Effort'!$K$98*'Result_Lock-in-effect'!$B$17*SUM('Result_Lock-in-effect'!$J$19:$J$23)</f>
        <v>38.699999999999996</v>
      </c>
      <c r="N86" s="207">
        <f>'Implementation Effort'!$L$98*'Result_Lock-in-effect'!$B$17*SUM('Result_Lock-in-effect'!$J$19:$J$23)</f>
        <v>4.8374999999999995</v>
      </c>
      <c r="O86" s="148"/>
      <c r="P86" s="198"/>
      <c r="Q86" s="198"/>
      <c r="R86" s="198"/>
      <c r="S86" s="198"/>
      <c r="T86" s="198"/>
      <c r="U86" s="198"/>
      <c r="V86" s="198"/>
      <c r="W86" s="198"/>
      <c r="X86" s="199"/>
      <c r="Y86" s="148"/>
      <c r="Z86" s="147"/>
      <c r="AA86" s="147"/>
      <c r="AB86" s="147"/>
      <c r="AC86" s="147"/>
      <c r="AD86" s="147"/>
      <c r="AE86" s="147"/>
      <c r="AF86" s="147"/>
      <c r="AG86" s="147"/>
      <c r="AH86" s="147"/>
      <c r="AI86" s="4"/>
    </row>
    <row r="87" spans="1:35" s="231" customFormat="1" outlineLevel="1" x14ac:dyDescent="0.3">
      <c r="A87" s="475"/>
      <c r="B87" s="469"/>
      <c r="C87" s="472"/>
      <c r="D87" s="332" t="s">
        <v>363</v>
      </c>
      <c r="E87" s="340">
        <f>'Implementation Effort'!C73</f>
        <v>1</v>
      </c>
      <c r="F87" s="340">
        <f>'Implementation Effort'!D73</f>
        <v>0</v>
      </c>
      <c r="G87" s="341">
        <f>'Implementation Effort'!E73</f>
        <v>1</v>
      </c>
      <c r="H87" s="341">
        <f>'Implementation Effort'!F73</f>
        <v>0</v>
      </c>
      <c r="I87" s="342">
        <f>'Implementation Effort'!G73</f>
        <v>1</v>
      </c>
      <c r="J87" s="342">
        <f>'Implementation Effort'!H73</f>
        <v>0</v>
      </c>
      <c r="K87" s="343">
        <f>'Implementation Effort'!I73</f>
        <v>0</v>
      </c>
      <c r="L87" s="343">
        <f>'Implementation Effort'!J73</f>
        <v>0</v>
      </c>
      <c r="M87" s="372">
        <f>'Implementation Effort'!$K$73*'Result_Lock-in-effect'!$B$17*SUM('Result_Lock-in-effect'!$J$19:$J$23)</f>
        <v>32.895000000000003</v>
      </c>
      <c r="N87" s="345">
        <f>'Implementation Effort'!$L$73*'Result_Lock-in-effect'!$B$17*SUM('Result_Lock-in-effect'!$J$19:$J$23)</f>
        <v>15.48</v>
      </c>
      <c r="O87" s="148"/>
      <c r="P87" s="198"/>
      <c r="Q87" s="198"/>
      <c r="R87" s="198"/>
      <c r="S87" s="198"/>
      <c r="T87" s="198"/>
      <c r="U87" s="198"/>
      <c r="V87" s="198"/>
      <c r="W87" s="198"/>
      <c r="X87" s="199"/>
      <c r="Y87" s="148"/>
      <c r="Z87" s="147"/>
      <c r="AA87" s="147"/>
      <c r="AB87" s="147"/>
      <c r="AC87" s="147"/>
      <c r="AD87" s="147"/>
      <c r="AE87" s="147"/>
      <c r="AF87" s="147"/>
      <c r="AG87" s="147"/>
      <c r="AH87" s="147"/>
      <c r="AI87" s="4"/>
    </row>
    <row r="88" spans="1:35" s="67" customFormat="1" ht="26.4" customHeight="1" outlineLevel="1" x14ac:dyDescent="0.3">
      <c r="A88" s="476"/>
      <c r="B88" s="470"/>
      <c r="C88" s="473"/>
      <c r="D88" s="238" t="s">
        <v>239</v>
      </c>
      <c r="E88" s="222">
        <f>'Implementation Effort'!C103</f>
        <v>1</v>
      </c>
      <c r="F88" s="222">
        <v>0</v>
      </c>
      <c r="G88" s="223">
        <f>'Implementation Effort'!E103</f>
        <v>1</v>
      </c>
      <c r="H88" s="223">
        <v>0</v>
      </c>
      <c r="I88" s="224">
        <f>'Implementation Effort'!G103</f>
        <v>1</v>
      </c>
      <c r="J88" s="224">
        <v>0</v>
      </c>
      <c r="K88" s="225">
        <f>'Implementation Effort'!I103</f>
        <v>1</v>
      </c>
      <c r="L88" s="225">
        <v>0</v>
      </c>
      <c r="M88" s="226">
        <f>'Implementation Effort'!$K$103*'Result_Lock-in-effect'!$B$17*SUM('Result_Lock-in-effect'!$J$19:$J$23)</f>
        <v>38.699999999999996</v>
      </c>
      <c r="N88" s="208">
        <f>'Implementation Effort'!$L$98*'Result_Lock-in-effect'!$B$17*SUM('Result_Lock-in-effect'!$J$19:$J$23)</f>
        <v>4.8374999999999995</v>
      </c>
      <c r="O88" s="151"/>
      <c r="P88" s="150"/>
      <c r="Q88" s="150"/>
      <c r="R88" s="150"/>
      <c r="S88" s="150"/>
      <c r="T88" s="150"/>
      <c r="U88" s="150"/>
      <c r="V88" s="150"/>
      <c r="W88" s="150"/>
      <c r="X88" s="152"/>
      <c r="Y88" s="151"/>
      <c r="Z88" s="150"/>
      <c r="AA88" s="150"/>
      <c r="AB88" s="150"/>
      <c r="AC88" s="150"/>
      <c r="AD88" s="150"/>
      <c r="AE88" s="150"/>
      <c r="AF88" s="150"/>
      <c r="AG88" s="150"/>
      <c r="AH88" s="150"/>
      <c r="AI88" s="4"/>
    </row>
    <row r="89" spans="1:35" s="67" customFormat="1" x14ac:dyDescent="0.3">
      <c r="A89" s="77"/>
      <c r="B89" s="78"/>
      <c r="C89" s="76"/>
    </row>
    <row r="90" spans="1:35" s="19" customFormat="1" x14ac:dyDescent="0.3">
      <c r="A90" s="156" t="s">
        <v>69</v>
      </c>
      <c r="B90" s="168" t="s">
        <v>66</v>
      </c>
      <c r="C90" s="155"/>
    </row>
    <row r="91" spans="1:35" s="2" customFormat="1" x14ac:dyDescent="0.3">
      <c r="A91" s="159" t="s">
        <v>192</v>
      </c>
      <c r="B91" s="160"/>
      <c r="C91" s="161"/>
    </row>
    <row r="92" spans="1:35" s="67" customFormat="1" ht="14.4" customHeight="1" outlineLevel="1" x14ac:dyDescent="0.3">
      <c r="C92" s="451" t="s">
        <v>63</v>
      </c>
      <c r="D92" s="451"/>
      <c r="E92" s="451"/>
      <c r="F92" s="451"/>
      <c r="G92" s="451"/>
      <c r="H92" s="451"/>
      <c r="I92" s="451"/>
      <c r="J92" s="451"/>
      <c r="K92" s="451"/>
      <c r="L92" s="451"/>
      <c r="M92" s="157"/>
      <c r="N92" s="22"/>
      <c r="O92" s="22"/>
    </row>
    <row r="93" spans="1:35" s="67" customFormat="1" outlineLevel="1" x14ac:dyDescent="0.3">
      <c r="C93" s="158">
        <v>1</v>
      </c>
      <c r="D93" s="158">
        <v>2</v>
      </c>
      <c r="E93" s="158">
        <v>3</v>
      </c>
      <c r="F93" s="158">
        <v>4</v>
      </c>
      <c r="G93" s="158">
        <v>5</v>
      </c>
      <c r="H93" s="158">
        <v>6</v>
      </c>
      <c r="I93" s="158">
        <v>7</v>
      </c>
      <c r="J93" s="158">
        <v>8</v>
      </c>
      <c r="K93" s="158">
        <v>9</v>
      </c>
      <c r="L93" s="158">
        <v>10</v>
      </c>
    </row>
    <row r="94" spans="1:35" s="67" customFormat="1" ht="14.4" customHeight="1" outlineLevel="1" x14ac:dyDescent="0.3">
      <c r="A94" s="458" t="s">
        <v>64</v>
      </c>
      <c r="B94" s="79" t="s">
        <v>41</v>
      </c>
      <c r="C94" s="162">
        <f t="shared" ref="C94:L94" si="46">$E$30*$M$30+$E$31*$M$31+$E$32*$M$32+$E$33*$M$33+$E$34*$M$34+$E$35*$M$35+$E$36*$M$36+$E$37*$M$37+$E$38*$M$38+$E$39*$M$39+$E$40*$M$40+$E$41*$M$41+$E$42*$M$42+$E$43*$M$43+$E$44*$M$44</f>
        <v>6299.1803028245959</v>
      </c>
      <c r="D94" s="162">
        <f t="shared" si="46"/>
        <v>6299.1803028245959</v>
      </c>
      <c r="E94" s="162">
        <f t="shared" si="46"/>
        <v>6299.1803028245959</v>
      </c>
      <c r="F94" s="162">
        <f t="shared" si="46"/>
        <v>6299.1803028245959</v>
      </c>
      <c r="G94" s="162">
        <f t="shared" si="46"/>
        <v>6299.1803028245959</v>
      </c>
      <c r="H94" s="162">
        <f t="shared" si="46"/>
        <v>6299.1803028245959</v>
      </c>
      <c r="I94" s="162">
        <f t="shared" si="46"/>
        <v>6299.1803028245959</v>
      </c>
      <c r="J94" s="162">
        <f t="shared" si="46"/>
        <v>6299.1803028245959</v>
      </c>
      <c r="K94" s="162">
        <f t="shared" si="46"/>
        <v>6299.1803028245959</v>
      </c>
      <c r="L94" s="162">
        <f t="shared" si="46"/>
        <v>6299.1803028245959</v>
      </c>
    </row>
    <row r="95" spans="1:35" s="67" customFormat="1" outlineLevel="1" x14ac:dyDescent="0.3">
      <c r="A95" s="458"/>
      <c r="B95" s="80" t="s">
        <v>40</v>
      </c>
      <c r="C95" s="162">
        <f t="shared" ref="C95:L95" si="47">$G$30*$M$30+$G$31*$M$31+$G$32*$M$32+$G$33*$M$33+$G$34*$M$34+$G$35*$M$35+$G$36*$M$36+$G$37*$M$37+$G$38*$M$38+$G$39*$M$39+$G$40*$M$40+$G$41*$M$41+$G$42*$M$42+$G$43*$M$43+$G$44*$M$44</f>
        <v>6299.1803028245959</v>
      </c>
      <c r="D95" s="162">
        <f t="shared" si="47"/>
        <v>6299.1803028245959</v>
      </c>
      <c r="E95" s="162">
        <f t="shared" si="47"/>
        <v>6299.1803028245959</v>
      </c>
      <c r="F95" s="162">
        <f t="shared" si="47"/>
        <v>6299.1803028245959</v>
      </c>
      <c r="G95" s="162">
        <f t="shared" si="47"/>
        <v>6299.1803028245959</v>
      </c>
      <c r="H95" s="162">
        <f t="shared" si="47"/>
        <v>6299.1803028245959</v>
      </c>
      <c r="I95" s="162">
        <f t="shared" si="47"/>
        <v>6299.1803028245959</v>
      </c>
      <c r="J95" s="162">
        <f t="shared" si="47"/>
        <v>6299.1803028245959</v>
      </c>
      <c r="K95" s="162">
        <f t="shared" si="47"/>
        <v>6299.1803028245959</v>
      </c>
      <c r="L95" s="162">
        <f t="shared" si="47"/>
        <v>6299.1803028245959</v>
      </c>
    </row>
    <row r="96" spans="1:35" s="67" customFormat="1" outlineLevel="1" x14ac:dyDescent="0.3">
      <c r="A96" s="458"/>
      <c r="B96" s="81" t="s">
        <v>42</v>
      </c>
      <c r="C96" s="162">
        <f t="shared" ref="C96:L96" si="48">$I$30*$M$30+$I$31*$M$31+$I$32*$M$32+$I$33*$M$33+$I$34*$M$34+$I$35*$M$35+$I$36*$M$36+$I$37*$M$37+$I$38*$M$38+$I$39*$M$39+$I$40*$M$40+$I$41*$M$41+$I$42*$M$42+$I$43*$M$43+$I$44*$M$44</f>
        <v>4228.6828394399581</v>
      </c>
      <c r="D96" s="162">
        <f t="shared" si="48"/>
        <v>4228.6828394399581</v>
      </c>
      <c r="E96" s="162">
        <f t="shared" si="48"/>
        <v>4228.6828394399581</v>
      </c>
      <c r="F96" s="162">
        <f t="shared" si="48"/>
        <v>4228.6828394399581</v>
      </c>
      <c r="G96" s="162">
        <f t="shared" si="48"/>
        <v>4228.6828394399581</v>
      </c>
      <c r="H96" s="162">
        <f t="shared" si="48"/>
        <v>4228.6828394399581</v>
      </c>
      <c r="I96" s="162">
        <f t="shared" si="48"/>
        <v>4228.6828394399581</v>
      </c>
      <c r="J96" s="162">
        <f t="shared" si="48"/>
        <v>4228.6828394399581</v>
      </c>
      <c r="K96" s="162">
        <f t="shared" si="48"/>
        <v>4228.6828394399581</v>
      </c>
      <c r="L96" s="162">
        <f t="shared" si="48"/>
        <v>4228.6828394399581</v>
      </c>
    </row>
    <row r="97" spans="1:15" s="67" customFormat="1" outlineLevel="1" x14ac:dyDescent="0.3">
      <c r="A97" s="458"/>
      <c r="B97" s="82" t="s">
        <v>43</v>
      </c>
      <c r="C97" s="162">
        <f t="shared" ref="C97:L97" si="49">$K$30*$M$30+$K$31*$M$31+$K$32*$M$32+$K$33*$M$33+$K$34*$M$34+$K$35*$M$35+$K$36*$M$36+$K$37*$M$37+$K$38*$M$38+$K$39*$M$39+$K$40*$M$40+$K$41*$M$41+$K$42*$M$42+$K$43*$M$43+$K$44*$M$44</f>
        <v>6299.1803028245959</v>
      </c>
      <c r="D97" s="162">
        <f t="shared" si="49"/>
        <v>6299.1803028245959</v>
      </c>
      <c r="E97" s="162">
        <f t="shared" si="49"/>
        <v>6299.1803028245959</v>
      </c>
      <c r="F97" s="162">
        <f t="shared" si="49"/>
        <v>6299.1803028245959</v>
      </c>
      <c r="G97" s="162">
        <f t="shared" si="49"/>
        <v>6299.1803028245959</v>
      </c>
      <c r="H97" s="162">
        <f t="shared" si="49"/>
        <v>6299.1803028245959</v>
      </c>
      <c r="I97" s="162">
        <f t="shared" si="49"/>
        <v>6299.1803028245959</v>
      </c>
      <c r="J97" s="162">
        <f t="shared" si="49"/>
        <v>6299.1803028245959</v>
      </c>
      <c r="K97" s="162">
        <f t="shared" si="49"/>
        <v>6299.1803028245959</v>
      </c>
      <c r="L97" s="162">
        <f t="shared" si="49"/>
        <v>6299.1803028245959</v>
      </c>
    </row>
    <row r="98" spans="1:15" s="67" customFormat="1" outlineLevel="1" x14ac:dyDescent="0.3">
      <c r="A98" s="458"/>
      <c r="B98" s="125" t="s">
        <v>57</v>
      </c>
      <c r="C98" s="169">
        <f>SUM(C94:C97)/COUNT(C94:C97)</f>
        <v>5781.555936978436</v>
      </c>
      <c r="D98" s="169">
        <f t="shared" ref="D98:L98" si="50">SUM(D94:D97)/COUNT(D94:D97)</f>
        <v>5781.555936978436</v>
      </c>
      <c r="E98" s="169">
        <f t="shared" si="50"/>
        <v>5781.555936978436</v>
      </c>
      <c r="F98" s="169">
        <f t="shared" si="50"/>
        <v>5781.555936978436</v>
      </c>
      <c r="G98" s="169">
        <f t="shared" si="50"/>
        <v>5781.555936978436</v>
      </c>
      <c r="H98" s="169">
        <f t="shared" si="50"/>
        <v>5781.555936978436</v>
      </c>
      <c r="I98" s="169">
        <f t="shared" si="50"/>
        <v>5781.555936978436</v>
      </c>
      <c r="J98" s="169">
        <f t="shared" si="50"/>
        <v>5781.555936978436</v>
      </c>
      <c r="K98" s="169">
        <f t="shared" si="50"/>
        <v>5781.555936978436</v>
      </c>
      <c r="L98" s="169">
        <f t="shared" si="50"/>
        <v>5781.555936978436</v>
      </c>
    </row>
    <row r="99" spans="1:15" s="67" customFormat="1" ht="14.4" customHeight="1" outlineLevel="1" x14ac:dyDescent="0.3">
      <c r="A99" s="458" t="s">
        <v>65</v>
      </c>
      <c r="B99" s="79" t="s">
        <v>44</v>
      </c>
      <c r="C99" s="163">
        <f>E45*Y45+E46*Y46+E47*Y47+E48*Y48+E49*Y49+E50*Y50+E51*Y51+E52*Y52+E53*Y53+$E$54*$M$54+E55*Y55+E56*Y56+E57*Y57+E58*Y58+E59*Y59+E60*Y60+E61*Y61+E62*Y62+E63*Y63+$E$64*$M$64+$E$65*$M$65+E66*Y66+E67*M67+E68*M68+E69*M69+E70*M70+E71*M71+E72*M72+E73*M73+E74*M74+E75*M75+E76*M76+E77*M77+E78*M78+E79*M79+E80*M80+E81*M81+E82*M82+E83*M83+E84*M84+E85*M85+E86*M86+E87*M87+E88*M88+E45*N45+E46*N46+E47*N47+E48*N48+E49*N49+E50*N50+E51*N51+E52*N52+E53*N53+E54*N54+E55*N55+E56*N56+E57*N57+E58*N58+E59*N59+E60*N60+E61*N61+E62*N62+E63*N63+E64*N64+E65*N65+E66*N66+E67*N67+E68*N68+E69*N69+E70*N70+E71*N71+E72*N72+E73*N73+E74*N74+E75*N75+E76*N76+E77*N77+E78*N78+E79*N79+E80*N80+E81*N81+E82*N82+E83*N83+E84*N84+E85*N85+E86*N86+E87*N87+E88*N88</f>
        <v>26346.449325044185</v>
      </c>
      <c r="D99" s="163">
        <f>SUMPRODUCT($E$45:$E$66,Z45:Z66)+SUMPRODUCT($E$45:$E$88,$N$45:$N$88)</f>
        <v>29402.808064563447</v>
      </c>
      <c r="E99" s="163">
        <f t="shared" ref="E99:K99" si="51">SUMPRODUCT($E$45:$E$66,AA45:AA66)+SUMPRODUCT($E$45:$E$88,$N$45:$N$88)</f>
        <v>23630.855477896785</v>
      </c>
      <c r="F99" s="163">
        <f t="shared" si="51"/>
        <v>19013.293408563448</v>
      </c>
      <c r="G99" s="163">
        <f t="shared" si="51"/>
        <v>15319.243753096776</v>
      </c>
      <c r="H99" s="163">
        <f t="shared" si="51"/>
        <v>12364.004028723448</v>
      </c>
      <c r="I99" s="163">
        <f t="shared" si="51"/>
        <v>9999.8122492247821</v>
      </c>
      <c r="J99" s="163">
        <f t="shared" si="51"/>
        <v>8108.4588256258512</v>
      </c>
      <c r="K99" s="163">
        <f t="shared" si="51"/>
        <v>6595.3760867467054</v>
      </c>
      <c r="L99" s="163">
        <f>SUMPRODUCT($E$45:$E$66,AH45:AH66)+SUMPRODUCT($E$45:$E$88,$N$45:$N$88)</f>
        <v>5384.9098956433882</v>
      </c>
      <c r="M99" s="68"/>
      <c r="O99" s="32"/>
    </row>
    <row r="100" spans="1:15" s="67" customFormat="1" outlineLevel="1" x14ac:dyDescent="0.3">
      <c r="A100" s="458"/>
      <c r="B100" s="80" t="s">
        <v>45</v>
      </c>
      <c r="C100" s="164">
        <f>G45*Y45+G46*Y46+G47*Y47+G48*Y48+G49*Y49+G50*Y50+G51*Y51+G52*Y52+G53*Y53+$G$54*$M$54+G55*Y55+G56*Y56+G57*Y57+G58*Y58+G59*Y59+G60*Y60+G61*Y61+G62*Y62+G63*Y63+$G$64*$M$64+$G$65*$M$65+G66*Y66+G67*M67+G68*M68+G69*M69+G70*M70+G71*M71+G72*M72+G73*M73+G74*M74+G75*M75+G76*M76+G77*M77+G78*M78+G79*M79+G80*M80+G81*M81+G82*M82+G83*M83+G84*M84+G85*M85+G86*M86+G87*M87+G88*M88+G45*N45+G46*N46+G47*N47+G48*N48+G49*N49+G50*N50+G51*N51+G52*N52+G53*N53+G54*N54+G55*N55+G56*N56+G57*N57+G58*N58+G59*N59+G60*N60+G61*N61+G62*N62+G63*N63+G64*N64+G65*N65+G66*N66+G67*N67+G68*N68+G69*N69+G70*N70+G71*N71+G72*N72+G73*N73+G74*N74+G75*N75+G76*N76+G77*N77+G78*N78+G79*N79+G80*N80+G81*N81+G82*N82+G83*N83+G84*N84+G85*N85+G86*N86+G87*N87+G88*N88</f>
        <v>15970.098208377518</v>
      </c>
      <c r="D100" s="164">
        <f>SUMPRODUCT($G$45:$G$66,Z45:Z66)+SUMPRODUCT($G$45:$G$88,$N$45:$N$88)</f>
        <v>9727.9089312301148</v>
      </c>
      <c r="E100" s="164">
        <f t="shared" ref="E100:L100" si="52">SUMPRODUCT($G$45:$G$66,AA45:AA66)+SUMPRODUCT($G$45:$G$88,$N$45:$N$88)</f>
        <v>7890.9361712301161</v>
      </c>
      <c r="F100" s="164">
        <f t="shared" si="52"/>
        <v>6421.3579632301162</v>
      </c>
      <c r="G100" s="164">
        <f t="shared" si="52"/>
        <v>5245.6953968301159</v>
      </c>
      <c r="H100" s="164">
        <f t="shared" si="52"/>
        <v>4305.1653437101168</v>
      </c>
      <c r="I100" s="164">
        <f t="shared" si="52"/>
        <v>3552.741301214116</v>
      </c>
      <c r="J100" s="164">
        <f t="shared" si="52"/>
        <v>2950.802067217317</v>
      </c>
      <c r="K100" s="164">
        <f t="shared" si="52"/>
        <v>2469.2506800198771</v>
      </c>
      <c r="L100" s="164">
        <f t="shared" si="52"/>
        <v>2084.0095702619251</v>
      </c>
      <c r="M100" s="68"/>
      <c r="O100" s="231"/>
    </row>
    <row r="101" spans="1:15" s="67" customFormat="1" outlineLevel="1" x14ac:dyDescent="0.3">
      <c r="A101" s="458"/>
      <c r="B101" s="81" t="s">
        <v>46</v>
      </c>
      <c r="C101" s="164">
        <f>I45*Y45+I46*Y46+I47*Y47+I48*Y48+I49*Y49+I50*Y50+I51*Y51+I52*Y52+I53*Y53+$I$54*$M$54+I55*Y55+I56*Y56+I57*Y57+I58*Y58+I59*Y59+I60*Y60+I61*Y61+I62*Y62+I63*Y63+$I$64*$M$64+$I$65*$M$65+I66*Y66+I67*M67+I68*M68+I69*M69+I70*M70+I71*M71+I72*M72+I73*M73+I74*M74+I75*M75+I76*M76+I77*M77+I78*M78+I79*M79+I80*M80+I81*M81+I82*M82+I83*M83+I84*M84+I85*M85+I86*M86+I87*M87+I88*M88+I45*N45+I46*N46+I47*N47+I48*N48+I49*N49+I50*N50+I51*N51+I52*N52+I53*N53+I54*N54+I55*N55+I56*N56+I57*N57+I58*N58+I59*N59+I60*N60+I61*N61+I62*N62+I63*N63+I64*N64+I65*N65+I66*N66+I67*N67+I68*N68+I69*N69+I70*N70+I71*N71+I72*N72+I73*N73+I74*N74+I75*N75+I76*N76+I77*N77+I78*N78+I79*N79+I80*N80+I81*N81+I82*N82+I83*N83+I84*N84+I85*N85+I86*N86+I87*N87+I88*N88</f>
        <v>8285.155458377516</v>
      </c>
      <c r="D101" s="163">
        <f>SUMPRODUCT($I$45:$I$66,Z45:Z66)+SUMPRODUCT($I$45:$I$88,$N$45:$N$88)</f>
        <v>4289.5547312301169</v>
      </c>
      <c r="E101" s="163">
        <f t="shared" ref="E101:L101" si="53">SUMPRODUCT($I$45:$I$66,AA45:AA66)+SUMPRODUCT($I$45:$I$88,$N$45:$N$88)</f>
        <v>3510.2528112301161</v>
      </c>
      <c r="F101" s="163">
        <f t="shared" si="53"/>
        <v>2886.8112752301163</v>
      </c>
      <c r="G101" s="163">
        <f t="shared" si="53"/>
        <v>2388.0580464301165</v>
      </c>
      <c r="H101" s="163">
        <f t="shared" si="53"/>
        <v>1989.0554633901165</v>
      </c>
      <c r="I101" s="163">
        <f t="shared" si="53"/>
        <v>1669.8533969581165</v>
      </c>
      <c r="J101" s="163">
        <f t="shared" si="53"/>
        <v>1414.4917438125169</v>
      </c>
      <c r="K101" s="163">
        <f t="shared" si="53"/>
        <v>1210.2024212960368</v>
      </c>
      <c r="L101" s="163">
        <f t="shared" si="53"/>
        <v>1046.770963282853</v>
      </c>
      <c r="M101" s="68"/>
    </row>
    <row r="102" spans="1:15" s="67" customFormat="1" outlineLevel="1" x14ac:dyDescent="0.3">
      <c r="A102" s="458"/>
      <c r="B102" s="82" t="s">
        <v>47</v>
      </c>
      <c r="C102" s="165">
        <f>K45*Y45+K46*Y46+K47*Y47+K48*Y48+K49*Y49+K50*Y50+K51*Y51+K52*Y52+K53*Y53+$K$54*$M$54+K55*Y55+K56*Y56+K57*Y57+K58*Y58+K59*Y59+K60*Y60+K61*Y61+K62*Y62+K63*Y63+$K$64*$M$64+$K$65*$M$65+K66*Y66+K67*M67+K68*M68+K69*M69+K70*M70+K71*M71+K72*M72+K73*M73+K74*M74+K75*M75+K76*M76+K77*M77+K78*M78+K79*M79+K80*M80+K81*M81+K82*M82+K83*M83+K84*M84+K85*M85+K86*M86+K87*M87+K88*M88+K45*N45+K46*N46+K47*N47+K48*N48+K49*N49+K50*N50+K51*N51+K52*N52+K53*N53+K54*N54+K55*N55+K56*N56+K57*N57+K58*N58+K59*N59+K60*N60+K61*N61+K62*N62+K63*N63+K64*N64+K65*N65+K66*N66+K67*N67+K68*N68+K69*N69+K70*N70+K71*N71+K72*N72+K73*N73+K74*N74+K75*N75+K76*N76+K77*N77+K78*N78+K79*N79+K80*N80+K81*N81+K82*N82+K83*N83+K84*N84+K85*N85+K86*N86+K87*N87+K88*N88</f>
        <v>6372.1550609756086</v>
      </c>
      <c r="D102" s="166">
        <f>SUMPRODUCT($K$45:$K$66,Z45:Z66)+SUMPRODUCT($K$45:$K$88,$N$45:$N$88)</f>
        <v>4372.5767338282067</v>
      </c>
      <c r="E102" s="166">
        <f t="shared" ref="E102:L102" si="54">SUMPRODUCT($K$45:$K$66,AA45:AA66)+SUMPRODUCT($K$45:$K$88,$N$45:$N$88)</f>
        <v>4372.5767338282067</v>
      </c>
      <c r="F102" s="166">
        <f t="shared" si="54"/>
        <v>4372.5767338282067</v>
      </c>
      <c r="G102" s="166">
        <f t="shared" si="54"/>
        <v>4372.5767338282067</v>
      </c>
      <c r="H102" s="166">
        <f t="shared" si="54"/>
        <v>4372.5767338282067</v>
      </c>
      <c r="I102" s="166">
        <f t="shared" si="54"/>
        <v>4372.5767338282067</v>
      </c>
      <c r="J102" s="166">
        <f t="shared" si="54"/>
        <v>4372.5767338282067</v>
      </c>
      <c r="K102" s="166">
        <f t="shared" si="54"/>
        <v>4372.5767338282067</v>
      </c>
      <c r="L102" s="166">
        <f t="shared" si="54"/>
        <v>4372.5767338282067</v>
      </c>
      <c r="M102" s="68"/>
    </row>
    <row r="103" spans="1:15" s="67" customFormat="1" ht="14.4" customHeight="1" outlineLevel="1" x14ac:dyDescent="0.3">
      <c r="A103" s="458" t="s">
        <v>67</v>
      </c>
      <c r="B103" s="79" t="s">
        <v>48</v>
      </c>
      <c r="C103" s="167">
        <f>C94</f>
        <v>6299.1803028245959</v>
      </c>
      <c r="D103" s="167">
        <f>D94+C94</f>
        <v>12598.360605649192</v>
      </c>
      <c r="E103" s="167">
        <f>D103+E94</f>
        <v>18897.540908473788</v>
      </c>
      <c r="F103" s="167">
        <f t="shared" ref="E103:F105" si="55">E103+F94</f>
        <v>25196.721211298383</v>
      </c>
      <c r="G103" s="167">
        <f t="shared" ref="G103:K103" si="56">F103+G94</f>
        <v>31495.901514122979</v>
      </c>
      <c r="H103" s="167">
        <f t="shared" si="56"/>
        <v>37795.081816947575</v>
      </c>
      <c r="I103" s="167">
        <f t="shared" si="56"/>
        <v>44094.262119772175</v>
      </c>
      <c r="J103" s="167">
        <f t="shared" si="56"/>
        <v>50393.442422596767</v>
      </c>
      <c r="K103" s="167">
        <f t="shared" si="56"/>
        <v>56692.622725421359</v>
      </c>
      <c r="L103" s="167">
        <f>K103+L94</f>
        <v>62991.803028245951</v>
      </c>
      <c r="M103" s="68"/>
    </row>
    <row r="104" spans="1:15" s="67" customFormat="1" outlineLevel="1" x14ac:dyDescent="0.3">
      <c r="A104" s="458"/>
      <c r="B104" s="80" t="s">
        <v>49</v>
      </c>
      <c r="C104" s="167">
        <f t="shared" ref="C104:C106" si="57">C95</f>
        <v>6299.1803028245959</v>
      </c>
      <c r="D104" s="167">
        <f>D95+C95</f>
        <v>12598.360605649192</v>
      </c>
      <c r="E104" s="167">
        <f t="shared" si="55"/>
        <v>18897.540908473788</v>
      </c>
      <c r="F104" s="167">
        <f t="shared" si="55"/>
        <v>25196.721211298383</v>
      </c>
      <c r="G104" s="167">
        <f t="shared" ref="G104:K105" si="58">F104+G95</f>
        <v>31495.901514122979</v>
      </c>
      <c r="H104" s="167">
        <f t="shared" si="58"/>
        <v>37795.081816947575</v>
      </c>
      <c r="I104" s="167">
        <f t="shared" si="58"/>
        <v>44094.262119772175</v>
      </c>
      <c r="J104" s="167">
        <f t="shared" si="58"/>
        <v>50393.442422596767</v>
      </c>
      <c r="K104" s="167">
        <f t="shared" si="58"/>
        <v>56692.622725421359</v>
      </c>
      <c r="L104" s="167">
        <f>K104+L95</f>
        <v>62991.803028245951</v>
      </c>
    </row>
    <row r="105" spans="1:15" s="67" customFormat="1" outlineLevel="1" x14ac:dyDescent="0.3">
      <c r="A105" s="458"/>
      <c r="B105" s="81" t="s">
        <v>50</v>
      </c>
      <c r="C105" s="167">
        <f t="shared" si="57"/>
        <v>4228.6828394399581</v>
      </c>
      <c r="D105" s="167">
        <f>D96+C96</f>
        <v>8457.3656788799162</v>
      </c>
      <c r="E105" s="167">
        <f t="shared" si="55"/>
        <v>12686.048518319874</v>
      </c>
      <c r="F105" s="167">
        <f t="shared" si="55"/>
        <v>16914.731357759832</v>
      </c>
      <c r="G105" s="167">
        <f t="shared" si="58"/>
        <v>21143.414197199789</v>
      </c>
      <c r="H105" s="167">
        <f t="shared" si="58"/>
        <v>25372.097036639745</v>
      </c>
      <c r="I105" s="167">
        <f t="shared" si="58"/>
        <v>29600.779876079701</v>
      </c>
      <c r="J105" s="167">
        <f t="shared" si="58"/>
        <v>33829.462715519658</v>
      </c>
      <c r="K105" s="167">
        <f t="shared" si="58"/>
        <v>38058.145554959614</v>
      </c>
      <c r="L105" s="167">
        <f>K105+L96</f>
        <v>42286.82839439957</v>
      </c>
    </row>
    <row r="106" spans="1:15" s="67" customFormat="1" outlineLevel="1" x14ac:dyDescent="0.3">
      <c r="A106" s="458"/>
      <c r="B106" s="82" t="s">
        <v>51</v>
      </c>
      <c r="C106" s="167">
        <f t="shared" si="57"/>
        <v>6299.1803028245959</v>
      </c>
      <c r="D106" s="167">
        <f>D97+C97</f>
        <v>12598.360605649192</v>
      </c>
      <c r="E106" s="167">
        <f>D106+E97</f>
        <v>18897.540908473788</v>
      </c>
      <c r="F106" s="167">
        <f t="shared" ref="F106:K106" si="59">E106+F97</f>
        <v>25196.721211298383</v>
      </c>
      <c r="G106" s="167">
        <f t="shared" si="59"/>
        <v>31495.901514122979</v>
      </c>
      <c r="H106" s="167">
        <f t="shared" si="59"/>
        <v>37795.081816947575</v>
      </c>
      <c r="I106" s="167">
        <f t="shared" si="59"/>
        <v>44094.262119772175</v>
      </c>
      <c r="J106" s="167">
        <f t="shared" si="59"/>
        <v>50393.442422596767</v>
      </c>
      <c r="K106" s="167">
        <f t="shared" si="59"/>
        <v>56692.622725421359</v>
      </c>
      <c r="L106" s="167">
        <f>K106+L97</f>
        <v>62991.803028245951</v>
      </c>
    </row>
    <row r="107" spans="1:15" s="67" customFormat="1" ht="14.4" customHeight="1" outlineLevel="1" x14ac:dyDescent="0.3">
      <c r="A107" s="458"/>
      <c r="B107" s="69" t="s">
        <v>56</v>
      </c>
      <c r="C107" s="169">
        <f>C98</f>
        <v>5781.555936978436</v>
      </c>
      <c r="D107" s="169">
        <f>C107+D98</f>
        <v>11563.111873956872</v>
      </c>
      <c r="E107" s="169">
        <f t="shared" ref="E107:K107" si="60">D107+E98</f>
        <v>17344.667810935309</v>
      </c>
      <c r="F107" s="169">
        <f t="shared" si="60"/>
        <v>23126.223747913744</v>
      </c>
      <c r="G107" s="169">
        <f t="shared" si="60"/>
        <v>28907.779684892179</v>
      </c>
      <c r="H107" s="169">
        <f t="shared" si="60"/>
        <v>34689.335621870618</v>
      </c>
      <c r="I107" s="169">
        <f t="shared" si="60"/>
        <v>40470.891558849056</v>
      </c>
      <c r="J107" s="169">
        <f t="shared" si="60"/>
        <v>46252.447495827495</v>
      </c>
      <c r="K107" s="169">
        <f t="shared" si="60"/>
        <v>52034.003432805934</v>
      </c>
      <c r="L107" s="169">
        <f>K107+L98</f>
        <v>57815.559369784372</v>
      </c>
    </row>
    <row r="108" spans="1:15" s="67" customFormat="1" outlineLevel="1" x14ac:dyDescent="0.3">
      <c r="A108" s="458" t="s">
        <v>68</v>
      </c>
      <c r="B108" s="79" t="s">
        <v>52</v>
      </c>
      <c r="C108" s="164">
        <f>C99</f>
        <v>26346.449325044185</v>
      </c>
      <c r="D108" s="164">
        <f>D99+C108</f>
        <v>55749.257389607636</v>
      </c>
      <c r="E108" s="164">
        <f t="shared" ref="E108:L108" si="61">E99+D108</f>
        <v>79380.112867504416</v>
      </c>
      <c r="F108" s="164">
        <f t="shared" si="61"/>
        <v>98393.406276067864</v>
      </c>
      <c r="G108" s="164">
        <f t="shared" si="61"/>
        <v>113712.65002916464</v>
      </c>
      <c r="H108" s="164">
        <f t="shared" si="61"/>
        <v>126076.65405788808</v>
      </c>
      <c r="I108" s="164">
        <f t="shared" si="61"/>
        <v>136076.46630711286</v>
      </c>
      <c r="J108" s="164">
        <f t="shared" si="61"/>
        <v>144184.92513273872</v>
      </c>
      <c r="K108" s="164">
        <f t="shared" si="61"/>
        <v>150780.30121948541</v>
      </c>
      <c r="L108" s="164">
        <f t="shared" si="61"/>
        <v>156165.2111151288</v>
      </c>
    </row>
    <row r="109" spans="1:15" s="67" customFormat="1" outlineLevel="1" x14ac:dyDescent="0.3">
      <c r="A109" s="458"/>
      <c r="B109" s="80" t="s">
        <v>53</v>
      </c>
      <c r="C109" s="164">
        <f>C100</f>
        <v>15970.098208377518</v>
      </c>
      <c r="D109" s="164">
        <f t="shared" ref="D109:L109" si="62">D100+C109</f>
        <v>25698.007139607631</v>
      </c>
      <c r="E109" s="164">
        <f t="shared" si="62"/>
        <v>33588.943310837749</v>
      </c>
      <c r="F109" s="164">
        <f t="shared" si="62"/>
        <v>40010.301274067868</v>
      </c>
      <c r="G109" s="164">
        <f t="shared" si="62"/>
        <v>45255.996670897985</v>
      </c>
      <c r="H109" s="164">
        <f t="shared" si="62"/>
        <v>49561.162014608104</v>
      </c>
      <c r="I109" s="164">
        <f t="shared" si="62"/>
        <v>53113.903315822223</v>
      </c>
      <c r="J109" s="164">
        <f t="shared" si="62"/>
        <v>56064.705383039538</v>
      </c>
      <c r="K109" s="164">
        <f t="shared" si="62"/>
        <v>58533.956063059413</v>
      </c>
      <c r="L109" s="164">
        <f t="shared" si="62"/>
        <v>60617.965633321335</v>
      </c>
    </row>
    <row r="110" spans="1:15" s="67" customFormat="1" outlineLevel="1" x14ac:dyDescent="0.3">
      <c r="A110" s="458"/>
      <c r="B110" s="81" t="s">
        <v>54</v>
      </c>
      <c r="C110" s="164">
        <f>C101</f>
        <v>8285.155458377516</v>
      </c>
      <c r="D110" s="164">
        <f t="shared" ref="D110:L110" si="63">D101+C110</f>
        <v>12574.710189607633</v>
      </c>
      <c r="E110" s="164">
        <f t="shared" si="63"/>
        <v>16084.96300083775</v>
      </c>
      <c r="F110" s="164">
        <f t="shared" si="63"/>
        <v>18971.774276067867</v>
      </c>
      <c r="G110" s="164">
        <f t="shared" si="63"/>
        <v>21359.832322497983</v>
      </c>
      <c r="H110" s="164">
        <f t="shared" si="63"/>
        <v>23348.887785888099</v>
      </c>
      <c r="I110" s="164">
        <f t="shared" si="63"/>
        <v>25018.741182846214</v>
      </c>
      <c r="J110" s="164">
        <f t="shared" si="63"/>
        <v>26433.232926658729</v>
      </c>
      <c r="K110" s="164">
        <f t="shared" si="63"/>
        <v>27643.435347954764</v>
      </c>
      <c r="L110" s="164">
        <f t="shared" si="63"/>
        <v>28690.206311237616</v>
      </c>
    </row>
    <row r="111" spans="1:15" s="67" customFormat="1" outlineLevel="1" x14ac:dyDescent="0.3">
      <c r="A111" s="458"/>
      <c r="B111" s="82" t="s">
        <v>55</v>
      </c>
      <c r="C111" s="164">
        <f>C102</f>
        <v>6372.1550609756086</v>
      </c>
      <c r="D111" s="164">
        <f t="shared" ref="D111:L111" si="64">D102+C111</f>
        <v>10744.731794803814</v>
      </c>
      <c r="E111" s="164">
        <f t="shared" si="64"/>
        <v>15117.30852863202</v>
      </c>
      <c r="F111" s="164">
        <f t="shared" si="64"/>
        <v>19489.885262460226</v>
      </c>
      <c r="G111" s="164">
        <f t="shared" si="64"/>
        <v>23862.461996288432</v>
      </c>
      <c r="H111" s="164">
        <f t="shared" si="64"/>
        <v>28235.038730116637</v>
      </c>
      <c r="I111" s="164">
        <f t="shared" si="64"/>
        <v>32607.615463944843</v>
      </c>
      <c r="J111" s="164">
        <f t="shared" si="64"/>
        <v>36980.192197773053</v>
      </c>
      <c r="K111" s="164">
        <f t="shared" si="64"/>
        <v>41352.768931601262</v>
      </c>
      <c r="L111" s="164">
        <f t="shared" si="64"/>
        <v>45725.345665429471</v>
      </c>
    </row>
    <row r="112" spans="1:15" s="67" customFormat="1" outlineLevel="1" x14ac:dyDescent="0.3">
      <c r="A112" s="458" t="s">
        <v>62</v>
      </c>
      <c r="B112" s="79" t="s">
        <v>58</v>
      </c>
      <c r="C112" s="21">
        <f>C103-C108</f>
        <v>-20047.269022219589</v>
      </c>
      <c r="D112" s="21">
        <f t="shared" ref="D112:L112" si="65">D103-D108</f>
        <v>-43150.896783958444</v>
      </c>
      <c r="E112" s="21">
        <f t="shared" si="65"/>
        <v>-60482.571959030625</v>
      </c>
      <c r="F112" s="21">
        <f t="shared" si="65"/>
        <v>-73196.685064769481</v>
      </c>
      <c r="G112" s="21">
        <f t="shared" si="65"/>
        <v>-82216.748515041661</v>
      </c>
      <c r="H112" s="21">
        <f t="shared" si="65"/>
        <v>-88281.572240940499</v>
      </c>
      <c r="I112" s="21">
        <f t="shared" si="65"/>
        <v>-91982.204187340685</v>
      </c>
      <c r="J112" s="21">
        <f t="shared" si="65"/>
        <v>-93791.482710141951</v>
      </c>
      <c r="K112" s="21">
        <f t="shared" si="65"/>
        <v>-94087.67849406405</v>
      </c>
      <c r="L112" s="21">
        <f t="shared" si="65"/>
        <v>-93173.408086882846</v>
      </c>
    </row>
    <row r="113" spans="1:12" s="67" customFormat="1" outlineLevel="1" x14ac:dyDescent="0.3">
      <c r="A113" s="458"/>
      <c r="B113" s="80" t="s">
        <v>59</v>
      </c>
      <c r="C113" s="21">
        <f t="shared" ref="C113:L113" si="66">C104-C109</f>
        <v>-9670.9179055529221</v>
      </c>
      <c r="D113" s="21">
        <f t="shared" si="66"/>
        <v>-13099.646533958439</v>
      </c>
      <c r="E113" s="21">
        <f t="shared" si="66"/>
        <v>-14691.402402363961</v>
      </c>
      <c r="F113" s="21">
        <f t="shared" si="66"/>
        <v>-14813.580062769484</v>
      </c>
      <c r="G113" s="21">
        <f t="shared" si="66"/>
        <v>-13760.095156775005</v>
      </c>
      <c r="H113" s="21">
        <f t="shared" si="66"/>
        <v>-11766.080197660529</v>
      </c>
      <c r="I113" s="21">
        <f t="shared" si="66"/>
        <v>-9019.6411960500482</v>
      </c>
      <c r="J113" s="21">
        <f t="shared" si="66"/>
        <v>-5671.2629604427711</v>
      </c>
      <c r="K113" s="21">
        <f t="shared" si="66"/>
        <v>-1841.3333376380542</v>
      </c>
      <c r="L113" s="21">
        <f t="shared" si="66"/>
        <v>2373.8373949246161</v>
      </c>
    </row>
    <row r="114" spans="1:12" s="67" customFormat="1" outlineLevel="1" x14ac:dyDescent="0.3">
      <c r="A114" s="458"/>
      <c r="B114" s="81" t="s">
        <v>60</v>
      </c>
      <c r="C114" s="21">
        <f t="shared" ref="C114:L114" si="67">C105-C110</f>
        <v>-4056.4726189375579</v>
      </c>
      <c r="D114" s="21">
        <f t="shared" si="67"/>
        <v>-4117.3445107277166</v>
      </c>
      <c r="E114" s="21">
        <f t="shared" si="67"/>
        <v>-3398.9144825178755</v>
      </c>
      <c r="F114" s="21">
        <f t="shared" si="67"/>
        <v>-2057.0429183080341</v>
      </c>
      <c r="G114" s="21">
        <f t="shared" si="67"/>
        <v>-216.41812529819435</v>
      </c>
      <c r="H114" s="21">
        <f t="shared" si="67"/>
        <v>2023.2092507516463</v>
      </c>
      <c r="I114" s="21">
        <f t="shared" si="67"/>
        <v>4582.0386932334877</v>
      </c>
      <c r="J114" s="21">
        <f t="shared" si="67"/>
        <v>7396.2297888609282</v>
      </c>
      <c r="K114" s="21">
        <f t="shared" si="67"/>
        <v>10414.71020700485</v>
      </c>
      <c r="L114" s="21">
        <f t="shared" si="67"/>
        <v>13596.622083161954</v>
      </c>
    </row>
    <row r="115" spans="1:12" s="67" customFormat="1" outlineLevel="1" x14ac:dyDescent="0.3">
      <c r="A115" s="458"/>
      <c r="B115" s="82" t="s">
        <v>61</v>
      </c>
      <c r="C115" s="21">
        <f t="shared" ref="C115:L115" si="68">C106-C111</f>
        <v>-72.974758151012793</v>
      </c>
      <c r="D115" s="21">
        <f t="shared" si="68"/>
        <v>1853.6288108453773</v>
      </c>
      <c r="E115" s="21">
        <f t="shared" si="68"/>
        <v>3780.2323798417674</v>
      </c>
      <c r="F115" s="21">
        <f t="shared" si="68"/>
        <v>5706.8359488381575</v>
      </c>
      <c r="G115" s="21">
        <f t="shared" si="68"/>
        <v>7633.4395178345476</v>
      </c>
      <c r="H115" s="21">
        <f t="shared" si="68"/>
        <v>9560.0430868309377</v>
      </c>
      <c r="I115" s="21">
        <f t="shared" si="68"/>
        <v>11486.646655827331</v>
      </c>
      <c r="J115" s="21">
        <f t="shared" si="68"/>
        <v>13413.250224823714</v>
      </c>
      <c r="K115" s="21">
        <f t="shared" si="68"/>
        <v>15339.853793820097</v>
      </c>
      <c r="L115" s="21">
        <f t="shared" si="68"/>
        <v>17266.45736281648</v>
      </c>
    </row>
    <row r="116" spans="1:12" s="67" customFormat="1" outlineLevel="1" x14ac:dyDescent="0.3">
      <c r="A116" s="171"/>
      <c r="B116" s="15"/>
      <c r="C116" s="15"/>
      <c r="D116" s="15"/>
      <c r="E116" s="15"/>
      <c r="F116" s="15"/>
      <c r="G116" s="15"/>
      <c r="H116" s="15"/>
      <c r="I116" s="15"/>
      <c r="J116" s="15"/>
      <c r="K116" s="15"/>
      <c r="L116" s="15"/>
    </row>
    <row r="117" spans="1:12" s="67" customFormat="1" outlineLevel="1" x14ac:dyDescent="0.3">
      <c r="A117" s="459" t="s">
        <v>70</v>
      </c>
      <c r="B117" s="79" t="s">
        <v>52</v>
      </c>
      <c r="C117" s="21">
        <f t="shared" ref="C117:L117" si="69">C108/$B$15</f>
        <v>293.22703756309613</v>
      </c>
      <c r="D117" s="21">
        <f t="shared" si="69"/>
        <v>620.47031040186573</v>
      </c>
      <c r="E117" s="21">
        <f t="shared" si="69"/>
        <v>883.4737102671611</v>
      </c>
      <c r="F117" s="21">
        <f t="shared" si="69"/>
        <v>1095.085211753677</v>
      </c>
      <c r="G117" s="21">
        <f t="shared" si="69"/>
        <v>1265.5831945371692</v>
      </c>
      <c r="H117" s="21">
        <f t="shared" si="69"/>
        <v>1403.1903623582425</v>
      </c>
      <c r="I117" s="21">
        <f t="shared" si="69"/>
        <v>1514.4848782093809</v>
      </c>
      <c r="J117" s="21">
        <f t="shared" si="69"/>
        <v>1604.7292724845713</v>
      </c>
      <c r="K117" s="21">
        <f t="shared" si="69"/>
        <v>1678.133569499003</v>
      </c>
      <c r="L117" s="21">
        <f t="shared" si="69"/>
        <v>1738.065788704828</v>
      </c>
    </row>
    <row r="118" spans="1:12" s="67" customFormat="1" outlineLevel="1" x14ac:dyDescent="0.3">
      <c r="A118" s="459"/>
      <c r="B118" s="80" t="s">
        <v>53</v>
      </c>
      <c r="C118" s="21">
        <f t="shared" ref="C118:L118" si="70">C109/$B$15</f>
        <v>177.74177193519776</v>
      </c>
      <c r="D118" s="21">
        <f t="shared" si="70"/>
        <v>286.01009615590021</v>
      </c>
      <c r="E118" s="21">
        <f t="shared" si="70"/>
        <v>373.83353712674182</v>
      </c>
      <c r="F118" s="21">
        <f t="shared" si="70"/>
        <v>445.30107149769469</v>
      </c>
      <c r="G118" s="21">
        <f t="shared" si="70"/>
        <v>503.68388058873666</v>
      </c>
      <c r="H118" s="21">
        <f t="shared" si="70"/>
        <v>551.59890945584982</v>
      </c>
      <c r="I118" s="21">
        <f t="shared" si="70"/>
        <v>591.13971414382002</v>
      </c>
      <c r="J118" s="21">
        <f t="shared" si="70"/>
        <v>623.98113948847572</v>
      </c>
      <c r="K118" s="21">
        <f t="shared" si="70"/>
        <v>651.46306135847988</v>
      </c>
      <c r="L118" s="21">
        <f t="shared" si="70"/>
        <v>674.65738044876286</v>
      </c>
    </row>
    <row r="119" spans="1:12" s="67" customFormat="1" outlineLevel="1" x14ac:dyDescent="0.3">
      <c r="A119" s="459"/>
      <c r="B119" s="81" t="s">
        <v>54</v>
      </c>
      <c r="C119" s="21">
        <f t="shared" ref="C119:L119" si="71">C110/$B$15</f>
        <v>92.210967817223334</v>
      </c>
      <c r="D119" s="21">
        <f t="shared" si="71"/>
        <v>139.95225586652904</v>
      </c>
      <c r="E119" s="21">
        <f t="shared" si="71"/>
        <v>179.0201780838926</v>
      </c>
      <c r="F119" s="21">
        <f t="shared" si="71"/>
        <v>211.14940763570249</v>
      </c>
      <c r="G119" s="21">
        <f t="shared" si="71"/>
        <v>237.72768305506938</v>
      </c>
      <c r="H119" s="21">
        <f t="shared" si="71"/>
        <v>259.86519516848193</v>
      </c>
      <c r="I119" s="21">
        <f t="shared" si="71"/>
        <v>278.45009663713097</v>
      </c>
      <c r="J119" s="21">
        <f t="shared" si="71"/>
        <v>294.19290958996919</v>
      </c>
      <c r="K119" s="21">
        <f t="shared" si="71"/>
        <v>307.66205173015879</v>
      </c>
      <c r="L119" s="21">
        <f t="shared" si="71"/>
        <v>319.31225722022947</v>
      </c>
    </row>
    <row r="120" spans="1:12" s="67" customFormat="1" outlineLevel="1" x14ac:dyDescent="0.3">
      <c r="A120" s="459"/>
      <c r="B120" s="82" t="s">
        <v>55</v>
      </c>
      <c r="C120" s="21">
        <f t="shared" ref="C120:L120" si="72">C111/$B$15</f>
        <v>70.919922771014015</v>
      </c>
      <c r="D120" s="21">
        <f t="shared" si="72"/>
        <v>119.58521752703189</v>
      </c>
      <c r="E120" s="21">
        <f t="shared" si="72"/>
        <v>168.25051228304977</v>
      </c>
      <c r="F120" s="21">
        <f t="shared" si="72"/>
        <v>216.91580703906763</v>
      </c>
      <c r="G120" s="21">
        <f t="shared" si="72"/>
        <v>265.58110179508549</v>
      </c>
      <c r="H120" s="21">
        <f t="shared" si="72"/>
        <v>314.24639655110337</v>
      </c>
      <c r="I120" s="21">
        <f t="shared" si="72"/>
        <v>362.91169130712126</v>
      </c>
      <c r="J120" s="21">
        <f t="shared" si="72"/>
        <v>411.5769860631392</v>
      </c>
      <c r="K120" s="21">
        <f t="shared" si="72"/>
        <v>460.24228081915709</v>
      </c>
      <c r="L120" s="21">
        <f t="shared" si="72"/>
        <v>508.90757557517503</v>
      </c>
    </row>
    <row r="121" spans="1:12" s="67" customFormat="1" outlineLevel="1" x14ac:dyDescent="0.3">
      <c r="A121" s="459"/>
      <c r="B121" s="69" t="s">
        <v>56</v>
      </c>
      <c r="C121" s="169">
        <f>C107/$B$15</f>
        <v>64.346755002542423</v>
      </c>
      <c r="D121" s="169">
        <f t="shared" ref="D121:L121" si="73">D107/$B$15</f>
        <v>128.69351000508485</v>
      </c>
      <c r="E121" s="169">
        <f t="shared" si="73"/>
        <v>193.04026500762726</v>
      </c>
      <c r="F121" s="169">
        <f t="shared" si="73"/>
        <v>257.38702001016969</v>
      </c>
      <c r="G121" s="169">
        <f t="shared" si="73"/>
        <v>321.7337750127121</v>
      </c>
      <c r="H121" s="169">
        <f t="shared" si="73"/>
        <v>386.08053001525451</v>
      </c>
      <c r="I121" s="169">
        <f t="shared" si="73"/>
        <v>450.42728501779698</v>
      </c>
      <c r="J121" s="169">
        <f t="shared" si="73"/>
        <v>514.77404002033938</v>
      </c>
      <c r="K121" s="169">
        <f t="shared" si="73"/>
        <v>579.12079502288191</v>
      </c>
      <c r="L121" s="169">
        <f t="shared" si="73"/>
        <v>643.46755002542432</v>
      </c>
    </row>
    <row r="122" spans="1:12" s="67" customFormat="1" outlineLevel="1" x14ac:dyDescent="0.3">
      <c r="A122" s="459"/>
      <c r="B122" s="79" t="s">
        <v>58</v>
      </c>
      <c r="C122" s="170">
        <f>C112/$B$15</f>
        <v>-223.11929907868213</v>
      </c>
      <c r="D122" s="170">
        <f t="shared" ref="D122:L122" si="74">D112/$B$15</f>
        <v>-480.25483343303779</v>
      </c>
      <c r="E122" s="170">
        <f t="shared" si="74"/>
        <v>-673.15049481391907</v>
      </c>
      <c r="F122" s="170">
        <f t="shared" si="74"/>
        <v>-814.65425781602096</v>
      </c>
      <c r="G122" s="170">
        <f t="shared" si="74"/>
        <v>-915.04450211509925</v>
      </c>
      <c r="H122" s="170">
        <f t="shared" si="74"/>
        <v>-982.54393145175857</v>
      </c>
      <c r="I122" s="170">
        <f t="shared" si="74"/>
        <v>-1023.730708818483</v>
      </c>
      <c r="J122" s="170">
        <f t="shared" si="74"/>
        <v>-1043.8673646092593</v>
      </c>
      <c r="K122" s="170">
        <f t="shared" si="74"/>
        <v>-1047.1639231392771</v>
      </c>
      <c r="L122" s="170">
        <f t="shared" si="74"/>
        <v>-1036.9884038606883</v>
      </c>
    </row>
    <row r="123" spans="1:12" s="67" customFormat="1" outlineLevel="1" x14ac:dyDescent="0.3">
      <c r="A123" s="459"/>
      <c r="B123" s="80" t="s">
        <v>59</v>
      </c>
      <c r="C123" s="170">
        <f t="shared" ref="C123:L123" si="75">C113/$B$15</f>
        <v>-107.63403345078378</v>
      </c>
      <c r="D123" s="170">
        <f t="shared" si="75"/>
        <v>-145.79461918707224</v>
      </c>
      <c r="E123" s="170">
        <f t="shared" si="75"/>
        <v>-163.51032167349985</v>
      </c>
      <c r="F123" s="170">
        <f t="shared" si="75"/>
        <v>-164.87011756003878</v>
      </c>
      <c r="G123" s="170">
        <f t="shared" si="75"/>
        <v>-153.14518816666674</v>
      </c>
      <c r="H123" s="170">
        <f t="shared" si="75"/>
        <v>-130.95247854936594</v>
      </c>
      <c r="I123" s="170">
        <f t="shared" si="75"/>
        <v>-100.38554475292207</v>
      </c>
      <c r="J123" s="170">
        <f t="shared" si="75"/>
        <v>-63.119231613163848</v>
      </c>
      <c r="K123" s="170">
        <f t="shared" si="75"/>
        <v>-20.493414998754083</v>
      </c>
      <c r="L123" s="170">
        <f t="shared" si="75"/>
        <v>26.420004395376921</v>
      </c>
    </row>
    <row r="124" spans="1:12" s="67" customFormat="1" outlineLevel="1" x14ac:dyDescent="0.3">
      <c r="A124" s="459"/>
      <c r="B124" s="81" t="s">
        <v>60</v>
      </c>
      <c r="C124" s="170">
        <f t="shared" ref="C124:L124" si="76">C114/$B$15</f>
        <v>-45.147163260295585</v>
      </c>
      <c r="D124" s="170">
        <f t="shared" si="76"/>
        <v>-45.82464675267353</v>
      </c>
      <c r="E124" s="170">
        <f t="shared" si="76"/>
        <v>-37.828764413109354</v>
      </c>
      <c r="F124" s="170">
        <f t="shared" si="76"/>
        <v>-22.894189407991476</v>
      </c>
      <c r="G124" s="170">
        <f t="shared" si="76"/>
        <v>-2.408660270430655</v>
      </c>
      <c r="H124" s="170">
        <f t="shared" si="76"/>
        <v>22.517632173084547</v>
      </c>
      <c r="I124" s="170">
        <f t="shared" si="76"/>
        <v>50.996535261363249</v>
      </c>
      <c r="J124" s="170">
        <f t="shared" si="76"/>
        <v>82.317526865452734</v>
      </c>
      <c r="K124" s="170">
        <f t="shared" si="76"/>
        <v>115.91218928219088</v>
      </c>
      <c r="L124" s="170">
        <f t="shared" si="76"/>
        <v>151.32578834904791</v>
      </c>
    </row>
    <row r="125" spans="1:12" s="67" customFormat="1" outlineLevel="1" x14ac:dyDescent="0.3">
      <c r="A125" s="459"/>
      <c r="B125" s="82" t="s">
        <v>61</v>
      </c>
      <c r="C125" s="170">
        <f t="shared" ref="C125:L125" si="77">C115/$B$15</f>
        <v>-0.81218428660003117</v>
      </c>
      <c r="D125" s="170">
        <f t="shared" si="77"/>
        <v>20.630259441796078</v>
      </c>
      <c r="E125" s="170">
        <f t="shared" si="77"/>
        <v>42.072703170192185</v>
      </c>
      <c r="F125" s="170">
        <f t="shared" si="77"/>
        <v>63.515146898588291</v>
      </c>
      <c r="G125" s="170">
        <f t="shared" si="77"/>
        <v>84.957590626984398</v>
      </c>
      <c r="H125" s="170">
        <f t="shared" si="77"/>
        <v>106.4000343553805</v>
      </c>
      <c r="I125" s="170">
        <f t="shared" si="77"/>
        <v>127.84247808377665</v>
      </c>
      <c r="J125" s="170">
        <f t="shared" si="77"/>
        <v>149.28492181217268</v>
      </c>
      <c r="K125" s="170">
        <f t="shared" si="77"/>
        <v>170.72736554056871</v>
      </c>
      <c r="L125" s="170">
        <f t="shared" si="77"/>
        <v>192.16980926896474</v>
      </c>
    </row>
    <row r="126" spans="1:12" s="67" customFormat="1" x14ac:dyDescent="0.3">
      <c r="C126" s="21"/>
      <c r="D126" s="21"/>
      <c r="E126" s="21"/>
      <c r="F126" s="21"/>
      <c r="G126" s="21"/>
      <c r="H126" s="21"/>
      <c r="I126" s="21"/>
      <c r="J126" s="21"/>
      <c r="K126" s="21"/>
      <c r="L126" s="21"/>
    </row>
    <row r="127" spans="1:12" s="19" customFormat="1" ht="18" x14ac:dyDescent="0.35">
      <c r="A127" s="302" t="s">
        <v>256</v>
      </c>
    </row>
    <row r="128" spans="1:12" s="2" customFormat="1" outlineLevel="1" x14ac:dyDescent="0.3">
      <c r="A128" s="2" t="s">
        <v>193</v>
      </c>
    </row>
    <row r="129" spans="1:26" s="67" customFormat="1" outlineLevel="1" x14ac:dyDescent="0.3">
      <c r="A129" s="450" t="s">
        <v>251</v>
      </c>
      <c r="B129" s="450"/>
      <c r="C129" s="450"/>
      <c r="D129" s="450"/>
      <c r="E129" s="450"/>
      <c r="F129" s="450"/>
      <c r="G129" s="450"/>
      <c r="H129" s="450"/>
      <c r="I129" s="450"/>
      <c r="J129" s="450"/>
      <c r="K129" s="450"/>
      <c r="L129" s="450"/>
      <c r="M129" s="446" t="s">
        <v>252</v>
      </c>
      <c r="N129" s="447"/>
      <c r="O129" s="447"/>
      <c r="P129" s="447"/>
      <c r="Q129" s="447"/>
      <c r="R129" s="447"/>
      <c r="S129" s="447"/>
      <c r="T129" s="447"/>
      <c r="U129" s="447"/>
      <c r="V129" s="447"/>
      <c r="Y129" s="231"/>
      <c r="Z129" s="231"/>
    </row>
    <row r="130" spans="1:26" s="67" customFormat="1" ht="14.4" hidden="1" customHeight="1" outlineLevel="2" x14ac:dyDescent="0.3">
      <c r="A130" s="231"/>
      <c r="B130" s="231"/>
      <c r="C130" s="451" t="s">
        <v>71</v>
      </c>
      <c r="D130" s="451"/>
      <c r="E130" s="451"/>
      <c r="F130" s="451"/>
      <c r="G130" s="451"/>
      <c r="H130" s="451"/>
      <c r="I130" s="451"/>
      <c r="J130" s="451"/>
      <c r="K130" s="451"/>
      <c r="L130" s="451"/>
      <c r="M130" s="444" t="s">
        <v>71</v>
      </c>
      <c r="N130" s="445"/>
      <c r="O130" s="445"/>
      <c r="P130" s="445"/>
      <c r="Q130" s="445"/>
      <c r="R130" s="445"/>
      <c r="S130" s="445"/>
      <c r="T130" s="445"/>
      <c r="U130" s="445"/>
      <c r="V130" s="445"/>
    </row>
    <row r="131" spans="1:26" s="67" customFormat="1" hidden="1" outlineLevel="2" x14ac:dyDescent="0.3">
      <c r="A131" s="231"/>
      <c r="B131" s="231"/>
      <c r="C131" s="158">
        <v>1</v>
      </c>
      <c r="D131" s="158">
        <v>2</v>
      </c>
      <c r="E131" s="158">
        <v>3</v>
      </c>
      <c r="F131" s="158">
        <v>4</v>
      </c>
      <c r="G131" s="158">
        <v>5</v>
      </c>
      <c r="H131" s="158">
        <v>6</v>
      </c>
      <c r="I131" s="158">
        <v>7</v>
      </c>
      <c r="J131" s="158">
        <v>8</v>
      </c>
      <c r="K131" s="158">
        <v>9</v>
      </c>
      <c r="L131" s="158">
        <v>10</v>
      </c>
      <c r="M131" s="254">
        <v>1</v>
      </c>
      <c r="N131" s="158">
        <v>2</v>
      </c>
      <c r="O131" s="158">
        <v>3</v>
      </c>
      <c r="P131" s="158">
        <v>4</v>
      </c>
      <c r="Q131" s="158">
        <v>5</v>
      </c>
      <c r="R131" s="158">
        <v>6</v>
      </c>
      <c r="S131" s="158">
        <v>7</v>
      </c>
      <c r="T131" s="158">
        <v>8</v>
      </c>
      <c r="U131" s="158">
        <v>9</v>
      </c>
      <c r="V131" s="158">
        <v>10</v>
      </c>
    </row>
    <row r="132" spans="1:26" s="67" customFormat="1" ht="14.4" hidden="1" customHeight="1" outlineLevel="2" x14ac:dyDescent="0.3">
      <c r="A132" s="448" t="s">
        <v>240</v>
      </c>
      <c r="B132" s="231" t="s">
        <v>72</v>
      </c>
      <c r="C132" s="21">
        <f t="shared" ref="C132:G141" si="78">$E$30*$M$30+$E$31*$M$31+$E$32*$M$32+$E$33*$M$33+$E$34*$M$34+$E$35*$M$35+$E$36*$M$36+$E$37*$M$37+$E$38*$M$38+$E$39*$M$39+$E$40*$M$40+$E$41*$M$41+$E$42*$M$42+$E$43*$M$43+$E$44*$M$44</f>
        <v>6299.1803028245959</v>
      </c>
      <c r="D132" s="144">
        <f t="shared" ref="D132:L135" si="79">$F$30*$M$30+$F$31*$M$31+$F$32*$M$32+$F$33*$M$33+$F$34*$M$34+$F$35*$M$35+$F$36*$M$36+$F$37*$M$37+$F$38*$M$38+$F$39*$M$39+$F$40*$M$40+$F$41*$M$41+$F$42*$M$42+$F$43*$M$43+$F$44*$M$44</f>
        <v>0</v>
      </c>
      <c r="E132" s="144">
        <f t="shared" si="79"/>
        <v>0</v>
      </c>
      <c r="F132" s="144">
        <f t="shared" si="79"/>
        <v>0</v>
      </c>
      <c r="G132" s="144">
        <f t="shared" si="79"/>
        <v>0</v>
      </c>
      <c r="H132" s="144">
        <f t="shared" si="79"/>
        <v>0</v>
      </c>
      <c r="I132" s="144">
        <f t="shared" si="79"/>
        <v>0</v>
      </c>
      <c r="J132" s="144">
        <f t="shared" si="79"/>
        <v>0</v>
      </c>
      <c r="K132" s="144">
        <f t="shared" si="79"/>
        <v>0</v>
      </c>
      <c r="L132" s="144">
        <f t="shared" si="79"/>
        <v>0</v>
      </c>
      <c r="M132" s="255">
        <f>C132/$B$15</f>
        <v>70.107738484413986</v>
      </c>
      <c r="N132" s="247">
        <f t="shared" ref="N132:V132" si="80">D132/$B$15</f>
        <v>0</v>
      </c>
      <c r="O132" s="247">
        <f t="shared" si="80"/>
        <v>0</v>
      </c>
      <c r="P132" s="247">
        <f t="shared" si="80"/>
        <v>0</v>
      </c>
      <c r="Q132" s="247">
        <f t="shared" si="80"/>
        <v>0</v>
      </c>
      <c r="R132" s="247">
        <f t="shared" si="80"/>
        <v>0</v>
      </c>
      <c r="S132" s="247">
        <f t="shared" si="80"/>
        <v>0</v>
      </c>
      <c r="T132" s="247">
        <f t="shared" si="80"/>
        <v>0</v>
      </c>
      <c r="U132" s="247">
        <f t="shared" si="80"/>
        <v>0</v>
      </c>
      <c r="V132" s="247">
        <f t="shared" si="80"/>
        <v>0</v>
      </c>
    </row>
    <row r="133" spans="1:26" s="67" customFormat="1" hidden="1" outlineLevel="2" x14ac:dyDescent="0.3">
      <c r="A133" s="448"/>
      <c r="B133" s="231" t="s">
        <v>73</v>
      </c>
      <c r="C133" s="21">
        <f t="shared" si="78"/>
        <v>6299.1803028245959</v>
      </c>
      <c r="D133" s="21">
        <f t="shared" si="78"/>
        <v>6299.1803028245959</v>
      </c>
      <c r="E133" s="144">
        <f t="shared" si="79"/>
        <v>0</v>
      </c>
      <c r="F133" s="144">
        <f t="shared" si="79"/>
        <v>0</v>
      </c>
      <c r="G133" s="144">
        <f t="shared" si="79"/>
        <v>0</v>
      </c>
      <c r="H133" s="144">
        <f t="shared" si="79"/>
        <v>0</v>
      </c>
      <c r="I133" s="144">
        <f t="shared" si="79"/>
        <v>0</v>
      </c>
      <c r="J133" s="144">
        <f t="shared" si="79"/>
        <v>0</v>
      </c>
      <c r="K133" s="144">
        <f t="shared" si="79"/>
        <v>0</v>
      </c>
      <c r="L133" s="144">
        <f t="shared" si="79"/>
        <v>0</v>
      </c>
      <c r="M133" s="255">
        <f t="shared" ref="M133:M191" si="81">C133/$B$15</f>
        <v>70.107738484413986</v>
      </c>
      <c r="N133" s="247">
        <f t="shared" ref="N133:N191" si="82">D133/$B$15</f>
        <v>70.107738484413986</v>
      </c>
      <c r="O133" s="247">
        <f t="shared" ref="O133:O191" si="83">E133/$B$15</f>
        <v>0</v>
      </c>
      <c r="P133" s="247">
        <f t="shared" ref="P133:P191" si="84">F133/$B$15</f>
        <v>0</v>
      </c>
      <c r="Q133" s="247">
        <f t="shared" ref="Q133:Q191" si="85">G133/$B$15</f>
        <v>0</v>
      </c>
      <c r="R133" s="247">
        <f t="shared" ref="R133:R191" si="86">H133/$B$15</f>
        <v>0</v>
      </c>
      <c r="S133" s="247">
        <f t="shared" ref="S133:S191" si="87">I133/$B$15</f>
        <v>0</v>
      </c>
      <c r="T133" s="247">
        <f t="shared" ref="T133:T191" si="88">J133/$B$15</f>
        <v>0</v>
      </c>
      <c r="U133" s="247">
        <f t="shared" ref="U133:U191" si="89">K133/$B$15</f>
        <v>0</v>
      </c>
      <c r="V133" s="247">
        <f t="shared" ref="V133:V191" si="90">L133/$B$15</f>
        <v>0</v>
      </c>
    </row>
    <row r="134" spans="1:26" s="67" customFormat="1" hidden="1" outlineLevel="2" x14ac:dyDescent="0.3">
      <c r="A134" s="448"/>
      <c r="B134" s="231" t="s">
        <v>74</v>
      </c>
      <c r="C134" s="21">
        <f t="shared" si="78"/>
        <v>6299.1803028245959</v>
      </c>
      <c r="D134" s="21">
        <f t="shared" si="78"/>
        <v>6299.1803028245959</v>
      </c>
      <c r="E134" s="21">
        <f t="shared" si="78"/>
        <v>6299.1803028245959</v>
      </c>
      <c r="F134" s="144">
        <f t="shared" si="79"/>
        <v>0</v>
      </c>
      <c r="G134" s="144">
        <f t="shared" si="79"/>
        <v>0</v>
      </c>
      <c r="H134" s="144">
        <f t="shared" si="79"/>
        <v>0</v>
      </c>
      <c r="I134" s="144">
        <f t="shared" si="79"/>
        <v>0</v>
      </c>
      <c r="J134" s="144">
        <f t="shared" si="79"/>
        <v>0</v>
      </c>
      <c r="K134" s="144">
        <f t="shared" si="79"/>
        <v>0</v>
      </c>
      <c r="L134" s="144">
        <f t="shared" si="79"/>
        <v>0</v>
      </c>
      <c r="M134" s="255">
        <f t="shared" si="81"/>
        <v>70.107738484413986</v>
      </c>
      <c r="N134" s="247">
        <f t="shared" si="82"/>
        <v>70.107738484413986</v>
      </c>
      <c r="O134" s="247">
        <f t="shared" si="83"/>
        <v>70.107738484413986</v>
      </c>
      <c r="P134" s="247">
        <f t="shared" si="84"/>
        <v>0</v>
      </c>
      <c r="Q134" s="247">
        <f t="shared" si="85"/>
        <v>0</v>
      </c>
      <c r="R134" s="247">
        <f t="shared" si="86"/>
        <v>0</v>
      </c>
      <c r="S134" s="247">
        <f t="shared" si="87"/>
        <v>0</v>
      </c>
      <c r="T134" s="247">
        <f t="shared" si="88"/>
        <v>0</v>
      </c>
      <c r="U134" s="247">
        <f t="shared" si="89"/>
        <v>0</v>
      </c>
      <c r="V134" s="247">
        <f t="shared" si="90"/>
        <v>0</v>
      </c>
    </row>
    <row r="135" spans="1:26" s="67" customFormat="1" hidden="1" outlineLevel="2" x14ac:dyDescent="0.3">
      <c r="A135" s="448"/>
      <c r="B135" s="231" t="s">
        <v>75</v>
      </c>
      <c r="C135" s="21">
        <f t="shared" si="78"/>
        <v>6299.1803028245959</v>
      </c>
      <c r="D135" s="21">
        <f t="shared" si="78"/>
        <v>6299.1803028245959</v>
      </c>
      <c r="E135" s="21">
        <f t="shared" si="78"/>
        <v>6299.1803028245959</v>
      </c>
      <c r="F135" s="21">
        <f t="shared" si="78"/>
        <v>6299.1803028245959</v>
      </c>
      <c r="G135" s="144">
        <f t="shared" si="79"/>
        <v>0</v>
      </c>
      <c r="H135" s="144">
        <f t="shared" si="79"/>
        <v>0</v>
      </c>
      <c r="I135" s="144">
        <f t="shared" si="79"/>
        <v>0</v>
      </c>
      <c r="J135" s="144">
        <f t="shared" si="79"/>
        <v>0</v>
      </c>
      <c r="K135" s="144">
        <f t="shared" si="79"/>
        <v>0</v>
      </c>
      <c r="L135" s="144">
        <f t="shared" si="79"/>
        <v>0</v>
      </c>
      <c r="M135" s="255">
        <f t="shared" si="81"/>
        <v>70.107738484413986</v>
      </c>
      <c r="N135" s="247">
        <f t="shared" si="82"/>
        <v>70.107738484413986</v>
      </c>
      <c r="O135" s="247">
        <f t="shared" si="83"/>
        <v>70.107738484413986</v>
      </c>
      <c r="P135" s="247">
        <f t="shared" si="84"/>
        <v>70.107738484413986</v>
      </c>
      <c r="Q135" s="247">
        <f t="shared" si="85"/>
        <v>0</v>
      </c>
      <c r="R135" s="247">
        <f t="shared" si="86"/>
        <v>0</v>
      </c>
      <c r="S135" s="247">
        <f t="shared" si="87"/>
        <v>0</v>
      </c>
      <c r="T135" s="247">
        <f t="shared" si="88"/>
        <v>0</v>
      </c>
      <c r="U135" s="247">
        <f t="shared" si="89"/>
        <v>0</v>
      </c>
      <c r="V135" s="247">
        <f t="shared" si="90"/>
        <v>0</v>
      </c>
    </row>
    <row r="136" spans="1:26" s="67" customFormat="1" hidden="1" outlineLevel="2" x14ac:dyDescent="0.3">
      <c r="A136" s="448"/>
      <c r="B136" s="231" t="s">
        <v>76</v>
      </c>
      <c r="C136" s="21">
        <f t="shared" si="78"/>
        <v>6299.1803028245959</v>
      </c>
      <c r="D136" s="21">
        <f t="shared" si="78"/>
        <v>6299.1803028245959</v>
      </c>
      <c r="E136" s="21">
        <f t="shared" si="78"/>
        <v>6299.1803028245959</v>
      </c>
      <c r="F136" s="21">
        <f t="shared" si="78"/>
        <v>6299.1803028245959</v>
      </c>
      <c r="G136" s="21">
        <f t="shared" si="78"/>
        <v>6299.1803028245959</v>
      </c>
      <c r="H136" s="144">
        <f>$F$30*$M$30+$F$31*$M$31+$F$32*$M$32+$F$33*$M$33+$F$34*$M$34+$F$35*$M$35+$F$36*$M$36+$F$37*$M$37+$F$38*$M$38+$F$39*$M$39+$F$40*$M$40+$F$41*$M$41+$F$42*$M$42+$F$43*$M$43+$F$44*$M$44</f>
        <v>0</v>
      </c>
      <c r="I136" s="144">
        <f>$F$30*$M$30+$F$31*$M$31+$F$32*$M$32+$F$33*$M$33+$F$34*$M$34+$F$35*$M$35+$F$36*$M$36+$F$37*$M$37+$F$38*$M$38+$F$39*$M$39+$F$40*$M$40+$F$41*$M$41+$F$42*$M$42+$F$43*$M$43+$F$44*$M$44</f>
        <v>0</v>
      </c>
      <c r="J136" s="144">
        <f>$F$30*$M$30+$F$31*$M$31+$F$32*$M$32+$F$33*$M$33+$F$34*$M$34+$F$35*$M$35+$F$36*$M$36+$F$37*$M$37+$F$38*$M$38+$F$39*$M$39+$F$40*$M$40+$F$41*$M$41+$F$42*$M$42+$F$43*$M$43+$F$44*$M$44</f>
        <v>0</v>
      </c>
      <c r="K136" s="144">
        <f>$F$30*$M$30+$F$31*$M$31+$F$32*$M$32+$F$33*$M$33+$F$34*$M$34+$F$35*$M$35+$F$36*$M$36+$F$37*$M$37+$F$38*$M$38+$F$39*$M$39+$F$40*$M$40+$F$41*$M$41+$F$42*$M$42+$F$43*$M$43+$F$44*$M$44</f>
        <v>0</v>
      </c>
      <c r="L136" s="144">
        <f>$F$30*$M$30+$F$31*$M$31+$F$32*$M$32+$F$33*$M$33+$F$34*$M$34+$F$35*$M$35+$F$36*$M$36+$F$37*$M$37+$F$38*$M$38+$F$39*$M$39+$F$40*$M$40+$F$41*$M$41+$F$42*$M$42+$F$43*$M$43+$F$44*$M$44</f>
        <v>0</v>
      </c>
      <c r="M136" s="255">
        <f t="shared" si="81"/>
        <v>70.107738484413986</v>
      </c>
      <c r="N136" s="247">
        <f t="shared" si="82"/>
        <v>70.107738484413986</v>
      </c>
      <c r="O136" s="247">
        <f t="shared" si="83"/>
        <v>70.107738484413986</v>
      </c>
      <c r="P136" s="247">
        <f t="shared" si="84"/>
        <v>70.107738484413986</v>
      </c>
      <c r="Q136" s="247">
        <f t="shared" si="85"/>
        <v>70.107738484413986</v>
      </c>
      <c r="R136" s="247">
        <f t="shared" si="86"/>
        <v>0</v>
      </c>
      <c r="S136" s="247">
        <f t="shared" si="87"/>
        <v>0</v>
      </c>
      <c r="T136" s="247">
        <f t="shared" si="88"/>
        <v>0</v>
      </c>
      <c r="U136" s="247">
        <f t="shared" si="89"/>
        <v>0</v>
      </c>
      <c r="V136" s="247">
        <f t="shared" si="90"/>
        <v>0</v>
      </c>
    </row>
    <row r="137" spans="1:26" s="67" customFormat="1" hidden="1" outlineLevel="2" x14ac:dyDescent="0.3">
      <c r="A137" s="448"/>
      <c r="B137" s="231" t="s">
        <v>77</v>
      </c>
      <c r="C137" s="21">
        <f t="shared" si="78"/>
        <v>6299.1803028245959</v>
      </c>
      <c r="D137" s="21">
        <f t="shared" si="78"/>
        <v>6299.1803028245959</v>
      </c>
      <c r="E137" s="21">
        <f t="shared" si="78"/>
        <v>6299.1803028245959</v>
      </c>
      <c r="F137" s="21">
        <f t="shared" si="78"/>
        <v>6299.1803028245959</v>
      </c>
      <c r="G137" s="21">
        <f t="shared" si="78"/>
        <v>6299.1803028245959</v>
      </c>
      <c r="H137" s="21">
        <f>$E$30*$M$30+$E$31*$M$31+$E$32*$M$32+$E$33*$M$33+$E$34*$M$34+$E$35*$M$35+$E$36*$M$36+$E$37*$M$37+$E$38*$M$38+$E$39*$M$39+$E$40*$M$40+$E$41*$M$41+$E$42*$M$42+$E$43*$M$43+$E$44*$M$44</f>
        <v>6299.1803028245959</v>
      </c>
      <c r="I137" s="144">
        <f>$F$30*$M$30+$F$31*$M$31+$F$32*$M$32+$F$33*$M$33+$F$34*$M$34+$F$35*$M$35+$F$36*$M$36+$F$37*$M$37+$F$38*$M$38+$F$39*$M$39+$F$40*$M$40+$F$41*$M$41+$F$42*$M$42+$F$43*$M$43+$F$44*$M$44</f>
        <v>0</v>
      </c>
      <c r="J137" s="144">
        <f>$F$30*$M$30+$F$31*$M$31+$F$32*$M$32+$F$33*$M$33+$F$34*$M$34+$F$35*$M$35+$F$36*$M$36+$F$37*$M$37+$F$38*$M$38+$F$39*$M$39+$F$40*$M$40+$F$41*$M$41+$F$42*$M$42+$F$43*$M$43+$F$44*$M$44</f>
        <v>0</v>
      </c>
      <c r="K137" s="144">
        <f>$F$30*$M$30+$F$31*$M$31+$F$32*$M$32+$F$33*$M$33+$F$34*$M$34+$F$35*$M$35+$F$36*$M$36+$F$37*$M$37+$F$38*$M$38+$F$39*$M$39+$F$40*$M$40+$F$41*$M$41+$F$42*$M$42+$F$43*$M$43+$F$44*$M$44</f>
        <v>0</v>
      </c>
      <c r="L137" s="144">
        <f>$F$30*$M$30+$F$31*$M$31+$F$32*$M$32+$F$33*$M$33+$F$34*$M$34+$F$35*$M$35+$F$36*$M$36+$F$37*$M$37+$F$38*$M$38+$F$39*$M$39+$F$40*$M$40+$F$41*$M$41+$F$42*$M$42+$F$43*$M$43+$F$44*$M$44</f>
        <v>0</v>
      </c>
      <c r="M137" s="255">
        <f t="shared" si="81"/>
        <v>70.107738484413986</v>
      </c>
      <c r="N137" s="247">
        <f t="shared" si="82"/>
        <v>70.107738484413986</v>
      </c>
      <c r="O137" s="247">
        <f t="shared" si="83"/>
        <v>70.107738484413986</v>
      </c>
      <c r="P137" s="247">
        <f t="shared" si="84"/>
        <v>70.107738484413986</v>
      </c>
      <c r="Q137" s="247">
        <f t="shared" si="85"/>
        <v>70.107738484413986</v>
      </c>
      <c r="R137" s="247">
        <f t="shared" si="86"/>
        <v>70.107738484413986</v>
      </c>
      <c r="S137" s="247">
        <f t="shared" si="87"/>
        <v>0</v>
      </c>
      <c r="T137" s="247">
        <f t="shared" si="88"/>
        <v>0</v>
      </c>
      <c r="U137" s="247">
        <f t="shared" si="89"/>
        <v>0</v>
      </c>
      <c r="V137" s="247">
        <f t="shared" si="90"/>
        <v>0</v>
      </c>
    </row>
    <row r="138" spans="1:26" s="67" customFormat="1" hidden="1" outlineLevel="2" x14ac:dyDescent="0.3">
      <c r="A138" s="448"/>
      <c r="B138" s="231" t="s">
        <v>78</v>
      </c>
      <c r="C138" s="21">
        <f t="shared" si="78"/>
        <v>6299.1803028245959</v>
      </c>
      <c r="D138" s="21">
        <f t="shared" si="78"/>
        <v>6299.1803028245959</v>
      </c>
      <c r="E138" s="21">
        <f t="shared" si="78"/>
        <v>6299.1803028245959</v>
      </c>
      <c r="F138" s="21">
        <f t="shared" si="78"/>
        <v>6299.1803028245959</v>
      </c>
      <c r="G138" s="21">
        <f t="shared" si="78"/>
        <v>6299.1803028245959</v>
      </c>
      <c r="H138" s="21">
        <f>$E$30*$M$30+$E$31*$M$31+$E$32*$M$32+$E$33*$M$33+$E$34*$M$34+$E$35*$M$35+$E$36*$M$36+$E$37*$M$37+$E$38*$M$38+$E$39*$M$39+$E$40*$M$40+$E$41*$M$41+$E$42*$M$42+$E$43*$M$43+$E$44*$M$44</f>
        <v>6299.1803028245959</v>
      </c>
      <c r="I138" s="21">
        <f>$E$30*$M$30+$E$31*$M$31+$E$32*$M$32+$E$33*$M$33+$E$34*$M$34+$E$35*$M$35+$E$36*$M$36+$E$37*$M$37+$E$38*$M$38+$E$39*$M$39+$E$40*$M$40+$E$41*$M$41+$E$42*$M$42+$E$43*$M$43+$E$44*$M$44</f>
        <v>6299.1803028245959</v>
      </c>
      <c r="J138" s="144">
        <f>$F$30*$M$30+$F$31*$M$31+$F$32*$M$32+$F$33*$M$33+$F$34*$M$34+$F$35*$M$35+$F$36*$M$36+$F$37*$M$37+$F$38*$M$38+$F$39*$M$39+$F$40*$M$40+$F$41*$M$41+$F$42*$M$42+$F$43*$M$43+$F$44*$M$44</f>
        <v>0</v>
      </c>
      <c r="K138" s="144">
        <f>$F$30*$M$30+$F$31*$M$31+$F$32*$M$32+$F$33*$M$33+$F$34*$M$34+$F$35*$M$35+$F$36*$M$36+$F$37*$M$37+$F$38*$M$38+$F$39*$M$39+$F$40*$M$40+$F$41*$M$41+$F$42*$M$42+$F$43*$M$43+$F$44*$M$44</f>
        <v>0</v>
      </c>
      <c r="L138" s="144">
        <f>$F$30*$M$30+$F$31*$M$31+$F$32*$M$32+$F$33*$M$33+$F$34*$M$34+$F$35*$M$35+$F$36*$M$36+$F$37*$M$37+$F$38*$M$38+$F$39*$M$39+$F$40*$M$40+$F$41*$M$41+$F$42*$M$42+$F$43*$M$43+$F$44*$M$44</f>
        <v>0</v>
      </c>
      <c r="M138" s="255">
        <f t="shared" si="81"/>
        <v>70.107738484413986</v>
      </c>
      <c r="N138" s="247">
        <f t="shared" si="82"/>
        <v>70.107738484413986</v>
      </c>
      <c r="O138" s="247">
        <f t="shared" si="83"/>
        <v>70.107738484413986</v>
      </c>
      <c r="P138" s="247">
        <f t="shared" si="84"/>
        <v>70.107738484413986</v>
      </c>
      <c r="Q138" s="247">
        <f t="shared" si="85"/>
        <v>70.107738484413986</v>
      </c>
      <c r="R138" s="247">
        <f t="shared" si="86"/>
        <v>70.107738484413986</v>
      </c>
      <c r="S138" s="247">
        <f t="shared" si="87"/>
        <v>70.107738484413986</v>
      </c>
      <c r="T138" s="247">
        <f t="shared" si="88"/>
        <v>0</v>
      </c>
      <c r="U138" s="247">
        <f t="shared" si="89"/>
        <v>0</v>
      </c>
      <c r="V138" s="247">
        <f t="shared" si="90"/>
        <v>0</v>
      </c>
    </row>
    <row r="139" spans="1:26" s="67" customFormat="1" hidden="1" outlineLevel="2" x14ac:dyDescent="0.3">
      <c r="A139" s="448"/>
      <c r="B139" s="231" t="s">
        <v>79</v>
      </c>
      <c r="C139" s="21">
        <f t="shared" si="78"/>
        <v>6299.1803028245959</v>
      </c>
      <c r="D139" s="21">
        <f t="shared" si="78"/>
        <v>6299.1803028245959</v>
      </c>
      <c r="E139" s="21">
        <f t="shared" si="78"/>
        <v>6299.1803028245959</v>
      </c>
      <c r="F139" s="21">
        <f t="shared" si="78"/>
        <v>6299.1803028245959</v>
      </c>
      <c r="G139" s="21">
        <f t="shared" si="78"/>
        <v>6299.1803028245959</v>
      </c>
      <c r="H139" s="21">
        <f>$E$30*$M$30+$E$31*$M$31+$E$32*$M$32+$E$33*$M$33+$E$34*$M$34+$E$35*$M$35+$E$36*$M$36+$E$37*$M$37+$E$38*$M$38+$E$39*$M$39+$E$40*$M$40+$E$41*$M$41+$E$42*$M$42+$E$43*$M$43+$E$44*$M$44</f>
        <v>6299.1803028245959</v>
      </c>
      <c r="I139" s="21">
        <f>$E$30*$M$30+$E$31*$M$31+$E$32*$M$32+$E$33*$M$33+$E$34*$M$34+$E$35*$M$35+$E$36*$M$36+$E$37*$M$37+$E$38*$M$38+$E$39*$M$39+$E$40*$M$40+$E$41*$M$41+$E$42*$M$42+$E$43*$M$43+$E$44*$M$44</f>
        <v>6299.1803028245959</v>
      </c>
      <c r="J139" s="21">
        <f>$E$30*$M$30+$E$31*$M$31+$E$32*$M$32+$E$33*$M$33+$E$34*$M$34+$E$35*$M$35+$E$36*$M$36+$E$37*$M$37+$E$38*$M$38+$E$39*$M$39+$E$40*$M$40+$E$41*$M$41+$E$42*$M$42+$E$43*$M$43+$E$44*$M$44</f>
        <v>6299.1803028245959</v>
      </c>
      <c r="K139" s="144">
        <f>$F$30*$M$30+$F$31*$M$31+$F$32*$M$32+$F$33*$M$33+$F$34*$M$34+$F$35*$M$35+$F$36*$M$36+$F$37*$M$37+$F$38*$M$38+$F$39*$M$39+$F$40*$M$40+$F$41*$M$41+$F$42*$M$42+$F$43*$M$43+$F$44*$M$44</f>
        <v>0</v>
      </c>
      <c r="L139" s="144">
        <f>$F$30*$M$30+$F$31*$M$31+$F$32*$M$32+$F$33*$M$33+$F$34*$M$34+$F$35*$M$35+$F$36*$M$36+$F$37*$M$37+$F$38*$M$38+$F$39*$M$39+$F$40*$M$40+$F$41*$M$41+$F$42*$M$42+$F$43*$M$43+$F$44*$M$44</f>
        <v>0</v>
      </c>
      <c r="M139" s="255">
        <f t="shared" si="81"/>
        <v>70.107738484413986</v>
      </c>
      <c r="N139" s="247">
        <f t="shared" si="82"/>
        <v>70.107738484413986</v>
      </c>
      <c r="O139" s="247">
        <f t="shared" si="83"/>
        <v>70.107738484413986</v>
      </c>
      <c r="P139" s="247">
        <f t="shared" si="84"/>
        <v>70.107738484413986</v>
      </c>
      <c r="Q139" s="247">
        <f t="shared" si="85"/>
        <v>70.107738484413986</v>
      </c>
      <c r="R139" s="247">
        <f t="shared" si="86"/>
        <v>70.107738484413986</v>
      </c>
      <c r="S139" s="247">
        <f t="shared" si="87"/>
        <v>70.107738484413986</v>
      </c>
      <c r="T139" s="247">
        <f t="shared" si="88"/>
        <v>70.107738484413986</v>
      </c>
      <c r="U139" s="247">
        <f t="shared" si="89"/>
        <v>0</v>
      </c>
      <c r="V139" s="247">
        <f t="shared" si="90"/>
        <v>0</v>
      </c>
    </row>
    <row r="140" spans="1:26" s="67" customFormat="1" hidden="1" outlineLevel="2" x14ac:dyDescent="0.3">
      <c r="A140" s="448"/>
      <c r="B140" s="231" t="s">
        <v>80</v>
      </c>
      <c r="C140" s="21">
        <f t="shared" si="78"/>
        <v>6299.1803028245959</v>
      </c>
      <c r="D140" s="21">
        <f t="shared" si="78"/>
        <v>6299.1803028245959</v>
      </c>
      <c r="E140" s="21">
        <f t="shared" si="78"/>
        <v>6299.1803028245959</v>
      </c>
      <c r="F140" s="21">
        <f t="shared" si="78"/>
        <v>6299.1803028245959</v>
      </c>
      <c r="G140" s="21">
        <f t="shared" si="78"/>
        <v>6299.1803028245959</v>
      </c>
      <c r="H140" s="21">
        <f>$E$30*$M$30+$E$31*$M$31+$E$32*$M$32+$E$33*$M$33+$E$34*$M$34+$E$35*$M$35+$E$36*$M$36+$E$37*$M$37+$E$38*$M$38+$E$39*$M$39+$E$40*$M$40+$E$41*$M$41+$E$42*$M$42+$E$43*$M$43+$E$44*$M$44</f>
        <v>6299.1803028245959</v>
      </c>
      <c r="I140" s="21">
        <f>$E$30*$M$30+$E$31*$M$31+$E$32*$M$32+$E$33*$M$33+$E$34*$M$34+$E$35*$M$35+$E$36*$M$36+$E$37*$M$37+$E$38*$M$38+$E$39*$M$39+$E$40*$M$40+$E$41*$M$41+$E$42*$M$42+$E$43*$M$43+$E$44*$M$44</f>
        <v>6299.1803028245959</v>
      </c>
      <c r="J140" s="21">
        <f>$E$30*$M$30+$E$31*$M$31+$E$32*$M$32+$E$33*$M$33+$E$34*$M$34+$E$35*$M$35+$E$36*$M$36+$E$37*$M$37+$E$38*$M$38+$E$39*$M$39+$E$40*$M$40+$E$41*$M$41+$E$42*$M$42+$E$43*$M$43+$E$44*$M$44</f>
        <v>6299.1803028245959</v>
      </c>
      <c r="K140" s="21">
        <f>$E$30*$M$30+$E$31*$M$31+$E$32*$M$32+$E$33*$M$33+$E$34*$M$34+$E$35*$M$35+$E$36*$M$36+$E$37*$M$37+$E$38*$M$38+$E$39*$M$39+$E$40*$M$40+$E$41*$M$41+$E$42*$M$42+$E$43*$M$43+$E$44*$M$44</f>
        <v>6299.1803028245959</v>
      </c>
      <c r="L140" s="144">
        <f>$F$30*$M$30+$F$31*$M$31+$F$32*$M$32+$F$33*$M$33+$F$34*$M$34+$F$35*$M$35+$F$36*$M$36+$F$37*$M$37+$F$38*$M$38+$F$39*$M$39+$F$40*$M$40+$F$41*$M$41+$F$42*$M$42+$F$43*$M$43+$F$44*$M$44</f>
        <v>0</v>
      </c>
      <c r="M140" s="255">
        <f t="shared" si="81"/>
        <v>70.107738484413986</v>
      </c>
      <c r="N140" s="247">
        <f t="shared" si="82"/>
        <v>70.107738484413986</v>
      </c>
      <c r="O140" s="247">
        <f t="shared" si="83"/>
        <v>70.107738484413986</v>
      </c>
      <c r="P140" s="247">
        <f t="shared" si="84"/>
        <v>70.107738484413986</v>
      </c>
      <c r="Q140" s="247">
        <f t="shared" si="85"/>
        <v>70.107738484413986</v>
      </c>
      <c r="R140" s="247">
        <f t="shared" si="86"/>
        <v>70.107738484413986</v>
      </c>
      <c r="S140" s="247">
        <f t="shared" si="87"/>
        <v>70.107738484413986</v>
      </c>
      <c r="T140" s="247">
        <f t="shared" si="88"/>
        <v>70.107738484413986</v>
      </c>
      <c r="U140" s="247">
        <f t="shared" si="89"/>
        <v>70.107738484413986</v>
      </c>
      <c r="V140" s="247">
        <f t="shared" si="90"/>
        <v>0</v>
      </c>
    </row>
    <row r="141" spans="1:26" s="67" customFormat="1" hidden="1" outlineLevel="2" x14ac:dyDescent="0.3">
      <c r="A141" s="449"/>
      <c r="B141" s="182" t="s">
        <v>134</v>
      </c>
      <c r="C141" s="183">
        <f t="shared" si="78"/>
        <v>6299.1803028245959</v>
      </c>
      <c r="D141" s="183">
        <f t="shared" si="78"/>
        <v>6299.1803028245959</v>
      </c>
      <c r="E141" s="183">
        <f t="shared" si="78"/>
        <v>6299.1803028245959</v>
      </c>
      <c r="F141" s="183">
        <f t="shared" si="78"/>
        <v>6299.1803028245959</v>
      </c>
      <c r="G141" s="183">
        <f t="shared" si="78"/>
        <v>6299.1803028245959</v>
      </c>
      <c r="H141" s="183">
        <f>$E$30*$M$30+$E$31*$M$31+$E$32*$M$32+$E$33*$M$33+$E$34*$M$34+$E$35*$M$35+$E$36*$M$36+$E$37*$M$37+$E$38*$M$38+$E$39*$M$39+$E$40*$M$40+$E$41*$M$41+$E$42*$M$42+$E$43*$M$43+$E$44*$M$44</f>
        <v>6299.1803028245959</v>
      </c>
      <c r="I141" s="183">
        <f>$E$30*$M$30+$E$31*$M$31+$E$32*$M$32+$E$33*$M$33+$E$34*$M$34+$E$35*$M$35+$E$36*$M$36+$E$37*$M$37+$E$38*$M$38+$E$39*$M$39+$E$40*$M$40+$E$41*$M$41+$E$42*$M$42+$E$43*$M$43+$E$44*$M$44</f>
        <v>6299.1803028245959</v>
      </c>
      <c r="J141" s="183">
        <f>$E$30*$M$30+$E$31*$M$31+$E$32*$M$32+$E$33*$M$33+$E$34*$M$34+$E$35*$M$35+$E$36*$M$36+$E$37*$M$37+$E$38*$M$38+$E$39*$M$39+$E$40*$M$40+$E$41*$M$41+$E$42*$M$42+$E$43*$M$43+$E$44*$M$44</f>
        <v>6299.1803028245959</v>
      </c>
      <c r="K141" s="183">
        <f>$E$30*$M$30+$E$31*$M$31+$E$32*$M$32+$E$33*$M$33+$E$34*$M$34+$E$35*$M$35+$E$36*$M$36+$E$37*$M$37+$E$38*$M$38+$E$39*$M$39+$E$40*$M$40+$E$41*$M$41+$E$42*$M$42+$E$43*$M$43+$E$44*$M$44</f>
        <v>6299.1803028245959</v>
      </c>
      <c r="L141" s="183">
        <f>$E$30*$M$30+$E$31*$M$31+$E$32*$M$32+$E$33*$M$33+$E$34*$M$34+$E$35*$M$35+$E$36*$M$36+$E$37*$M$37+$E$38*$M$38+$E$39*$M$39+$E$40*$M$40+$E$41*$M$41+$E$42*$M$42+$E$43*$M$43+$E$44*$M$44</f>
        <v>6299.1803028245959</v>
      </c>
      <c r="M141" s="255">
        <f t="shared" si="81"/>
        <v>70.107738484413986</v>
      </c>
      <c r="N141" s="247">
        <f t="shared" si="82"/>
        <v>70.107738484413986</v>
      </c>
      <c r="O141" s="247">
        <f t="shared" si="83"/>
        <v>70.107738484413986</v>
      </c>
      <c r="P141" s="247">
        <f t="shared" si="84"/>
        <v>70.107738484413986</v>
      </c>
      <c r="Q141" s="247">
        <f t="shared" si="85"/>
        <v>70.107738484413986</v>
      </c>
      <c r="R141" s="247">
        <f t="shared" si="86"/>
        <v>70.107738484413986</v>
      </c>
      <c r="S141" s="247">
        <f t="shared" si="87"/>
        <v>70.107738484413986</v>
      </c>
      <c r="T141" s="247">
        <f t="shared" si="88"/>
        <v>70.107738484413986</v>
      </c>
      <c r="U141" s="247">
        <f t="shared" si="89"/>
        <v>70.107738484413986</v>
      </c>
      <c r="V141" s="247">
        <f t="shared" si="90"/>
        <v>70.107738484413986</v>
      </c>
    </row>
    <row r="142" spans="1:26" s="67" customFormat="1" ht="14.4" hidden="1" customHeight="1" outlineLevel="2" x14ac:dyDescent="0.3">
      <c r="A142" s="448" t="s">
        <v>241</v>
      </c>
      <c r="B142" s="231" t="s">
        <v>72</v>
      </c>
      <c r="C142" s="21">
        <f>$E$54*$M$54+$E$64*$M$64+$E$65*$M$65+SUMPRODUCT($E$69:$E$88,$M$69:$M$88)</f>
        <v>-10271.299472852601</v>
      </c>
      <c r="D142" s="144">
        <v>0</v>
      </c>
      <c r="E142" s="144">
        <v>0</v>
      </c>
      <c r="F142" s="144">
        <v>0</v>
      </c>
      <c r="G142" s="144">
        <v>0</v>
      </c>
      <c r="H142" s="144">
        <v>0</v>
      </c>
      <c r="I142" s="144">
        <v>0</v>
      </c>
      <c r="J142" s="144">
        <v>0</v>
      </c>
      <c r="K142" s="144">
        <v>0</v>
      </c>
      <c r="L142" s="144">
        <v>0</v>
      </c>
      <c r="M142" s="255">
        <f t="shared" si="81"/>
        <v>-114.31607649251643</v>
      </c>
      <c r="N142" s="247">
        <f t="shared" si="82"/>
        <v>0</v>
      </c>
      <c r="O142" s="247">
        <f t="shared" si="83"/>
        <v>0</v>
      </c>
      <c r="P142" s="247">
        <f t="shared" si="84"/>
        <v>0</v>
      </c>
      <c r="Q142" s="247">
        <f t="shared" si="85"/>
        <v>0</v>
      </c>
      <c r="R142" s="247">
        <f t="shared" si="86"/>
        <v>0</v>
      </c>
      <c r="S142" s="247">
        <f t="shared" si="87"/>
        <v>0</v>
      </c>
      <c r="T142" s="247">
        <f t="shared" si="88"/>
        <v>0</v>
      </c>
      <c r="U142" s="247">
        <f t="shared" si="89"/>
        <v>0</v>
      </c>
      <c r="V142" s="247">
        <f t="shared" si="90"/>
        <v>0</v>
      </c>
    </row>
    <row r="143" spans="1:26" s="67" customFormat="1" hidden="1" outlineLevel="2" x14ac:dyDescent="0.3">
      <c r="A143" s="448"/>
      <c r="B143" s="231" t="s">
        <v>73</v>
      </c>
      <c r="C143" s="21">
        <f t="shared" ref="C143:C151" si="91">$E$54*$M$54+$E$64*$M$64+$E$65*$M$65+SUMPRODUCT($E$69:$E$88,$M$69:$M$88)</f>
        <v>-10271.299472852601</v>
      </c>
      <c r="D143" s="21">
        <v>0</v>
      </c>
      <c r="E143" s="21">
        <v>0</v>
      </c>
      <c r="F143" s="21">
        <v>0</v>
      </c>
      <c r="G143" s="21">
        <v>0</v>
      </c>
      <c r="H143" s="21">
        <v>0</v>
      </c>
      <c r="I143" s="21">
        <v>0</v>
      </c>
      <c r="J143" s="21">
        <v>0</v>
      </c>
      <c r="K143" s="21">
        <v>0</v>
      </c>
      <c r="L143" s="21">
        <v>0</v>
      </c>
      <c r="M143" s="255">
        <f t="shared" si="81"/>
        <v>-114.31607649251643</v>
      </c>
      <c r="N143" s="247">
        <f t="shared" si="82"/>
        <v>0</v>
      </c>
      <c r="O143" s="247">
        <f t="shared" si="83"/>
        <v>0</v>
      </c>
      <c r="P143" s="247">
        <f t="shared" si="84"/>
        <v>0</v>
      </c>
      <c r="Q143" s="247">
        <f t="shared" si="85"/>
        <v>0</v>
      </c>
      <c r="R143" s="247">
        <f t="shared" si="86"/>
        <v>0</v>
      </c>
      <c r="S143" s="247">
        <f t="shared" si="87"/>
        <v>0</v>
      </c>
      <c r="T143" s="247">
        <f t="shared" si="88"/>
        <v>0</v>
      </c>
      <c r="U143" s="247">
        <f t="shared" si="89"/>
        <v>0</v>
      </c>
      <c r="V143" s="247">
        <f t="shared" si="90"/>
        <v>0</v>
      </c>
    </row>
    <row r="144" spans="1:26" s="67" customFormat="1" hidden="1" outlineLevel="2" x14ac:dyDescent="0.3">
      <c r="A144" s="448"/>
      <c r="B144" s="231" t="s">
        <v>74</v>
      </c>
      <c r="C144" s="21">
        <f t="shared" si="91"/>
        <v>-10271.299472852601</v>
      </c>
      <c r="D144" s="21">
        <v>0</v>
      </c>
      <c r="E144" s="21">
        <v>0</v>
      </c>
      <c r="F144" s="21">
        <v>0</v>
      </c>
      <c r="G144" s="21">
        <v>0</v>
      </c>
      <c r="H144" s="21">
        <v>0</v>
      </c>
      <c r="I144" s="21">
        <v>0</v>
      </c>
      <c r="J144" s="21">
        <v>0</v>
      </c>
      <c r="K144" s="21">
        <v>0</v>
      </c>
      <c r="L144" s="21">
        <v>0</v>
      </c>
      <c r="M144" s="255">
        <f t="shared" si="81"/>
        <v>-114.31607649251643</v>
      </c>
      <c r="N144" s="247">
        <f t="shared" si="82"/>
        <v>0</v>
      </c>
      <c r="O144" s="247">
        <f t="shared" si="83"/>
        <v>0</v>
      </c>
      <c r="P144" s="247">
        <f t="shared" si="84"/>
        <v>0</v>
      </c>
      <c r="Q144" s="247">
        <f t="shared" si="85"/>
        <v>0</v>
      </c>
      <c r="R144" s="247">
        <f t="shared" si="86"/>
        <v>0</v>
      </c>
      <c r="S144" s="247">
        <f t="shared" si="87"/>
        <v>0</v>
      </c>
      <c r="T144" s="247">
        <f t="shared" si="88"/>
        <v>0</v>
      </c>
      <c r="U144" s="247">
        <f t="shared" si="89"/>
        <v>0</v>
      </c>
      <c r="V144" s="247">
        <f t="shared" si="90"/>
        <v>0</v>
      </c>
    </row>
    <row r="145" spans="1:22" s="67" customFormat="1" hidden="1" outlineLevel="2" x14ac:dyDescent="0.3">
      <c r="A145" s="448"/>
      <c r="B145" s="231" t="s">
        <v>75</v>
      </c>
      <c r="C145" s="21">
        <f t="shared" si="91"/>
        <v>-10271.299472852601</v>
      </c>
      <c r="D145" s="21">
        <v>0</v>
      </c>
      <c r="E145" s="21">
        <v>0</v>
      </c>
      <c r="F145" s="21">
        <v>0</v>
      </c>
      <c r="G145" s="21">
        <v>0</v>
      </c>
      <c r="H145" s="21">
        <v>0</v>
      </c>
      <c r="I145" s="21">
        <v>0</v>
      </c>
      <c r="J145" s="21">
        <v>0</v>
      </c>
      <c r="K145" s="21">
        <v>0</v>
      </c>
      <c r="L145" s="21">
        <v>0</v>
      </c>
      <c r="M145" s="255">
        <f t="shared" si="81"/>
        <v>-114.31607649251643</v>
      </c>
      <c r="N145" s="247">
        <f t="shared" si="82"/>
        <v>0</v>
      </c>
      <c r="O145" s="247">
        <f t="shared" si="83"/>
        <v>0</v>
      </c>
      <c r="P145" s="247">
        <f t="shared" si="84"/>
        <v>0</v>
      </c>
      <c r="Q145" s="247">
        <f t="shared" si="85"/>
        <v>0</v>
      </c>
      <c r="R145" s="247">
        <f t="shared" si="86"/>
        <v>0</v>
      </c>
      <c r="S145" s="247">
        <f t="shared" si="87"/>
        <v>0</v>
      </c>
      <c r="T145" s="247">
        <f t="shared" si="88"/>
        <v>0</v>
      </c>
      <c r="U145" s="247">
        <f t="shared" si="89"/>
        <v>0</v>
      </c>
      <c r="V145" s="247">
        <f t="shared" si="90"/>
        <v>0</v>
      </c>
    </row>
    <row r="146" spans="1:22" s="67" customFormat="1" hidden="1" outlineLevel="2" x14ac:dyDescent="0.3">
      <c r="A146" s="448"/>
      <c r="B146" s="231" t="s">
        <v>76</v>
      </c>
      <c r="C146" s="21">
        <f t="shared" si="91"/>
        <v>-10271.299472852601</v>
      </c>
      <c r="D146" s="21">
        <v>0</v>
      </c>
      <c r="E146" s="21">
        <v>0</v>
      </c>
      <c r="F146" s="21">
        <v>0</v>
      </c>
      <c r="G146" s="21">
        <v>0</v>
      </c>
      <c r="H146" s="21">
        <v>0</v>
      </c>
      <c r="I146" s="21">
        <v>0</v>
      </c>
      <c r="J146" s="21">
        <v>0</v>
      </c>
      <c r="K146" s="21">
        <v>0</v>
      </c>
      <c r="L146" s="21">
        <v>0</v>
      </c>
      <c r="M146" s="255">
        <f t="shared" si="81"/>
        <v>-114.31607649251643</v>
      </c>
      <c r="N146" s="247">
        <f t="shared" si="82"/>
        <v>0</v>
      </c>
      <c r="O146" s="247">
        <f t="shared" si="83"/>
        <v>0</v>
      </c>
      <c r="P146" s="247">
        <f t="shared" si="84"/>
        <v>0</v>
      </c>
      <c r="Q146" s="247">
        <f t="shared" si="85"/>
        <v>0</v>
      </c>
      <c r="R146" s="247">
        <f t="shared" si="86"/>
        <v>0</v>
      </c>
      <c r="S146" s="247">
        <f t="shared" si="87"/>
        <v>0</v>
      </c>
      <c r="T146" s="247">
        <f t="shared" si="88"/>
        <v>0</v>
      </c>
      <c r="U146" s="247">
        <f t="shared" si="89"/>
        <v>0</v>
      </c>
      <c r="V146" s="247">
        <f t="shared" si="90"/>
        <v>0</v>
      </c>
    </row>
    <row r="147" spans="1:22" s="67" customFormat="1" hidden="1" outlineLevel="2" x14ac:dyDescent="0.3">
      <c r="A147" s="448"/>
      <c r="B147" s="231" t="s">
        <v>77</v>
      </c>
      <c r="C147" s="21">
        <f t="shared" si="91"/>
        <v>-10271.299472852601</v>
      </c>
      <c r="D147" s="21">
        <v>0</v>
      </c>
      <c r="E147" s="21">
        <v>0</v>
      </c>
      <c r="F147" s="21">
        <v>0</v>
      </c>
      <c r="G147" s="21">
        <v>0</v>
      </c>
      <c r="H147" s="21">
        <v>0</v>
      </c>
      <c r="I147" s="21">
        <v>0</v>
      </c>
      <c r="J147" s="21">
        <v>0</v>
      </c>
      <c r="K147" s="21">
        <v>0</v>
      </c>
      <c r="L147" s="21">
        <v>0</v>
      </c>
      <c r="M147" s="255">
        <f t="shared" si="81"/>
        <v>-114.31607649251643</v>
      </c>
      <c r="N147" s="247">
        <f t="shared" si="82"/>
        <v>0</v>
      </c>
      <c r="O147" s="247">
        <f t="shared" si="83"/>
        <v>0</v>
      </c>
      <c r="P147" s="247">
        <f t="shared" si="84"/>
        <v>0</v>
      </c>
      <c r="Q147" s="247">
        <f t="shared" si="85"/>
        <v>0</v>
      </c>
      <c r="R147" s="247">
        <f t="shared" si="86"/>
        <v>0</v>
      </c>
      <c r="S147" s="247">
        <f t="shared" si="87"/>
        <v>0</v>
      </c>
      <c r="T147" s="247">
        <f t="shared" si="88"/>
        <v>0</v>
      </c>
      <c r="U147" s="247">
        <f t="shared" si="89"/>
        <v>0</v>
      </c>
      <c r="V147" s="247">
        <f t="shared" si="90"/>
        <v>0</v>
      </c>
    </row>
    <row r="148" spans="1:22" s="67" customFormat="1" hidden="1" outlineLevel="2" x14ac:dyDescent="0.3">
      <c r="A148" s="448"/>
      <c r="B148" s="231" t="s">
        <v>78</v>
      </c>
      <c r="C148" s="21">
        <f t="shared" si="91"/>
        <v>-10271.299472852601</v>
      </c>
      <c r="D148" s="21">
        <v>0</v>
      </c>
      <c r="E148" s="21">
        <v>0</v>
      </c>
      <c r="F148" s="21">
        <v>0</v>
      </c>
      <c r="G148" s="21">
        <v>0</v>
      </c>
      <c r="H148" s="21">
        <v>0</v>
      </c>
      <c r="I148" s="21">
        <v>0</v>
      </c>
      <c r="J148" s="21">
        <v>0</v>
      </c>
      <c r="K148" s="21">
        <v>0</v>
      </c>
      <c r="L148" s="21">
        <v>0</v>
      </c>
      <c r="M148" s="255">
        <f t="shared" si="81"/>
        <v>-114.31607649251643</v>
      </c>
      <c r="N148" s="247">
        <f t="shared" si="82"/>
        <v>0</v>
      </c>
      <c r="O148" s="247">
        <f t="shared" si="83"/>
        <v>0</v>
      </c>
      <c r="P148" s="247">
        <f t="shared" si="84"/>
        <v>0</v>
      </c>
      <c r="Q148" s="247">
        <f t="shared" si="85"/>
        <v>0</v>
      </c>
      <c r="R148" s="247">
        <f t="shared" si="86"/>
        <v>0</v>
      </c>
      <c r="S148" s="247">
        <f t="shared" si="87"/>
        <v>0</v>
      </c>
      <c r="T148" s="247">
        <f t="shared" si="88"/>
        <v>0</v>
      </c>
      <c r="U148" s="247">
        <f t="shared" si="89"/>
        <v>0</v>
      </c>
      <c r="V148" s="247">
        <f t="shared" si="90"/>
        <v>0</v>
      </c>
    </row>
    <row r="149" spans="1:22" s="67" customFormat="1" hidden="1" outlineLevel="2" x14ac:dyDescent="0.3">
      <c r="A149" s="448"/>
      <c r="B149" s="231" t="s">
        <v>79</v>
      </c>
      <c r="C149" s="21">
        <f t="shared" si="91"/>
        <v>-10271.299472852601</v>
      </c>
      <c r="D149" s="21">
        <v>0</v>
      </c>
      <c r="E149" s="21">
        <v>0</v>
      </c>
      <c r="F149" s="21">
        <v>0</v>
      </c>
      <c r="G149" s="21">
        <v>0</v>
      </c>
      <c r="H149" s="21">
        <v>0</v>
      </c>
      <c r="I149" s="21">
        <v>0</v>
      </c>
      <c r="J149" s="21">
        <v>0</v>
      </c>
      <c r="K149" s="21">
        <v>0</v>
      </c>
      <c r="L149" s="21">
        <v>0</v>
      </c>
      <c r="M149" s="255">
        <f t="shared" si="81"/>
        <v>-114.31607649251643</v>
      </c>
      <c r="N149" s="247">
        <f t="shared" si="82"/>
        <v>0</v>
      </c>
      <c r="O149" s="247">
        <f t="shared" si="83"/>
        <v>0</v>
      </c>
      <c r="P149" s="247">
        <f t="shared" si="84"/>
        <v>0</v>
      </c>
      <c r="Q149" s="247">
        <f t="shared" si="85"/>
        <v>0</v>
      </c>
      <c r="R149" s="247">
        <f t="shared" si="86"/>
        <v>0</v>
      </c>
      <c r="S149" s="247">
        <f t="shared" si="87"/>
        <v>0</v>
      </c>
      <c r="T149" s="247">
        <f t="shared" si="88"/>
        <v>0</v>
      </c>
      <c r="U149" s="247">
        <f t="shared" si="89"/>
        <v>0</v>
      </c>
      <c r="V149" s="247">
        <f t="shared" si="90"/>
        <v>0</v>
      </c>
    </row>
    <row r="150" spans="1:22" s="67" customFormat="1" hidden="1" outlineLevel="2" x14ac:dyDescent="0.3">
      <c r="A150" s="448"/>
      <c r="B150" s="231" t="s">
        <v>80</v>
      </c>
      <c r="C150" s="21">
        <f t="shared" si="91"/>
        <v>-10271.299472852601</v>
      </c>
      <c r="D150" s="21">
        <v>0</v>
      </c>
      <c r="E150" s="21">
        <v>0</v>
      </c>
      <c r="F150" s="21">
        <v>0</v>
      </c>
      <c r="G150" s="21">
        <v>0</v>
      </c>
      <c r="H150" s="21">
        <v>0</v>
      </c>
      <c r="I150" s="21">
        <v>0</v>
      </c>
      <c r="J150" s="21">
        <v>0</v>
      </c>
      <c r="K150" s="21">
        <v>0</v>
      </c>
      <c r="L150" s="21">
        <v>0</v>
      </c>
      <c r="M150" s="255">
        <f t="shared" si="81"/>
        <v>-114.31607649251643</v>
      </c>
      <c r="N150" s="247">
        <f t="shared" si="82"/>
        <v>0</v>
      </c>
      <c r="O150" s="247">
        <f t="shared" si="83"/>
        <v>0</v>
      </c>
      <c r="P150" s="247">
        <f t="shared" si="84"/>
        <v>0</v>
      </c>
      <c r="Q150" s="247">
        <f t="shared" si="85"/>
        <v>0</v>
      </c>
      <c r="R150" s="247">
        <f t="shared" si="86"/>
        <v>0</v>
      </c>
      <c r="S150" s="247">
        <f t="shared" si="87"/>
        <v>0</v>
      </c>
      <c r="T150" s="247">
        <f t="shared" si="88"/>
        <v>0</v>
      </c>
      <c r="U150" s="247">
        <f t="shared" si="89"/>
        <v>0</v>
      </c>
      <c r="V150" s="247">
        <f t="shared" si="90"/>
        <v>0</v>
      </c>
    </row>
    <row r="151" spans="1:22" s="67" customFormat="1" hidden="1" outlineLevel="2" x14ac:dyDescent="0.3">
      <c r="A151" s="449"/>
      <c r="B151" s="182" t="s">
        <v>134</v>
      </c>
      <c r="C151" s="239">
        <f t="shared" si="91"/>
        <v>-10271.299472852601</v>
      </c>
      <c r="D151" s="183">
        <v>0</v>
      </c>
      <c r="E151" s="183">
        <v>0</v>
      </c>
      <c r="F151" s="183">
        <v>0</v>
      </c>
      <c r="G151" s="183">
        <v>0</v>
      </c>
      <c r="H151" s="183">
        <v>0</v>
      </c>
      <c r="I151" s="183">
        <v>0</v>
      </c>
      <c r="J151" s="183">
        <v>0</v>
      </c>
      <c r="K151" s="183">
        <v>0</v>
      </c>
      <c r="L151" s="183">
        <v>0</v>
      </c>
      <c r="M151" s="255">
        <f t="shared" si="81"/>
        <v>-114.31607649251643</v>
      </c>
      <c r="N151" s="247">
        <f t="shared" si="82"/>
        <v>0</v>
      </c>
      <c r="O151" s="247">
        <f t="shared" si="83"/>
        <v>0</v>
      </c>
      <c r="P151" s="247">
        <f t="shared" si="84"/>
        <v>0</v>
      </c>
      <c r="Q151" s="247">
        <f t="shared" si="85"/>
        <v>0</v>
      </c>
      <c r="R151" s="247">
        <f t="shared" si="86"/>
        <v>0</v>
      </c>
      <c r="S151" s="247">
        <f t="shared" si="87"/>
        <v>0</v>
      </c>
      <c r="T151" s="247">
        <f t="shared" si="88"/>
        <v>0</v>
      </c>
      <c r="U151" s="247">
        <f t="shared" si="89"/>
        <v>0</v>
      </c>
      <c r="V151" s="247">
        <f t="shared" si="90"/>
        <v>0</v>
      </c>
    </row>
    <row r="152" spans="1:22" s="67" customFormat="1" ht="14.4" hidden="1" customHeight="1" outlineLevel="2" x14ac:dyDescent="0.3">
      <c r="A152" s="448" t="s">
        <v>242</v>
      </c>
      <c r="B152" s="231" t="s">
        <v>72</v>
      </c>
      <c r="C152" s="21">
        <f>$F$54*$M$54+$F$64*$M$64+SUMPRODUCT($F$69:$F$84,$M$69:$M$84)</f>
        <v>13507.772800000004</v>
      </c>
      <c r="D152" s="21">
        <v>0</v>
      </c>
      <c r="E152" s="21">
        <v>0</v>
      </c>
      <c r="F152" s="21">
        <v>0</v>
      </c>
      <c r="G152" s="21">
        <v>0</v>
      </c>
      <c r="H152" s="21">
        <v>0</v>
      </c>
      <c r="I152" s="21">
        <v>0</v>
      </c>
      <c r="J152" s="21">
        <v>0</v>
      </c>
      <c r="K152" s="21">
        <v>0</v>
      </c>
      <c r="L152" s="21">
        <v>0</v>
      </c>
      <c r="M152" s="255">
        <f t="shared" si="81"/>
        <v>150.33692598775744</v>
      </c>
      <c r="N152" s="247">
        <f t="shared" si="82"/>
        <v>0</v>
      </c>
      <c r="O152" s="247">
        <f t="shared" si="83"/>
        <v>0</v>
      </c>
      <c r="P152" s="247">
        <f t="shared" si="84"/>
        <v>0</v>
      </c>
      <c r="Q152" s="247">
        <f t="shared" si="85"/>
        <v>0</v>
      </c>
      <c r="R152" s="247">
        <f t="shared" si="86"/>
        <v>0</v>
      </c>
      <c r="S152" s="247">
        <f t="shared" si="87"/>
        <v>0</v>
      </c>
      <c r="T152" s="247">
        <f t="shared" si="88"/>
        <v>0</v>
      </c>
      <c r="U152" s="247">
        <f t="shared" si="89"/>
        <v>0</v>
      </c>
      <c r="V152" s="247">
        <f t="shared" si="90"/>
        <v>0</v>
      </c>
    </row>
    <row r="153" spans="1:22" s="67" customFormat="1" hidden="1" outlineLevel="2" x14ac:dyDescent="0.3">
      <c r="A153" s="448"/>
      <c r="B153" s="231" t="s">
        <v>73</v>
      </c>
      <c r="C153" s="21">
        <v>0</v>
      </c>
      <c r="D153" s="21">
        <f>$F$54*$M$54+$F$64*$M$64+SUMPRODUCT($F$69:$F$84,$M$69:$M$84)</f>
        <v>13507.772800000004</v>
      </c>
      <c r="E153" s="144">
        <v>0</v>
      </c>
      <c r="F153" s="144">
        <v>0</v>
      </c>
      <c r="G153" s="144">
        <v>0</v>
      </c>
      <c r="H153" s="144">
        <v>0</v>
      </c>
      <c r="I153" s="144">
        <v>0</v>
      </c>
      <c r="J153" s="144">
        <v>0</v>
      </c>
      <c r="K153" s="144">
        <v>0</v>
      </c>
      <c r="L153" s="144">
        <v>0</v>
      </c>
      <c r="M153" s="255">
        <f t="shared" si="81"/>
        <v>0</v>
      </c>
      <c r="N153" s="247">
        <f t="shared" si="82"/>
        <v>150.33692598775744</v>
      </c>
      <c r="O153" s="247">
        <f t="shared" si="83"/>
        <v>0</v>
      </c>
      <c r="P153" s="247">
        <f t="shared" si="84"/>
        <v>0</v>
      </c>
      <c r="Q153" s="247">
        <f t="shared" si="85"/>
        <v>0</v>
      </c>
      <c r="R153" s="247">
        <f t="shared" si="86"/>
        <v>0</v>
      </c>
      <c r="S153" s="247">
        <f t="shared" si="87"/>
        <v>0</v>
      </c>
      <c r="T153" s="247">
        <f t="shared" si="88"/>
        <v>0</v>
      </c>
      <c r="U153" s="247">
        <f t="shared" si="89"/>
        <v>0</v>
      </c>
      <c r="V153" s="247">
        <f t="shared" si="90"/>
        <v>0</v>
      </c>
    </row>
    <row r="154" spans="1:22" s="67" customFormat="1" hidden="1" outlineLevel="2" x14ac:dyDescent="0.3">
      <c r="A154" s="448"/>
      <c r="B154" s="231" t="s">
        <v>74</v>
      </c>
      <c r="C154" s="21">
        <v>0</v>
      </c>
      <c r="D154" s="21">
        <v>0</v>
      </c>
      <c r="E154" s="21">
        <f>$F$54*$M$54+$F$64*$M$64+SUMPRODUCT($F$69:$F$84,$M$69:$M$84)</f>
        <v>13507.772800000004</v>
      </c>
      <c r="F154" s="144">
        <v>0</v>
      </c>
      <c r="G154" s="144">
        <v>0</v>
      </c>
      <c r="H154" s="144">
        <v>0</v>
      </c>
      <c r="I154" s="144">
        <v>0</v>
      </c>
      <c r="J154" s="144">
        <v>0</v>
      </c>
      <c r="K154" s="144">
        <v>0</v>
      </c>
      <c r="L154" s="144">
        <v>0</v>
      </c>
      <c r="M154" s="255">
        <f t="shared" si="81"/>
        <v>0</v>
      </c>
      <c r="N154" s="247">
        <f t="shared" si="82"/>
        <v>0</v>
      </c>
      <c r="O154" s="247">
        <f t="shared" si="83"/>
        <v>150.33692598775744</v>
      </c>
      <c r="P154" s="247">
        <f t="shared" si="84"/>
        <v>0</v>
      </c>
      <c r="Q154" s="247">
        <f t="shared" si="85"/>
        <v>0</v>
      </c>
      <c r="R154" s="247">
        <f t="shared" si="86"/>
        <v>0</v>
      </c>
      <c r="S154" s="247">
        <f t="shared" si="87"/>
        <v>0</v>
      </c>
      <c r="T154" s="247">
        <f t="shared" si="88"/>
        <v>0</v>
      </c>
      <c r="U154" s="247">
        <f t="shared" si="89"/>
        <v>0</v>
      </c>
      <c r="V154" s="247">
        <f t="shared" si="90"/>
        <v>0</v>
      </c>
    </row>
    <row r="155" spans="1:22" s="67" customFormat="1" hidden="1" outlineLevel="2" x14ac:dyDescent="0.3">
      <c r="A155" s="448"/>
      <c r="B155" s="231" t="s">
        <v>75</v>
      </c>
      <c r="C155" s="21">
        <v>0</v>
      </c>
      <c r="D155" s="21">
        <v>0</v>
      </c>
      <c r="E155" s="21">
        <v>0</v>
      </c>
      <c r="F155" s="21">
        <f>$F$54*$M$54+$F$64*$M$64+SUMPRODUCT($F$69:$F$84,$M$69:$M$84)</f>
        <v>13507.772800000004</v>
      </c>
      <c r="G155" s="144">
        <v>0</v>
      </c>
      <c r="H155" s="144">
        <v>0</v>
      </c>
      <c r="I155" s="144">
        <v>0</v>
      </c>
      <c r="J155" s="144">
        <v>0</v>
      </c>
      <c r="K155" s="144">
        <v>0</v>
      </c>
      <c r="L155" s="144">
        <v>0</v>
      </c>
      <c r="M155" s="255">
        <f t="shared" si="81"/>
        <v>0</v>
      </c>
      <c r="N155" s="247">
        <f t="shared" si="82"/>
        <v>0</v>
      </c>
      <c r="O155" s="247">
        <f t="shared" si="83"/>
        <v>0</v>
      </c>
      <c r="P155" s="247">
        <f t="shared" si="84"/>
        <v>150.33692598775744</v>
      </c>
      <c r="Q155" s="247">
        <f t="shared" si="85"/>
        <v>0</v>
      </c>
      <c r="R155" s="247">
        <f t="shared" si="86"/>
        <v>0</v>
      </c>
      <c r="S155" s="247">
        <f t="shared" si="87"/>
        <v>0</v>
      </c>
      <c r="T155" s="247">
        <f t="shared" si="88"/>
        <v>0</v>
      </c>
      <c r="U155" s="247">
        <f t="shared" si="89"/>
        <v>0</v>
      </c>
      <c r="V155" s="247">
        <f t="shared" si="90"/>
        <v>0</v>
      </c>
    </row>
    <row r="156" spans="1:22" s="67" customFormat="1" hidden="1" outlineLevel="2" x14ac:dyDescent="0.3">
      <c r="A156" s="448"/>
      <c r="B156" s="231" t="s">
        <v>76</v>
      </c>
      <c r="C156" s="21">
        <v>0</v>
      </c>
      <c r="D156" s="21">
        <v>0</v>
      </c>
      <c r="E156" s="21">
        <v>0</v>
      </c>
      <c r="F156" s="21">
        <v>0</v>
      </c>
      <c r="G156" s="21">
        <f>$F$54*$M$54+$F$64*$M$64+SUMPRODUCT($F$69:$F$84,$M$69:$M$84)</f>
        <v>13507.772800000004</v>
      </c>
      <c r="H156" s="144">
        <v>0</v>
      </c>
      <c r="I156" s="144">
        <v>0</v>
      </c>
      <c r="J156" s="144">
        <v>0</v>
      </c>
      <c r="K156" s="144">
        <v>0</v>
      </c>
      <c r="L156" s="144">
        <v>0</v>
      </c>
      <c r="M156" s="255">
        <f t="shared" si="81"/>
        <v>0</v>
      </c>
      <c r="N156" s="247">
        <f t="shared" si="82"/>
        <v>0</v>
      </c>
      <c r="O156" s="247">
        <f t="shared" si="83"/>
        <v>0</v>
      </c>
      <c r="P156" s="247">
        <f t="shared" si="84"/>
        <v>0</v>
      </c>
      <c r="Q156" s="247">
        <f t="shared" si="85"/>
        <v>150.33692598775744</v>
      </c>
      <c r="R156" s="247">
        <f t="shared" si="86"/>
        <v>0</v>
      </c>
      <c r="S156" s="247">
        <f t="shared" si="87"/>
        <v>0</v>
      </c>
      <c r="T156" s="247">
        <f t="shared" si="88"/>
        <v>0</v>
      </c>
      <c r="U156" s="247">
        <f t="shared" si="89"/>
        <v>0</v>
      </c>
      <c r="V156" s="247">
        <f t="shared" si="90"/>
        <v>0</v>
      </c>
    </row>
    <row r="157" spans="1:22" s="67" customFormat="1" hidden="1" outlineLevel="2" x14ac:dyDescent="0.3">
      <c r="A157" s="448"/>
      <c r="B157" s="231" t="s">
        <v>77</v>
      </c>
      <c r="C157" s="21">
        <v>0</v>
      </c>
      <c r="D157" s="21">
        <v>0</v>
      </c>
      <c r="E157" s="21">
        <v>0</v>
      </c>
      <c r="F157" s="21">
        <v>0</v>
      </c>
      <c r="G157" s="21">
        <v>0</v>
      </c>
      <c r="H157" s="21">
        <f>$F$54*$M$54+$F$64*$M$64+SUMPRODUCT($F$69:$F$84,$M$69:$M$84)</f>
        <v>13507.772800000004</v>
      </c>
      <c r="I157" s="144">
        <v>0</v>
      </c>
      <c r="J157" s="144">
        <v>0</v>
      </c>
      <c r="K157" s="144">
        <v>0</v>
      </c>
      <c r="L157" s="144">
        <v>0</v>
      </c>
      <c r="M157" s="255">
        <f t="shared" si="81"/>
        <v>0</v>
      </c>
      <c r="N157" s="247">
        <f t="shared" si="82"/>
        <v>0</v>
      </c>
      <c r="O157" s="247">
        <f t="shared" si="83"/>
        <v>0</v>
      </c>
      <c r="P157" s="247">
        <f t="shared" si="84"/>
        <v>0</v>
      </c>
      <c r="Q157" s="247">
        <f t="shared" si="85"/>
        <v>0</v>
      </c>
      <c r="R157" s="247">
        <f t="shared" si="86"/>
        <v>150.33692598775744</v>
      </c>
      <c r="S157" s="247">
        <f t="shared" si="87"/>
        <v>0</v>
      </c>
      <c r="T157" s="247">
        <f t="shared" si="88"/>
        <v>0</v>
      </c>
      <c r="U157" s="247">
        <f t="shared" si="89"/>
        <v>0</v>
      </c>
      <c r="V157" s="247">
        <f t="shared" si="90"/>
        <v>0</v>
      </c>
    </row>
    <row r="158" spans="1:22" s="67" customFormat="1" hidden="1" outlineLevel="2" x14ac:dyDescent="0.3">
      <c r="A158" s="448"/>
      <c r="B158" s="231" t="s">
        <v>78</v>
      </c>
      <c r="C158" s="21">
        <v>0</v>
      </c>
      <c r="D158" s="21">
        <v>0</v>
      </c>
      <c r="E158" s="21">
        <v>0</v>
      </c>
      <c r="F158" s="21">
        <v>0</v>
      </c>
      <c r="G158" s="21">
        <v>0</v>
      </c>
      <c r="H158" s="21">
        <v>0</v>
      </c>
      <c r="I158" s="21">
        <f>$F$54*$M$54+$F$64*$M$64+SUMPRODUCT($F$69:$F$84,$M$69:$M$84)</f>
        <v>13507.772800000004</v>
      </c>
      <c r="J158" s="144">
        <v>0</v>
      </c>
      <c r="K158" s="144">
        <v>0</v>
      </c>
      <c r="L158" s="144">
        <v>0</v>
      </c>
      <c r="M158" s="255">
        <f t="shared" si="81"/>
        <v>0</v>
      </c>
      <c r="N158" s="247">
        <f t="shared" si="82"/>
        <v>0</v>
      </c>
      <c r="O158" s="247">
        <f t="shared" si="83"/>
        <v>0</v>
      </c>
      <c r="P158" s="247">
        <f t="shared" si="84"/>
        <v>0</v>
      </c>
      <c r="Q158" s="247">
        <f t="shared" si="85"/>
        <v>0</v>
      </c>
      <c r="R158" s="247">
        <f t="shared" si="86"/>
        <v>0</v>
      </c>
      <c r="S158" s="247">
        <f t="shared" si="87"/>
        <v>150.33692598775744</v>
      </c>
      <c r="T158" s="247">
        <f t="shared" si="88"/>
        <v>0</v>
      </c>
      <c r="U158" s="247">
        <f t="shared" si="89"/>
        <v>0</v>
      </c>
      <c r="V158" s="247">
        <f t="shared" si="90"/>
        <v>0</v>
      </c>
    </row>
    <row r="159" spans="1:22" s="67" customFormat="1" hidden="1" outlineLevel="2" x14ac:dyDescent="0.3">
      <c r="A159" s="448"/>
      <c r="B159" s="231" t="s">
        <v>79</v>
      </c>
      <c r="C159" s="21">
        <v>0</v>
      </c>
      <c r="D159" s="21">
        <v>0</v>
      </c>
      <c r="E159" s="21">
        <v>0</v>
      </c>
      <c r="F159" s="21">
        <v>0</v>
      </c>
      <c r="G159" s="21">
        <v>0</v>
      </c>
      <c r="H159" s="21">
        <v>0</v>
      </c>
      <c r="I159" s="21">
        <v>0</v>
      </c>
      <c r="J159" s="21">
        <f>$F$54*$M$54+$F$64*$M$64+SUMPRODUCT($F$69:$F$84,$M$69:$M$84)</f>
        <v>13507.772800000004</v>
      </c>
      <c r="K159" s="144">
        <v>0</v>
      </c>
      <c r="L159" s="144">
        <v>0</v>
      </c>
      <c r="M159" s="255">
        <f t="shared" si="81"/>
        <v>0</v>
      </c>
      <c r="N159" s="247">
        <f t="shared" si="82"/>
        <v>0</v>
      </c>
      <c r="O159" s="247">
        <f t="shared" si="83"/>
        <v>0</v>
      </c>
      <c r="P159" s="247">
        <f t="shared" si="84"/>
        <v>0</v>
      </c>
      <c r="Q159" s="247">
        <f t="shared" si="85"/>
        <v>0</v>
      </c>
      <c r="R159" s="247">
        <f t="shared" si="86"/>
        <v>0</v>
      </c>
      <c r="S159" s="247">
        <f t="shared" si="87"/>
        <v>0</v>
      </c>
      <c r="T159" s="247">
        <f t="shared" si="88"/>
        <v>150.33692598775744</v>
      </c>
      <c r="U159" s="247">
        <f t="shared" si="89"/>
        <v>0</v>
      </c>
      <c r="V159" s="247">
        <f t="shared" si="90"/>
        <v>0</v>
      </c>
    </row>
    <row r="160" spans="1:22" s="67" customFormat="1" hidden="1" outlineLevel="2" x14ac:dyDescent="0.3">
      <c r="A160" s="448"/>
      <c r="B160" s="231" t="s">
        <v>80</v>
      </c>
      <c r="C160" s="21">
        <v>0</v>
      </c>
      <c r="D160" s="21">
        <v>0</v>
      </c>
      <c r="E160" s="21">
        <v>0</v>
      </c>
      <c r="F160" s="21">
        <v>0</v>
      </c>
      <c r="G160" s="21">
        <v>0</v>
      </c>
      <c r="H160" s="21">
        <v>0</v>
      </c>
      <c r="I160" s="21">
        <v>0</v>
      </c>
      <c r="J160" s="21">
        <v>0</v>
      </c>
      <c r="K160" s="21">
        <f>$F$54*$M$54+$F$64*$M$64+SUMPRODUCT($F$69:$F$84,$M$69:$M$84)</f>
        <v>13507.772800000004</v>
      </c>
      <c r="L160" s="144">
        <v>0</v>
      </c>
      <c r="M160" s="255">
        <f>C160/$B$15</f>
        <v>0</v>
      </c>
      <c r="N160" s="247">
        <f t="shared" si="82"/>
        <v>0</v>
      </c>
      <c r="O160" s="247">
        <f t="shared" si="83"/>
        <v>0</v>
      </c>
      <c r="P160" s="247">
        <f t="shared" si="84"/>
        <v>0</v>
      </c>
      <c r="Q160" s="247">
        <f t="shared" si="85"/>
        <v>0</v>
      </c>
      <c r="R160" s="247">
        <f t="shared" si="86"/>
        <v>0</v>
      </c>
      <c r="S160" s="247">
        <f t="shared" si="87"/>
        <v>0</v>
      </c>
      <c r="T160" s="247">
        <f t="shared" si="88"/>
        <v>0</v>
      </c>
      <c r="U160" s="247">
        <f t="shared" si="89"/>
        <v>150.33692598775744</v>
      </c>
      <c r="V160" s="247">
        <f t="shared" si="90"/>
        <v>0</v>
      </c>
    </row>
    <row r="161" spans="1:26" s="67" customFormat="1" hidden="1" outlineLevel="2" x14ac:dyDescent="0.3">
      <c r="A161" s="449"/>
      <c r="B161" s="182" t="s">
        <v>134</v>
      </c>
      <c r="C161" s="183">
        <v>0</v>
      </c>
      <c r="D161" s="183">
        <v>0</v>
      </c>
      <c r="E161" s="183">
        <v>0</v>
      </c>
      <c r="F161" s="183">
        <v>0</v>
      </c>
      <c r="G161" s="183">
        <v>0</v>
      </c>
      <c r="H161" s="183">
        <v>0</v>
      </c>
      <c r="I161" s="183">
        <v>0</v>
      </c>
      <c r="J161" s="183">
        <v>0</v>
      </c>
      <c r="K161" s="183">
        <v>0</v>
      </c>
      <c r="L161" s="239">
        <v>0</v>
      </c>
      <c r="M161" s="255">
        <f t="shared" si="81"/>
        <v>0</v>
      </c>
      <c r="N161" s="247">
        <f t="shared" si="82"/>
        <v>0</v>
      </c>
      <c r="O161" s="247">
        <f t="shared" si="83"/>
        <v>0</v>
      </c>
      <c r="P161" s="247">
        <f t="shared" si="84"/>
        <v>0</v>
      </c>
      <c r="Q161" s="247">
        <f t="shared" si="85"/>
        <v>0</v>
      </c>
      <c r="R161" s="247">
        <f t="shared" si="86"/>
        <v>0</v>
      </c>
      <c r="S161" s="247">
        <f t="shared" si="87"/>
        <v>0</v>
      </c>
      <c r="T161" s="247">
        <f t="shared" si="88"/>
        <v>0</v>
      </c>
      <c r="U161" s="247">
        <f t="shared" si="89"/>
        <v>0</v>
      </c>
      <c r="V161" s="247">
        <f t="shared" si="90"/>
        <v>0</v>
      </c>
    </row>
    <row r="162" spans="1:26" s="67" customFormat="1" ht="14.4" hidden="1" customHeight="1" outlineLevel="2" x14ac:dyDescent="0.3">
      <c r="A162" s="448" t="s">
        <v>243</v>
      </c>
      <c r="B162" s="231" t="s">
        <v>72</v>
      </c>
      <c r="C162" s="21">
        <f>SUMPRODUCT($E$45:$E$66,Y45:Y66)+SUMPRODUCT($E$45:$E$66,$N$45:$N$66)+SUMPRODUCT($E$69:$E$88,$N$69:$N$88)</f>
        <v>36617.748797896784</v>
      </c>
      <c r="D162" s="21">
        <f t="shared" ref="D162:L162" si="92">$F$45*Z45+$F$46*Z46+$F$47*Z47+$F$48*Z48+$F$49*Z49+$F$50*Z50+$F$51*Z51+$F$52*Z52+$F$53*Z53+$F$55*Z55+$F$56*Z56+$F$57*Z57+$F$58*Z58+$F$59*Z59+$F$60*Z60+$F$61*Z61+$F$62*Z62+$F$63*Z63</f>
        <v>0</v>
      </c>
      <c r="E162" s="21">
        <f t="shared" si="92"/>
        <v>0</v>
      </c>
      <c r="F162" s="21">
        <f t="shared" si="92"/>
        <v>0</v>
      </c>
      <c r="G162" s="21">
        <f t="shared" si="92"/>
        <v>0</v>
      </c>
      <c r="H162" s="21">
        <f t="shared" si="92"/>
        <v>0</v>
      </c>
      <c r="I162" s="21">
        <f t="shared" si="92"/>
        <v>0</v>
      </c>
      <c r="J162" s="21">
        <f t="shared" si="92"/>
        <v>0</v>
      </c>
      <c r="K162" s="21">
        <f t="shared" si="92"/>
        <v>0</v>
      </c>
      <c r="L162" s="21">
        <f t="shared" si="92"/>
        <v>0</v>
      </c>
      <c r="M162" s="255">
        <f t="shared" si="81"/>
        <v>407.54311405561253</v>
      </c>
      <c r="N162" s="247">
        <f t="shared" si="82"/>
        <v>0</v>
      </c>
      <c r="O162" s="247">
        <f t="shared" si="83"/>
        <v>0</v>
      </c>
      <c r="P162" s="247">
        <f t="shared" si="84"/>
        <v>0</v>
      </c>
      <c r="Q162" s="247">
        <f t="shared" si="85"/>
        <v>0</v>
      </c>
      <c r="R162" s="247">
        <f t="shared" si="86"/>
        <v>0</v>
      </c>
      <c r="S162" s="247">
        <f t="shared" si="87"/>
        <v>0</v>
      </c>
      <c r="T162" s="247">
        <f t="shared" si="88"/>
        <v>0</v>
      </c>
      <c r="U162" s="247">
        <f t="shared" si="89"/>
        <v>0</v>
      </c>
      <c r="V162" s="247">
        <f t="shared" si="90"/>
        <v>0</v>
      </c>
      <c r="Z162" s="21"/>
    </row>
    <row r="163" spans="1:26" s="67" customFormat="1" hidden="1" outlineLevel="2" x14ac:dyDescent="0.3">
      <c r="A163" s="448"/>
      <c r="B163" s="231" t="s">
        <v>73</v>
      </c>
      <c r="C163" s="21">
        <f>SUMPRODUCT($E$45:$E$66,Y45:Y66)+SUMPRODUCT($E$45:$E$66,$N$45:$N$66)+SUMPRODUCT($E$69:$E$88,$N$69:$N$88)</f>
        <v>36617.748797896784</v>
      </c>
      <c r="D163" s="21">
        <f>SUMPRODUCT($E$45:$E$66,Z45:Z66)+SUMPRODUCT($E$45:$E$66,$N$45:$N$66)+SUMPRODUCT($E$69:$E$88,$N$69:$N$88)</f>
        <v>29402.808064563447</v>
      </c>
      <c r="E163" s="21">
        <f t="shared" ref="E163:L163" si="93">$F$45*AA45+$F$46*AA46+$F$47*AA47+$F$48*AA48+$F$49*AA49+$F$50*AA50+$F$51*AA51+$F$52*AA52+$F$53*AA53+$F$55*AA55+$F$56*AA56+$F$57*AA57+$F$58*AA58+$F$59*AA59+$F$60*AA60+$F$61*AA61+$F$62*AA62+$F$63*AA63</f>
        <v>0</v>
      </c>
      <c r="F163" s="21">
        <f t="shared" si="93"/>
        <v>0</v>
      </c>
      <c r="G163" s="21">
        <f t="shared" si="93"/>
        <v>0</v>
      </c>
      <c r="H163" s="21">
        <f t="shared" si="93"/>
        <v>0</v>
      </c>
      <c r="I163" s="21">
        <f t="shared" si="93"/>
        <v>0</v>
      </c>
      <c r="J163" s="21">
        <f t="shared" si="93"/>
        <v>0</v>
      </c>
      <c r="K163" s="21">
        <f t="shared" si="93"/>
        <v>0</v>
      </c>
      <c r="L163" s="21">
        <f t="shared" si="93"/>
        <v>0</v>
      </c>
      <c r="M163" s="255">
        <f>C163/$B$15</f>
        <v>407.54311405561253</v>
      </c>
      <c r="N163" s="247">
        <f t="shared" si="82"/>
        <v>327.2432728387696</v>
      </c>
      <c r="O163" s="247">
        <f t="shared" si="83"/>
        <v>0</v>
      </c>
      <c r="P163" s="247">
        <f t="shared" si="84"/>
        <v>0</v>
      </c>
      <c r="Q163" s="247">
        <f t="shared" si="85"/>
        <v>0</v>
      </c>
      <c r="R163" s="247">
        <f t="shared" si="86"/>
        <v>0</v>
      </c>
      <c r="S163" s="247">
        <f t="shared" si="87"/>
        <v>0</v>
      </c>
      <c r="T163" s="247">
        <f t="shared" si="88"/>
        <v>0</v>
      </c>
      <c r="U163" s="247">
        <f t="shared" si="89"/>
        <v>0</v>
      </c>
      <c r="V163" s="247">
        <f t="shared" si="90"/>
        <v>0</v>
      </c>
    </row>
    <row r="164" spans="1:26" s="67" customFormat="1" hidden="1" outlineLevel="2" x14ac:dyDescent="0.3">
      <c r="A164" s="448"/>
      <c r="B164" s="231" t="s">
        <v>74</v>
      </c>
      <c r="C164" s="21">
        <f>SUMPRODUCT($E$45:$E$66,Y45:Y66)+SUMPRODUCT($E$45:$E$66,$N$45:$N$66)+SUMPRODUCT($E$69:$E$88,$N$69:$N$88)</f>
        <v>36617.748797896784</v>
      </c>
      <c r="D164" s="21">
        <f>SUMPRODUCT($E$45:$E$66,Z45:Z66)+SUMPRODUCT($E$45:$E$66,$N$45:$N$66)+SUMPRODUCT($E$69:$E$88,$N$69:$N$88)</f>
        <v>29402.808064563447</v>
      </c>
      <c r="E164" s="21">
        <f>SUMPRODUCT($E$45:$E$66,AA45:AA66)+SUMPRODUCT($E$45:$E$66,$N$45:$N$66)+SUMPRODUCT($E$69:$E$88,$N$69:$N$88)</f>
        <v>23630.855477896785</v>
      </c>
      <c r="F164" s="21">
        <f t="shared" ref="F164:L164" si="94">$F$45*AB45+$F$46*AB46+$F$47*AB47+$F$48*AB48+$F$49*AB49+$F$50*AB50+$F$51*AB51+$F$52*AB52+$F$53*AB53+$F$55*AB55+$F$56*AB56+$F$57*AB57+$F$58*AB58+$F$59*AB59+$F$60*AB60+$F$61*AB61+$F$62*AB62+$F$63*AB63</f>
        <v>0</v>
      </c>
      <c r="G164" s="21">
        <f t="shared" si="94"/>
        <v>0</v>
      </c>
      <c r="H164" s="21">
        <f t="shared" si="94"/>
        <v>0</v>
      </c>
      <c r="I164" s="21">
        <f t="shared" si="94"/>
        <v>0</v>
      </c>
      <c r="J164" s="21">
        <f t="shared" si="94"/>
        <v>0</v>
      </c>
      <c r="K164" s="21">
        <f t="shared" si="94"/>
        <v>0</v>
      </c>
      <c r="L164" s="21">
        <f t="shared" si="94"/>
        <v>0</v>
      </c>
      <c r="M164" s="255">
        <f t="shared" si="81"/>
        <v>407.54311405561253</v>
      </c>
      <c r="N164" s="247">
        <f t="shared" si="82"/>
        <v>327.2432728387696</v>
      </c>
      <c r="O164" s="247">
        <f t="shared" si="83"/>
        <v>263.00339986529536</v>
      </c>
      <c r="P164" s="247">
        <f t="shared" si="84"/>
        <v>0</v>
      </c>
      <c r="Q164" s="247">
        <f t="shared" si="85"/>
        <v>0</v>
      </c>
      <c r="R164" s="247">
        <f t="shared" si="86"/>
        <v>0</v>
      </c>
      <c r="S164" s="247">
        <f t="shared" si="87"/>
        <v>0</v>
      </c>
      <c r="T164" s="247">
        <f t="shared" si="88"/>
        <v>0</v>
      </c>
      <c r="U164" s="247">
        <f t="shared" si="89"/>
        <v>0</v>
      </c>
      <c r="V164" s="247">
        <f t="shared" si="90"/>
        <v>0</v>
      </c>
    </row>
    <row r="165" spans="1:26" s="67" customFormat="1" hidden="1" outlineLevel="2" x14ac:dyDescent="0.3">
      <c r="A165" s="448"/>
      <c r="B165" s="231" t="s">
        <v>75</v>
      </c>
      <c r="C165" s="21">
        <f>SUMPRODUCT($E$45:$E$66,Y45:Y66)+SUMPRODUCT($E$45:$E$66,$N$45:$N$66)+SUMPRODUCT($E$69:$E$88,$N$69:$N$88)</f>
        <v>36617.748797896784</v>
      </c>
      <c r="D165" s="21">
        <f>SUMPRODUCT($E$45:$E$66,Z45:Z66)+SUMPRODUCT($E$45:$E$66,$N$45:$N$66)+SUMPRODUCT($E$69:$E$88,$N$69:$N$88)</f>
        <v>29402.808064563447</v>
      </c>
      <c r="E165" s="21">
        <f>SUMPRODUCT($E$45:$E$66,AA45:AA66)+SUMPRODUCT($E$45:$E$66,$N$45:$N$66)+SUMPRODUCT($E$69:$E$88,$N$69:$N$88)</f>
        <v>23630.855477896785</v>
      </c>
      <c r="F165" s="21">
        <f>SUMPRODUCT($E$45:$E$66,AB45:AB66)+SUMPRODUCT($E$45:$E$66,$N$45:$N$66)+SUMPRODUCT($E$69:$E$88,$N$69:$N$88)</f>
        <v>19013.293408563448</v>
      </c>
      <c r="G165" s="21">
        <f t="shared" ref="G165:L165" si="95">$F$45*AC45+$F$46*AC46+$F$47*AC47+$F$48*AC48+$F$49*AC49+$F$50*AC50+$F$51*AC51+$F$52*AC52+$F$53*AC53+$F$55*AC55+$F$56*AC56+$F$57*AC57+$F$58*AC58+$F$59*AC59+$F$60*AC60+$F$61*AC61+$F$62*AC62+$F$63*AC63</f>
        <v>0</v>
      </c>
      <c r="H165" s="21">
        <f t="shared" si="95"/>
        <v>0</v>
      </c>
      <c r="I165" s="21">
        <f t="shared" si="95"/>
        <v>0</v>
      </c>
      <c r="J165" s="21">
        <f t="shared" si="95"/>
        <v>0</v>
      </c>
      <c r="K165" s="21">
        <f t="shared" si="95"/>
        <v>0</v>
      </c>
      <c r="L165" s="21">
        <f t="shared" si="95"/>
        <v>0</v>
      </c>
      <c r="M165" s="255">
        <f t="shared" si="81"/>
        <v>407.54311405561253</v>
      </c>
      <c r="N165" s="247">
        <f t="shared" si="82"/>
        <v>327.2432728387696</v>
      </c>
      <c r="O165" s="247">
        <f t="shared" si="83"/>
        <v>263.00339986529536</v>
      </c>
      <c r="P165" s="247">
        <f t="shared" si="84"/>
        <v>211.61150148651586</v>
      </c>
      <c r="Q165" s="247">
        <f t="shared" si="85"/>
        <v>0</v>
      </c>
      <c r="R165" s="247">
        <f t="shared" si="86"/>
        <v>0</v>
      </c>
      <c r="S165" s="247">
        <f t="shared" si="87"/>
        <v>0</v>
      </c>
      <c r="T165" s="247">
        <f t="shared" si="88"/>
        <v>0</v>
      </c>
      <c r="U165" s="247">
        <f t="shared" si="89"/>
        <v>0</v>
      </c>
      <c r="V165" s="247">
        <f t="shared" si="90"/>
        <v>0</v>
      </c>
    </row>
    <row r="166" spans="1:26" s="67" customFormat="1" hidden="1" outlineLevel="2" x14ac:dyDescent="0.3">
      <c r="A166" s="448"/>
      <c r="B166" s="231" t="s">
        <v>76</v>
      </c>
      <c r="C166" s="21">
        <f>SUMPRODUCT($E$45:$E$66,Y45:Y66)+SUMPRODUCT($E$45:$E$66,$N$45:$N$66)+SUMPRODUCT($E$69:$E$88,$N$69:$N$88)</f>
        <v>36617.748797896784</v>
      </c>
      <c r="D166" s="21">
        <f>SUMPRODUCT($E$45:$E$66,Z45:Z66)+SUMPRODUCT($E$45:$E$66,$N$45:$N$66)+SUMPRODUCT($E$69:$E$88,$N$69:$N$88)</f>
        <v>29402.808064563447</v>
      </c>
      <c r="E166" s="21">
        <f>SUMPRODUCT($E$45:$E$66,AA45:AA66)+SUMPRODUCT($E$45:$E$66,$N$45:$N$66)+SUMPRODUCT($E$69:$E$88,$N$69:$N$88)</f>
        <v>23630.855477896785</v>
      </c>
      <c r="F166" s="21">
        <f>SUMPRODUCT($E$45:$E$66,AB45:AB66)+SUMPRODUCT($E$45:$E$66,$N$45:$N$66)+SUMPRODUCT($E$69:$E$88,$N$69:$N$88)</f>
        <v>19013.293408563448</v>
      </c>
      <c r="G166" s="21">
        <f>SUMPRODUCT($E$45:$E$66,AC45:AC66)+SUMPRODUCT($E$45:$E$66,$N$45:$N$66)+SUMPRODUCT($E$69:$E$88,$N$69:$N$88)</f>
        <v>15319.243753096778</v>
      </c>
      <c r="H166" s="21">
        <f>$F$45*AD45+$F$46*AD46+$F$47*AD47+$F$48*AD48+$F$49*AD49+$F$50*AD50+$F$51*AD51+$F$52*AD52+$F$53*AD53+$F$55*AD55+$F$56*AD56+$F$57*AD57+$F$58*AD58+$F$59*AD59+$F$60*AD60+$F$61*AD61+$F$62*AD62+$F$63*AD63</f>
        <v>0</v>
      </c>
      <c r="I166" s="21">
        <f>$F$45*AE45+$F$46*AE46+$F$47*AE47+$F$48*AE48+$F$49*AE49+$F$50*AE50+$F$51*AE51+$F$52*AE52+$F$53*AE53+$F$55*AE55+$F$56*AE56+$F$57*AE57+$F$58*AE58+$F$59*AE59+$F$60*AE60+$F$61*AE61+$F$62*AE62+$F$63*AE63</f>
        <v>0</v>
      </c>
      <c r="J166" s="21">
        <f>$F$45*AF45+$F$46*AF46+$F$47*AF47+$F$48*AF48+$F$49*AF49+$F$50*AF50+$F$51*AF51+$F$52*AF52+$F$53*AF53+$F$55*AF55+$F$56*AF56+$F$57*AF57+$F$58*AF58+$F$59*AF59+$F$60*AF60+$F$61*AF61+$F$62*AF62+$F$63*AF63</f>
        <v>0</v>
      </c>
      <c r="K166" s="21">
        <f>$F$45*AG45+$F$46*AG46+$F$47*AG47+$F$48*AG48+$F$49*AG49+$F$50*AG50+$F$51*AG51+$F$52*AG52+$F$53*AG53+$F$55*AG55+$F$56*AG56+$F$57*AG57+$F$58*AG58+$F$59*AG59+$F$60*AG60+$F$61*AG61+$F$62*AG62+$F$63*AG63</f>
        <v>0</v>
      </c>
      <c r="L166" s="21">
        <f>$F$45*AH45+$F$46*AH46+$F$47*AH47+$F$48*AH48+$F$49*AH49+$F$50*AH50+$F$51*AH51+$F$52*AH52+$F$53*AH53+$F$55*AH55+$F$56*AH56+$F$57*AH57+$F$58*AH58+$F$59*AH59+$F$60*AH60+$F$61*AH61+$F$62*AH62+$F$63*AH63</f>
        <v>0</v>
      </c>
      <c r="M166" s="255">
        <f>C166/$B$15</f>
        <v>407.54311405561253</v>
      </c>
      <c r="N166" s="247">
        <f t="shared" si="82"/>
        <v>327.2432728387696</v>
      </c>
      <c r="O166" s="247">
        <f t="shared" si="83"/>
        <v>263.00339986529536</v>
      </c>
      <c r="P166" s="247">
        <f t="shared" si="84"/>
        <v>211.61150148651586</v>
      </c>
      <c r="Q166" s="247">
        <f t="shared" si="85"/>
        <v>170.49798278349226</v>
      </c>
      <c r="R166" s="247">
        <f t="shared" si="86"/>
        <v>0</v>
      </c>
      <c r="S166" s="247">
        <f t="shared" si="87"/>
        <v>0</v>
      </c>
      <c r="T166" s="247">
        <f t="shared" si="88"/>
        <v>0</v>
      </c>
      <c r="U166" s="247">
        <f t="shared" si="89"/>
        <v>0</v>
      </c>
      <c r="V166" s="247">
        <f t="shared" si="90"/>
        <v>0</v>
      </c>
    </row>
    <row r="167" spans="1:26" s="67" customFormat="1" hidden="1" outlineLevel="2" x14ac:dyDescent="0.3">
      <c r="A167" s="448"/>
      <c r="B167" s="231" t="s">
        <v>77</v>
      </c>
      <c r="C167" s="21">
        <f t="shared" ref="C167:H167" si="96">SUMPRODUCT($E$45:$E$66,Y45:Y66)+SUMPRODUCT($E$45:$E$66,$N$45:$N$66)+SUMPRODUCT($E$69:$E$88,$N$69:$N$88)</f>
        <v>36617.748797896784</v>
      </c>
      <c r="D167" s="21">
        <f t="shared" si="96"/>
        <v>29402.808064563447</v>
      </c>
      <c r="E167" s="21">
        <f t="shared" si="96"/>
        <v>23630.855477896785</v>
      </c>
      <c r="F167" s="21">
        <f t="shared" si="96"/>
        <v>19013.293408563448</v>
      </c>
      <c r="G167" s="21">
        <f t="shared" si="96"/>
        <v>15319.243753096778</v>
      </c>
      <c r="H167" s="21">
        <f t="shared" si="96"/>
        <v>12364.00402872345</v>
      </c>
      <c r="I167" s="21">
        <f>$F$45*AE45+$F$46*AE46+$F$47*AE47+$F$48*AE48+$F$49*AE49+$F$50*AE50+$F$51*AE51+$F$52*AE52+$F$53*AE53+$F$55*AE55+$F$56*AE56+$F$57*AE57+$F$58*AE58+$F$59*AE59+$F$60*AE60+$F$61*AE61+$F$62*AE62+$F$63*AE63</f>
        <v>0</v>
      </c>
      <c r="J167" s="21">
        <f>$F$45*AF45+$F$46*AF46+$F$47*AF47+$F$48*AF48+$F$49*AF49+$F$50*AF50+$F$51*AF51+$F$52*AF52+$F$53*AF53+$F$55*AF55+$F$56*AF56+$F$57*AF57+$F$58*AF58+$F$59*AF59+$F$60*AF60+$F$61*AF61+$F$62*AF62+$F$63*AF63</f>
        <v>0</v>
      </c>
      <c r="K167" s="21">
        <f>$F$45*AG45+$F$46*AG46+$F$47*AG47+$F$48*AG48+$F$49*AG49+$F$50*AG50+$F$51*AG51+$F$52*AG52+$F$53*AG53+$F$55*AG55+$F$56*AG56+$F$57*AG57+$F$58*AG58+$F$59*AG59+$F$60*AG60+$F$61*AG61+$F$62*AG62+$F$63*AG63</f>
        <v>0</v>
      </c>
      <c r="L167" s="21">
        <f>$F$45*AH45+$F$46*AH46+$F$47*AH47+$F$48*AH48+$F$49*AH49+$F$50*AH50+$F$51*AH51+$F$52*AH52+$F$53*AH53+$F$55*AH55+$F$56*AH56+$F$57*AH57+$F$58*AH58+$F$59*AH59+$F$60*AH60+$F$61*AH61+$F$62*AH62+$F$63*AH63</f>
        <v>0</v>
      </c>
      <c r="M167" s="255">
        <f t="shared" si="81"/>
        <v>407.54311405561253</v>
      </c>
      <c r="N167" s="247">
        <f t="shared" si="82"/>
        <v>327.2432728387696</v>
      </c>
      <c r="O167" s="247">
        <f t="shared" si="83"/>
        <v>263.00339986529536</v>
      </c>
      <c r="P167" s="247">
        <f t="shared" si="84"/>
        <v>211.61150148651586</v>
      </c>
      <c r="Q167" s="247">
        <f t="shared" si="85"/>
        <v>170.49798278349226</v>
      </c>
      <c r="R167" s="247">
        <f t="shared" si="86"/>
        <v>137.60716782107346</v>
      </c>
      <c r="S167" s="247">
        <f t="shared" si="87"/>
        <v>0</v>
      </c>
      <c r="T167" s="247">
        <f t="shared" si="88"/>
        <v>0</v>
      </c>
      <c r="U167" s="247">
        <f t="shared" si="89"/>
        <v>0</v>
      </c>
      <c r="V167" s="247">
        <f t="shared" si="90"/>
        <v>0</v>
      </c>
    </row>
    <row r="168" spans="1:26" s="67" customFormat="1" hidden="1" outlineLevel="2" x14ac:dyDescent="0.3">
      <c r="A168" s="448"/>
      <c r="B168" s="231" t="s">
        <v>78</v>
      </c>
      <c r="C168" s="21">
        <f t="shared" ref="C168:I168" si="97">SUMPRODUCT($E$45:$E$66,Y45:Y66)+SUMPRODUCT($E$45:$E$66,$N$45:$N$66)+SUMPRODUCT($E$69:$E$88,$N$69:$N$88)</f>
        <v>36617.748797896784</v>
      </c>
      <c r="D168" s="21">
        <f t="shared" si="97"/>
        <v>29402.808064563447</v>
      </c>
      <c r="E168" s="21">
        <f t="shared" si="97"/>
        <v>23630.855477896785</v>
      </c>
      <c r="F168" s="21">
        <f t="shared" si="97"/>
        <v>19013.293408563448</v>
      </c>
      <c r="G168" s="21">
        <f t="shared" si="97"/>
        <v>15319.243753096778</v>
      </c>
      <c r="H168" s="21">
        <f t="shared" si="97"/>
        <v>12364.00402872345</v>
      </c>
      <c r="I168" s="21">
        <f t="shared" si="97"/>
        <v>9999.812249224784</v>
      </c>
      <c r="J168" s="21">
        <f>$F$45*AF45+$F$46*AF46+$F$47*AF47+$F$48*AF48+$F$49*AF49+$F$50*AF50+$F$51*AF51+$F$52*AF52+$F$53*AF53+$F$55*AF55+$F$56*AF56+$F$57*AF57+$F$58*AF58+$F$59*AF59+$F$60*AF60+$F$61*AF61+$F$62*AF62+$F$63*AF63</f>
        <v>0</v>
      </c>
      <c r="K168" s="21">
        <f>$F$45*AG45+$F$46*AG46+$F$47*AG47+$F$48*AG48+$F$49*AG49+$F$50*AG50+$F$51*AG51+$F$52*AG52+$F$53*AG53+$F$55*AG55+$F$56*AG56+$F$57*AG57+$F$58*AG58+$F$59*AG59+$F$60*AG60+$F$61*AG61+$F$62*AG62+$F$63*AG63</f>
        <v>0</v>
      </c>
      <c r="L168" s="21">
        <f>$F$45*AH45+$F$46*AH46+$F$47*AH47+$F$48*AH48+$F$49*AH49+$F$50*AH50+$F$51*AH51+$F$52*AH52+$F$53*AH53+$F$55*AH55+$F$56*AH56+$F$57*AH57+$F$58*AH58+$F$59*AH59+$F$60*AH60+$F$61*AH61+$F$62*AH62+$F$63*AH63</f>
        <v>0</v>
      </c>
      <c r="M168" s="255">
        <f t="shared" si="81"/>
        <v>407.54311405561253</v>
      </c>
      <c r="N168" s="247">
        <f t="shared" si="82"/>
        <v>327.2432728387696</v>
      </c>
      <c r="O168" s="247">
        <f t="shared" si="83"/>
        <v>263.00339986529536</v>
      </c>
      <c r="P168" s="247">
        <f t="shared" si="84"/>
        <v>211.61150148651586</v>
      </c>
      <c r="Q168" s="247">
        <f t="shared" si="85"/>
        <v>170.49798278349226</v>
      </c>
      <c r="R168" s="247">
        <f t="shared" si="86"/>
        <v>137.60716782107346</v>
      </c>
      <c r="S168" s="247">
        <f t="shared" si="87"/>
        <v>111.2945158511384</v>
      </c>
      <c r="T168" s="247">
        <f t="shared" si="88"/>
        <v>0</v>
      </c>
      <c r="U168" s="247">
        <f t="shared" si="89"/>
        <v>0</v>
      </c>
      <c r="V168" s="247">
        <f t="shared" si="90"/>
        <v>0</v>
      </c>
    </row>
    <row r="169" spans="1:26" s="67" customFormat="1" hidden="1" outlineLevel="2" x14ac:dyDescent="0.3">
      <c r="A169" s="448"/>
      <c r="B169" s="231" t="s">
        <v>79</v>
      </c>
      <c r="C169" s="21">
        <f t="shared" ref="C169:J169" si="98">SUMPRODUCT($E$45:$E$66,Y45:Y66)+SUMPRODUCT($E$45:$E$66,$N$45:$N$66)+SUMPRODUCT($E$69:$E$88,$N$69:$N$88)</f>
        <v>36617.748797896784</v>
      </c>
      <c r="D169" s="21">
        <f t="shared" si="98"/>
        <v>29402.808064563447</v>
      </c>
      <c r="E169" s="21">
        <f t="shared" si="98"/>
        <v>23630.855477896785</v>
      </c>
      <c r="F169" s="21">
        <f t="shared" si="98"/>
        <v>19013.293408563448</v>
      </c>
      <c r="G169" s="21">
        <f t="shared" si="98"/>
        <v>15319.243753096778</v>
      </c>
      <c r="H169" s="21">
        <f t="shared" si="98"/>
        <v>12364.00402872345</v>
      </c>
      <c r="I169" s="21">
        <f t="shared" si="98"/>
        <v>9999.812249224784</v>
      </c>
      <c r="J169" s="21">
        <f t="shared" si="98"/>
        <v>8108.4588256258521</v>
      </c>
      <c r="K169" s="21">
        <f>$F$45*AG45+$F$46*AG46+$F$47*AG47+$F$48*AG48+$F$49*AG49+$F$50*AG50+$F$51*AG51+$F$52*AG52+$F$53*AG53+$F$55*AG55+$F$56*AG56+$F$57*AG57+$F$58*AG58+$F$59*AG59+$F$60*AG60+$F$61*AG61+$F$62*AG62+$F$63*AG63</f>
        <v>0</v>
      </c>
      <c r="L169" s="21">
        <f>$F$45*AH45+$F$46*AH46+$F$47*AH47+$F$48*AH48+$F$49*AH49+$F$50*AH50+$F$51*AH51+$F$52*AH52+$F$53*AH53+$F$55*AH55+$F$56*AH56+$F$57*AH57+$F$58*AH58+$F$59*AH59+$F$60*AH60+$F$61*AH61+$F$62*AH62+$F$63*AH63</f>
        <v>0</v>
      </c>
      <c r="M169" s="255">
        <f t="shared" si="81"/>
        <v>407.54311405561253</v>
      </c>
      <c r="N169" s="247">
        <f t="shared" si="82"/>
        <v>327.2432728387696</v>
      </c>
      <c r="O169" s="247">
        <f t="shared" si="83"/>
        <v>263.00339986529536</v>
      </c>
      <c r="P169" s="247">
        <f t="shared" si="84"/>
        <v>211.61150148651586</v>
      </c>
      <c r="Q169" s="247">
        <f t="shared" si="85"/>
        <v>170.49798278349226</v>
      </c>
      <c r="R169" s="247">
        <f t="shared" si="86"/>
        <v>137.60716782107346</v>
      </c>
      <c r="S169" s="247">
        <f t="shared" si="87"/>
        <v>111.2945158511384</v>
      </c>
      <c r="T169" s="247">
        <f t="shared" si="88"/>
        <v>90.244394275190345</v>
      </c>
      <c r="U169" s="247">
        <f t="shared" si="89"/>
        <v>0</v>
      </c>
      <c r="V169" s="247">
        <f t="shared" si="90"/>
        <v>0</v>
      </c>
    </row>
    <row r="170" spans="1:26" s="67" customFormat="1" hidden="1" outlineLevel="2" x14ac:dyDescent="0.3">
      <c r="A170" s="448"/>
      <c r="B170" s="231" t="s">
        <v>80</v>
      </c>
      <c r="C170" s="21">
        <f t="shared" ref="C170:K170" si="99">SUMPRODUCT($E$45:$E$66,Y45:Y66)+SUMPRODUCT($E$45:$E$66,$N$45:$N$66)+SUMPRODUCT($E$69:$E$88,$N$69:$N$88)</f>
        <v>36617.748797896784</v>
      </c>
      <c r="D170" s="21">
        <f t="shared" si="99"/>
        <v>29402.808064563447</v>
      </c>
      <c r="E170" s="21">
        <f t="shared" si="99"/>
        <v>23630.855477896785</v>
      </c>
      <c r="F170" s="21">
        <f t="shared" si="99"/>
        <v>19013.293408563448</v>
      </c>
      <c r="G170" s="21">
        <f t="shared" si="99"/>
        <v>15319.243753096778</v>
      </c>
      <c r="H170" s="21">
        <f t="shared" si="99"/>
        <v>12364.00402872345</v>
      </c>
      <c r="I170" s="21">
        <f t="shared" si="99"/>
        <v>9999.812249224784</v>
      </c>
      <c r="J170" s="21">
        <f t="shared" si="99"/>
        <v>8108.4588256258521</v>
      </c>
      <c r="K170" s="21">
        <f t="shared" si="99"/>
        <v>6595.3760867467063</v>
      </c>
      <c r="L170" s="21">
        <f>$F$45*AH45+$F$46*AH46+$F$47*AH47+$F$48*AH48+$F$49*AH49+$F$50*AH50+$F$51*AH51+$F$52*AH52+$F$53*AH53+$F$55*AH55+$F$56*AH56+$F$57*AH57+$F$58*AH58+$F$59*AH59+$F$60*AH60+$F$61*AH61+$F$62*AH62+$F$63*AH63</f>
        <v>0</v>
      </c>
      <c r="M170" s="255">
        <f t="shared" si="81"/>
        <v>407.54311405561253</v>
      </c>
      <c r="N170" s="247">
        <f t="shared" si="82"/>
        <v>327.2432728387696</v>
      </c>
      <c r="O170" s="247">
        <f t="shared" si="83"/>
        <v>263.00339986529536</v>
      </c>
      <c r="P170" s="247">
        <f t="shared" si="84"/>
        <v>211.61150148651586</v>
      </c>
      <c r="Q170" s="247">
        <f t="shared" si="85"/>
        <v>170.49798278349226</v>
      </c>
      <c r="R170" s="247">
        <f t="shared" si="86"/>
        <v>137.60716782107346</v>
      </c>
      <c r="S170" s="247">
        <f t="shared" si="87"/>
        <v>111.2945158511384</v>
      </c>
      <c r="T170" s="247">
        <f t="shared" si="88"/>
        <v>90.244394275190345</v>
      </c>
      <c r="U170" s="247">
        <f t="shared" si="89"/>
        <v>73.404297014431904</v>
      </c>
      <c r="V170" s="247">
        <f t="shared" si="90"/>
        <v>0</v>
      </c>
    </row>
    <row r="171" spans="1:26" s="67" customFormat="1" hidden="1" outlineLevel="2" x14ac:dyDescent="0.3">
      <c r="A171" s="449"/>
      <c r="B171" s="182" t="s">
        <v>134</v>
      </c>
      <c r="C171" s="240">
        <f t="shared" ref="C171:L171" si="100">SUMPRODUCT($E$45:$E$66,Y45:Y66)+SUMPRODUCT($E$45:$E$66,$N$45:$N$66)+SUMPRODUCT($E$69:$E$88,$N$69:$N$88)</f>
        <v>36617.748797896784</v>
      </c>
      <c r="D171" s="240">
        <f t="shared" si="100"/>
        <v>29402.808064563447</v>
      </c>
      <c r="E171" s="240">
        <f t="shared" si="100"/>
        <v>23630.855477896785</v>
      </c>
      <c r="F171" s="240">
        <f t="shared" si="100"/>
        <v>19013.293408563448</v>
      </c>
      <c r="G171" s="240">
        <f t="shared" si="100"/>
        <v>15319.243753096778</v>
      </c>
      <c r="H171" s="240">
        <f t="shared" si="100"/>
        <v>12364.00402872345</v>
      </c>
      <c r="I171" s="240">
        <f t="shared" si="100"/>
        <v>9999.812249224784</v>
      </c>
      <c r="J171" s="240">
        <f t="shared" si="100"/>
        <v>8108.4588256258521</v>
      </c>
      <c r="K171" s="240">
        <f t="shared" si="100"/>
        <v>6595.3760867467063</v>
      </c>
      <c r="L171" s="240">
        <f t="shared" si="100"/>
        <v>5384.9098956433882</v>
      </c>
      <c r="M171" s="255">
        <f t="shared" si="81"/>
        <v>407.54311405561253</v>
      </c>
      <c r="N171" s="247">
        <f t="shared" si="82"/>
        <v>327.2432728387696</v>
      </c>
      <c r="O171" s="247">
        <f t="shared" si="83"/>
        <v>263.00339986529536</v>
      </c>
      <c r="P171" s="247">
        <f t="shared" si="84"/>
        <v>211.61150148651586</v>
      </c>
      <c r="Q171" s="247">
        <f t="shared" si="85"/>
        <v>170.49798278349226</v>
      </c>
      <c r="R171" s="247">
        <f t="shared" si="86"/>
        <v>137.60716782107346</v>
      </c>
      <c r="S171" s="247">
        <f t="shared" si="87"/>
        <v>111.2945158511384</v>
      </c>
      <c r="T171" s="247">
        <f t="shared" si="88"/>
        <v>90.244394275190345</v>
      </c>
      <c r="U171" s="247">
        <f t="shared" si="89"/>
        <v>73.404297014431904</v>
      </c>
      <c r="V171" s="247">
        <f t="shared" si="90"/>
        <v>59.932219205825135</v>
      </c>
    </row>
    <row r="172" spans="1:26" s="67" customFormat="1" ht="14.4" hidden="1" customHeight="1" outlineLevel="2" x14ac:dyDescent="0.3">
      <c r="A172" s="448" t="s">
        <v>244</v>
      </c>
      <c r="B172" s="231" t="s">
        <v>72</v>
      </c>
      <c r="C172" s="244">
        <f>$E$67*$N$67+$E$68*$N$68</f>
        <v>0</v>
      </c>
      <c r="D172" s="21">
        <v>0</v>
      </c>
      <c r="E172" s="21">
        <v>0</v>
      </c>
      <c r="F172" s="21">
        <v>0</v>
      </c>
      <c r="G172" s="21">
        <v>0</v>
      </c>
      <c r="H172" s="21">
        <v>0</v>
      </c>
      <c r="I172" s="21">
        <v>0</v>
      </c>
      <c r="J172" s="21">
        <v>0</v>
      </c>
      <c r="K172" s="21">
        <v>0</v>
      </c>
      <c r="L172" s="21">
        <v>0</v>
      </c>
      <c r="M172" s="255">
        <f t="shared" si="81"/>
        <v>0</v>
      </c>
      <c r="N172" s="247">
        <f t="shared" si="82"/>
        <v>0</v>
      </c>
      <c r="O172" s="247">
        <f t="shared" si="83"/>
        <v>0</v>
      </c>
      <c r="P172" s="247">
        <f t="shared" si="84"/>
        <v>0</v>
      </c>
      <c r="Q172" s="247">
        <f t="shared" si="85"/>
        <v>0</v>
      </c>
      <c r="R172" s="247">
        <f t="shared" si="86"/>
        <v>0</v>
      </c>
      <c r="S172" s="247">
        <f t="shared" si="87"/>
        <v>0</v>
      </c>
      <c r="T172" s="247">
        <f t="shared" si="88"/>
        <v>0</v>
      </c>
      <c r="U172" s="247">
        <f t="shared" si="89"/>
        <v>0</v>
      </c>
      <c r="V172" s="247">
        <f t="shared" si="90"/>
        <v>0</v>
      </c>
    </row>
    <row r="173" spans="1:26" s="67" customFormat="1" hidden="1" outlineLevel="2" x14ac:dyDescent="0.3">
      <c r="A173" s="448"/>
      <c r="B173" s="231" t="s">
        <v>73</v>
      </c>
      <c r="C173" s="21">
        <f t="shared" ref="C173:L181" si="101">$E$67*$N$67+$E$68*$N$68</f>
        <v>0</v>
      </c>
      <c r="D173" s="244">
        <f t="shared" si="101"/>
        <v>0</v>
      </c>
      <c r="E173" s="21">
        <v>0</v>
      </c>
      <c r="F173" s="21">
        <v>0</v>
      </c>
      <c r="G173" s="21">
        <v>0</v>
      </c>
      <c r="H173" s="21">
        <v>0</v>
      </c>
      <c r="I173" s="21">
        <v>0</v>
      </c>
      <c r="J173" s="21">
        <v>0</v>
      </c>
      <c r="K173" s="21">
        <v>0</v>
      </c>
      <c r="L173" s="21">
        <v>0</v>
      </c>
      <c r="M173" s="255">
        <f t="shared" si="81"/>
        <v>0</v>
      </c>
      <c r="N173" s="247">
        <f t="shared" si="82"/>
        <v>0</v>
      </c>
      <c r="O173" s="247">
        <f t="shared" si="83"/>
        <v>0</v>
      </c>
      <c r="P173" s="247">
        <f t="shared" si="84"/>
        <v>0</v>
      </c>
      <c r="Q173" s="247">
        <f t="shared" si="85"/>
        <v>0</v>
      </c>
      <c r="R173" s="247">
        <f t="shared" si="86"/>
        <v>0</v>
      </c>
      <c r="S173" s="247">
        <f t="shared" si="87"/>
        <v>0</v>
      </c>
      <c r="T173" s="247">
        <f t="shared" si="88"/>
        <v>0</v>
      </c>
      <c r="U173" s="247">
        <f t="shared" si="89"/>
        <v>0</v>
      </c>
      <c r="V173" s="247">
        <f t="shared" si="90"/>
        <v>0</v>
      </c>
    </row>
    <row r="174" spans="1:26" s="67" customFormat="1" hidden="1" outlineLevel="2" x14ac:dyDescent="0.3">
      <c r="A174" s="448"/>
      <c r="B174" s="231" t="s">
        <v>74</v>
      </c>
      <c r="C174" s="21">
        <f t="shared" si="101"/>
        <v>0</v>
      </c>
      <c r="D174" s="21">
        <f t="shared" si="101"/>
        <v>0</v>
      </c>
      <c r="E174" s="244">
        <f t="shared" si="101"/>
        <v>0</v>
      </c>
      <c r="F174" s="21">
        <v>0</v>
      </c>
      <c r="G174" s="21">
        <v>0</v>
      </c>
      <c r="H174" s="21">
        <v>0</v>
      </c>
      <c r="I174" s="21">
        <v>0</v>
      </c>
      <c r="J174" s="21">
        <v>0</v>
      </c>
      <c r="K174" s="21">
        <v>0</v>
      </c>
      <c r="L174" s="21">
        <v>0</v>
      </c>
      <c r="M174" s="255">
        <f t="shared" si="81"/>
        <v>0</v>
      </c>
      <c r="N174" s="247">
        <f t="shared" si="82"/>
        <v>0</v>
      </c>
      <c r="O174" s="247">
        <f t="shared" si="83"/>
        <v>0</v>
      </c>
      <c r="P174" s="247">
        <f t="shared" si="84"/>
        <v>0</v>
      </c>
      <c r="Q174" s="247">
        <f t="shared" si="85"/>
        <v>0</v>
      </c>
      <c r="R174" s="247">
        <f t="shared" si="86"/>
        <v>0</v>
      </c>
      <c r="S174" s="247">
        <f t="shared" si="87"/>
        <v>0</v>
      </c>
      <c r="T174" s="247">
        <f t="shared" si="88"/>
        <v>0</v>
      </c>
      <c r="U174" s="247">
        <f t="shared" si="89"/>
        <v>0</v>
      </c>
      <c r="V174" s="247">
        <f t="shared" si="90"/>
        <v>0</v>
      </c>
    </row>
    <row r="175" spans="1:26" s="67" customFormat="1" hidden="1" outlineLevel="2" x14ac:dyDescent="0.3">
      <c r="A175" s="448"/>
      <c r="B175" s="231" t="s">
        <v>75</v>
      </c>
      <c r="C175" s="21">
        <f t="shared" si="101"/>
        <v>0</v>
      </c>
      <c r="D175" s="21">
        <f t="shared" si="101"/>
        <v>0</v>
      </c>
      <c r="E175" s="21">
        <f t="shared" si="101"/>
        <v>0</v>
      </c>
      <c r="F175" s="244">
        <f t="shared" si="101"/>
        <v>0</v>
      </c>
      <c r="G175" s="21">
        <v>0</v>
      </c>
      <c r="H175" s="21">
        <v>0</v>
      </c>
      <c r="I175" s="21">
        <v>0</v>
      </c>
      <c r="J175" s="21">
        <v>0</v>
      </c>
      <c r="K175" s="21">
        <v>0</v>
      </c>
      <c r="L175" s="21">
        <v>0</v>
      </c>
      <c r="M175" s="255">
        <f t="shared" si="81"/>
        <v>0</v>
      </c>
      <c r="N175" s="247">
        <f t="shared" si="82"/>
        <v>0</v>
      </c>
      <c r="O175" s="247">
        <f t="shared" si="83"/>
        <v>0</v>
      </c>
      <c r="P175" s="247">
        <f t="shared" si="84"/>
        <v>0</v>
      </c>
      <c r="Q175" s="247">
        <f t="shared" si="85"/>
        <v>0</v>
      </c>
      <c r="R175" s="247">
        <f t="shared" si="86"/>
        <v>0</v>
      </c>
      <c r="S175" s="247">
        <f t="shared" si="87"/>
        <v>0</v>
      </c>
      <c r="T175" s="247">
        <f t="shared" si="88"/>
        <v>0</v>
      </c>
      <c r="U175" s="247">
        <f t="shared" si="89"/>
        <v>0</v>
      </c>
      <c r="V175" s="247">
        <f t="shared" si="90"/>
        <v>0</v>
      </c>
    </row>
    <row r="176" spans="1:26" s="67" customFormat="1" hidden="1" outlineLevel="2" x14ac:dyDescent="0.3">
      <c r="A176" s="448"/>
      <c r="B176" s="231" t="s">
        <v>76</v>
      </c>
      <c r="C176" s="21">
        <f t="shared" si="101"/>
        <v>0</v>
      </c>
      <c r="D176" s="21">
        <f t="shared" si="101"/>
        <v>0</v>
      </c>
      <c r="E176" s="21">
        <f t="shared" si="101"/>
        <v>0</v>
      </c>
      <c r="F176" s="21">
        <f t="shared" si="101"/>
        <v>0</v>
      </c>
      <c r="G176" s="244">
        <f t="shared" si="101"/>
        <v>0</v>
      </c>
      <c r="H176" s="21">
        <v>0</v>
      </c>
      <c r="I176" s="21">
        <v>0</v>
      </c>
      <c r="J176" s="21">
        <v>0</v>
      </c>
      <c r="K176" s="21">
        <v>0</v>
      </c>
      <c r="L176" s="21">
        <v>0</v>
      </c>
      <c r="M176" s="255">
        <f t="shared" si="81"/>
        <v>0</v>
      </c>
      <c r="N176" s="247">
        <f t="shared" si="82"/>
        <v>0</v>
      </c>
      <c r="O176" s="247">
        <f t="shared" si="83"/>
        <v>0</v>
      </c>
      <c r="P176" s="247">
        <f t="shared" si="84"/>
        <v>0</v>
      </c>
      <c r="Q176" s="247">
        <f t="shared" si="85"/>
        <v>0</v>
      </c>
      <c r="R176" s="247">
        <f t="shared" si="86"/>
        <v>0</v>
      </c>
      <c r="S176" s="247">
        <f t="shared" si="87"/>
        <v>0</v>
      </c>
      <c r="T176" s="247">
        <f t="shared" si="88"/>
        <v>0</v>
      </c>
      <c r="U176" s="247">
        <f t="shared" si="89"/>
        <v>0</v>
      </c>
      <c r="V176" s="247">
        <f t="shared" si="90"/>
        <v>0</v>
      </c>
    </row>
    <row r="177" spans="1:37" s="67" customFormat="1" hidden="1" outlineLevel="2" x14ac:dyDescent="0.3">
      <c r="A177" s="448"/>
      <c r="B177" s="231" t="s">
        <v>77</v>
      </c>
      <c r="C177" s="21">
        <f t="shared" si="101"/>
        <v>0</v>
      </c>
      <c r="D177" s="21">
        <f t="shared" si="101"/>
        <v>0</v>
      </c>
      <c r="E177" s="21">
        <f t="shared" si="101"/>
        <v>0</v>
      </c>
      <c r="F177" s="21">
        <f t="shared" si="101"/>
        <v>0</v>
      </c>
      <c r="G177" s="21">
        <f t="shared" si="101"/>
        <v>0</v>
      </c>
      <c r="H177" s="244">
        <f t="shared" si="101"/>
        <v>0</v>
      </c>
      <c r="I177" s="21">
        <v>0</v>
      </c>
      <c r="J177" s="21">
        <v>0</v>
      </c>
      <c r="K177" s="21">
        <v>0</v>
      </c>
      <c r="L177" s="21">
        <v>0</v>
      </c>
      <c r="M177" s="255">
        <f t="shared" si="81"/>
        <v>0</v>
      </c>
      <c r="N177" s="247">
        <f t="shared" si="82"/>
        <v>0</v>
      </c>
      <c r="O177" s="247">
        <f t="shared" si="83"/>
        <v>0</v>
      </c>
      <c r="P177" s="247">
        <f t="shared" si="84"/>
        <v>0</v>
      </c>
      <c r="Q177" s="247">
        <f t="shared" si="85"/>
        <v>0</v>
      </c>
      <c r="R177" s="247">
        <f t="shared" si="86"/>
        <v>0</v>
      </c>
      <c r="S177" s="247">
        <f t="shared" si="87"/>
        <v>0</v>
      </c>
      <c r="T177" s="247">
        <f t="shared" si="88"/>
        <v>0</v>
      </c>
      <c r="U177" s="247">
        <f t="shared" si="89"/>
        <v>0</v>
      </c>
      <c r="V177" s="247">
        <f t="shared" si="90"/>
        <v>0</v>
      </c>
    </row>
    <row r="178" spans="1:37" s="67" customFormat="1" hidden="1" outlineLevel="2" x14ac:dyDescent="0.3">
      <c r="A178" s="448"/>
      <c r="B178" s="231" t="s">
        <v>78</v>
      </c>
      <c r="C178" s="21">
        <f t="shared" si="101"/>
        <v>0</v>
      </c>
      <c r="D178" s="21">
        <f t="shared" si="101"/>
        <v>0</v>
      </c>
      <c r="E178" s="21">
        <f t="shared" si="101"/>
        <v>0</v>
      </c>
      <c r="F178" s="21">
        <f t="shared" si="101"/>
        <v>0</v>
      </c>
      <c r="G178" s="21">
        <f t="shared" si="101"/>
        <v>0</v>
      </c>
      <c r="H178" s="21">
        <f t="shared" si="101"/>
        <v>0</v>
      </c>
      <c r="I178" s="244">
        <f t="shared" si="101"/>
        <v>0</v>
      </c>
      <c r="J178" s="21">
        <v>0</v>
      </c>
      <c r="K178" s="21">
        <v>0</v>
      </c>
      <c r="L178" s="21">
        <v>0</v>
      </c>
      <c r="M178" s="255">
        <f t="shared" si="81"/>
        <v>0</v>
      </c>
      <c r="N178" s="247">
        <f t="shared" si="82"/>
        <v>0</v>
      </c>
      <c r="O178" s="247">
        <f t="shared" si="83"/>
        <v>0</v>
      </c>
      <c r="P178" s="247">
        <f t="shared" si="84"/>
        <v>0</v>
      </c>
      <c r="Q178" s="247">
        <f t="shared" si="85"/>
        <v>0</v>
      </c>
      <c r="R178" s="247">
        <f t="shared" si="86"/>
        <v>0</v>
      </c>
      <c r="S178" s="247">
        <f t="shared" si="87"/>
        <v>0</v>
      </c>
      <c r="T178" s="247">
        <f t="shared" si="88"/>
        <v>0</v>
      </c>
      <c r="U178" s="247">
        <f t="shared" si="89"/>
        <v>0</v>
      </c>
      <c r="V178" s="247">
        <f t="shared" si="90"/>
        <v>0</v>
      </c>
    </row>
    <row r="179" spans="1:37" s="67" customFormat="1" hidden="1" outlineLevel="2" x14ac:dyDescent="0.3">
      <c r="A179" s="448"/>
      <c r="B179" s="231" t="s">
        <v>79</v>
      </c>
      <c r="C179" s="21">
        <f t="shared" si="101"/>
        <v>0</v>
      </c>
      <c r="D179" s="21">
        <f t="shared" si="101"/>
        <v>0</v>
      </c>
      <c r="E179" s="21">
        <f t="shared" si="101"/>
        <v>0</v>
      </c>
      <c r="F179" s="21">
        <f t="shared" si="101"/>
        <v>0</v>
      </c>
      <c r="G179" s="21">
        <f t="shared" si="101"/>
        <v>0</v>
      </c>
      <c r="H179" s="21">
        <f t="shared" si="101"/>
        <v>0</v>
      </c>
      <c r="I179" s="21">
        <f t="shared" si="101"/>
        <v>0</v>
      </c>
      <c r="J179" s="244">
        <f t="shared" si="101"/>
        <v>0</v>
      </c>
      <c r="K179" s="21">
        <v>0</v>
      </c>
      <c r="L179" s="21">
        <v>0</v>
      </c>
      <c r="M179" s="255">
        <f t="shared" si="81"/>
        <v>0</v>
      </c>
      <c r="N179" s="247">
        <f t="shared" si="82"/>
        <v>0</v>
      </c>
      <c r="O179" s="247">
        <f t="shared" si="83"/>
        <v>0</v>
      </c>
      <c r="P179" s="247">
        <f t="shared" si="84"/>
        <v>0</v>
      </c>
      <c r="Q179" s="247">
        <f t="shared" si="85"/>
        <v>0</v>
      </c>
      <c r="R179" s="247">
        <f t="shared" si="86"/>
        <v>0</v>
      </c>
      <c r="S179" s="247">
        <f t="shared" si="87"/>
        <v>0</v>
      </c>
      <c r="T179" s="247">
        <f t="shared" si="88"/>
        <v>0</v>
      </c>
      <c r="U179" s="247">
        <f t="shared" si="89"/>
        <v>0</v>
      </c>
      <c r="V179" s="247">
        <f t="shared" si="90"/>
        <v>0</v>
      </c>
    </row>
    <row r="180" spans="1:37" s="67" customFormat="1" hidden="1" outlineLevel="2" x14ac:dyDescent="0.3">
      <c r="A180" s="448"/>
      <c r="B180" s="231" t="s">
        <v>80</v>
      </c>
      <c r="C180" s="21">
        <f t="shared" si="101"/>
        <v>0</v>
      </c>
      <c r="D180" s="21">
        <f t="shared" si="101"/>
        <v>0</v>
      </c>
      <c r="E180" s="21">
        <f t="shared" si="101"/>
        <v>0</v>
      </c>
      <c r="F180" s="21">
        <f t="shared" si="101"/>
        <v>0</v>
      </c>
      <c r="G180" s="21">
        <f t="shared" si="101"/>
        <v>0</v>
      </c>
      <c r="H180" s="21">
        <f t="shared" si="101"/>
        <v>0</v>
      </c>
      <c r="I180" s="21">
        <f t="shared" si="101"/>
        <v>0</v>
      </c>
      <c r="J180" s="245">
        <f t="shared" si="101"/>
        <v>0</v>
      </c>
      <c r="K180" s="244">
        <f t="shared" si="101"/>
        <v>0</v>
      </c>
      <c r="L180" s="21">
        <v>0</v>
      </c>
      <c r="M180" s="255">
        <f t="shared" si="81"/>
        <v>0</v>
      </c>
      <c r="N180" s="247">
        <f t="shared" si="82"/>
        <v>0</v>
      </c>
      <c r="O180" s="247">
        <f t="shared" si="83"/>
        <v>0</v>
      </c>
      <c r="P180" s="247">
        <f t="shared" si="84"/>
        <v>0</v>
      </c>
      <c r="Q180" s="247">
        <f t="shared" si="85"/>
        <v>0</v>
      </c>
      <c r="R180" s="247">
        <f t="shared" si="86"/>
        <v>0</v>
      </c>
      <c r="S180" s="247">
        <f t="shared" si="87"/>
        <v>0</v>
      </c>
      <c r="T180" s="247">
        <f t="shared" si="88"/>
        <v>0</v>
      </c>
      <c r="U180" s="247">
        <f t="shared" si="89"/>
        <v>0</v>
      </c>
      <c r="V180" s="247">
        <f t="shared" si="90"/>
        <v>0</v>
      </c>
    </row>
    <row r="181" spans="1:37" s="67" customFormat="1" hidden="1" outlineLevel="2" x14ac:dyDescent="0.3">
      <c r="A181" s="449"/>
      <c r="B181" s="182" t="s">
        <v>134</v>
      </c>
      <c r="C181" s="239">
        <f t="shared" si="101"/>
        <v>0</v>
      </c>
      <c r="D181" s="239">
        <f t="shared" si="101"/>
        <v>0</v>
      </c>
      <c r="E181" s="239">
        <f t="shared" si="101"/>
        <v>0</v>
      </c>
      <c r="F181" s="239">
        <f t="shared" si="101"/>
        <v>0</v>
      </c>
      <c r="G181" s="239">
        <f t="shared" si="101"/>
        <v>0</v>
      </c>
      <c r="H181" s="239">
        <f t="shared" si="101"/>
        <v>0</v>
      </c>
      <c r="I181" s="239">
        <f t="shared" si="101"/>
        <v>0</v>
      </c>
      <c r="J181" s="239">
        <f t="shared" si="101"/>
        <v>0</v>
      </c>
      <c r="K181" s="239">
        <f t="shared" si="101"/>
        <v>0</v>
      </c>
      <c r="L181" s="239">
        <f t="shared" si="101"/>
        <v>0</v>
      </c>
      <c r="M181" s="255">
        <f t="shared" si="81"/>
        <v>0</v>
      </c>
      <c r="N181" s="247">
        <f t="shared" si="82"/>
        <v>0</v>
      </c>
      <c r="O181" s="247">
        <f t="shared" si="83"/>
        <v>0</v>
      </c>
      <c r="P181" s="247">
        <f t="shared" si="84"/>
        <v>0</v>
      </c>
      <c r="Q181" s="247">
        <f t="shared" si="85"/>
        <v>0</v>
      </c>
      <c r="R181" s="247">
        <f t="shared" si="86"/>
        <v>0</v>
      </c>
      <c r="S181" s="247">
        <f t="shared" si="87"/>
        <v>0</v>
      </c>
      <c r="T181" s="247">
        <f t="shared" si="88"/>
        <v>0</v>
      </c>
      <c r="U181" s="247">
        <f t="shared" si="89"/>
        <v>0</v>
      </c>
      <c r="V181" s="247">
        <f t="shared" si="90"/>
        <v>0</v>
      </c>
    </row>
    <row r="182" spans="1:37" s="67" customFormat="1" ht="14.4" hidden="1" customHeight="1" outlineLevel="2" x14ac:dyDescent="0.3">
      <c r="A182" s="448" t="s">
        <v>245</v>
      </c>
      <c r="B182" s="231" t="s">
        <v>72</v>
      </c>
      <c r="C182" s="21">
        <f>C132-C142-C152-C162-C172</f>
        <v>-33555.041822219595</v>
      </c>
      <c r="D182" s="21">
        <f t="shared" ref="D182:L182" si="102">D132-D142-D152-D162-D172</f>
        <v>0</v>
      </c>
      <c r="E182" s="21">
        <f t="shared" si="102"/>
        <v>0</v>
      </c>
      <c r="F182" s="21">
        <f t="shared" si="102"/>
        <v>0</v>
      </c>
      <c r="G182" s="21">
        <f t="shared" si="102"/>
        <v>0</v>
      </c>
      <c r="H182" s="21">
        <f t="shared" si="102"/>
        <v>0</v>
      </c>
      <c r="I182" s="21">
        <f t="shared" si="102"/>
        <v>0</v>
      </c>
      <c r="J182" s="21">
        <f t="shared" si="102"/>
        <v>0</v>
      </c>
      <c r="K182" s="21">
        <f t="shared" si="102"/>
        <v>0</v>
      </c>
      <c r="L182" s="21">
        <f t="shared" si="102"/>
        <v>0</v>
      </c>
      <c r="M182" s="255">
        <f t="shared" si="81"/>
        <v>-373.45622506643957</v>
      </c>
      <c r="N182" s="247">
        <f t="shared" si="82"/>
        <v>0</v>
      </c>
      <c r="O182" s="247">
        <f t="shared" si="83"/>
        <v>0</v>
      </c>
      <c r="P182" s="247">
        <f t="shared" si="84"/>
        <v>0</v>
      </c>
      <c r="Q182" s="247">
        <f t="shared" si="85"/>
        <v>0</v>
      </c>
      <c r="R182" s="247">
        <f t="shared" si="86"/>
        <v>0</v>
      </c>
      <c r="S182" s="247">
        <f t="shared" si="87"/>
        <v>0</v>
      </c>
      <c r="T182" s="247">
        <f t="shared" si="88"/>
        <v>0</v>
      </c>
      <c r="U182" s="247">
        <f t="shared" si="89"/>
        <v>0</v>
      </c>
      <c r="V182" s="247">
        <f t="shared" si="90"/>
        <v>0</v>
      </c>
    </row>
    <row r="183" spans="1:37" s="67" customFormat="1" hidden="1" outlineLevel="2" x14ac:dyDescent="0.3">
      <c r="A183" s="448"/>
      <c r="B183" s="231" t="s">
        <v>73</v>
      </c>
      <c r="C183" s="21">
        <f t="shared" ref="C183:L183" si="103">C133-C143-C153-C163-C173</f>
        <v>-20047.269022219589</v>
      </c>
      <c r="D183" s="21">
        <f>D133-D143-D153-D163-D173</f>
        <v>-36611.400561738854</v>
      </c>
      <c r="E183" s="21">
        <f t="shared" si="103"/>
        <v>0</v>
      </c>
      <c r="F183" s="21">
        <f t="shared" si="103"/>
        <v>0</v>
      </c>
      <c r="G183" s="21">
        <f t="shared" si="103"/>
        <v>0</v>
      </c>
      <c r="H183" s="21">
        <f t="shared" si="103"/>
        <v>0</v>
      </c>
      <c r="I183" s="21">
        <f t="shared" si="103"/>
        <v>0</v>
      </c>
      <c r="J183" s="21">
        <f t="shared" si="103"/>
        <v>0</v>
      </c>
      <c r="K183" s="21">
        <f t="shared" si="103"/>
        <v>0</v>
      </c>
      <c r="L183" s="21">
        <f t="shared" si="103"/>
        <v>0</v>
      </c>
      <c r="M183" s="255">
        <f t="shared" si="81"/>
        <v>-223.11929907868213</v>
      </c>
      <c r="N183" s="247">
        <f t="shared" si="82"/>
        <v>-407.47246034211304</v>
      </c>
      <c r="O183" s="247">
        <f t="shared" si="83"/>
        <v>0</v>
      </c>
      <c r="P183" s="247">
        <f t="shared" si="84"/>
        <v>0</v>
      </c>
      <c r="Q183" s="247">
        <f t="shared" si="85"/>
        <v>0</v>
      </c>
      <c r="R183" s="247">
        <f t="shared" si="86"/>
        <v>0</v>
      </c>
      <c r="S183" s="247">
        <f t="shared" si="87"/>
        <v>0</v>
      </c>
      <c r="T183" s="247">
        <f t="shared" si="88"/>
        <v>0</v>
      </c>
      <c r="U183" s="247">
        <f t="shared" si="89"/>
        <v>0</v>
      </c>
      <c r="V183" s="247">
        <f t="shared" si="90"/>
        <v>0</v>
      </c>
    </row>
    <row r="184" spans="1:37" s="67" customFormat="1" hidden="1" outlineLevel="2" x14ac:dyDescent="0.3">
      <c r="A184" s="448"/>
      <c r="B184" s="231" t="s">
        <v>74</v>
      </c>
      <c r="C184" s="21">
        <f t="shared" ref="C184:L184" si="104">C134-C144-C154-C164-C174</f>
        <v>-20047.269022219589</v>
      </c>
      <c r="D184" s="21">
        <f t="shared" si="104"/>
        <v>-23103.627761738851</v>
      </c>
      <c r="E184" s="21">
        <f t="shared" si="104"/>
        <v>-30839.447975072195</v>
      </c>
      <c r="F184" s="21">
        <f t="shared" si="104"/>
        <v>0</v>
      </c>
      <c r="G184" s="21">
        <f t="shared" si="104"/>
        <v>0</v>
      </c>
      <c r="H184" s="21">
        <f t="shared" si="104"/>
        <v>0</v>
      </c>
      <c r="I184" s="21">
        <f t="shared" si="104"/>
        <v>0</v>
      </c>
      <c r="J184" s="21">
        <f t="shared" si="104"/>
        <v>0</v>
      </c>
      <c r="K184" s="21">
        <f t="shared" si="104"/>
        <v>0</v>
      </c>
      <c r="L184" s="21">
        <f t="shared" si="104"/>
        <v>0</v>
      </c>
      <c r="M184" s="255">
        <f t="shared" si="81"/>
        <v>-223.11929907868213</v>
      </c>
      <c r="N184" s="247">
        <f t="shared" si="82"/>
        <v>-257.13553435435563</v>
      </c>
      <c r="O184" s="247">
        <f t="shared" si="83"/>
        <v>-343.2325873686388</v>
      </c>
      <c r="P184" s="247">
        <f t="shared" si="84"/>
        <v>0</v>
      </c>
      <c r="Q184" s="247">
        <f t="shared" si="85"/>
        <v>0</v>
      </c>
      <c r="R184" s="247">
        <f t="shared" si="86"/>
        <v>0</v>
      </c>
      <c r="S184" s="247">
        <f t="shared" si="87"/>
        <v>0</v>
      </c>
      <c r="T184" s="247">
        <f t="shared" si="88"/>
        <v>0</v>
      </c>
      <c r="U184" s="247">
        <f t="shared" si="89"/>
        <v>0</v>
      </c>
      <c r="V184" s="247">
        <f t="shared" si="90"/>
        <v>0</v>
      </c>
    </row>
    <row r="185" spans="1:37" s="67" customFormat="1" hidden="1" outlineLevel="2" x14ac:dyDescent="0.3">
      <c r="A185" s="448"/>
      <c r="B185" s="231" t="s">
        <v>75</v>
      </c>
      <c r="C185" s="21">
        <f t="shared" ref="C185:L185" si="105">C135-C145-C155-C165-C175</f>
        <v>-20047.269022219589</v>
      </c>
      <c r="D185" s="21">
        <f t="shared" si="105"/>
        <v>-23103.627761738851</v>
      </c>
      <c r="E185" s="21">
        <f t="shared" si="105"/>
        <v>-17331.675175072189</v>
      </c>
      <c r="F185" s="21">
        <f t="shared" si="105"/>
        <v>-26221.885905738854</v>
      </c>
      <c r="G185" s="21">
        <f t="shared" si="105"/>
        <v>0</v>
      </c>
      <c r="H185" s="21">
        <f t="shared" si="105"/>
        <v>0</v>
      </c>
      <c r="I185" s="21">
        <f t="shared" si="105"/>
        <v>0</v>
      </c>
      <c r="J185" s="21">
        <f t="shared" si="105"/>
        <v>0</v>
      </c>
      <c r="K185" s="21">
        <f t="shared" si="105"/>
        <v>0</v>
      </c>
      <c r="L185" s="21">
        <f t="shared" si="105"/>
        <v>0</v>
      </c>
      <c r="M185" s="255">
        <f t="shared" si="81"/>
        <v>-223.11929907868213</v>
      </c>
      <c r="N185" s="247">
        <f t="shared" si="82"/>
        <v>-257.13553435435563</v>
      </c>
      <c r="O185" s="247">
        <f t="shared" si="83"/>
        <v>-192.89566138088136</v>
      </c>
      <c r="P185" s="247">
        <f t="shared" si="84"/>
        <v>-291.8406889898593</v>
      </c>
      <c r="Q185" s="247">
        <f t="shared" si="85"/>
        <v>0</v>
      </c>
      <c r="R185" s="247">
        <f t="shared" si="86"/>
        <v>0</v>
      </c>
      <c r="S185" s="247">
        <f t="shared" si="87"/>
        <v>0</v>
      </c>
      <c r="T185" s="247">
        <f t="shared" si="88"/>
        <v>0</v>
      </c>
      <c r="U185" s="247">
        <f t="shared" si="89"/>
        <v>0</v>
      </c>
      <c r="V185" s="247">
        <f t="shared" si="90"/>
        <v>0</v>
      </c>
    </row>
    <row r="186" spans="1:37" s="67" customFormat="1" hidden="1" outlineLevel="2" x14ac:dyDescent="0.3">
      <c r="A186" s="448"/>
      <c r="B186" s="231" t="s">
        <v>76</v>
      </c>
      <c r="C186" s="21">
        <f t="shared" ref="C186:L186" si="106">C136-C146-C156-C166-C176</f>
        <v>-20047.269022219589</v>
      </c>
      <c r="D186" s="21">
        <f t="shared" si="106"/>
        <v>-23103.627761738851</v>
      </c>
      <c r="E186" s="21">
        <f t="shared" si="106"/>
        <v>-17331.675175072189</v>
      </c>
      <c r="F186" s="21">
        <f t="shared" si="106"/>
        <v>-12714.113105738852</v>
      </c>
      <c r="G186" s="21">
        <f t="shared" si="106"/>
        <v>-22527.836250272187</v>
      </c>
      <c r="H186" s="21">
        <f t="shared" si="106"/>
        <v>0</v>
      </c>
      <c r="I186" s="21">
        <f t="shared" si="106"/>
        <v>0</v>
      </c>
      <c r="J186" s="21">
        <f t="shared" si="106"/>
        <v>0</v>
      </c>
      <c r="K186" s="21">
        <f t="shared" si="106"/>
        <v>0</v>
      </c>
      <c r="L186" s="21">
        <f t="shared" si="106"/>
        <v>0</v>
      </c>
      <c r="M186" s="255">
        <f t="shared" si="81"/>
        <v>-223.11929907868213</v>
      </c>
      <c r="N186" s="247">
        <f t="shared" si="82"/>
        <v>-257.13553435435563</v>
      </c>
      <c r="O186" s="247">
        <f t="shared" si="83"/>
        <v>-192.89566138088136</v>
      </c>
      <c r="P186" s="247">
        <f t="shared" si="84"/>
        <v>-141.50376300210186</v>
      </c>
      <c r="Q186" s="247">
        <f t="shared" si="85"/>
        <v>-250.7271702868357</v>
      </c>
      <c r="R186" s="247">
        <f t="shared" si="86"/>
        <v>0</v>
      </c>
      <c r="S186" s="247">
        <f t="shared" si="87"/>
        <v>0</v>
      </c>
      <c r="T186" s="247">
        <f t="shared" si="88"/>
        <v>0</v>
      </c>
      <c r="U186" s="247">
        <f t="shared" si="89"/>
        <v>0</v>
      </c>
      <c r="V186" s="247">
        <f t="shared" si="90"/>
        <v>0</v>
      </c>
    </row>
    <row r="187" spans="1:37" s="67" customFormat="1" hidden="1" outlineLevel="2" x14ac:dyDescent="0.3">
      <c r="A187" s="448"/>
      <c r="B187" s="231" t="s">
        <v>77</v>
      </c>
      <c r="C187" s="21">
        <f t="shared" ref="C187:L187" si="107">C137-C147-C157-C167-C177</f>
        <v>-20047.269022219589</v>
      </c>
      <c r="D187" s="21">
        <f t="shared" si="107"/>
        <v>-23103.627761738851</v>
      </c>
      <c r="E187" s="21">
        <f t="shared" si="107"/>
        <v>-17331.675175072189</v>
      </c>
      <c r="F187" s="21">
        <f t="shared" si="107"/>
        <v>-12714.113105738852</v>
      </c>
      <c r="G187" s="21">
        <f t="shared" si="107"/>
        <v>-9020.0634502721823</v>
      </c>
      <c r="H187" s="21">
        <f t="shared" si="107"/>
        <v>-19572.596525898858</v>
      </c>
      <c r="I187" s="21">
        <f t="shared" si="107"/>
        <v>0</v>
      </c>
      <c r="J187" s="21">
        <f t="shared" si="107"/>
        <v>0</v>
      </c>
      <c r="K187" s="21">
        <f t="shared" si="107"/>
        <v>0</v>
      </c>
      <c r="L187" s="21">
        <f t="shared" si="107"/>
        <v>0</v>
      </c>
      <c r="M187" s="255">
        <f t="shared" si="81"/>
        <v>-223.11929907868213</v>
      </c>
      <c r="N187" s="247">
        <f t="shared" si="82"/>
        <v>-257.13553435435563</v>
      </c>
      <c r="O187" s="247">
        <f t="shared" si="83"/>
        <v>-192.89566138088136</v>
      </c>
      <c r="P187" s="247">
        <f t="shared" si="84"/>
        <v>-141.50376300210186</v>
      </c>
      <c r="Q187" s="247">
        <f t="shared" si="85"/>
        <v>-100.39024429907828</v>
      </c>
      <c r="R187" s="247">
        <f t="shared" si="86"/>
        <v>-217.8363553244169</v>
      </c>
      <c r="S187" s="247">
        <f t="shared" si="87"/>
        <v>0</v>
      </c>
      <c r="T187" s="247">
        <f t="shared" si="88"/>
        <v>0</v>
      </c>
      <c r="U187" s="247">
        <f t="shared" si="89"/>
        <v>0</v>
      </c>
      <c r="V187" s="247">
        <f t="shared" si="90"/>
        <v>0</v>
      </c>
    </row>
    <row r="188" spans="1:37" s="67" customFormat="1" hidden="1" outlineLevel="2" x14ac:dyDescent="0.3">
      <c r="A188" s="448"/>
      <c r="B188" s="231" t="s">
        <v>78</v>
      </c>
      <c r="C188" s="21">
        <f t="shared" ref="C188:L188" si="108">C138-C148-C158-C168-C178</f>
        <v>-20047.269022219589</v>
      </c>
      <c r="D188" s="21">
        <f t="shared" si="108"/>
        <v>-23103.627761738851</v>
      </c>
      <c r="E188" s="21">
        <f t="shared" si="108"/>
        <v>-17331.675175072189</v>
      </c>
      <c r="F188" s="21">
        <f t="shared" si="108"/>
        <v>-12714.113105738852</v>
      </c>
      <c r="G188" s="21">
        <f t="shared" si="108"/>
        <v>-9020.0634502721823</v>
      </c>
      <c r="H188" s="21">
        <f t="shared" si="108"/>
        <v>-6064.8237258988538</v>
      </c>
      <c r="I188" s="21">
        <f t="shared" si="108"/>
        <v>-17208.404746400192</v>
      </c>
      <c r="J188" s="21">
        <f t="shared" si="108"/>
        <v>0</v>
      </c>
      <c r="K188" s="21">
        <f t="shared" si="108"/>
        <v>0</v>
      </c>
      <c r="L188" s="21">
        <f t="shared" si="108"/>
        <v>0</v>
      </c>
      <c r="M188" s="255">
        <f t="shared" si="81"/>
        <v>-223.11929907868213</v>
      </c>
      <c r="N188" s="247">
        <f t="shared" si="82"/>
        <v>-257.13553435435563</v>
      </c>
      <c r="O188" s="247">
        <f t="shared" si="83"/>
        <v>-192.89566138088136</v>
      </c>
      <c r="P188" s="247">
        <f t="shared" si="84"/>
        <v>-141.50376300210186</v>
      </c>
      <c r="Q188" s="247">
        <f t="shared" si="85"/>
        <v>-100.39024429907828</v>
      </c>
      <c r="R188" s="247">
        <f t="shared" si="86"/>
        <v>-67.499429336659475</v>
      </c>
      <c r="S188" s="247">
        <f t="shared" si="87"/>
        <v>-191.52370335448185</v>
      </c>
      <c r="T188" s="247">
        <f t="shared" si="88"/>
        <v>0</v>
      </c>
      <c r="U188" s="247">
        <f t="shared" si="89"/>
        <v>0</v>
      </c>
      <c r="V188" s="247">
        <f t="shared" si="90"/>
        <v>0</v>
      </c>
    </row>
    <row r="189" spans="1:37" s="67" customFormat="1" hidden="1" outlineLevel="2" x14ac:dyDescent="0.3">
      <c r="A189" s="448"/>
      <c r="B189" s="231" t="s">
        <v>79</v>
      </c>
      <c r="C189" s="21">
        <f t="shared" ref="C189:L189" si="109">C139-C149-C159-C169-C179</f>
        <v>-20047.269022219589</v>
      </c>
      <c r="D189" s="21">
        <f t="shared" si="109"/>
        <v>-23103.627761738851</v>
      </c>
      <c r="E189" s="21">
        <f t="shared" si="109"/>
        <v>-17331.675175072189</v>
      </c>
      <c r="F189" s="21">
        <f t="shared" si="109"/>
        <v>-12714.113105738852</v>
      </c>
      <c r="G189" s="21">
        <f t="shared" si="109"/>
        <v>-9020.0634502721823</v>
      </c>
      <c r="H189" s="21">
        <f t="shared" si="109"/>
        <v>-6064.8237258988538</v>
      </c>
      <c r="I189" s="21">
        <f t="shared" si="109"/>
        <v>-3700.6319464001881</v>
      </c>
      <c r="J189" s="21">
        <f t="shared" si="109"/>
        <v>-15317.051322801261</v>
      </c>
      <c r="K189" s="21">
        <f t="shared" si="109"/>
        <v>0</v>
      </c>
      <c r="L189" s="21">
        <f t="shared" si="109"/>
        <v>0</v>
      </c>
      <c r="M189" s="255">
        <f t="shared" si="81"/>
        <v>-223.11929907868213</v>
      </c>
      <c r="N189" s="247">
        <f t="shared" si="82"/>
        <v>-257.13553435435563</v>
      </c>
      <c r="O189" s="247">
        <f t="shared" si="83"/>
        <v>-192.89566138088136</v>
      </c>
      <c r="P189" s="247">
        <f t="shared" si="84"/>
        <v>-141.50376300210186</v>
      </c>
      <c r="Q189" s="247">
        <f t="shared" si="85"/>
        <v>-100.39024429907828</v>
      </c>
      <c r="R189" s="247">
        <f t="shared" si="86"/>
        <v>-67.499429336659475</v>
      </c>
      <c r="S189" s="247">
        <f t="shared" si="87"/>
        <v>-41.186777366724414</v>
      </c>
      <c r="T189" s="247">
        <f t="shared" si="88"/>
        <v>-170.4735817785338</v>
      </c>
      <c r="U189" s="247">
        <f t="shared" si="89"/>
        <v>0</v>
      </c>
      <c r="V189" s="247">
        <f t="shared" si="90"/>
        <v>0</v>
      </c>
    </row>
    <row r="190" spans="1:37" s="67" customFormat="1" hidden="1" outlineLevel="2" x14ac:dyDescent="0.3">
      <c r="A190" s="448"/>
      <c r="B190" s="231" t="s">
        <v>80</v>
      </c>
      <c r="C190" s="21">
        <f t="shared" ref="C190:L190" si="110">C140-C150-C160-C170-C180</f>
        <v>-20047.269022219589</v>
      </c>
      <c r="D190" s="21">
        <f t="shared" si="110"/>
        <v>-23103.627761738851</v>
      </c>
      <c r="E190" s="21">
        <f t="shared" si="110"/>
        <v>-17331.675175072189</v>
      </c>
      <c r="F190" s="21">
        <f t="shared" si="110"/>
        <v>-12714.113105738852</v>
      </c>
      <c r="G190" s="21">
        <f t="shared" si="110"/>
        <v>-9020.0634502721823</v>
      </c>
      <c r="H190" s="21">
        <f t="shared" si="110"/>
        <v>-6064.8237258988538</v>
      </c>
      <c r="I190" s="21">
        <f t="shared" si="110"/>
        <v>-3700.6319464001881</v>
      </c>
      <c r="J190" s="21">
        <f t="shared" si="110"/>
        <v>-1809.2785228012563</v>
      </c>
      <c r="K190" s="21">
        <f t="shared" si="110"/>
        <v>-13803.968583922115</v>
      </c>
      <c r="L190" s="21">
        <f t="shared" si="110"/>
        <v>0</v>
      </c>
      <c r="M190" s="255">
        <f t="shared" si="81"/>
        <v>-223.11929907868213</v>
      </c>
      <c r="N190" s="247">
        <f t="shared" si="82"/>
        <v>-257.13553435435563</v>
      </c>
      <c r="O190" s="247">
        <f t="shared" si="83"/>
        <v>-192.89566138088136</v>
      </c>
      <c r="P190" s="247">
        <f t="shared" si="84"/>
        <v>-141.50376300210186</v>
      </c>
      <c r="Q190" s="247">
        <f t="shared" si="85"/>
        <v>-100.39024429907828</v>
      </c>
      <c r="R190" s="247">
        <f t="shared" si="86"/>
        <v>-67.499429336659475</v>
      </c>
      <c r="S190" s="247">
        <f t="shared" si="87"/>
        <v>-41.186777366724414</v>
      </c>
      <c r="T190" s="247">
        <f t="shared" si="88"/>
        <v>-20.136655790776366</v>
      </c>
      <c r="U190" s="247">
        <f t="shared" si="89"/>
        <v>-153.63348451777534</v>
      </c>
      <c r="V190" s="247">
        <f t="shared" si="90"/>
        <v>0</v>
      </c>
    </row>
    <row r="191" spans="1:37" s="67" customFormat="1" ht="14.4" hidden="1" customHeight="1" outlineLevel="2" x14ac:dyDescent="0.3">
      <c r="A191" s="449"/>
      <c r="B191" s="182" t="s">
        <v>134</v>
      </c>
      <c r="C191" s="239">
        <f t="shared" ref="C191:L191" si="111">C141-C151-C161-C171-C181</f>
        <v>-20047.269022219589</v>
      </c>
      <c r="D191" s="239">
        <f t="shared" si="111"/>
        <v>-23103.627761738851</v>
      </c>
      <c r="E191" s="239">
        <f t="shared" si="111"/>
        <v>-17331.675175072189</v>
      </c>
      <c r="F191" s="239">
        <f t="shared" si="111"/>
        <v>-12714.113105738852</v>
      </c>
      <c r="G191" s="239">
        <f t="shared" si="111"/>
        <v>-9020.0634502721823</v>
      </c>
      <c r="H191" s="239">
        <f t="shared" si="111"/>
        <v>-6064.8237258988538</v>
      </c>
      <c r="I191" s="239">
        <f t="shared" si="111"/>
        <v>-3700.6319464001881</v>
      </c>
      <c r="J191" s="239">
        <f t="shared" si="111"/>
        <v>-1809.2785228012563</v>
      </c>
      <c r="K191" s="239">
        <f t="shared" si="111"/>
        <v>-296.19578392211042</v>
      </c>
      <c r="L191" s="239">
        <f t="shared" si="111"/>
        <v>914.2704071812077</v>
      </c>
      <c r="M191" s="255">
        <f t="shared" si="81"/>
        <v>-223.11929907868213</v>
      </c>
      <c r="N191" s="247">
        <f t="shared" si="82"/>
        <v>-257.13553435435563</v>
      </c>
      <c r="O191" s="247">
        <f t="shared" si="83"/>
        <v>-192.89566138088136</v>
      </c>
      <c r="P191" s="247">
        <f t="shared" si="84"/>
        <v>-141.50376300210186</v>
      </c>
      <c r="Q191" s="247">
        <f t="shared" si="85"/>
        <v>-100.39024429907828</v>
      </c>
      <c r="R191" s="247">
        <f t="shared" si="86"/>
        <v>-67.499429336659475</v>
      </c>
      <c r="S191" s="247">
        <f t="shared" si="87"/>
        <v>-41.186777366724414</v>
      </c>
      <c r="T191" s="247">
        <f t="shared" si="88"/>
        <v>-20.136655790776366</v>
      </c>
      <c r="U191" s="247">
        <f t="shared" si="89"/>
        <v>-3.2965585300179239</v>
      </c>
      <c r="V191" s="247">
        <f t="shared" si="90"/>
        <v>10.175519278588846</v>
      </c>
    </row>
    <row r="192" spans="1:37" s="231" customFormat="1" ht="14.4" hidden="1" customHeight="1" outlineLevel="2" x14ac:dyDescent="0.3">
      <c r="A192" s="448" t="s">
        <v>246</v>
      </c>
      <c r="B192" s="231" t="s">
        <v>72</v>
      </c>
      <c r="C192" s="21">
        <f t="shared" ref="C192:C201" si="112">C182</f>
        <v>-33555.041822219595</v>
      </c>
      <c r="D192" s="21">
        <f t="shared" ref="D192:L192" si="113">C192+D182</f>
        <v>-33555.041822219595</v>
      </c>
      <c r="E192" s="21">
        <f t="shared" si="113"/>
        <v>-33555.041822219595</v>
      </c>
      <c r="F192" s="21">
        <f t="shared" si="113"/>
        <v>-33555.041822219595</v>
      </c>
      <c r="G192" s="21">
        <f t="shared" si="113"/>
        <v>-33555.041822219595</v>
      </c>
      <c r="H192" s="21">
        <f t="shared" si="113"/>
        <v>-33555.041822219595</v>
      </c>
      <c r="I192" s="21">
        <f t="shared" si="113"/>
        <v>-33555.041822219595</v>
      </c>
      <c r="J192" s="21">
        <f t="shared" si="113"/>
        <v>-33555.041822219595</v>
      </c>
      <c r="K192" s="21">
        <f t="shared" si="113"/>
        <v>-33555.041822219595</v>
      </c>
      <c r="L192" s="21">
        <f t="shared" si="113"/>
        <v>-33555.041822219595</v>
      </c>
      <c r="M192" s="256"/>
      <c r="Z192" s="232"/>
      <c r="AA192" s="227"/>
      <c r="AB192" s="144"/>
      <c r="AC192" s="144"/>
      <c r="AD192" s="144"/>
      <c r="AE192" s="144"/>
      <c r="AF192" s="144"/>
      <c r="AG192" s="144"/>
      <c r="AH192" s="144"/>
      <c r="AI192" s="144"/>
      <c r="AJ192" s="144"/>
      <c r="AK192" s="144"/>
    </row>
    <row r="193" spans="1:37" s="231" customFormat="1" ht="14.4" hidden="1" customHeight="1" outlineLevel="2" x14ac:dyDescent="0.3">
      <c r="A193" s="448"/>
      <c r="B193" s="231" t="s">
        <v>73</v>
      </c>
      <c r="C193" s="21">
        <f t="shared" si="112"/>
        <v>-20047.269022219589</v>
      </c>
      <c r="D193" s="21">
        <f t="shared" ref="D193:L193" si="114">C193+D183</f>
        <v>-56658.669583958443</v>
      </c>
      <c r="E193" s="21">
        <f t="shared" si="114"/>
        <v>-56658.669583958443</v>
      </c>
      <c r="F193" s="21">
        <f t="shared" si="114"/>
        <v>-56658.669583958443</v>
      </c>
      <c r="G193" s="21">
        <f t="shared" si="114"/>
        <v>-56658.669583958443</v>
      </c>
      <c r="H193" s="21">
        <f t="shared" si="114"/>
        <v>-56658.669583958443</v>
      </c>
      <c r="I193" s="21">
        <f t="shared" si="114"/>
        <v>-56658.669583958443</v>
      </c>
      <c r="J193" s="21">
        <f t="shared" si="114"/>
        <v>-56658.669583958443</v>
      </c>
      <c r="K193" s="21">
        <f t="shared" si="114"/>
        <v>-56658.669583958443</v>
      </c>
      <c r="L193" s="21">
        <f t="shared" si="114"/>
        <v>-56658.669583958443</v>
      </c>
      <c r="M193" s="256"/>
      <c r="Z193" s="232"/>
      <c r="AA193" s="227"/>
      <c r="AB193" s="144"/>
      <c r="AC193" s="144"/>
      <c r="AD193" s="144"/>
      <c r="AE193" s="144"/>
      <c r="AF193" s="144"/>
      <c r="AG193" s="144"/>
      <c r="AH193" s="144"/>
      <c r="AI193" s="144"/>
      <c r="AJ193" s="144"/>
      <c r="AK193" s="144"/>
    </row>
    <row r="194" spans="1:37" s="231" customFormat="1" ht="14.4" hidden="1" customHeight="1" outlineLevel="2" x14ac:dyDescent="0.3">
      <c r="A194" s="448"/>
      <c r="B194" s="231" t="s">
        <v>74</v>
      </c>
      <c r="C194" s="21">
        <f t="shared" si="112"/>
        <v>-20047.269022219589</v>
      </c>
      <c r="D194" s="21">
        <f t="shared" ref="D194:L194" si="115">C194+D184</f>
        <v>-43150.896783958437</v>
      </c>
      <c r="E194" s="21">
        <f t="shared" si="115"/>
        <v>-73990.344759030631</v>
      </c>
      <c r="F194" s="21">
        <f t="shared" si="115"/>
        <v>-73990.344759030631</v>
      </c>
      <c r="G194" s="21">
        <f t="shared" si="115"/>
        <v>-73990.344759030631</v>
      </c>
      <c r="H194" s="21">
        <f t="shared" si="115"/>
        <v>-73990.344759030631</v>
      </c>
      <c r="I194" s="21">
        <f t="shared" si="115"/>
        <v>-73990.344759030631</v>
      </c>
      <c r="J194" s="21">
        <f t="shared" si="115"/>
        <v>-73990.344759030631</v>
      </c>
      <c r="K194" s="21">
        <f t="shared" si="115"/>
        <v>-73990.344759030631</v>
      </c>
      <c r="L194" s="21">
        <f t="shared" si="115"/>
        <v>-73990.344759030631</v>
      </c>
      <c r="M194" s="256"/>
      <c r="Z194" s="232"/>
      <c r="AA194" s="227"/>
      <c r="AB194" s="144"/>
      <c r="AC194" s="144"/>
      <c r="AD194" s="144"/>
      <c r="AE194" s="144"/>
      <c r="AF194" s="144"/>
      <c r="AG194" s="144"/>
      <c r="AH194" s="144"/>
      <c r="AI194" s="144"/>
      <c r="AJ194" s="144"/>
      <c r="AK194" s="144"/>
    </row>
    <row r="195" spans="1:37" s="231" customFormat="1" ht="14.4" hidden="1" customHeight="1" outlineLevel="2" x14ac:dyDescent="0.3">
      <c r="A195" s="448"/>
      <c r="B195" s="231" t="s">
        <v>75</v>
      </c>
      <c r="C195" s="21">
        <f t="shared" si="112"/>
        <v>-20047.269022219589</v>
      </c>
      <c r="D195" s="21">
        <f t="shared" ref="D195:L195" si="116">C195+D185</f>
        <v>-43150.896783958437</v>
      </c>
      <c r="E195" s="21">
        <f t="shared" si="116"/>
        <v>-60482.571959030625</v>
      </c>
      <c r="F195" s="21">
        <f t="shared" si="116"/>
        <v>-86704.457864769473</v>
      </c>
      <c r="G195" s="21">
        <f t="shared" si="116"/>
        <v>-86704.457864769473</v>
      </c>
      <c r="H195" s="21">
        <f t="shared" si="116"/>
        <v>-86704.457864769473</v>
      </c>
      <c r="I195" s="21">
        <f t="shared" si="116"/>
        <v>-86704.457864769473</v>
      </c>
      <c r="J195" s="21">
        <f t="shared" si="116"/>
        <v>-86704.457864769473</v>
      </c>
      <c r="K195" s="21">
        <f t="shared" si="116"/>
        <v>-86704.457864769473</v>
      </c>
      <c r="L195" s="21">
        <f t="shared" si="116"/>
        <v>-86704.457864769473</v>
      </c>
      <c r="M195" s="256"/>
      <c r="Z195" s="232"/>
      <c r="AA195" s="227"/>
      <c r="AB195" s="144"/>
      <c r="AC195" s="144"/>
      <c r="AD195" s="144"/>
      <c r="AE195" s="144"/>
      <c r="AF195" s="144"/>
      <c r="AG195" s="144"/>
      <c r="AH195" s="144"/>
      <c r="AI195" s="144"/>
      <c r="AJ195" s="144"/>
      <c r="AK195" s="144"/>
    </row>
    <row r="196" spans="1:37" s="231" customFormat="1" ht="14.4" hidden="1" customHeight="1" outlineLevel="2" x14ac:dyDescent="0.3">
      <c r="A196" s="448"/>
      <c r="B196" s="231" t="s">
        <v>76</v>
      </c>
      <c r="C196" s="21">
        <f t="shared" si="112"/>
        <v>-20047.269022219589</v>
      </c>
      <c r="D196" s="21">
        <f t="shared" ref="D196:L196" si="117">C196+D186</f>
        <v>-43150.896783958437</v>
      </c>
      <c r="E196" s="21">
        <f t="shared" si="117"/>
        <v>-60482.571959030625</v>
      </c>
      <c r="F196" s="21">
        <f t="shared" si="117"/>
        <v>-73196.685064769481</v>
      </c>
      <c r="G196" s="21">
        <f t="shared" si="117"/>
        <v>-95724.521315041668</v>
      </c>
      <c r="H196" s="21">
        <f t="shared" si="117"/>
        <v>-95724.521315041668</v>
      </c>
      <c r="I196" s="21">
        <f t="shared" si="117"/>
        <v>-95724.521315041668</v>
      </c>
      <c r="J196" s="21">
        <f t="shared" si="117"/>
        <v>-95724.521315041668</v>
      </c>
      <c r="K196" s="21">
        <f t="shared" si="117"/>
        <v>-95724.521315041668</v>
      </c>
      <c r="L196" s="21">
        <f t="shared" si="117"/>
        <v>-95724.521315041668</v>
      </c>
      <c r="M196" s="256"/>
      <c r="Z196" s="232"/>
      <c r="AA196" s="227"/>
      <c r="AB196" s="144"/>
      <c r="AC196" s="144"/>
      <c r="AD196" s="144"/>
      <c r="AE196" s="144"/>
      <c r="AF196" s="144"/>
      <c r="AG196" s="144"/>
      <c r="AH196" s="144"/>
      <c r="AI196" s="144"/>
      <c r="AJ196" s="144"/>
      <c r="AK196" s="144"/>
    </row>
    <row r="197" spans="1:37" s="231" customFormat="1" ht="14.4" hidden="1" customHeight="1" outlineLevel="2" x14ac:dyDescent="0.3">
      <c r="A197" s="448"/>
      <c r="B197" s="231" t="s">
        <v>77</v>
      </c>
      <c r="C197" s="21">
        <f>C187</f>
        <v>-20047.269022219589</v>
      </c>
      <c r="D197" s="21">
        <f t="shared" ref="D197:L197" si="118">C197+D187</f>
        <v>-43150.896783958437</v>
      </c>
      <c r="E197" s="21">
        <f t="shared" si="118"/>
        <v>-60482.571959030625</v>
      </c>
      <c r="F197" s="21">
        <f t="shared" si="118"/>
        <v>-73196.685064769481</v>
      </c>
      <c r="G197" s="21">
        <f t="shared" si="118"/>
        <v>-82216.748515041661</v>
      </c>
      <c r="H197" s="21">
        <f t="shared" si="118"/>
        <v>-101789.34504094052</v>
      </c>
      <c r="I197" s="21">
        <f t="shared" si="118"/>
        <v>-101789.34504094052</v>
      </c>
      <c r="J197" s="21">
        <f t="shared" si="118"/>
        <v>-101789.34504094052</v>
      </c>
      <c r="K197" s="21">
        <f t="shared" si="118"/>
        <v>-101789.34504094052</v>
      </c>
      <c r="L197" s="21">
        <f t="shared" si="118"/>
        <v>-101789.34504094052</v>
      </c>
      <c r="M197" s="256"/>
      <c r="Z197" s="232"/>
      <c r="AA197" s="227"/>
      <c r="AB197" s="144"/>
      <c r="AC197" s="144"/>
      <c r="AD197" s="144"/>
      <c r="AE197" s="144"/>
      <c r="AF197" s="144"/>
      <c r="AG197" s="144"/>
      <c r="AH197" s="144"/>
      <c r="AI197" s="144"/>
      <c r="AJ197" s="144"/>
      <c r="AK197" s="144"/>
    </row>
    <row r="198" spans="1:37" s="231" customFormat="1" ht="14.4" hidden="1" customHeight="1" outlineLevel="2" x14ac:dyDescent="0.3">
      <c r="A198" s="448"/>
      <c r="B198" s="231" t="s">
        <v>78</v>
      </c>
      <c r="C198" s="21">
        <f t="shared" si="112"/>
        <v>-20047.269022219589</v>
      </c>
      <c r="D198" s="21">
        <f t="shared" ref="D198:L198" si="119">C198+D188</f>
        <v>-43150.896783958437</v>
      </c>
      <c r="E198" s="21">
        <f t="shared" si="119"/>
        <v>-60482.571959030625</v>
      </c>
      <c r="F198" s="21">
        <f t="shared" si="119"/>
        <v>-73196.685064769481</v>
      </c>
      <c r="G198" s="21">
        <f t="shared" si="119"/>
        <v>-82216.748515041661</v>
      </c>
      <c r="H198" s="21">
        <f t="shared" si="119"/>
        <v>-88281.572240940513</v>
      </c>
      <c r="I198" s="21">
        <f t="shared" si="119"/>
        <v>-105489.97698734071</v>
      </c>
      <c r="J198" s="21">
        <f t="shared" si="119"/>
        <v>-105489.97698734071</v>
      </c>
      <c r="K198" s="21">
        <f t="shared" si="119"/>
        <v>-105489.97698734071</v>
      </c>
      <c r="L198" s="21">
        <f t="shared" si="119"/>
        <v>-105489.97698734071</v>
      </c>
      <c r="M198" s="256"/>
      <c r="Z198" s="232"/>
      <c r="AA198" s="227"/>
      <c r="AB198" s="144"/>
      <c r="AC198" s="144"/>
      <c r="AD198" s="144"/>
      <c r="AE198" s="144"/>
      <c r="AF198" s="144"/>
      <c r="AG198" s="144"/>
      <c r="AH198" s="144"/>
      <c r="AI198" s="144"/>
      <c r="AJ198" s="144"/>
      <c r="AK198" s="144"/>
    </row>
    <row r="199" spans="1:37" s="231" customFormat="1" ht="14.4" hidden="1" customHeight="1" outlineLevel="2" x14ac:dyDescent="0.3">
      <c r="A199" s="448"/>
      <c r="B199" s="231" t="s">
        <v>79</v>
      </c>
      <c r="C199" s="21">
        <f t="shared" si="112"/>
        <v>-20047.269022219589</v>
      </c>
      <c r="D199" s="21">
        <f t="shared" ref="D199:L199" si="120">C199+D189</f>
        <v>-43150.896783958437</v>
      </c>
      <c r="E199" s="21">
        <f t="shared" si="120"/>
        <v>-60482.571959030625</v>
      </c>
      <c r="F199" s="21">
        <f t="shared" si="120"/>
        <v>-73196.685064769481</v>
      </c>
      <c r="G199" s="21">
        <f t="shared" si="120"/>
        <v>-82216.748515041661</v>
      </c>
      <c r="H199" s="21">
        <f t="shared" si="120"/>
        <v>-88281.572240940513</v>
      </c>
      <c r="I199" s="21">
        <f t="shared" si="120"/>
        <v>-91982.2041873407</v>
      </c>
      <c r="J199" s="21">
        <f t="shared" si="120"/>
        <v>-107299.25551014196</v>
      </c>
      <c r="K199" s="21">
        <f t="shared" si="120"/>
        <v>-107299.25551014196</v>
      </c>
      <c r="L199" s="21">
        <f t="shared" si="120"/>
        <v>-107299.25551014196</v>
      </c>
      <c r="M199" s="256"/>
      <c r="Z199" s="232"/>
      <c r="AA199" s="227"/>
      <c r="AB199" s="144"/>
      <c r="AC199" s="144"/>
      <c r="AD199" s="144"/>
      <c r="AE199" s="144"/>
      <c r="AF199" s="144"/>
      <c r="AG199" s="144"/>
      <c r="AH199" s="144"/>
      <c r="AI199" s="144"/>
      <c r="AJ199" s="144"/>
      <c r="AK199" s="144"/>
    </row>
    <row r="200" spans="1:37" s="231" customFormat="1" ht="14.4" hidden="1" customHeight="1" outlineLevel="2" x14ac:dyDescent="0.3">
      <c r="A200" s="448"/>
      <c r="B200" s="231" t="s">
        <v>80</v>
      </c>
      <c r="C200" s="21">
        <f t="shared" si="112"/>
        <v>-20047.269022219589</v>
      </c>
      <c r="D200" s="21">
        <f t="shared" ref="D200:L200" si="121">C200+D190</f>
        <v>-43150.896783958437</v>
      </c>
      <c r="E200" s="21">
        <f t="shared" si="121"/>
        <v>-60482.571959030625</v>
      </c>
      <c r="F200" s="21">
        <f t="shared" si="121"/>
        <v>-73196.685064769481</v>
      </c>
      <c r="G200" s="21">
        <f t="shared" si="121"/>
        <v>-82216.748515041661</v>
      </c>
      <c r="H200" s="21">
        <f t="shared" si="121"/>
        <v>-88281.572240940513</v>
      </c>
      <c r="I200" s="21">
        <f t="shared" si="121"/>
        <v>-91982.2041873407</v>
      </c>
      <c r="J200" s="21">
        <f t="shared" si="121"/>
        <v>-93791.482710141951</v>
      </c>
      <c r="K200" s="21">
        <f t="shared" si="121"/>
        <v>-107595.45129406407</v>
      </c>
      <c r="L200" s="21">
        <f t="shared" si="121"/>
        <v>-107595.45129406407</v>
      </c>
      <c r="M200" s="256"/>
      <c r="Z200" s="232"/>
      <c r="AA200" s="227"/>
      <c r="AB200" s="144"/>
      <c r="AC200" s="144"/>
      <c r="AD200" s="144"/>
      <c r="AE200" s="144"/>
      <c r="AF200" s="144"/>
      <c r="AG200" s="144"/>
      <c r="AH200" s="144"/>
      <c r="AI200" s="144"/>
      <c r="AJ200" s="144"/>
      <c r="AK200" s="144"/>
    </row>
    <row r="201" spans="1:37" s="231" customFormat="1" ht="14.4" hidden="1" customHeight="1" outlineLevel="2" x14ac:dyDescent="0.3">
      <c r="A201" s="449"/>
      <c r="B201" s="182" t="s">
        <v>134</v>
      </c>
      <c r="C201" s="239">
        <f t="shared" si="112"/>
        <v>-20047.269022219589</v>
      </c>
      <c r="D201" s="239">
        <f t="shared" ref="D201:L201" si="122">C201+D191</f>
        <v>-43150.896783958437</v>
      </c>
      <c r="E201" s="239">
        <f t="shared" si="122"/>
        <v>-60482.571959030625</v>
      </c>
      <c r="F201" s="239">
        <f t="shared" si="122"/>
        <v>-73196.685064769481</v>
      </c>
      <c r="G201" s="239">
        <f t="shared" si="122"/>
        <v>-82216.748515041661</v>
      </c>
      <c r="H201" s="239">
        <f t="shared" si="122"/>
        <v>-88281.572240940513</v>
      </c>
      <c r="I201" s="239">
        <f t="shared" si="122"/>
        <v>-91982.2041873407</v>
      </c>
      <c r="J201" s="239">
        <f t="shared" si="122"/>
        <v>-93791.482710141951</v>
      </c>
      <c r="K201" s="239">
        <f t="shared" si="122"/>
        <v>-94087.678494064065</v>
      </c>
      <c r="L201" s="239">
        <f t="shared" si="122"/>
        <v>-93173.408086882861</v>
      </c>
      <c r="M201" s="256"/>
      <c r="Z201" s="232"/>
      <c r="AA201" s="227"/>
      <c r="AB201" s="144"/>
      <c r="AC201" s="144"/>
      <c r="AD201" s="144"/>
      <c r="AE201" s="144"/>
      <c r="AF201" s="144"/>
      <c r="AG201" s="144"/>
      <c r="AH201" s="144"/>
      <c r="AI201" s="144"/>
      <c r="AJ201" s="144"/>
      <c r="AK201" s="144"/>
    </row>
    <row r="202" spans="1:37" s="231" customFormat="1" ht="14.4" hidden="1" customHeight="1" outlineLevel="2" x14ac:dyDescent="0.3">
      <c r="A202" s="448" t="s">
        <v>247</v>
      </c>
      <c r="B202" s="231" t="s">
        <v>72</v>
      </c>
      <c r="C202" s="21">
        <f>C192/$B$15</f>
        <v>-373.45622506643957</v>
      </c>
      <c r="D202" s="21">
        <f t="shared" ref="D202:L202" si="123">D192/$B$15</f>
        <v>-373.45622506643957</v>
      </c>
      <c r="E202" s="21">
        <f t="shared" si="123"/>
        <v>-373.45622506643957</v>
      </c>
      <c r="F202" s="21">
        <f t="shared" si="123"/>
        <v>-373.45622506643957</v>
      </c>
      <c r="G202" s="21">
        <f t="shared" si="123"/>
        <v>-373.45622506643957</v>
      </c>
      <c r="H202" s="21">
        <f t="shared" si="123"/>
        <v>-373.45622506643957</v>
      </c>
      <c r="I202" s="21">
        <f t="shared" si="123"/>
        <v>-373.45622506643957</v>
      </c>
      <c r="J202" s="21">
        <f t="shared" si="123"/>
        <v>-373.45622506643957</v>
      </c>
      <c r="K202" s="21">
        <f t="shared" si="123"/>
        <v>-373.45622506643957</v>
      </c>
      <c r="L202" s="21">
        <f t="shared" si="123"/>
        <v>-373.45622506643957</v>
      </c>
      <c r="M202" s="256"/>
      <c r="Z202" s="232"/>
      <c r="AA202" s="227"/>
      <c r="AB202" s="144"/>
      <c r="AC202" s="144"/>
      <c r="AD202" s="144"/>
      <c r="AE202" s="144"/>
      <c r="AF202" s="144"/>
      <c r="AG202" s="144"/>
      <c r="AH202" s="144"/>
      <c r="AI202" s="144"/>
      <c r="AJ202" s="144"/>
      <c r="AK202" s="144"/>
    </row>
    <row r="203" spans="1:37" s="231" customFormat="1" ht="14.4" hidden="1" customHeight="1" outlineLevel="2" x14ac:dyDescent="0.3">
      <c r="A203" s="448"/>
      <c r="B203" s="231" t="s">
        <v>73</v>
      </c>
      <c r="C203" s="21">
        <f t="shared" ref="C203:L203" si="124">C193/$B$15</f>
        <v>-223.11929907868213</v>
      </c>
      <c r="D203" s="21">
        <f t="shared" si="124"/>
        <v>-630.59175942079514</v>
      </c>
      <c r="E203" s="21">
        <f t="shared" si="124"/>
        <v>-630.59175942079514</v>
      </c>
      <c r="F203" s="21">
        <f t="shared" si="124"/>
        <v>-630.59175942079514</v>
      </c>
      <c r="G203" s="21">
        <f t="shared" si="124"/>
        <v>-630.59175942079514</v>
      </c>
      <c r="H203" s="21">
        <f t="shared" si="124"/>
        <v>-630.59175942079514</v>
      </c>
      <c r="I203" s="21">
        <f t="shared" si="124"/>
        <v>-630.59175942079514</v>
      </c>
      <c r="J203" s="21">
        <f t="shared" si="124"/>
        <v>-630.59175942079514</v>
      </c>
      <c r="K203" s="21">
        <f t="shared" si="124"/>
        <v>-630.59175942079514</v>
      </c>
      <c r="L203" s="21">
        <f t="shared" si="124"/>
        <v>-630.59175942079514</v>
      </c>
      <c r="M203" s="256"/>
      <c r="Z203" s="232"/>
      <c r="AA203" s="227"/>
      <c r="AB203" s="144"/>
      <c r="AC203" s="144"/>
      <c r="AD203" s="144"/>
      <c r="AE203" s="144"/>
      <c r="AF203" s="144"/>
      <c r="AG203" s="144"/>
      <c r="AH203" s="144"/>
      <c r="AI203" s="144"/>
      <c r="AJ203" s="144"/>
      <c r="AK203" s="144"/>
    </row>
    <row r="204" spans="1:37" s="231" customFormat="1" ht="14.4" hidden="1" customHeight="1" outlineLevel="2" x14ac:dyDescent="0.3">
      <c r="A204" s="448"/>
      <c r="B204" s="231" t="s">
        <v>74</v>
      </c>
      <c r="C204" s="21">
        <f t="shared" ref="C204:L204" si="125">C194/$B$15</f>
        <v>-223.11929907868213</v>
      </c>
      <c r="D204" s="21">
        <f t="shared" si="125"/>
        <v>-480.25483343303773</v>
      </c>
      <c r="E204" s="21">
        <f t="shared" si="125"/>
        <v>-823.48742080167654</v>
      </c>
      <c r="F204" s="21">
        <f t="shared" si="125"/>
        <v>-823.48742080167654</v>
      </c>
      <c r="G204" s="21">
        <f t="shared" si="125"/>
        <v>-823.48742080167654</v>
      </c>
      <c r="H204" s="21">
        <f t="shared" si="125"/>
        <v>-823.48742080167654</v>
      </c>
      <c r="I204" s="21">
        <f t="shared" si="125"/>
        <v>-823.48742080167654</v>
      </c>
      <c r="J204" s="21">
        <f t="shared" si="125"/>
        <v>-823.48742080167654</v>
      </c>
      <c r="K204" s="21">
        <f t="shared" si="125"/>
        <v>-823.48742080167654</v>
      </c>
      <c r="L204" s="21">
        <f t="shared" si="125"/>
        <v>-823.48742080167654</v>
      </c>
      <c r="M204" s="256"/>
      <c r="Z204" s="232"/>
      <c r="AA204" s="227"/>
      <c r="AB204" s="144"/>
      <c r="AC204" s="144"/>
      <c r="AD204" s="144"/>
      <c r="AE204" s="144"/>
      <c r="AF204" s="144"/>
      <c r="AG204" s="144"/>
      <c r="AH204" s="144"/>
      <c r="AI204" s="144"/>
      <c r="AJ204" s="144"/>
      <c r="AK204" s="144"/>
    </row>
    <row r="205" spans="1:37" s="231" customFormat="1" ht="14.4" hidden="1" customHeight="1" outlineLevel="2" x14ac:dyDescent="0.3">
      <c r="A205" s="448"/>
      <c r="B205" s="231" t="s">
        <v>75</v>
      </c>
      <c r="C205" s="21">
        <f t="shared" ref="C205:L205" si="126">C195/$B$15</f>
        <v>-223.11929907868213</v>
      </c>
      <c r="D205" s="21">
        <f t="shared" si="126"/>
        <v>-480.25483343303773</v>
      </c>
      <c r="E205" s="21">
        <f t="shared" si="126"/>
        <v>-673.15049481391907</v>
      </c>
      <c r="F205" s="21">
        <f t="shared" si="126"/>
        <v>-964.99118380377831</v>
      </c>
      <c r="G205" s="21">
        <f t="shared" si="126"/>
        <v>-964.99118380377831</v>
      </c>
      <c r="H205" s="21">
        <f t="shared" si="126"/>
        <v>-964.99118380377831</v>
      </c>
      <c r="I205" s="21">
        <f t="shared" si="126"/>
        <v>-964.99118380377831</v>
      </c>
      <c r="J205" s="21">
        <f t="shared" si="126"/>
        <v>-964.99118380377831</v>
      </c>
      <c r="K205" s="21">
        <f t="shared" si="126"/>
        <v>-964.99118380377831</v>
      </c>
      <c r="L205" s="21">
        <f t="shared" si="126"/>
        <v>-964.99118380377831</v>
      </c>
      <c r="M205" s="256"/>
      <c r="Z205" s="232"/>
      <c r="AA205" s="227"/>
      <c r="AB205" s="144"/>
      <c r="AC205" s="144"/>
      <c r="AD205" s="144"/>
      <c r="AE205" s="144"/>
      <c r="AF205" s="144"/>
      <c r="AG205" s="144"/>
      <c r="AH205" s="144"/>
      <c r="AI205" s="144"/>
      <c r="AJ205" s="144"/>
      <c r="AK205" s="144"/>
    </row>
    <row r="206" spans="1:37" s="231" customFormat="1" ht="14.4" hidden="1" customHeight="1" outlineLevel="2" x14ac:dyDescent="0.3">
      <c r="A206" s="448"/>
      <c r="B206" s="231" t="s">
        <v>76</v>
      </c>
      <c r="C206" s="21">
        <f t="shared" ref="C206:L206" si="127">C196/$B$15</f>
        <v>-223.11929907868213</v>
      </c>
      <c r="D206" s="21">
        <f t="shared" si="127"/>
        <v>-480.25483343303773</v>
      </c>
      <c r="E206" s="21">
        <f t="shared" si="127"/>
        <v>-673.15049481391907</v>
      </c>
      <c r="F206" s="21">
        <f t="shared" si="127"/>
        <v>-814.65425781602096</v>
      </c>
      <c r="G206" s="21">
        <f t="shared" si="127"/>
        <v>-1065.3814281028567</v>
      </c>
      <c r="H206" s="21">
        <f t="shared" si="127"/>
        <v>-1065.3814281028567</v>
      </c>
      <c r="I206" s="21">
        <f t="shared" si="127"/>
        <v>-1065.3814281028567</v>
      </c>
      <c r="J206" s="21">
        <f t="shared" si="127"/>
        <v>-1065.3814281028567</v>
      </c>
      <c r="K206" s="21">
        <f t="shared" si="127"/>
        <v>-1065.3814281028567</v>
      </c>
      <c r="L206" s="21">
        <f t="shared" si="127"/>
        <v>-1065.3814281028567</v>
      </c>
      <c r="M206" s="256"/>
      <c r="Z206" s="232"/>
      <c r="AA206" s="227"/>
      <c r="AB206" s="144"/>
      <c r="AC206" s="144"/>
      <c r="AD206" s="144"/>
      <c r="AE206" s="144"/>
      <c r="AF206" s="144"/>
      <c r="AG206" s="144"/>
      <c r="AH206" s="144"/>
      <c r="AI206" s="144"/>
      <c r="AJ206" s="144"/>
      <c r="AK206" s="144"/>
    </row>
    <row r="207" spans="1:37" s="231" customFormat="1" ht="14.4" hidden="1" customHeight="1" outlineLevel="2" x14ac:dyDescent="0.3">
      <c r="A207" s="448"/>
      <c r="B207" s="231" t="s">
        <v>77</v>
      </c>
      <c r="C207" s="21">
        <f t="shared" ref="C207:L207" si="128">C197/$B$15</f>
        <v>-223.11929907868213</v>
      </c>
      <c r="D207" s="21">
        <f t="shared" si="128"/>
        <v>-480.25483343303773</v>
      </c>
      <c r="E207" s="21">
        <f t="shared" si="128"/>
        <v>-673.15049481391907</v>
      </c>
      <c r="F207" s="21">
        <f t="shared" si="128"/>
        <v>-814.65425781602096</v>
      </c>
      <c r="G207" s="21">
        <f t="shared" si="128"/>
        <v>-915.04450211509925</v>
      </c>
      <c r="H207" s="21">
        <f t="shared" si="128"/>
        <v>-1132.8808574395161</v>
      </c>
      <c r="I207" s="21">
        <f t="shared" si="128"/>
        <v>-1132.8808574395161</v>
      </c>
      <c r="J207" s="21">
        <f t="shared" si="128"/>
        <v>-1132.8808574395161</v>
      </c>
      <c r="K207" s="21">
        <f t="shared" si="128"/>
        <v>-1132.8808574395161</v>
      </c>
      <c r="L207" s="21">
        <f t="shared" si="128"/>
        <v>-1132.8808574395161</v>
      </c>
      <c r="M207" s="256"/>
      <c r="Z207" s="232"/>
      <c r="AA207" s="227"/>
      <c r="AB207" s="144"/>
      <c r="AC207" s="144"/>
      <c r="AD207" s="144"/>
      <c r="AE207" s="144"/>
      <c r="AF207" s="144"/>
      <c r="AG207" s="144"/>
      <c r="AH207" s="144"/>
      <c r="AI207" s="144"/>
      <c r="AJ207" s="144"/>
      <c r="AK207" s="144"/>
    </row>
    <row r="208" spans="1:37" s="231" customFormat="1" ht="14.4" hidden="1" customHeight="1" outlineLevel="2" x14ac:dyDescent="0.3">
      <c r="A208" s="448"/>
      <c r="B208" s="231" t="s">
        <v>78</v>
      </c>
      <c r="C208" s="21">
        <f t="shared" ref="C208:L208" si="129">C198/$B$15</f>
        <v>-223.11929907868213</v>
      </c>
      <c r="D208" s="21">
        <f t="shared" si="129"/>
        <v>-480.25483343303773</v>
      </c>
      <c r="E208" s="21">
        <f t="shared" si="129"/>
        <v>-673.15049481391907</v>
      </c>
      <c r="F208" s="21">
        <f t="shared" si="129"/>
        <v>-814.65425781602096</v>
      </c>
      <c r="G208" s="21">
        <f t="shared" si="129"/>
        <v>-915.04450211509925</v>
      </c>
      <c r="H208" s="21">
        <f t="shared" si="129"/>
        <v>-982.54393145175868</v>
      </c>
      <c r="I208" s="21">
        <f t="shared" si="129"/>
        <v>-1174.0676348062404</v>
      </c>
      <c r="J208" s="21">
        <f t="shared" si="129"/>
        <v>-1174.0676348062404</v>
      </c>
      <c r="K208" s="21">
        <f t="shared" si="129"/>
        <v>-1174.0676348062404</v>
      </c>
      <c r="L208" s="21">
        <f t="shared" si="129"/>
        <v>-1174.0676348062404</v>
      </c>
      <c r="M208" s="256"/>
      <c r="Z208" s="232"/>
      <c r="AA208" s="227"/>
      <c r="AB208" s="144"/>
      <c r="AC208" s="144"/>
      <c r="AD208" s="144"/>
      <c r="AE208" s="144"/>
      <c r="AF208" s="144"/>
      <c r="AG208" s="144"/>
      <c r="AH208" s="144"/>
      <c r="AI208" s="144"/>
      <c r="AJ208" s="144"/>
      <c r="AK208" s="144"/>
    </row>
    <row r="209" spans="1:37" s="231" customFormat="1" ht="14.4" hidden="1" customHeight="1" outlineLevel="2" x14ac:dyDescent="0.3">
      <c r="A209" s="448"/>
      <c r="B209" s="231" t="s">
        <v>79</v>
      </c>
      <c r="C209" s="21">
        <f t="shared" ref="C209:L209" si="130">C199/$B$15</f>
        <v>-223.11929907868213</v>
      </c>
      <c r="D209" s="21">
        <f t="shared" si="130"/>
        <v>-480.25483343303773</v>
      </c>
      <c r="E209" s="21">
        <f t="shared" si="130"/>
        <v>-673.15049481391907</v>
      </c>
      <c r="F209" s="21">
        <f t="shared" si="130"/>
        <v>-814.65425781602096</v>
      </c>
      <c r="G209" s="21">
        <f t="shared" si="130"/>
        <v>-915.04450211509925</v>
      </c>
      <c r="H209" s="21">
        <f t="shared" si="130"/>
        <v>-982.54393145175868</v>
      </c>
      <c r="I209" s="21">
        <f t="shared" si="130"/>
        <v>-1023.7307088184831</v>
      </c>
      <c r="J209" s="21">
        <f t="shared" si="130"/>
        <v>-1194.2042905970168</v>
      </c>
      <c r="K209" s="21">
        <f t="shared" si="130"/>
        <v>-1194.2042905970168</v>
      </c>
      <c r="L209" s="21">
        <f t="shared" si="130"/>
        <v>-1194.2042905970168</v>
      </c>
      <c r="M209" s="256"/>
      <c r="Z209" s="232"/>
      <c r="AA209" s="227"/>
      <c r="AB209" s="144"/>
      <c r="AC209" s="144"/>
      <c r="AD209" s="144"/>
      <c r="AE209" s="144"/>
      <c r="AF209" s="144"/>
      <c r="AG209" s="144"/>
      <c r="AH209" s="144"/>
      <c r="AI209" s="144"/>
      <c r="AJ209" s="144"/>
      <c r="AK209" s="144"/>
    </row>
    <row r="210" spans="1:37" s="231" customFormat="1" ht="14.4" hidden="1" customHeight="1" outlineLevel="2" x14ac:dyDescent="0.3">
      <c r="A210" s="448"/>
      <c r="B210" s="231" t="s">
        <v>80</v>
      </c>
      <c r="C210" s="21">
        <f t="shared" ref="C210:L210" si="131">C200/$B$15</f>
        <v>-223.11929907868213</v>
      </c>
      <c r="D210" s="21">
        <f t="shared" si="131"/>
        <v>-480.25483343303773</v>
      </c>
      <c r="E210" s="21">
        <f t="shared" si="131"/>
        <v>-673.15049481391907</v>
      </c>
      <c r="F210" s="21">
        <f t="shared" si="131"/>
        <v>-814.65425781602096</v>
      </c>
      <c r="G210" s="21">
        <f t="shared" si="131"/>
        <v>-915.04450211509925</v>
      </c>
      <c r="H210" s="21">
        <f t="shared" si="131"/>
        <v>-982.54393145175868</v>
      </c>
      <c r="I210" s="21">
        <f t="shared" si="131"/>
        <v>-1023.7307088184831</v>
      </c>
      <c r="J210" s="21">
        <f t="shared" si="131"/>
        <v>-1043.8673646092593</v>
      </c>
      <c r="K210" s="21">
        <f t="shared" si="131"/>
        <v>-1197.5008491270348</v>
      </c>
      <c r="L210" s="21">
        <f t="shared" si="131"/>
        <v>-1197.5008491270348</v>
      </c>
      <c r="M210" s="256"/>
      <c r="Z210" s="232"/>
      <c r="AA210" s="227"/>
      <c r="AB210" s="144"/>
      <c r="AC210" s="144"/>
      <c r="AD210" s="144"/>
      <c r="AE210" s="144"/>
      <c r="AF210" s="144"/>
      <c r="AG210" s="144"/>
      <c r="AH210" s="144"/>
      <c r="AI210" s="144"/>
      <c r="AJ210" s="144"/>
      <c r="AK210" s="144"/>
    </row>
    <row r="211" spans="1:37" s="231" customFormat="1" ht="14.4" hidden="1" customHeight="1" outlineLevel="2" x14ac:dyDescent="0.3">
      <c r="A211" s="449"/>
      <c r="B211" s="182" t="s">
        <v>134</v>
      </c>
      <c r="C211" s="239">
        <f t="shared" ref="C211:L211" si="132">C201/$B$15</f>
        <v>-223.11929907868213</v>
      </c>
      <c r="D211" s="239">
        <f t="shared" si="132"/>
        <v>-480.25483343303773</v>
      </c>
      <c r="E211" s="239">
        <f t="shared" si="132"/>
        <v>-673.15049481391907</v>
      </c>
      <c r="F211" s="239">
        <f t="shared" si="132"/>
        <v>-814.65425781602096</v>
      </c>
      <c r="G211" s="239">
        <f t="shared" si="132"/>
        <v>-915.04450211509925</v>
      </c>
      <c r="H211" s="239">
        <f t="shared" si="132"/>
        <v>-982.54393145175868</v>
      </c>
      <c r="I211" s="239">
        <f t="shared" si="132"/>
        <v>-1023.7307088184831</v>
      </c>
      <c r="J211" s="239">
        <f t="shared" si="132"/>
        <v>-1043.8673646092593</v>
      </c>
      <c r="K211" s="239">
        <f t="shared" si="132"/>
        <v>-1047.1639231392774</v>
      </c>
      <c r="L211" s="239">
        <f t="shared" si="132"/>
        <v>-1036.9884038606885</v>
      </c>
      <c r="M211" s="256"/>
      <c r="Z211" s="232"/>
      <c r="AA211" s="227"/>
      <c r="AB211" s="144"/>
      <c r="AC211" s="144"/>
      <c r="AD211" s="144"/>
      <c r="AE211" s="144"/>
      <c r="AF211" s="144"/>
      <c r="AG211" s="144"/>
      <c r="AH211" s="144"/>
      <c r="AI211" s="144"/>
      <c r="AJ211" s="144"/>
      <c r="AK211" s="144"/>
    </row>
    <row r="212" spans="1:37" s="67" customFormat="1" ht="14.4" customHeight="1" outlineLevel="1" collapsed="1" x14ac:dyDescent="0.3">
      <c r="A212" s="188"/>
      <c r="B212" s="227"/>
      <c r="C212" s="228"/>
      <c r="D212" s="228"/>
      <c r="E212" s="228"/>
      <c r="F212" s="228"/>
      <c r="G212" s="228"/>
      <c r="H212" s="228"/>
      <c r="I212" s="228"/>
      <c r="J212" s="228"/>
      <c r="K212" s="228"/>
      <c r="L212" s="228"/>
      <c r="M212" s="189"/>
    </row>
    <row r="213" spans="1:37" outlineLevel="1" x14ac:dyDescent="0.3">
      <c r="A213" s="457" t="s">
        <v>248</v>
      </c>
      <c r="B213" s="457"/>
      <c r="C213" s="457"/>
      <c r="D213" s="457"/>
      <c r="E213" s="457"/>
      <c r="F213" s="457"/>
      <c r="G213" s="457"/>
      <c r="H213" s="457"/>
      <c r="I213" s="457"/>
      <c r="J213" s="457"/>
      <c r="K213" s="457"/>
      <c r="L213" s="457"/>
      <c r="M213" s="442" t="s">
        <v>253</v>
      </c>
      <c r="N213" s="443"/>
      <c r="O213" s="443"/>
      <c r="P213" s="443"/>
      <c r="Q213" s="443"/>
      <c r="R213" s="443"/>
      <c r="S213" s="443"/>
      <c r="T213" s="443"/>
      <c r="U213" s="443"/>
      <c r="V213" s="443"/>
      <c r="W213" s="231"/>
      <c r="X213" s="231"/>
    </row>
    <row r="214" spans="1:37" ht="24" customHeight="1" outlineLevel="2" x14ac:dyDescent="0.3">
      <c r="A214" s="231"/>
      <c r="B214" s="231"/>
      <c r="C214" s="451" t="s">
        <v>71</v>
      </c>
      <c r="D214" s="451"/>
      <c r="E214" s="451"/>
      <c r="F214" s="451"/>
      <c r="G214" s="451"/>
      <c r="H214" s="451"/>
      <c r="I214" s="451"/>
      <c r="J214" s="451"/>
      <c r="K214" s="451"/>
      <c r="L214" s="451"/>
      <c r="M214" s="444" t="s">
        <v>71</v>
      </c>
      <c r="N214" s="445"/>
      <c r="O214" s="445"/>
      <c r="P214" s="445"/>
      <c r="Q214" s="445"/>
      <c r="R214" s="445"/>
      <c r="S214" s="445"/>
      <c r="T214" s="445"/>
      <c r="U214" s="445"/>
      <c r="V214" s="445"/>
      <c r="W214" s="231"/>
      <c r="X214" s="231"/>
    </row>
    <row r="215" spans="1:37" outlineLevel="2" x14ac:dyDescent="0.3">
      <c r="A215" s="231"/>
      <c r="B215" s="231"/>
      <c r="C215" s="158">
        <v>1</v>
      </c>
      <c r="D215" s="158">
        <v>2</v>
      </c>
      <c r="E215" s="158">
        <v>3</v>
      </c>
      <c r="F215" s="158">
        <v>4</v>
      </c>
      <c r="G215" s="158">
        <v>5</v>
      </c>
      <c r="H215" s="158">
        <v>6</v>
      </c>
      <c r="I215" s="158">
        <v>7</v>
      </c>
      <c r="J215" s="158">
        <v>8</v>
      </c>
      <c r="K215" s="158">
        <v>9</v>
      </c>
      <c r="L215" s="158">
        <v>10</v>
      </c>
      <c r="M215" s="254">
        <v>1</v>
      </c>
      <c r="N215" s="158">
        <v>2</v>
      </c>
      <c r="O215" s="158">
        <v>3</v>
      </c>
      <c r="P215" s="158">
        <v>4</v>
      </c>
      <c r="Q215" s="158">
        <v>5</v>
      </c>
      <c r="R215" s="158">
        <v>6</v>
      </c>
      <c r="S215" s="158">
        <v>7</v>
      </c>
      <c r="T215" s="158">
        <v>8</v>
      </c>
      <c r="U215" s="158">
        <v>9</v>
      </c>
      <c r="V215" s="158">
        <v>10</v>
      </c>
      <c r="W215" s="231"/>
      <c r="X215" s="231"/>
    </row>
    <row r="216" spans="1:37" ht="14.4" customHeight="1" outlineLevel="2" x14ac:dyDescent="0.3">
      <c r="A216" s="448" t="s">
        <v>240</v>
      </c>
      <c r="B216" s="231" t="s">
        <v>72</v>
      </c>
      <c r="C216" s="21">
        <f t="shared" ref="C216:C225" si="133">$G$30*$M$30+$G$31*$M$31+$G$32*$M$32+$G$33*$M$33+$G$34*$M$34+$G$35*$M$35+$G$36*$M$36+$G$37*$M$37+$G$38*$M$38+$G$39*$M$39+$G$40*$M$40+$G$41*$M$41+$G$42*$M$42+$G$43*$M$43+$G$44*$M$44</f>
        <v>6299.1803028245959</v>
      </c>
      <c r="D216" s="144">
        <f t="shared" ref="D216:L216" si="134">$H$30*$M$30+$H$31*$M$31+$H$32*$M$32+$H$33*$M$33+$H$34*$M$34+$H$35*$M$35+$H$36*$M$36+$H$37*$M$37+$H$38*$M$38+$H$39*$M$39+$H$40*$M$40+$H$41*$M$41+$H$42*$M$42+$H$43*$M$43+$H$44*$M$44</f>
        <v>0</v>
      </c>
      <c r="E216" s="144">
        <f t="shared" si="134"/>
        <v>0</v>
      </c>
      <c r="F216" s="144">
        <f t="shared" si="134"/>
        <v>0</v>
      </c>
      <c r="G216" s="144">
        <f t="shared" si="134"/>
        <v>0</v>
      </c>
      <c r="H216" s="144">
        <f t="shared" si="134"/>
        <v>0</v>
      </c>
      <c r="I216" s="144">
        <f t="shared" si="134"/>
        <v>0</v>
      </c>
      <c r="J216" s="144">
        <f t="shared" si="134"/>
        <v>0</v>
      </c>
      <c r="K216" s="144">
        <f t="shared" si="134"/>
        <v>0</v>
      </c>
      <c r="L216" s="144">
        <f t="shared" si="134"/>
        <v>0</v>
      </c>
      <c r="M216" s="255">
        <f>C216/$B$15</f>
        <v>70.107738484413986</v>
      </c>
      <c r="N216" s="247">
        <f t="shared" ref="N216:V216" si="135">D216/$B$15</f>
        <v>0</v>
      </c>
      <c r="O216" s="247">
        <f t="shared" si="135"/>
        <v>0</v>
      </c>
      <c r="P216" s="247">
        <f t="shared" si="135"/>
        <v>0</v>
      </c>
      <c r="Q216" s="247">
        <f t="shared" si="135"/>
        <v>0</v>
      </c>
      <c r="R216" s="247">
        <f t="shared" si="135"/>
        <v>0</v>
      </c>
      <c r="S216" s="247">
        <f t="shared" si="135"/>
        <v>0</v>
      </c>
      <c r="T216" s="247">
        <f t="shared" si="135"/>
        <v>0</v>
      </c>
      <c r="U216" s="247">
        <f t="shared" si="135"/>
        <v>0</v>
      </c>
      <c r="V216" s="247">
        <f t="shared" si="135"/>
        <v>0</v>
      </c>
      <c r="W216" s="231"/>
      <c r="X216" s="231"/>
    </row>
    <row r="217" spans="1:37" outlineLevel="2" x14ac:dyDescent="0.3">
      <c r="A217" s="448"/>
      <c r="B217" s="231" t="s">
        <v>73</v>
      </c>
      <c r="C217" s="21">
        <f t="shared" si="133"/>
        <v>6299.1803028245959</v>
      </c>
      <c r="D217" s="21">
        <f t="shared" ref="D217:D225" si="136">$G$30*$M$30+$G$31*$M$31+$G$32*$M$32+$G$33*$M$33+$G$34*$M$34+$G$35*$M$35+$G$36*$M$36+$G$37*$M$37+$G$38*$M$38+$G$39*$M$39+$G$40*$M$40+$G$41*$M$41+$G$42*$M$42+$G$43*$M$43+$G$44*$M$44</f>
        <v>6299.1803028245959</v>
      </c>
      <c r="E217" s="144">
        <f t="shared" ref="E217:L217" si="137">$H$30*$M$30+$H$31*$M$31+$H$32*$M$32+$H$33*$M$33+$H$34*$M$34+$H$35*$M$35+$H$36*$M$36+$H$37*$M$37+$H$38*$M$38+$H$39*$M$39+$H$40*$M$40+$H$41*$M$41+$H$42*$M$42+$H$43*$M$43+$H$44*$M$44</f>
        <v>0</v>
      </c>
      <c r="F217" s="144">
        <f t="shared" si="137"/>
        <v>0</v>
      </c>
      <c r="G217" s="144">
        <f t="shared" si="137"/>
        <v>0</v>
      </c>
      <c r="H217" s="144">
        <f t="shared" si="137"/>
        <v>0</v>
      </c>
      <c r="I217" s="144">
        <f t="shared" si="137"/>
        <v>0</v>
      </c>
      <c r="J217" s="144">
        <f t="shared" si="137"/>
        <v>0</v>
      </c>
      <c r="K217" s="144">
        <f t="shared" si="137"/>
        <v>0</v>
      </c>
      <c r="L217" s="144">
        <f t="shared" si="137"/>
        <v>0</v>
      </c>
      <c r="M217" s="255">
        <f t="shared" ref="M217:M265" si="138">C217/$B$15</f>
        <v>70.107738484413986</v>
      </c>
      <c r="N217" s="247">
        <f t="shared" ref="N217:N265" si="139">D217/$B$15</f>
        <v>70.107738484413986</v>
      </c>
      <c r="O217" s="247">
        <f t="shared" ref="O217:O265" si="140">E217/$B$15</f>
        <v>0</v>
      </c>
      <c r="P217" s="247">
        <f t="shared" ref="P217:P265" si="141">F217/$B$15</f>
        <v>0</v>
      </c>
      <c r="Q217" s="247">
        <f t="shared" ref="Q217:Q265" si="142">G217/$B$15</f>
        <v>0</v>
      </c>
      <c r="R217" s="247">
        <f t="shared" ref="R217:R265" si="143">H217/$B$15</f>
        <v>0</v>
      </c>
      <c r="S217" s="247">
        <f t="shared" ref="S217:S265" si="144">I217/$B$15</f>
        <v>0</v>
      </c>
      <c r="T217" s="247">
        <f t="shared" ref="T217:T265" si="145">J217/$B$15</f>
        <v>0</v>
      </c>
      <c r="U217" s="247">
        <f t="shared" ref="U217:U265" si="146">K217/$B$15</f>
        <v>0</v>
      </c>
      <c r="V217" s="247">
        <f t="shared" ref="V217:V265" si="147">L217/$B$15</f>
        <v>0</v>
      </c>
      <c r="W217" s="231"/>
      <c r="X217" s="231"/>
    </row>
    <row r="218" spans="1:37" ht="14.4" customHeight="1" outlineLevel="2" x14ac:dyDescent="0.3">
      <c r="A218" s="448"/>
      <c r="B218" s="231" t="s">
        <v>74</v>
      </c>
      <c r="C218" s="21">
        <f t="shared" si="133"/>
        <v>6299.1803028245959</v>
      </c>
      <c r="D218" s="21">
        <f t="shared" si="136"/>
        <v>6299.1803028245959</v>
      </c>
      <c r="E218" s="21">
        <f t="shared" ref="E218:E225" si="148">$G$30*$M$30+$G$31*$M$31+$G$32*$M$32+$G$33*$M$33+$G$34*$M$34+$G$35*$M$35+$G$36*$M$36+$G$37*$M$37+$G$38*$M$38+$G$39*$M$39+$G$40*$M$40+$G$41*$M$41+$G$42*$M$42+$G$43*$M$43+$G$44*$M$44</f>
        <v>6299.1803028245959</v>
      </c>
      <c r="F218" s="144">
        <f t="shared" ref="F218:L218" si="149">$H$30*$M$30+$H$31*$M$31+$H$32*$M$32+$H$33*$M$33+$H$34*$M$34+$H$35*$M$35+$H$36*$M$36+$H$37*$M$37+$H$38*$M$38+$H$39*$M$39+$H$40*$M$40+$H$41*$M$41+$H$42*$M$42+$H$43*$M$43+$H$44*$M$44</f>
        <v>0</v>
      </c>
      <c r="G218" s="144">
        <f t="shared" si="149"/>
        <v>0</v>
      </c>
      <c r="H218" s="144">
        <f t="shared" si="149"/>
        <v>0</v>
      </c>
      <c r="I218" s="144">
        <f t="shared" si="149"/>
        <v>0</v>
      </c>
      <c r="J218" s="144">
        <f t="shared" si="149"/>
        <v>0</v>
      </c>
      <c r="K218" s="144">
        <f t="shared" si="149"/>
        <v>0</v>
      </c>
      <c r="L218" s="144">
        <f t="shared" si="149"/>
        <v>0</v>
      </c>
      <c r="M218" s="255">
        <f t="shared" si="138"/>
        <v>70.107738484413986</v>
      </c>
      <c r="N218" s="247">
        <f t="shared" si="139"/>
        <v>70.107738484413986</v>
      </c>
      <c r="O218" s="247">
        <f t="shared" si="140"/>
        <v>70.107738484413986</v>
      </c>
      <c r="P218" s="247">
        <f t="shared" si="141"/>
        <v>0</v>
      </c>
      <c r="Q218" s="247">
        <f t="shared" si="142"/>
        <v>0</v>
      </c>
      <c r="R218" s="247">
        <f t="shared" si="143"/>
        <v>0</v>
      </c>
      <c r="S218" s="247">
        <f t="shared" si="144"/>
        <v>0</v>
      </c>
      <c r="T218" s="247">
        <f t="shared" si="145"/>
        <v>0</v>
      </c>
      <c r="U218" s="247">
        <f t="shared" si="146"/>
        <v>0</v>
      </c>
      <c r="V218" s="247">
        <f t="shared" si="147"/>
        <v>0</v>
      </c>
      <c r="W218" s="231"/>
      <c r="X218" s="231"/>
    </row>
    <row r="219" spans="1:37" outlineLevel="2" x14ac:dyDescent="0.3">
      <c r="A219" s="448"/>
      <c r="B219" s="231" t="s">
        <v>75</v>
      </c>
      <c r="C219" s="21">
        <f t="shared" si="133"/>
        <v>6299.1803028245959</v>
      </c>
      <c r="D219" s="21">
        <f t="shared" si="136"/>
        <v>6299.1803028245959</v>
      </c>
      <c r="E219" s="21">
        <f t="shared" si="148"/>
        <v>6299.1803028245959</v>
      </c>
      <c r="F219" s="21">
        <f t="shared" ref="F219:F225" si="150">$G$30*$M$30+$G$31*$M$31+$G$32*$M$32+$G$33*$M$33+$G$34*$M$34+$G$35*$M$35+$G$36*$M$36+$G$37*$M$37+$G$38*$M$38+$G$39*$M$39+$G$40*$M$40+$G$41*$M$41+$G$42*$M$42+$G$43*$M$43+$G$44*$M$44</f>
        <v>6299.1803028245959</v>
      </c>
      <c r="G219" s="144">
        <f t="shared" ref="G219:L219" si="151">$H$30*$M$30+$H$31*$M$31+$H$32*$M$32+$H$33*$M$33+$H$34*$M$34+$H$35*$M$35+$H$36*$M$36+$H$37*$M$37+$H$38*$M$38+$H$39*$M$39+$H$40*$M$40+$H$41*$M$41+$H$42*$M$42+$H$43*$M$43+$H$44*$M$44</f>
        <v>0</v>
      </c>
      <c r="H219" s="144">
        <f t="shared" si="151"/>
        <v>0</v>
      </c>
      <c r="I219" s="144">
        <f t="shared" si="151"/>
        <v>0</v>
      </c>
      <c r="J219" s="144">
        <f t="shared" si="151"/>
        <v>0</v>
      </c>
      <c r="K219" s="144">
        <f t="shared" si="151"/>
        <v>0</v>
      </c>
      <c r="L219" s="144">
        <f t="shared" si="151"/>
        <v>0</v>
      </c>
      <c r="M219" s="255">
        <f t="shared" si="138"/>
        <v>70.107738484413986</v>
      </c>
      <c r="N219" s="247">
        <f t="shared" si="139"/>
        <v>70.107738484413986</v>
      </c>
      <c r="O219" s="247">
        <f t="shared" si="140"/>
        <v>70.107738484413986</v>
      </c>
      <c r="P219" s="247">
        <f t="shared" si="141"/>
        <v>70.107738484413986</v>
      </c>
      <c r="Q219" s="247">
        <f t="shared" si="142"/>
        <v>0</v>
      </c>
      <c r="R219" s="247">
        <f t="shared" si="143"/>
        <v>0</v>
      </c>
      <c r="S219" s="247">
        <f t="shared" si="144"/>
        <v>0</v>
      </c>
      <c r="T219" s="247">
        <f t="shared" si="145"/>
        <v>0</v>
      </c>
      <c r="U219" s="247">
        <f t="shared" si="146"/>
        <v>0</v>
      </c>
      <c r="V219" s="247">
        <f t="shared" si="147"/>
        <v>0</v>
      </c>
      <c r="W219" s="231"/>
      <c r="X219" s="231"/>
    </row>
    <row r="220" spans="1:37" outlineLevel="2" x14ac:dyDescent="0.3">
      <c r="A220" s="448"/>
      <c r="B220" s="231" t="s">
        <v>76</v>
      </c>
      <c r="C220" s="21">
        <f t="shared" si="133"/>
        <v>6299.1803028245959</v>
      </c>
      <c r="D220" s="21">
        <f t="shared" si="136"/>
        <v>6299.1803028245959</v>
      </c>
      <c r="E220" s="21">
        <f t="shared" si="148"/>
        <v>6299.1803028245959</v>
      </c>
      <c r="F220" s="21">
        <f t="shared" si="150"/>
        <v>6299.1803028245959</v>
      </c>
      <c r="G220" s="21">
        <f t="shared" ref="G220:G225" si="152">$G$30*$M$30+$G$31*$M$31+$G$32*$M$32+$G$33*$M$33+$G$34*$M$34+$G$35*$M$35+$G$36*$M$36+$G$37*$M$37+$G$38*$M$38+$G$39*$M$39+$G$40*$M$40+$G$41*$M$41+$G$42*$M$42+$G$43*$M$43+$G$44*$M$44</f>
        <v>6299.1803028245959</v>
      </c>
      <c r="H220" s="144">
        <f>$H$30*$M$30+$H$31*$M$31+$H$32*$M$32+$H$33*$M$33+$H$34*$M$34+$H$35*$M$35+$H$36*$M$36+$H$37*$M$37+$H$38*$M$38+$H$39*$M$39+$H$40*$M$40+$H$41*$M$41+$H$42*$M$42+$H$43*$M$43+$H$44*$M$44</f>
        <v>0</v>
      </c>
      <c r="I220" s="144">
        <f>$H$30*$M$30+$H$31*$M$31+$H$32*$M$32+$H$33*$M$33+$H$34*$M$34+$H$35*$M$35+$H$36*$M$36+$H$37*$M$37+$H$38*$M$38+$H$39*$M$39+$H$40*$M$40+$H$41*$M$41+$H$42*$M$42+$H$43*$M$43+$H$44*$M$44</f>
        <v>0</v>
      </c>
      <c r="J220" s="144">
        <f>$H$30*$M$30+$H$31*$M$31+$H$32*$M$32+$H$33*$M$33+$H$34*$M$34+$H$35*$M$35+$H$36*$M$36+$H$37*$M$37+$H$38*$M$38+$H$39*$M$39+$H$40*$M$40+$H$41*$M$41+$H$42*$M$42+$H$43*$M$43+$H$44*$M$44</f>
        <v>0</v>
      </c>
      <c r="K220" s="144">
        <f>$H$30*$M$30+$H$31*$M$31+$H$32*$M$32+$H$33*$M$33+$H$34*$M$34+$H$35*$M$35+$H$36*$M$36+$H$37*$M$37+$H$38*$M$38+$H$39*$M$39+$H$40*$M$40+$H$41*$M$41+$H$42*$M$42+$H$43*$M$43+$H$44*$M$44</f>
        <v>0</v>
      </c>
      <c r="L220" s="144">
        <f>$H$30*$M$30+$H$31*$M$31+$H$32*$M$32+$H$33*$M$33+$H$34*$M$34+$H$35*$M$35+$H$36*$M$36+$H$37*$M$37+$H$38*$M$38+$H$39*$M$39+$H$40*$M$40+$H$41*$M$41+$H$42*$M$42+$H$43*$M$43+$H$44*$M$44</f>
        <v>0</v>
      </c>
      <c r="M220" s="255">
        <f t="shared" si="138"/>
        <v>70.107738484413986</v>
      </c>
      <c r="N220" s="247">
        <f t="shared" si="139"/>
        <v>70.107738484413986</v>
      </c>
      <c r="O220" s="247">
        <f t="shared" si="140"/>
        <v>70.107738484413986</v>
      </c>
      <c r="P220" s="247">
        <f t="shared" si="141"/>
        <v>70.107738484413986</v>
      </c>
      <c r="Q220" s="247">
        <f t="shared" si="142"/>
        <v>70.107738484413986</v>
      </c>
      <c r="R220" s="247">
        <f t="shared" si="143"/>
        <v>0</v>
      </c>
      <c r="S220" s="247">
        <f t="shared" si="144"/>
        <v>0</v>
      </c>
      <c r="T220" s="247">
        <f t="shared" si="145"/>
        <v>0</v>
      </c>
      <c r="U220" s="247">
        <f t="shared" si="146"/>
        <v>0</v>
      </c>
      <c r="V220" s="247">
        <f t="shared" si="147"/>
        <v>0</v>
      </c>
      <c r="W220" s="231"/>
      <c r="X220" s="231"/>
    </row>
    <row r="221" spans="1:37" outlineLevel="2" x14ac:dyDescent="0.3">
      <c r="A221" s="448"/>
      <c r="B221" s="231" t="s">
        <v>77</v>
      </c>
      <c r="C221" s="21">
        <f t="shared" si="133"/>
        <v>6299.1803028245959</v>
      </c>
      <c r="D221" s="21">
        <f t="shared" si="136"/>
        <v>6299.1803028245959</v>
      </c>
      <c r="E221" s="21">
        <f t="shared" si="148"/>
        <v>6299.1803028245959</v>
      </c>
      <c r="F221" s="21">
        <f t="shared" si="150"/>
        <v>6299.1803028245959</v>
      </c>
      <c r="G221" s="21">
        <f t="shared" si="152"/>
        <v>6299.1803028245959</v>
      </c>
      <c r="H221" s="21">
        <f>$G$30*$M$30+$G$31*$M$31+$G$32*$M$32+$G$33*$M$33+$G$34*$M$34+$G$35*$M$35+$G$36*$M$36+$G$37*$M$37+$G$38*$M$38+$G$39*$M$39+$G$40*$M$40+$G$41*$M$41+$G$42*$M$42+$G$43*$M$43+$G$44*$M$44</f>
        <v>6299.1803028245959</v>
      </c>
      <c r="I221" s="144">
        <f>$H$30*$M$30+$H$31*$M$31+$H$32*$M$32+$H$33*$M$33+$H$34*$M$34+$H$35*$M$35+$H$36*$M$36+$H$37*$M$37+$H$38*$M$38+$H$39*$M$39+$H$40*$M$40+$H$41*$M$41+$H$42*$M$42+$H$43*$M$43+$H$44*$M$44</f>
        <v>0</v>
      </c>
      <c r="J221" s="144">
        <f>$H$30*$M$30+$H$31*$M$31+$H$32*$M$32+$H$33*$M$33+$H$34*$M$34+$H$35*$M$35+$H$36*$M$36+$H$37*$M$37+$H$38*$M$38+$H$39*$M$39+$H$40*$M$40+$H$41*$M$41+$H$42*$M$42+$H$43*$M$43+$H$44*$M$44</f>
        <v>0</v>
      </c>
      <c r="K221" s="144">
        <f>$H$30*$M$30+$H$31*$M$31+$H$32*$M$32+$H$33*$M$33+$H$34*$M$34+$H$35*$M$35+$H$36*$M$36+$H$37*$M$37+$H$38*$M$38+$H$39*$M$39+$H$40*$M$40+$H$41*$M$41+$H$42*$M$42+$H$43*$M$43+$H$44*$M$44</f>
        <v>0</v>
      </c>
      <c r="L221" s="144">
        <f>$H$30*$M$30+$H$31*$M$31+$H$32*$M$32+$H$33*$M$33+$H$34*$M$34+$H$35*$M$35+$H$36*$M$36+$H$37*$M$37+$H$38*$M$38+$H$39*$M$39+$H$40*$M$40+$H$41*$M$41+$H$42*$M$42+$H$43*$M$43+$H$44*$M$44</f>
        <v>0</v>
      </c>
      <c r="M221" s="255">
        <f t="shared" si="138"/>
        <v>70.107738484413986</v>
      </c>
      <c r="N221" s="247">
        <f t="shared" si="139"/>
        <v>70.107738484413986</v>
      </c>
      <c r="O221" s="247">
        <f t="shared" si="140"/>
        <v>70.107738484413986</v>
      </c>
      <c r="P221" s="247">
        <f t="shared" si="141"/>
        <v>70.107738484413986</v>
      </c>
      <c r="Q221" s="247">
        <f t="shared" si="142"/>
        <v>70.107738484413986</v>
      </c>
      <c r="R221" s="247">
        <f t="shared" si="143"/>
        <v>70.107738484413986</v>
      </c>
      <c r="S221" s="247">
        <f t="shared" si="144"/>
        <v>0</v>
      </c>
      <c r="T221" s="247">
        <f t="shared" si="145"/>
        <v>0</v>
      </c>
      <c r="U221" s="247">
        <f t="shared" si="146"/>
        <v>0</v>
      </c>
      <c r="V221" s="247">
        <f t="shared" si="147"/>
        <v>0</v>
      </c>
      <c r="W221" s="231"/>
      <c r="X221" s="231"/>
    </row>
    <row r="222" spans="1:37" ht="14.4" customHeight="1" outlineLevel="2" x14ac:dyDescent="0.3">
      <c r="A222" s="448"/>
      <c r="B222" s="231" t="s">
        <v>78</v>
      </c>
      <c r="C222" s="21">
        <f t="shared" si="133"/>
        <v>6299.1803028245959</v>
      </c>
      <c r="D222" s="21">
        <f t="shared" si="136"/>
        <v>6299.1803028245959</v>
      </c>
      <c r="E222" s="21">
        <f t="shared" si="148"/>
        <v>6299.1803028245959</v>
      </c>
      <c r="F222" s="21">
        <f t="shared" si="150"/>
        <v>6299.1803028245959</v>
      </c>
      <c r="G222" s="21">
        <f t="shared" si="152"/>
        <v>6299.1803028245959</v>
      </c>
      <c r="H222" s="21">
        <f>$G$30*$M$30+$G$31*$M$31+$G$32*$M$32+$G$33*$M$33+$G$34*$M$34+$G$35*$M$35+$G$36*$M$36+$G$37*$M$37+$G$38*$M$38+$G$39*$M$39+$G$40*$M$40+$G$41*$M$41+$G$42*$M$42+$G$43*$M$43+$G$44*$M$44</f>
        <v>6299.1803028245959</v>
      </c>
      <c r="I222" s="21">
        <f>$G$30*$M$30+$G$31*$M$31+$G$32*$M$32+$G$33*$M$33+$G$34*$M$34+$G$35*$M$35+$G$36*$M$36+$G$37*$M$37+$G$38*$M$38+$G$39*$M$39+$G$40*$M$40+$G$41*$M$41+$G$42*$M$42+$G$43*$M$43+$G$44*$M$44</f>
        <v>6299.1803028245959</v>
      </c>
      <c r="J222" s="144">
        <f>$H$30*$M$30+$H$31*$M$31+$H$32*$M$32+$H$33*$M$33+$H$34*$M$34+$H$35*$M$35+$H$36*$M$36+$H$37*$M$37+$H$38*$M$38+$H$39*$M$39+$H$40*$M$40+$H$41*$M$41+$H$42*$M$42+$H$43*$M$43+$H$44*$M$44</f>
        <v>0</v>
      </c>
      <c r="K222" s="144">
        <f>$H$30*$M$30+$H$31*$M$31+$H$32*$M$32+$H$33*$M$33+$H$34*$M$34+$H$35*$M$35+$H$36*$M$36+$H$37*$M$37+$H$38*$M$38+$H$39*$M$39+$H$40*$M$40+$H$41*$M$41+$H$42*$M$42+$H$43*$M$43+$H$44*$M$44</f>
        <v>0</v>
      </c>
      <c r="L222" s="144">
        <f>$H$30*$M$30+$H$31*$M$31+$H$32*$M$32+$H$33*$M$33+$H$34*$M$34+$H$35*$M$35+$H$36*$M$36+$H$37*$M$37+$H$38*$M$38+$H$39*$M$39+$H$40*$M$40+$H$41*$M$41+$H$42*$M$42+$H$43*$M$43+$H$44*$M$44</f>
        <v>0</v>
      </c>
      <c r="M222" s="255">
        <f t="shared" si="138"/>
        <v>70.107738484413986</v>
      </c>
      <c r="N222" s="247">
        <f t="shared" si="139"/>
        <v>70.107738484413986</v>
      </c>
      <c r="O222" s="247">
        <f t="shared" si="140"/>
        <v>70.107738484413986</v>
      </c>
      <c r="P222" s="247">
        <f t="shared" si="141"/>
        <v>70.107738484413986</v>
      </c>
      <c r="Q222" s="247">
        <f t="shared" si="142"/>
        <v>70.107738484413986</v>
      </c>
      <c r="R222" s="247">
        <f t="shared" si="143"/>
        <v>70.107738484413986</v>
      </c>
      <c r="S222" s="247">
        <f t="shared" si="144"/>
        <v>70.107738484413986</v>
      </c>
      <c r="T222" s="247">
        <f t="shared" si="145"/>
        <v>0</v>
      </c>
      <c r="U222" s="247">
        <f t="shared" si="146"/>
        <v>0</v>
      </c>
      <c r="V222" s="247">
        <f t="shared" si="147"/>
        <v>0</v>
      </c>
      <c r="W222" s="231"/>
      <c r="X222" s="231"/>
    </row>
    <row r="223" spans="1:37" outlineLevel="2" x14ac:dyDescent="0.3">
      <c r="A223" s="448"/>
      <c r="B223" s="231" t="s">
        <v>79</v>
      </c>
      <c r="C223" s="21">
        <f t="shared" si="133"/>
        <v>6299.1803028245959</v>
      </c>
      <c r="D223" s="21">
        <f t="shared" si="136"/>
        <v>6299.1803028245959</v>
      </c>
      <c r="E223" s="21">
        <f t="shared" si="148"/>
        <v>6299.1803028245959</v>
      </c>
      <c r="F223" s="21">
        <f t="shared" si="150"/>
        <v>6299.1803028245959</v>
      </c>
      <c r="G223" s="21">
        <f t="shared" si="152"/>
        <v>6299.1803028245959</v>
      </c>
      <c r="H223" s="21">
        <f>$G$30*$M$30+$G$31*$M$31+$G$32*$M$32+$G$33*$M$33+$G$34*$M$34+$G$35*$M$35+$G$36*$M$36+$G$37*$M$37+$G$38*$M$38+$G$39*$M$39+$G$40*$M$40+$G$41*$M$41+$G$42*$M$42+$G$43*$M$43+$G$44*$M$44</f>
        <v>6299.1803028245959</v>
      </c>
      <c r="I223" s="21">
        <f>$G$30*$M$30+$G$31*$M$31+$G$32*$M$32+$G$33*$M$33+$G$34*$M$34+$G$35*$M$35+$G$36*$M$36+$G$37*$M$37+$G$38*$M$38+$G$39*$M$39+$G$40*$M$40+$G$41*$M$41+$G$42*$M$42+$G$43*$M$43+$G$44*$M$44</f>
        <v>6299.1803028245959</v>
      </c>
      <c r="J223" s="21">
        <f>$G$30*$M$30+$G$31*$M$31+$G$32*$M$32+$G$33*$M$33+$G$34*$M$34+$G$35*$M$35+$G$36*$M$36+$G$37*$M$37+$G$38*$M$38+$G$39*$M$39+$G$40*$M$40+$G$41*$M$41+$G$42*$M$42+$G$43*$M$43+$G$44*$M$44</f>
        <v>6299.1803028245959</v>
      </c>
      <c r="K223" s="144">
        <f>$H$30*$M$30+$H$31*$M$31+$H$32*$M$32+$H$33*$M$33+$H$34*$M$34+$H$35*$M$35+$H$36*$M$36+$H$37*$M$37+$H$38*$M$38+$H$39*$M$39+$H$40*$M$40+$H$41*$M$41+$H$42*$M$42+$H$43*$M$43+$H$44*$M$44</f>
        <v>0</v>
      </c>
      <c r="L223" s="144">
        <f>$H$30*$M$30+$H$31*$M$31+$H$32*$M$32+$H$33*$M$33+$H$34*$M$34+$H$35*$M$35+$H$36*$M$36+$H$37*$M$37+$H$38*$M$38+$H$39*$M$39+$H$40*$M$40+$H$41*$M$41+$H$42*$M$42+$H$43*$M$43+$H$44*$M$44</f>
        <v>0</v>
      </c>
      <c r="M223" s="255">
        <f t="shared" si="138"/>
        <v>70.107738484413986</v>
      </c>
      <c r="N223" s="247">
        <f t="shared" si="139"/>
        <v>70.107738484413986</v>
      </c>
      <c r="O223" s="247">
        <f t="shared" si="140"/>
        <v>70.107738484413986</v>
      </c>
      <c r="P223" s="247">
        <f t="shared" si="141"/>
        <v>70.107738484413986</v>
      </c>
      <c r="Q223" s="247">
        <f t="shared" si="142"/>
        <v>70.107738484413986</v>
      </c>
      <c r="R223" s="247">
        <f t="shared" si="143"/>
        <v>70.107738484413986</v>
      </c>
      <c r="S223" s="247">
        <f t="shared" si="144"/>
        <v>70.107738484413986</v>
      </c>
      <c r="T223" s="247">
        <f t="shared" si="145"/>
        <v>70.107738484413986</v>
      </c>
      <c r="U223" s="247">
        <f t="shared" si="146"/>
        <v>0</v>
      </c>
      <c r="V223" s="247">
        <f t="shared" si="147"/>
        <v>0</v>
      </c>
      <c r="W223" s="231"/>
      <c r="X223" s="231"/>
    </row>
    <row r="224" spans="1:37" outlineLevel="2" x14ac:dyDescent="0.3">
      <c r="A224" s="448"/>
      <c r="B224" s="231" t="s">
        <v>80</v>
      </c>
      <c r="C224" s="21">
        <f t="shared" si="133"/>
        <v>6299.1803028245959</v>
      </c>
      <c r="D224" s="21">
        <f t="shared" si="136"/>
        <v>6299.1803028245959</v>
      </c>
      <c r="E224" s="21">
        <f t="shared" si="148"/>
        <v>6299.1803028245959</v>
      </c>
      <c r="F224" s="21">
        <f t="shared" si="150"/>
        <v>6299.1803028245959</v>
      </c>
      <c r="G224" s="21">
        <f t="shared" si="152"/>
        <v>6299.1803028245959</v>
      </c>
      <c r="H224" s="21">
        <f>$G$30*$M$30+$G$31*$M$31+$G$32*$M$32+$G$33*$M$33+$G$34*$M$34+$G$35*$M$35+$G$36*$M$36+$G$37*$M$37+$G$38*$M$38+$G$39*$M$39+$G$40*$M$40+$G$41*$M$41+$G$42*$M$42+$G$43*$M$43+$G$44*$M$44</f>
        <v>6299.1803028245959</v>
      </c>
      <c r="I224" s="21">
        <f>$G$30*$M$30+$G$31*$M$31+$G$32*$M$32+$G$33*$M$33+$G$34*$M$34+$G$35*$M$35+$G$36*$M$36+$G$37*$M$37+$G$38*$M$38+$G$39*$M$39+$G$40*$M$40+$G$41*$M$41+$G$42*$M$42+$G$43*$M$43+$G$44*$M$44</f>
        <v>6299.1803028245959</v>
      </c>
      <c r="J224" s="21">
        <f>$G$30*$M$30+$G$31*$M$31+$G$32*$M$32+$G$33*$M$33+$G$34*$M$34+$G$35*$M$35+$G$36*$M$36+$G$37*$M$37+$G$38*$M$38+$G$39*$M$39+$G$40*$M$40+$G$41*$M$41+$G$42*$M$42+$G$43*$M$43+$G$44*$M$44</f>
        <v>6299.1803028245959</v>
      </c>
      <c r="K224" s="21">
        <f>$G$30*$M$30+$G$31*$M$31+$G$32*$M$32+$G$33*$M$33+$G$34*$M$34+$G$35*$M$35+$G$36*$M$36+$G$37*$M$37+$G$38*$M$38+$G$39*$M$39+$G$40*$M$40+$G$41*$M$41+$G$42*$M$42+$G$43*$M$43+$G$44*$M$44</f>
        <v>6299.1803028245959</v>
      </c>
      <c r="L224" s="144">
        <f>$H$30*$M$30+$H$31*$M$31+$H$32*$M$32+$H$33*$M$33+$H$34*$M$34+$H$35*$M$35+$H$36*$M$36+$H$37*$M$37+$H$38*$M$38+$H$39*$M$39+$H$40*$M$40+$H$41*$M$41+$H$42*$M$42+$H$43*$M$43+$H$44*$M$44</f>
        <v>0</v>
      </c>
      <c r="M224" s="255">
        <f t="shared" si="138"/>
        <v>70.107738484413986</v>
      </c>
      <c r="N224" s="247">
        <f t="shared" si="139"/>
        <v>70.107738484413986</v>
      </c>
      <c r="O224" s="247">
        <f t="shared" si="140"/>
        <v>70.107738484413986</v>
      </c>
      <c r="P224" s="247">
        <f t="shared" si="141"/>
        <v>70.107738484413986</v>
      </c>
      <c r="Q224" s="247">
        <f t="shared" si="142"/>
        <v>70.107738484413986</v>
      </c>
      <c r="R224" s="247">
        <f t="shared" si="143"/>
        <v>70.107738484413986</v>
      </c>
      <c r="S224" s="247">
        <f t="shared" si="144"/>
        <v>70.107738484413986</v>
      </c>
      <c r="T224" s="247">
        <f t="shared" si="145"/>
        <v>70.107738484413986</v>
      </c>
      <c r="U224" s="247">
        <f t="shared" si="146"/>
        <v>70.107738484413986</v>
      </c>
      <c r="V224" s="247">
        <f t="shared" si="147"/>
        <v>0</v>
      </c>
      <c r="W224" s="231"/>
      <c r="X224" s="231"/>
    </row>
    <row r="225" spans="1:24" outlineLevel="2" x14ac:dyDescent="0.3">
      <c r="A225" s="449"/>
      <c r="B225" s="182" t="s">
        <v>134</v>
      </c>
      <c r="C225" s="183">
        <f t="shared" si="133"/>
        <v>6299.1803028245959</v>
      </c>
      <c r="D225" s="183">
        <f t="shared" si="136"/>
        <v>6299.1803028245959</v>
      </c>
      <c r="E225" s="183">
        <f t="shared" si="148"/>
        <v>6299.1803028245959</v>
      </c>
      <c r="F225" s="183">
        <f t="shared" si="150"/>
        <v>6299.1803028245959</v>
      </c>
      <c r="G225" s="183">
        <f t="shared" si="152"/>
        <v>6299.1803028245959</v>
      </c>
      <c r="H225" s="183">
        <f>$G$30*$M$30+$G$31*$M$31+$G$32*$M$32+$G$33*$M$33+$G$34*$M$34+$G$35*$M$35+$G$36*$M$36+$G$37*$M$37+$G$38*$M$38+$G$39*$M$39+$G$40*$M$40+$G$41*$M$41+$G$42*$M$42+$G$43*$M$43+$G$44*$M$44</f>
        <v>6299.1803028245959</v>
      </c>
      <c r="I225" s="183">
        <f>$G$30*$M$30+$G$31*$M$31+$G$32*$M$32+$G$33*$M$33+$G$34*$M$34+$G$35*$M$35+$G$36*$M$36+$G$37*$M$37+$G$38*$M$38+$G$39*$M$39+$G$40*$M$40+$G$41*$M$41+$G$42*$M$42+$G$43*$M$43+$G$44*$M$44</f>
        <v>6299.1803028245959</v>
      </c>
      <c r="J225" s="183">
        <f>$G$30*$M$30+$G$31*$M$31+$G$32*$M$32+$G$33*$M$33+$G$34*$M$34+$G$35*$M$35+$G$36*$M$36+$G$37*$M$37+$G$38*$M$38+$G$39*$M$39+$G$40*$M$40+$G$41*$M$41+$G$42*$M$42+$G$43*$M$43+$G$44*$M$44</f>
        <v>6299.1803028245959</v>
      </c>
      <c r="K225" s="183">
        <f>$G$30*$M$30+$G$31*$M$31+$G$32*$M$32+$G$33*$M$33+$G$34*$M$34+$G$35*$M$35+$G$36*$M$36+$G$37*$M$37+$G$38*$M$38+$G$39*$M$39+$G$40*$M$40+$G$41*$M$41+$G$42*$M$42+$G$43*$M$43+$G$44*$M$44</f>
        <v>6299.1803028245959</v>
      </c>
      <c r="L225" s="183">
        <f>$G$30*$M$30+$G$31*$M$31+$G$32*$M$32+$G$33*$M$33+$G$34*$M$34+$G$35*$M$35+$G$36*$M$36+$G$37*$M$37+$G$38*$M$38+$G$39*$M$39+$G$40*$M$40+$G$41*$M$41+$G$42*$M$42+$G$43*$M$43+$G$44*$M$44</f>
        <v>6299.1803028245959</v>
      </c>
      <c r="M225" s="255">
        <f t="shared" si="138"/>
        <v>70.107738484413986</v>
      </c>
      <c r="N225" s="247">
        <f t="shared" si="139"/>
        <v>70.107738484413986</v>
      </c>
      <c r="O225" s="247">
        <f t="shared" si="140"/>
        <v>70.107738484413986</v>
      </c>
      <c r="P225" s="247">
        <f t="shared" si="141"/>
        <v>70.107738484413986</v>
      </c>
      <c r="Q225" s="247">
        <f t="shared" si="142"/>
        <v>70.107738484413986</v>
      </c>
      <c r="R225" s="247">
        <f t="shared" si="143"/>
        <v>70.107738484413986</v>
      </c>
      <c r="S225" s="247">
        <f t="shared" si="144"/>
        <v>70.107738484413986</v>
      </c>
      <c r="T225" s="247">
        <f t="shared" si="145"/>
        <v>70.107738484413986</v>
      </c>
      <c r="U225" s="247">
        <f t="shared" si="146"/>
        <v>70.107738484413986</v>
      </c>
      <c r="V225" s="247">
        <f t="shared" si="147"/>
        <v>70.107738484413986</v>
      </c>
      <c r="W225" s="231"/>
      <c r="X225" s="231"/>
    </row>
    <row r="226" spans="1:24" ht="14.4" customHeight="1" outlineLevel="2" x14ac:dyDescent="0.3">
      <c r="A226" s="455" t="s">
        <v>241</v>
      </c>
      <c r="B226" s="231" t="s">
        <v>72</v>
      </c>
      <c r="C226" s="21">
        <f>$G$54*$M$54+$G$64*$M$64+$G$65*$M$65+SUMPRODUCT($G$69:$G$88,$M$69:$M$88)</f>
        <v>3945.9733271474015</v>
      </c>
      <c r="D226" s="144">
        <v>0</v>
      </c>
      <c r="E226" s="144">
        <v>0</v>
      </c>
      <c r="F226" s="144">
        <v>0</v>
      </c>
      <c r="G226" s="144">
        <v>0</v>
      </c>
      <c r="H226" s="144">
        <v>0</v>
      </c>
      <c r="I226" s="144">
        <v>0</v>
      </c>
      <c r="J226" s="144">
        <v>0</v>
      </c>
      <c r="K226" s="144">
        <v>0</v>
      </c>
      <c r="L226" s="144">
        <v>0</v>
      </c>
      <c r="M226" s="255">
        <f>C226/$B$15</f>
        <v>43.917343652169187</v>
      </c>
      <c r="N226" s="247">
        <f t="shared" si="139"/>
        <v>0</v>
      </c>
      <c r="O226" s="247">
        <f t="shared" si="140"/>
        <v>0</v>
      </c>
      <c r="P226" s="247">
        <f t="shared" si="141"/>
        <v>0</v>
      </c>
      <c r="Q226" s="247">
        <f t="shared" si="142"/>
        <v>0</v>
      </c>
      <c r="R226" s="247">
        <f t="shared" si="143"/>
        <v>0</v>
      </c>
      <c r="S226" s="247">
        <f t="shared" si="144"/>
        <v>0</v>
      </c>
      <c r="T226" s="247">
        <f t="shared" si="145"/>
        <v>0</v>
      </c>
      <c r="U226" s="247">
        <f t="shared" si="146"/>
        <v>0</v>
      </c>
      <c r="V226" s="247">
        <f t="shared" si="147"/>
        <v>0</v>
      </c>
      <c r="W226" s="231"/>
      <c r="X226" s="231"/>
    </row>
    <row r="227" spans="1:24" outlineLevel="2" x14ac:dyDescent="0.3">
      <c r="A227" s="448"/>
      <c r="B227" s="231" t="s">
        <v>73</v>
      </c>
      <c r="C227" s="21">
        <f t="shared" ref="C227:C235" si="153">$G$54*$M$54+$G$64*$M$64+$G$65*$M$65+SUMPRODUCT($G$69:$G$88,$M$69:$M$88)</f>
        <v>3945.9733271474015</v>
      </c>
      <c r="D227" s="21">
        <v>0</v>
      </c>
      <c r="E227" s="21">
        <v>0</v>
      </c>
      <c r="F227" s="21">
        <v>0</v>
      </c>
      <c r="G227" s="21">
        <v>0</v>
      </c>
      <c r="H227" s="21">
        <v>0</v>
      </c>
      <c r="I227" s="21">
        <v>0</v>
      </c>
      <c r="J227" s="21">
        <v>0</v>
      </c>
      <c r="K227" s="21">
        <v>0</v>
      </c>
      <c r="L227" s="21">
        <v>0</v>
      </c>
      <c r="M227" s="255">
        <f t="shared" si="138"/>
        <v>43.917343652169187</v>
      </c>
      <c r="N227" s="247">
        <f t="shared" si="139"/>
        <v>0</v>
      </c>
      <c r="O227" s="247">
        <f t="shared" si="140"/>
        <v>0</v>
      </c>
      <c r="P227" s="247">
        <f t="shared" si="141"/>
        <v>0</v>
      </c>
      <c r="Q227" s="247">
        <f t="shared" si="142"/>
        <v>0</v>
      </c>
      <c r="R227" s="247">
        <f t="shared" si="143"/>
        <v>0</v>
      </c>
      <c r="S227" s="247">
        <f t="shared" si="144"/>
        <v>0</v>
      </c>
      <c r="T227" s="247">
        <f t="shared" si="145"/>
        <v>0</v>
      </c>
      <c r="U227" s="247">
        <f t="shared" si="146"/>
        <v>0</v>
      </c>
      <c r="V227" s="247">
        <f t="shared" si="147"/>
        <v>0</v>
      </c>
      <c r="W227" s="231"/>
      <c r="X227" s="231"/>
    </row>
    <row r="228" spans="1:24" ht="14.4" customHeight="1" outlineLevel="2" x14ac:dyDescent="0.3">
      <c r="A228" s="448"/>
      <c r="B228" s="231" t="s">
        <v>74</v>
      </c>
      <c r="C228" s="21">
        <f t="shared" si="153"/>
        <v>3945.9733271474015</v>
      </c>
      <c r="D228" s="21">
        <v>0</v>
      </c>
      <c r="E228" s="21">
        <v>0</v>
      </c>
      <c r="F228" s="21">
        <v>0</v>
      </c>
      <c r="G228" s="21">
        <v>0</v>
      </c>
      <c r="H228" s="21">
        <v>0</v>
      </c>
      <c r="I228" s="21">
        <v>0</v>
      </c>
      <c r="J228" s="21">
        <v>0</v>
      </c>
      <c r="K228" s="21">
        <v>0</v>
      </c>
      <c r="L228" s="21">
        <v>0</v>
      </c>
      <c r="M228" s="255">
        <f t="shared" si="138"/>
        <v>43.917343652169187</v>
      </c>
      <c r="N228" s="247">
        <f t="shared" si="139"/>
        <v>0</v>
      </c>
      <c r="O228" s="247">
        <f t="shared" si="140"/>
        <v>0</v>
      </c>
      <c r="P228" s="247">
        <f t="shared" si="141"/>
        <v>0</v>
      </c>
      <c r="Q228" s="247">
        <f t="shared" si="142"/>
        <v>0</v>
      </c>
      <c r="R228" s="247">
        <f t="shared" si="143"/>
        <v>0</v>
      </c>
      <c r="S228" s="247">
        <f t="shared" si="144"/>
        <v>0</v>
      </c>
      <c r="T228" s="247">
        <f t="shared" si="145"/>
        <v>0</v>
      </c>
      <c r="U228" s="247">
        <f t="shared" si="146"/>
        <v>0</v>
      </c>
      <c r="V228" s="247">
        <f t="shared" si="147"/>
        <v>0</v>
      </c>
      <c r="W228" s="231"/>
      <c r="X228" s="231"/>
    </row>
    <row r="229" spans="1:24" outlineLevel="2" x14ac:dyDescent="0.3">
      <c r="A229" s="448"/>
      <c r="B229" s="231" t="s">
        <v>75</v>
      </c>
      <c r="C229" s="21">
        <f t="shared" si="153"/>
        <v>3945.9733271474015</v>
      </c>
      <c r="D229" s="21">
        <v>0</v>
      </c>
      <c r="E229" s="21">
        <v>0</v>
      </c>
      <c r="F229" s="21">
        <v>0</v>
      </c>
      <c r="G229" s="21">
        <v>0</v>
      </c>
      <c r="H229" s="21">
        <v>0</v>
      </c>
      <c r="I229" s="21">
        <v>0</v>
      </c>
      <c r="J229" s="21">
        <v>0</v>
      </c>
      <c r="K229" s="21">
        <v>0</v>
      </c>
      <c r="L229" s="21">
        <v>0</v>
      </c>
      <c r="M229" s="255">
        <f t="shared" si="138"/>
        <v>43.917343652169187</v>
      </c>
      <c r="N229" s="247">
        <f t="shared" si="139"/>
        <v>0</v>
      </c>
      <c r="O229" s="247">
        <f t="shared" si="140"/>
        <v>0</v>
      </c>
      <c r="P229" s="247">
        <f t="shared" si="141"/>
        <v>0</v>
      </c>
      <c r="Q229" s="247">
        <f t="shared" si="142"/>
        <v>0</v>
      </c>
      <c r="R229" s="247">
        <f t="shared" si="143"/>
        <v>0</v>
      </c>
      <c r="S229" s="247">
        <f t="shared" si="144"/>
        <v>0</v>
      </c>
      <c r="T229" s="247">
        <f t="shared" si="145"/>
        <v>0</v>
      </c>
      <c r="U229" s="247">
        <f t="shared" si="146"/>
        <v>0</v>
      </c>
      <c r="V229" s="247">
        <f t="shared" si="147"/>
        <v>0</v>
      </c>
      <c r="W229" s="231"/>
      <c r="X229" s="231"/>
    </row>
    <row r="230" spans="1:24" outlineLevel="2" x14ac:dyDescent="0.3">
      <c r="A230" s="448"/>
      <c r="B230" s="231" t="s">
        <v>76</v>
      </c>
      <c r="C230" s="21">
        <f t="shared" si="153"/>
        <v>3945.9733271474015</v>
      </c>
      <c r="D230" s="21">
        <v>0</v>
      </c>
      <c r="E230" s="21">
        <v>0</v>
      </c>
      <c r="F230" s="21">
        <v>0</v>
      </c>
      <c r="G230" s="21">
        <v>0</v>
      </c>
      <c r="H230" s="21">
        <v>0</v>
      </c>
      <c r="I230" s="21">
        <v>0</v>
      </c>
      <c r="J230" s="21">
        <v>0</v>
      </c>
      <c r="K230" s="21">
        <v>0</v>
      </c>
      <c r="L230" s="21">
        <v>0</v>
      </c>
      <c r="M230" s="255">
        <f t="shared" si="138"/>
        <v>43.917343652169187</v>
      </c>
      <c r="N230" s="247">
        <f t="shared" si="139"/>
        <v>0</v>
      </c>
      <c r="O230" s="247">
        <f t="shared" si="140"/>
        <v>0</v>
      </c>
      <c r="P230" s="247">
        <f t="shared" si="141"/>
        <v>0</v>
      </c>
      <c r="Q230" s="247">
        <f t="shared" si="142"/>
        <v>0</v>
      </c>
      <c r="R230" s="247">
        <f t="shared" si="143"/>
        <v>0</v>
      </c>
      <c r="S230" s="247">
        <f t="shared" si="144"/>
        <v>0</v>
      </c>
      <c r="T230" s="247">
        <f t="shared" si="145"/>
        <v>0</v>
      </c>
      <c r="U230" s="247">
        <f t="shared" si="146"/>
        <v>0</v>
      </c>
      <c r="V230" s="247">
        <f t="shared" si="147"/>
        <v>0</v>
      </c>
      <c r="W230" s="231"/>
      <c r="X230" s="231"/>
    </row>
    <row r="231" spans="1:24" outlineLevel="2" x14ac:dyDescent="0.3">
      <c r="A231" s="448"/>
      <c r="B231" s="231" t="s">
        <v>77</v>
      </c>
      <c r="C231" s="21">
        <f t="shared" si="153"/>
        <v>3945.9733271474015</v>
      </c>
      <c r="D231" s="21">
        <v>0</v>
      </c>
      <c r="E231" s="21">
        <v>0</v>
      </c>
      <c r="F231" s="21">
        <v>0</v>
      </c>
      <c r="G231" s="21">
        <v>0</v>
      </c>
      <c r="H231" s="21">
        <v>0</v>
      </c>
      <c r="I231" s="21">
        <v>0</v>
      </c>
      <c r="J231" s="21">
        <v>0</v>
      </c>
      <c r="K231" s="21">
        <v>0</v>
      </c>
      <c r="L231" s="21">
        <v>0</v>
      </c>
      <c r="M231" s="255">
        <f t="shared" si="138"/>
        <v>43.917343652169187</v>
      </c>
      <c r="N231" s="247">
        <f t="shared" si="139"/>
        <v>0</v>
      </c>
      <c r="O231" s="247">
        <f t="shared" si="140"/>
        <v>0</v>
      </c>
      <c r="P231" s="247">
        <f t="shared" si="141"/>
        <v>0</v>
      </c>
      <c r="Q231" s="247">
        <f t="shared" si="142"/>
        <v>0</v>
      </c>
      <c r="R231" s="247">
        <f t="shared" si="143"/>
        <v>0</v>
      </c>
      <c r="S231" s="247">
        <f t="shared" si="144"/>
        <v>0</v>
      </c>
      <c r="T231" s="247">
        <f t="shared" si="145"/>
        <v>0</v>
      </c>
      <c r="U231" s="247">
        <f t="shared" si="146"/>
        <v>0</v>
      </c>
      <c r="V231" s="247">
        <f t="shared" si="147"/>
        <v>0</v>
      </c>
      <c r="W231" s="231"/>
      <c r="X231" s="231"/>
    </row>
    <row r="232" spans="1:24" outlineLevel="2" x14ac:dyDescent="0.3">
      <c r="A232" s="448"/>
      <c r="B232" s="231" t="s">
        <v>78</v>
      </c>
      <c r="C232" s="21">
        <f t="shared" si="153"/>
        <v>3945.9733271474015</v>
      </c>
      <c r="D232" s="21">
        <v>0</v>
      </c>
      <c r="E232" s="21">
        <v>0</v>
      </c>
      <c r="F232" s="21">
        <v>0</v>
      </c>
      <c r="G232" s="21">
        <v>0</v>
      </c>
      <c r="H232" s="21">
        <v>0</v>
      </c>
      <c r="I232" s="21">
        <v>0</v>
      </c>
      <c r="J232" s="21">
        <v>0</v>
      </c>
      <c r="K232" s="21">
        <v>0</v>
      </c>
      <c r="L232" s="21">
        <v>0</v>
      </c>
      <c r="M232" s="255">
        <f t="shared" si="138"/>
        <v>43.917343652169187</v>
      </c>
      <c r="N232" s="247">
        <f t="shared" si="139"/>
        <v>0</v>
      </c>
      <c r="O232" s="247">
        <f t="shared" si="140"/>
        <v>0</v>
      </c>
      <c r="P232" s="247">
        <f t="shared" si="141"/>
        <v>0</v>
      </c>
      <c r="Q232" s="247">
        <f t="shared" si="142"/>
        <v>0</v>
      </c>
      <c r="R232" s="247">
        <f t="shared" si="143"/>
        <v>0</v>
      </c>
      <c r="S232" s="247">
        <f t="shared" si="144"/>
        <v>0</v>
      </c>
      <c r="T232" s="247">
        <f t="shared" si="145"/>
        <v>0</v>
      </c>
      <c r="U232" s="247">
        <f t="shared" si="146"/>
        <v>0</v>
      </c>
      <c r="V232" s="247">
        <f t="shared" si="147"/>
        <v>0</v>
      </c>
      <c r="W232" s="231"/>
      <c r="X232" s="231"/>
    </row>
    <row r="233" spans="1:24" outlineLevel="2" x14ac:dyDescent="0.3">
      <c r="A233" s="448"/>
      <c r="B233" s="231" t="s">
        <v>79</v>
      </c>
      <c r="C233" s="21">
        <f t="shared" si="153"/>
        <v>3945.9733271474015</v>
      </c>
      <c r="D233" s="21">
        <v>0</v>
      </c>
      <c r="E233" s="21">
        <v>0</v>
      </c>
      <c r="F233" s="21">
        <v>0</v>
      </c>
      <c r="G233" s="21">
        <v>0</v>
      </c>
      <c r="H233" s="21">
        <v>0</v>
      </c>
      <c r="I233" s="21">
        <v>0</v>
      </c>
      <c r="J233" s="21">
        <v>0</v>
      </c>
      <c r="K233" s="21">
        <v>0</v>
      </c>
      <c r="L233" s="21">
        <v>0</v>
      </c>
      <c r="M233" s="255">
        <f t="shared" si="138"/>
        <v>43.917343652169187</v>
      </c>
      <c r="N233" s="247">
        <f t="shared" si="139"/>
        <v>0</v>
      </c>
      <c r="O233" s="247">
        <f t="shared" si="140"/>
        <v>0</v>
      </c>
      <c r="P233" s="247">
        <f t="shared" si="141"/>
        <v>0</v>
      </c>
      <c r="Q233" s="247">
        <f t="shared" si="142"/>
        <v>0</v>
      </c>
      <c r="R233" s="247">
        <f t="shared" si="143"/>
        <v>0</v>
      </c>
      <c r="S233" s="247">
        <f t="shared" si="144"/>
        <v>0</v>
      </c>
      <c r="T233" s="247">
        <f t="shared" si="145"/>
        <v>0</v>
      </c>
      <c r="U233" s="247">
        <f t="shared" si="146"/>
        <v>0</v>
      </c>
      <c r="V233" s="247">
        <f t="shared" si="147"/>
        <v>0</v>
      </c>
      <c r="W233" s="231"/>
      <c r="X233" s="231"/>
    </row>
    <row r="234" spans="1:24" outlineLevel="2" x14ac:dyDescent="0.3">
      <c r="A234" s="448"/>
      <c r="B234" s="231" t="s">
        <v>80</v>
      </c>
      <c r="C234" s="21">
        <f t="shared" si="153"/>
        <v>3945.9733271474015</v>
      </c>
      <c r="D234" s="21">
        <v>0</v>
      </c>
      <c r="E234" s="21">
        <v>0</v>
      </c>
      <c r="F234" s="21">
        <v>0</v>
      </c>
      <c r="G234" s="21">
        <v>0</v>
      </c>
      <c r="H234" s="21">
        <v>0</v>
      </c>
      <c r="I234" s="21">
        <v>0</v>
      </c>
      <c r="J234" s="21">
        <v>0</v>
      </c>
      <c r="K234" s="21">
        <v>0</v>
      </c>
      <c r="L234" s="21">
        <v>0</v>
      </c>
      <c r="M234" s="255">
        <f t="shared" si="138"/>
        <v>43.917343652169187</v>
      </c>
      <c r="N234" s="247">
        <f t="shared" si="139"/>
        <v>0</v>
      </c>
      <c r="O234" s="247">
        <f t="shared" si="140"/>
        <v>0</v>
      </c>
      <c r="P234" s="247">
        <f t="shared" si="141"/>
        <v>0</v>
      </c>
      <c r="Q234" s="247">
        <f t="shared" si="142"/>
        <v>0</v>
      </c>
      <c r="R234" s="247">
        <f t="shared" si="143"/>
        <v>0</v>
      </c>
      <c r="S234" s="247">
        <f t="shared" si="144"/>
        <v>0</v>
      </c>
      <c r="T234" s="247">
        <f t="shared" si="145"/>
        <v>0</v>
      </c>
      <c r="U234" s="247">
        <f t="shared" si="146"/>
        <v>0</v>
      </c>
      <c r="V234" s="247">
        <f t="shared" si="147"/>
        <v>0</v>
      </c>
      <c r="W234" s="231"/>
      <c r="X234" s="231"/>
    </row>
    <row r="235" spans="1:24" outlineLevel="2" x14ac:dyDescent="0.3">
      <c r="A235" s="449"/>
      <c r="B235" s="182" t="s">
        <v>134</v>
      </c>
      <c r="C235" s="239">
        <f t="shared" si="153"/>
        <v>3945.9733271474015</v>
      </c>
      <c r="D235" s="183">
        <v>0</v>
      </c>
      <c r="E235" s="183">
        <v>0</v>
      </c>
      <c r="F235" s="183">
        <v>0</v>
      </c>
      <c r="G235" s="183">
        <v>0</v>
      </c>
      <c r="H235" s="183">
        <v>0</v>
      </c>
      <c r="I235" s="183">
        <v>0</v>
      </c>
      <c r="J235" s="183">
        <v>0</v>
      </c>
      <c r="K235" s="183">
        <v>0</v>
      </c>
      <c r="L235" s="183">
        <v>0</v>
      </c>
      <c r="M235" s="255">
        <f t="shared" si="138"/>
        <v>43.917343652169187</v>
      </c>
      <c r="N235" s="247">
        <f t="shared" si="139"/>
        <v>0</v>
      </c>
      <c r="O235" s="247">
        <f t="shared" si="140"/>
        <v>0</v>
      </c>
      <c r="P235" s="247">
        <f t="shared" si="141"/>
        <v>0</v>
      </c>
      <c r="Q235" s="247">
        <f t="shared" si="142"/>
        <v>0</v>
      </c>
      <c r="R235" s="247">
        <f t="shared" si="143"/>
        <v>0</v>
      </c>
      <c r="S235" s="247">
        <f t="shared" si="144"/>
        <v>0</v>
      </c>
      <c r="T235" s="247">
        <f t="shared" si="145"/>
        <v>0</v>
      </c>
      <c r="U235" s="247">
        <f t="shared" si="146"/>
        <v>0</v>
      </c>
      <c r="V235" s="247">
        <f t="shared" si="147"/>
        <v>0</v>
      </c>
      <c r="W235" s="231"/>
      <c r="X235" s="231"/>
    </row>
    <row r="236" spans="1:24" ht="14.4" customHeight="1" outlineLevel="2" x14ac:dyDescent="0.3">
      <c r="A236" s="455" t="s">
        <v>242</v>
      </c>
      <c r="B236" s="231" t="s">
        <v>72</v>
      </c>
      <c r="C236" s="21">
        <f>$H$54*$M$54+$H$64*$M$64+SUMPRODUCT($H$69:$H$84,$M$69:$M$84)</f>
        <v>795.5</v>
      </c>
      <c r="D236" s="21">
        <v>0</v>
      </c>
      <c r="E236" s="21">
        <v>0</v>
      </c>
      <c r="F236" s="21">
        <v>0</v>
      </c>
      <c r="G236" s="21">
        <v>0</v>
      </c>
      <c r="H236" s="21">
        <v>0</v>
      </c>
      <c r="I236" s="21">
        <v>0</v>
      </c>
      <c r="J236" s="21">
        <v>0</v>
      </c>
      <c r="K236" s="21">
        <v>0</v>
      </c>
      <c r="L236" s="21">
        <v>0</v>
      </c>
      <c r="M236" s="255">
        <f t="shared" si="138"/>
        <v>8.8536449638286037</v>
      </c>
      <c r="N236" s="247">
        <f t="shared" si="139"/>
        <v>0</v>
      </c>
      <c r="O236" s="247">
        <f t="shared" si="140"/>
        <v>0</v>
      </c>
      <c r="P236" s="247">
        <f t="shared" si="141"/>
        <v>0</v>
      </c>
      <c r="Q236" s="247">
        <f t="shared" si="142"/>
        <v>0</v>
      </c>
      <c r="R236" s="247">
        <f t="shared" si="143"/>
        <v>0</v>
      </c>
      <c r="S236" s="247">
        <f t="shared" si="144"/>
        <v>0</v>
      </c>
      <c r="T236" s="247">
        <f t="shared" si="145"/>
        <v>0</v>
      </c>
      <c r="U236" s="247">
        <f t="shared" si="146"/>
        <v>0</v>
      </c>
      <c r="V236" s="247">
        <f t="shared" si="147"/>
        <v>0</v>
      </c>
      <c r="W236" s="231"/>
      <c r="X236" s="231"/>
    </row>
    <row r="237" spans="1:24" outlineLevel="2" x14ac:dyDescent="0.3">
      <c r="A237" s="448"/>
      <c r="B237" s="231" t="s">
        <v>73</v>
      </c>
      <c r="C237" s="21">
        <v>0</v>
      </c>
      <c r="D237" s="21">
        <f>$H$54*$M$54+$H$64*$M$64+SUMPRODUCT($H$69:$H$84,$M$69:$M$84)</f>
        <v>795.5</v>
      </c>
      <c r="E237" s="144">
        <v>0</v>
      </c>
      <c r="F237" s="144">
        <v>0</v>
      </c>
      <c r="G237" s="144">
        <v>0</v>
      </c>
      <c r="H237" s="144">
        <v>0</v>
      </c>
      <c r="I237" s="144">
        <v>0</v>
      </c>
      <c r="J237" s="144">
        <v>0</v>
      </c>
      <c r="K237" s="144">
        <v>0</v>
      </c>
      <c r="L237" s="144">
        <v>0</v>
      </c>
      <c r="M237" s="255">
        <f t="shared" si="138"/>
        <v>0</v>
      </c>
      <c r="N237" s="247">
        <f t="shared" si="139"/>
        <v>8.8536449638286037</v>
      </c>
      <c r="O237" s="247">
        <f t="shared" si="140"/>
        <v>0</v>
      </c>
      <c r="P237" s="247">
        <f t="shared" si="141"/>
        <v>0</v>
      </c>
      <c r="Q237" s="247">
        <f t="shared" si="142"/>
        <v>0</v>
      </c>
      <c r="R237" s="247">
        <f t="shared" si="143"/>
        <v>0</v>
      </c>
      <c r="S237" s="247">
        <f t="shared" si="144"/>
        <v>0</v>
      </c>
      <c r="T237" s="247">
        <f t="shared" si="145"/>
        <v>0</v>
      </c>
      <c r="U237" s="247">
        <f t="shared" si="146"/>
        <v>0</v>
      </c>
      <c r="V237" s="247">
        <f t="shared" si="147"/>
        <v>0</v>
      </c>
      <c r="W237" s="231"/>
      <c r="X237" s="231"/>
    </row>
    <row r="238" spans="1:24" ht="14.4" customHeight="1" outlineLevel="2" x14ac:dyDescent="0.3">
      <c r="A238" s="448"/>
      <c r="B238" s="231" t="s">
        <v>74</v>
      </c>
      <c r="C238" s="21">
        <v>0</v>
      </c>
      <c r="D238" s="21">
        <v>0</v>
      </c>
      <c r="E238" s="21">
        <f>$H$54*$M$54+$H$64*$M$64+SUMPRODUCT($H$69:$H$84,$M$69:$M$84)</f>
        <v>795.5</v>
      </c>
      <c r="F238" s="144">
        <v>0</v>
      </c>
      <c r="G238" s="144">
        <v>0</v>
      </c>
      <c r="H238" s="144">
        <v>0</v>
      </c>
      <c r="I238" s="144">
        <v>0</v>
      </c>
      <c r="J238" s="144">
        <v>0</v>
      </c>
      <c r="K238" s="144">
        <v>0</v>
      </c>
      <c r="L238" s="144">
        <v>0</v>
      </c>
      <c r="M238" s="255">
        <f t="shared" si="138"/>
        <v>0</v>
      </c>
      <c r="N238" s="247">
        <f t="shared" si="139"/>
        <v>0</v>
      </c>
      <c r="O238" s="247">
        <f t="shared" si="140"/>
        <v>8.8536449638286037</v>
      </c>
      <c r="P238" s="247">
        <f t="shared" si="141"/>
        <v>0</v>
      </c>
      <c r="Q238" s="247">
        <f t="shared" si="142"/>
        <v>0</v>
      </c>
      <c r="R238" s="247">
        <f t="shared" si="143"/>
        <v>0</v>
      </c>
      <c r="S238" s="247">
        <f t="shared" si="144"/>
        <v>0</v>
      </c>
      <c r="T238" s="247">
        <f t="shared" si="145"/>
        <v>0</v>
      </c>
      <c r="U238" s="247">
        <f t="shared" si="146"/>
        <v>0</v>
      </c>
      <c r="V238" s="247">
        <f t="shared" si="147"/>
        <v>0</v>
      </c>
      <c r="W238" s="231"/>
      <c r="X238" s="231"/>
    </row>
    <row r="239" spans="1:24" outlineLevel="2" x14ac:dyDescent="0.3">
      <c r="A239" s="448"/>
      <c r="B239" s="231" t="s">
        <v>75</v>
      </c>
      <c r="C239" s="21">
        <v>0</v>
      </c>
      <c r="D239" s="21">
        <v>0</v>
      </c>
      <c r="E239" s="21">
        <v>0</v>
      </c>
      <c r="F239" s="21">
        <f>$H$54*$M$54+$H$64*$M$64+SUMPRODUCT($H$69:$H$84,$M$69:$M$84)</f>
        <v>795.5</v>
      </c>
      <c r="G239" s="144">
        <v>0</v>
      </c>
      <c r="H239" s="144">
        <v>0</v>
      </c>
      <c r="I239" s="144">
        <v>0</v>
      </c>
      <c r="J239" s="144">
        <v>0</v>
      </c>
      <c r="K239" s="144">
        <v>0</v>
      </c>
      <c r="L239" s="144">
        <v>0</v>
      </c>
      <c r="M239" s="255">
        <f t="shared" si="138"/>
        <v>0</v>
      </c>
      <c r="N239" s="247">
        <f t="shared" si="139"/>
        <v>0</v>
      </c>
      <c r="O239" s="247">
        <f t="shared" si="140"/>
        <v>0</v>
      </c>
      <c r="P239" s="247">
        <f t="shared" si="141"/>
        <v>8.8536449638286037</v>
      </c>
      <c r="Q239" s="247">
        <f t="shared" si="142"/>
        <v>0</v>
      </c>
      <c r="R239" s="247">
        <f t="shared" si="143"/>
        <v>0</v>
      </c>
      <c r="S239" s="247">
        <f t="shared" si="144"/>
        <v>0</v>
      </c>
      <c r="T239" s="247">
        <f t="shared" si="145"/>
        <v>0</v>
      </c>
      <c r="U239" s="247">
        <f t="shared" si="146"/>
        <v>0</v>
      </c>
      <c r="V239" s="247">
        <f t="shared" si="147"/>
        <v>0</v>
      </c>
      <c r="W239" s="231"/>
      <c r="X239" s="231"/>
    </row>
    <row r="240" spans="1:24" outlineLevel="2" x14ac:dyDescent="0.3">
      <c r="A240" s="448"/>
      <c r="B240" s="231" t="s">
        <v>76</v>
      </c>
      <c r="C240" s="21">
        <v>0</v>
      </c>
      <c r="D240" s="21">
        <v>0</v>
      </c>
      <c r="E240" s="21">
        <v>0</v>
      </c>
      <c r="F240" s="21">
        <v>0</v>
      </c>
      <c r="G240" s="21">
        <f>$H$54*$M$54+$H$64*$M$64+SUMPRODUCT($H$69:$H$84,$M$69:$M$84)</f>
        <v>795.5</v>
      </c>
      <c r="H240" s="144">
        <v>0</v>
      </c>
      <c r="I240" s="144">
        <v>0</v>
      </c>
      <c r="J240" s="144">
        <v>0</v>
      </c>
      <c r="K240" s="144">
        <v>0</v>
      </c>
      <c r="L240" s="144">
        <v>0</v>
      </c>
      <c r="M240" s="255">
        <f t="shared" si="138"/>
        <v>0</v>
      </c>
      <c r="N240" s="247">
        <f t="shared" si="139"/>
        <v>0</v>
      </c>
      <c r="O240" s="247">
        <f t="shared" si="140"/>
        <v>0</v>
      </c>
      <c r="P240" s="247">
        <f t="shared" si="141"/>
        <v>0</v>
      </c>
      <c r="Q240" s="247">
        <f t="shared" si="142"/>
        <v>8.8536449638286037</v>
      </c>
      <c r="R240" s="247">
        <f t="shared" si="143"/>
        <v>0</v>
      </c>
      <c r="S240" s="247">
        <f t="shared" si="144"/>
        <v>0</v>
      </c>
      <c r="T240" s="247">
        <f t="shared" si="145"/>
        <v>0</v>
      </c>
      <c r="U240" s="247">
        <f t="shared" si="146"/>
        <v>0</v>
      </c>
      <c r="V240" s="247">
        <f t="shared" si="147"/>
        <v>0</v>
      </c>
      <c r="W240" s="231"/>
      <c r="X240" s="231"/>
    </row>
    <row r="241" spans="1:24" outlineLevel="2" x14ac:dyDescent="0.3">
      <c r="A241" s="448"/>
      <c r="B241" s="231" t="s">
        <v>77</v>
      </c>
      <c r="C241" s="21">
        <v>0</v>
      </c>
      <c r="D241" s="21">
        <v>0</v>
      </c>
      <c r="E241" s="21">
        <v>0</v>
      </c>
      <c r="F241" s="21">
        <v>0</v>
      </c>
      <c r="G241" s="21">
        <v>0</v>
      </c>
      <c r="H241" s="21">
        <f>$H$54*$M$54+$H$64*$M$64+SUMPRODUCT($H$69:$H$84,$M$69:$M$84)</f>
        <v>795.5</v>
      </c>
      <c r="I241" s="144">
        <v>0</v>
      </c>
      <c r="J241" s="144">
        <v>0</v>
      </c>
      <c r="K241" s="144">
        <v>0</v>
      </c>
      <c r="L241" s="144">
        <v>0</v>
      </c>
      <c r="M241" s="255">
        <f t="shared" si="138"/>
        <v>0</v>
      </c>
      <c r="N241" s="247">
        <f t="shared" si="139"/>
        <v>0</v>
      </c>
      <c r="O241" s="247">
        <f t="shared" si="140"/>
        <v>0</v>
      </c>
      <c r="P241" s="247">
        <f t="shared" si="141"/>
        <v>0</v>
      </c>
      <c r="Q241" s="247">
        <f t="shared" si="142"/>
        <v>0</v>
      </c>
      <c r="R241" s="247">
        <f t="shared" si="143"/>
        <v>8.8536449638286037</v>
      </c>
      <c r="S241" s="247">
        <f t="shared" si="144"/>
        <v>0</v>
      </c>
      <c r="T241" s="247">
        <f t="shared" si="145"/>
        <v>0</v>
      </c>
      <c r="U241" s="247">
        <f t="shared" si="146"/>
        <v>0</v>
      </c>
      <c r="V241" s="247">
        <f t="shared" si="147"/>
        <v>0</v>
      </c>
      <c r="W241" s="231"/>
      <c r="X241" s="231"/>
    </row>
    <row r="242" spans="1:24" outlineLevel="2" x14ac:dyDescent="0.3">
      <c r="A242" s="448"/>
      <c r="B242" s="231" t="s">
        <v>78</v>
      </c>
      <c r="C242" s="21">
        <v>0</v>
      </c>
      <c r="D242" s="21">
        <v>0</v>
      </c>
      <c r="E242" s="21">
        <v>0</v>
      </c>
      <c r="F242" s="21">
        <v>0</v>
      </c>
      <c r="G242" s="21">
        <v>0</v>
      </c>
      <c r="H242" s="21">
        <v>0</v>
      </c>
      <c r="I242" s="21">
        <f>$H$54*$M$54+$H$64*$M$64+SUMPRODUCT($H$69:$H$84,$M$69:$M$84)</f>
        <v>795.5</v>
      </c>
      <c r="J242" s="144">
        <v>0</v>
      </c>
      <c r="K242" s="144">
        <v>0</v>
      </c>
      <c r="L242" s="144">
        <v>0</v>
      </c>
      <c r="M242" s="255">
        <f t="shared" si="138"/>
        <v>0</v>
      </c>
      <c r="N242" s="247">
        <f t="shared" si="139"/>
        <v>0</v>
      </c>
      <c r="O242" s="247">
        <f t="shared" si="140"/>
        <v>0</v>
      </c>
      <c r="P242" s="247">
        <f t="shared" si="141"/>
        <v>0</v>
      </c>
      <c r="Q242" s="247">
        <f t="shared" si="142"/>
        <v>0</v>
      </c>
      <c r="R242" s="247">
        <f t="shared" si="143"/>
        <v>0</v>
      </c>
      <c r="S242" s="247">
        <f t="shared" si="144"/>
        <v>8.8536449638286037</v>
      </c>
      <c r="T242" s="247">
        <f t="shared" si="145"/>
        <v>0</v>
      </c>
      <c r="U242" s="247">
        <f t="shared" si="146"/>
        <v>0</v>
      </c>
      <c r="V242" s="247">
        <f t="shared" si="147"/>
        <v>0</v>
      </c>
      <c r="W242" s="231"/>
      <c r="X242" s="231"/>
    </row>
    <row r="243" spans="1:24" outlineLevel="2" x14ac:dyDescent="0.3">
      <c r="A243" s="448"/>
      <c r="B243" s="231" t="s">
        <v>79</v>
      </c>
      <c r="C243" s="21">
        <v>0</v>
      </c>
      <c r="D243" s="21">
        <v>0</v>
      </c>
      <c r="E243" s="21">
        <v>0</v>
      </c>
      <c r="F243" s="21">
        <v>0</v>
      </c>
      <c r="G243" s="21">
        <v>0</v>
      </c>
      <c r="H243" s="21">
        <v>0</v>
      </c>
      <c r="I243" s="21">
        <v>0</v>
      </c>
      <c r="J243" s="21">
        <f>$H$54*$M$54+$H$64*$M$64+SUMPRODUCT($H$69:$H$84,$M$69:$M$84)</f>
        <v>795.5</v>
      </c>
      <c r="K243" s="144">
        <v>0</v>
      </c>
      <c r="L243" s="144">
        <v>0</v>
      </c>
      <c r="M243" s="255">
        <f t="shared" si="138"/>
        <v>0</v>
      </c>
      <c r="N243" s="247">
        <f t="shared" si="139"/>
        <v>0</v>
      </c>
      <c r="O243" s="247">
        <f t="shared" si="140"/>
        <v>0</v>
      </c>
      <c r="P243" s="247">
        <f t="shared" si="141"/>
        <v>0</v>
      </c>
      <c r="Q243" s="247">
        <f t="shared" si="142"/>
        <v>0</v>
      </c>
      <c r="R243" s="247">
        <f t="shared" si="143"/>
        <v>0</v>
      </c>
      <c r="S243" s="247">
        <f t="shared" si="144"/>
        <v>0</v>
      </c>
      <c r="T243" s="247">
        <f t="shared" si="145"/>
        <v>8.8536449638286037</v>
      </c>
      <c r="U243" s="247">
        <f t="shared" si="146"/>
        <v>0</v>
      </c>
      <c r="V243" s="247">
        <f t="shared" si="147"/>
        <v>0</v>
      </c>
      <c r="W243" s="231"/>
      <c r="X243" s="231"/>
    </row>
    <row r="244" spans="1:24" outlineLevel="2" x14ac:dyDescent="0.3">
      <c r="A244" s="448"/>
      <c r="B244" s="231" t="s">
        <v>80</v>
      </c>
      <c r="C244" s="21">
        <v>0</v>
      </c>
      <c r="D244" s="21">
        <v>0</v>
      </c>
      <c r="E244" s="21">
        <v>0</v>
      </c>
      <c r="F244" s="21">
        <v>0</v>
      </c>
      <c r="G244" s="21">
        <v>0</v>
      </c>
      <c r="H244" s="21">
        <v>0</v>
      </c>
      <c r="I244" s="21">
        <v>0</v>
      </c>
      <c r="J244" s="21">
        <v>0</v>
      </c>
      <c r="K244" s="21">
        <f>$H$54*$M$54+$H$64*$M$64+SUMPRODUCT($H$69:$H$84,$M$69:$M$84)</f>
        <v>795.5</v>
      </c>
      <c r="L244" s="144">
        <v>0</v>
      </c>
      <c r="M244" s="255">
        <f t="shared" si="138"/>
        <v>0</v>
      </c>
      <c r="N244" s="247">
        <f t="shared" si="139"/>
        <v>0</v>
      </c>
      <c r="O244" s="247">
        <f t="shared" si="140"/>
        <v>0</v>
      </c>
      <c r="P244" s="247">
        <f t="shared" si="141"/>
        <v>0</v>
      </c>
      <c r="Q244" s="247">
        <f t="shared" si="142"/>
        <v>0</v>
      </c>
      <c r="R244" s="247">
        <f t="shared" si="143"/>
        <v>0</v>
      </c>
      <c r="S244" s="247">
        <f t="shared" si="144"/>
        <v>0</v>
      </c>
      <c r="T244" s="247">
        <f t="shared" si="145"/>
        <v>0</v>
      </c>
      <c r="U244" s="247">
        <f t="shared" si="146"/>
        <v>8.8536449638286037</v>
      </c>
      <c r="V244" s="247">
        <f t="shared" si="147"/>
        <v>0</v>
      </c>
      <c r="W244" s="231"/>
      <c r="X244" s="231"/>
    </row>
    <row r="245" spans="1:24" outlineLevel="2" x14ac:dyDescent="0.3">
      <c r="A245" s="449"/>
      <c r="B245" s="182" t="s">
        <v>134</v>
      </c>
      <c r="C245" s="183">
        <v>0</v>
      </c>
      <c r="D245" s="183">
        <v>0</v>
      </c>
      <c r="E245" s="183">
        <v>0</v>
      </c>
      <c r="F245" s="183">
        <v>0</v>
      </c>
      <c r="G245" s="183">
        <v>0</v>
      </c>
      <c r="H245" s="183">
        <v>0</v>
      </c>
      <c r="I245" s="183">
        <v>0</v>
      </c>
      <c r="J245" s="183">
        <v>0</v>
      </c>
      <c r="K245" s="183">
        <v>0</v>
      </c>
      <c r="L245" s="239">
        <v>0</v>
      </c>
      <c r="M245" s="255">
        <f t="shared" si="138"/>
        <v>0</v>
      </c>
      <c r="N245" s="247">
        <f t="shared" si="139"/>
        <v>0</v>
      </c>
      <c r="O245" s="247">
        <f t="shared" si="140"/>
        <v>0</v>
      </c>
      <c r="P245" s="247">
        <f t="shared" si="141"/>
        <v>0</v>
      </c>
      <c r="Q245" s="247">
        <f t="shared" si="142"/>
        <v>0</v>
      </c>
      <c r="R245" s="247">
        <f t="shared" si="143"/>
        <v>0</v>
      </c>
      <c r="S245" s="247">
        <f t="shared" si="144"/>
        <v>0</v>
      </c>
      <c r="T245" s="247">
        <f t="shared" si="145"/>
        <v>0</v>
      </c>
      <c r="U245" s="247">
        <f t="shared" si="146"/>
        <v>0</v>
      </c>
      <c r="V245" s="247">
        <f t="shared" si="147"/>
        <v>0</v>
      </c>
      <c r="W245" s="231"/>
      <c r="X245" s="231"/>
    </row>
    <row r="246" spans="1:24" ht="14.4" customHeight="1" outlineLevel="2" x14ac:dyDescent="0.3">
      <c r="A246" s="455" t="s">
        <v>243</v>
      </c>
      <c r="B246" s="231" t="s">
        <v>72</v>
      </c>
      <c r="C246" s="21">
        <f>SUMPRODUCT($G$45:$G$66,Y45:Y66)+SUMPRODUCT($G$45:$G$66,$N$45:$N$66)+SUMPRODUCT($G$69:$G$88,$N$69:$N$88)</f>
        <v>12024.124881230115</v>
      </c>
      <c r="D246" s="21">
        <f>SUMPRODUCT($H$45:$H$66,Z$45:Z$66)</f>
        <v>827.2</v>
      </c>
      <c r="E246" s="21">
        <f>SUMPRODUCT($H$45:$H$66,AA$45:AA$66)</f>
        <v>661.75999999999976</v>
      </c>
      <c r="F246" s="21">
        <f t="shared" ref="F246:L246" si="154">SUMPRODUCT($H$45:$H$66,AB$45:AB$66)</f>
        <v>529.40799999999979</v>
      </c>
      <c r="G246" s="21">
        <f t="shared" si="154"/>
        <v>423.52639999999997</v>
      </c>
      <c r="H246" s="21">
        <f t="shared" si="154"/>
        <v>338.82111999999995</v>
      </c>
      <c r="I246" s="21">
        <f t="shared" si="154"/>
        <v>271.05689599999999</v>
      </c>
      <c r="J246" s="21">
        <f t="shared" si="154"/>
        <v>216.84551680000004</v>
      </c>
      <c r="K246" s="21">
        <f t="shared" si="154"/>
        <v>173.47641344000004</v>
      </c>
      <c r="L246" s="21">
        <f t="shared" si="154"/>
        <v>138.78113075200002</v>
      </c>
      <c r="M246" s="255">
        <f t="shared" si="138"/>
        <v>133.82442828302854</v>
      </c>
      <c r="N246" s="247">
        <f t="shared" si="139"/>
        <v>9.2064552031163061</v>
      </c>
      <c r="O246" s="247">
        <f t="shared" si="140"/>
        <v>7.3651641624930422</v>
      </c>
      <c r="P246" s="247">
        <f t="shared" si="141"/>
        <v>5.8921313299944336</v>
      </c>
      <c r="Q246" s="247">
        <f t="shared" si="142"/>
        <v>4.7137050639955484</v>
      </c>
      <c r="R246" s="247">
        <f t="shared" si="143"/>
        <v>3.7709640511964384</v>
      </c>
      <c r="S246" s="247">
        <f t="shared" si="144"/>
        <v>3.016771240957151</v>
      </c>
      <c r="T246" s="247">
        <f t="shared" si="145"/>
        <v>2.4134169927657214</v>
      </c>
      <c r="U246" s="247">
        <f t="shared" si="146"/>
        <v>1.9307335942125772</v>
      </c>
      <c r="V246" s="247">
        <f t="shared" si="147"/>
        <v>1.5445868753700616</v>
      </c>
      <c r="W246" s="231"/>
      <c r="X246" s="231"/>
    </row>
    <row r="247" spans="1:24" outlineLevel="2" x14ac:dyDescent="0.3">
      <c r="A247" s="448"/>
      <c r="B247" s="231" t="s">
        <v>73</v>
      </c>
      <c r="C247" s="21">
        <f>SUMPRODUCT($G$45:$G$66,Y45:Y66)+SUMPRODUCT($G$45:$G$66,$N$45:$N$66)+SUMPRODUCT($G$69:$G$88,$N$69:$N$88)</f>
        <v>12024.124881230115</v>
      </c>
      <c r="D247" s="21">
        <f>SUMPRODUCT($G$45:$G$66,Z45:Z66)+SUMPRODUCT($G$45:$G$66,$N$45:$N$66)+SUMPRODUCT($G$69:$G$88,$N$69:$N$88)</f>
        <v>9727.9089312301167</v>
      </c>
      <c r="E247" s="21">
        <f>SUMPRODUCT($H$45:$H$66,AA$45:AA$66)</f>
        <v>661.75999999999976</v>
      </c>
      <c r="F247" s="21">
        <f t="shared" ref="F247" si="155">SUMPRODUCT($H$45:$H$66,AB$45:AB$66)</f>
        <v>529.40799999999979</v>
      </c>
      <c r="G247" s="21">
        <f t="shared" ref="G247" si="156">SUMPRODUCT($H$45:$H$66,AC$45:AC$66)</f>
        <v>423.52639999999997</v>
      </c>
      <c r="H247" s="21">
        <f t="shared" ref="H247" si="157">SUMPRODUCT($H$45:$H$66,AD$45:AD$66)</f>
        <v>338.82111999999995</v>
      </c>
      <c r="I247" s="21">
        <f t="shared" ref="I247" si="158">SUMPRODUCT($H$45:$H$66,AE$45:AE$66)</f>
        <v>271.05689599999999</v>
      </c>
      <c r="J247" s="21">
        <f t="shared" ref="J247" si="159">SUMPRODUCT($H$45:$H$66,AF$45:AF$66)</f>
        <v>216.84551680000004</v>
      </c>
      <c r="K247" s="21">
        <f t="shared" ref="K247" si="160">SUMPRODUCT($H$45:$H$66,AG$45:AG$66)</f>
        <v>173.47641344000004</v>
      </c>
      <c r="L247" s="21">
        <f t="shared" ref="L247" si="161">SUMPRODUCT($H$45:$H$66,AH$45:AH$66)</f>
        <v>138.78113075200002</v>
      </c>
      <c r="M247" s="255">
        <f t="shared" si="138"/>
        <v>133.82442828302854</v>
      </c>
      <c r="N247" s="247">
        <f t="shared" si="139"/>
        <v>108.26832422070247</v>
      </c>
      <c r="O247" s="247">
        <f t="shared" si="140"/>
        <v>7.3651641624930422</v>
      </c>
      <c r="P247" s="247">
        <f t="shared" si="141"/>
        <v>5.8921313299944336</v>
      </c>
      <c r="Q247" s="247">
        <f t="shared" si="142"/>
        <v>4.7137050639955484</v>
      </c>
      <c r="R247" s="247">
        <f t="shared" si="143"/>
        <v>3.7709640511964384</v>
      </c>
      <c r="S247" s="247">
        <f t="shared" si="144"/>
        <v>3.016771240957151</v>
      </c>
      <c r="T247" s="247">
        <f t="shared" si="145"/>
        <v>2.4134169927657214</v>
      </c>
      <c r="U247" s="247">
        <f t="shared" si="146"/>
        <v>1.9307335942125772</v>
      </c>
      <c r="V247" s="247">
        <f t="shared" si="147"/>
        <v>1.5445868753700616</v>
      </c>
      <c r="W247" s="231"/>
      <c r="X247" s="231"/>
    </row>
    <row r="248" spans="1:24" ht="14.4" customHeight="1" outlineLevel="2" x14ac:dyDescent="0.3">
      <c r="A248" s="448"/>
      <c r="B248" s="231" t="s">
        <v>74</v>
      </c>
      <c r="C248" s="21">
        <f>SUMPRODUCT($G$45:$G$66,Y45:Y66)+SUMPRODUCT($G$45:$G$66,$N$45:$N$66)+SUMPRODUCT($G$69:$G$88,$N$69:$N$88)</f>
        <v>12024.124881230115</v>
      </c>
      <c r="D248" s="21">
        <f>SUMPRODUCT($G$45:$G$66,Z45:Z66)+SUMPRODUCT($G$45:$G$66,$N$45:$N$66)+SUMPRODUCT($G$69:$G$88,$N$69:$N$88)</f>
        <v>9727.9089312301167</v>
      </c>
      <c r="E248" s="21">
        <f>SUMPRODUCT($G$45:$G$66,AA45:AA66)+SUMPRODUCT($G$45:$G$66,$N$45:$N$66)+SUMPRODUCT($G$69:$G$88,$N$69:$N$88)</f>
        <v>7890.9361712301161</v>
      </c>
      <c r="F248" s="21">
        <f t="shared" ref="F248" si="162">SUMPRODUCT($H$45:$H$66,AB$45:AB$66)</f>
        <v>529.40799999999979</v>
      </c>
      <c r="G248" s="21">
        <f t="shared" ref="G248" si="163">SUMPRODUCT($H$45:$H$66,AC$45:AC$66)</f>
        <v>423.52639999999997</v>
      </c>
      <c r="H248" s="21">
        <f t="shared" ref="H248" si="164">SUMPRODUCT($H$45:$H$66,AD$45:AD$66)</f>
        <v>338.82111999999995</v>
      </c>
      <c r="I248" s="21">
        <f t="shared" ref="I248" si="165">SUMPRODUCT($H$45:$H$66,AE$45:AE$66)</f>
        <v>271.05689599999999</v>
      </c>
      <c r="J248" s="21">
        <f t="shared" ref="J248" si="166">SUMPRODUCT($H$45:$H$66,AF$45:AF$66)</f>
        <v>216.84551680000004</v>
      </c>
      <c r="K248" s="21">
        <f t="shared" ref="K248" si="167">SUMPRODUCT($H$45:$H$66,AG$45:AG$66)</f>
        <v>173.47641344000004</v>
      </c>
      <c r="L248" s="21">
        <f t="shared" ref="L248" si="168">SUMPRODUCT($H$45:$H$66,AH$45:AH$66)</f>
        <v>138.78113075200002</v>
      </c>
      <c r="M248" s="255">
        <f t="shared" si="138"/>
        <v>133.82442828302854</v>
      </c>
      <c r="N248" s="247">
        <f t="shared" si="139"/>
        <v>108.26832422070247</v>
      </c>
      <c r="O248" s="247">
        <f t="shared" si="140"/>
        <v>87.823440970841588</v>
      </c>
      <c r="P248" s="247">
        <f t="shared" si="141"/>
        <v>5.8921313299944336</v>
      </c>
      <c r="Q248" s="247">
        <f t="shared" si="142"/>
        <v>4.7137050639955484</v>
      </c>
      <c r="R248" s="247">
        <f t="shared" si="143"/>
        <v>3.7709640511964384</v>
      </c>
      <c r="S248" s="247">
        <f t="shared" si="144"/>
        <v>3.016771240957151</v>
      </c>
      <c r="T248" s="247">
        <f t="shared" si="145"/>
        <v>2.4134169927657214</v>
      </c>
      <c r="U248" s="247">
        <f t="shared" si="146"/>
        <v>1.9307335942125772</v>
      </c>
      <c r="V248" s="247">
        <f t="shared" si="147"/>
        <v>1.5445868753700616</v>
      </c>
      <c r="W248" s="231"/>
      <c r="X248" s="231"/>
    </row>
    <row r="249" spans="1:24" outlineLevel="2" x14ac:dyDescent="0.3">
      <c r="A249" s="448"/>
      <c r="B249" s="231" t="s">
        <v>75</v>
      </c>
      <c r="C249" s="21">
        <f>SUMPRODUCT($G$45:$G$66,Y45:Y66)+SUMPRODUCT($G$45:$G$66,$N$45:$N$66)+SUMPRODUCT($G$69:$G$88,$N$69:$N$88)</f>
        <v>12024.124881230115</v>
      </c>
      <c r="D249" s="21">
        <f>SUMPRODUCT($G$45:$G$66,Z45:Z66)+SUMPRODUCT($G$45:$G$66,$N$45:$N$66)+SUMPRODUCT($G$69:$G$88,$N$69:$N$88)</f>
        <v>9727.9089312301167</v>
      </c>
      <c r="E249" s="21">
        <f>SUMPRODUCT($G$45:$G$66,AA45:AA66)+SUMPRODUCT($G$45:$G$66,$N$45:$N$66)+SUMPRODUCT($G$69:$G$88,$N$69:$N$88)</f>
        <v>7890.9361712301161</v>
      </c>
      <c r="F249" s="21">
        <f>SUMPRODUCT($G$45:$G$66,AB45:AB66)+SUMPRODUCT($G$45:$G$66,$N$45:$N$66)+SUMPRODUCT($G$69:$G$88,$N$69:$N$88)</f>
        <v>6421.3579632301171</v>
      </c>
      <c r="G249" s="21">
        <f t="shared" ref="G249" si="169">SUMPRODUCT($H$45:$H$66,AC$45:AC$66)</f>
        <v>423.52639999999997</v>
      </c>
      <c r="H249" s="21">
        <f t="shared" ref="H249" si="170">SUMPRODUCT($H$45:$H$66,AD$45:AD$66)</f>
        <v>338.82111999999995</v>
      </c>
      <c r="I249" s="21">
        <f t="shared" ref="I249" si="171">SUMPRODUCT($H$45:$H$66,AE$45:AE$66)</f>
        <v>271.05689599999999</v>
      </c>
      <c r="J249" s="21">
        <f t="shared" ref="J249" si="172">SUMPRODUCT($H$45:$H$66,AF$45:AF$66)</f>
        <v>216.84551680000004</v>
      </c>
      <c r="K249" s="21">
        <f t="shared" ref="K249" si="173">SUMPRODUCT($H$45:$H$66,AG$45:AG$66)</f>
        <v>173.47641344000004</v>
      </c>
      <c r="L249" s="21">
        <f t="shared" ref="L249" si="174">SUMPRODUCT($H$45:$H$66,AH$45:AH$66)</f>
        <v>138.78113075200002</v>
      </c>
      <c r="M249" s="255">
        <f t="shared" si="138"/>
        <v>133.82442828302854</v>
      </c>
      <c r="N249" s="247">
        <f t="shared" si="139"/>
        <v>108.26832422070247</v>
      </c>
      <c r="O249" s="247">
        <f t="shared" si="140"/>
        <v>87.823440970841588</v>
      </c>
      <c r="P249" s="247">
        <f t="shared" si="141"/>
        <v>71.46753437095289</v>
      </c>
      <c r="Q249" s="247">
        <f t="shared" si="142"/>
        <v>4.7137050639955484</v>
      </c>
      <c r="R249" s="247">
        <f t="shared" si="143"/>
        <v>3.7709640511964384</v>
      </c>
      <c r="S249" s="247">
        <f t="shared" si="144"/>
        <v>3.016771240957151</v>
      </c>
      <c r="T249" s="247">
        <f t="shared" si="145"/>
        <v>2.4134169927657214</v>
      </c>
      <c r="U249" s="247">
        <f t="shared" si="146"/>
        <v>1.9307335942125772</v>
      </c>
      <c r="V249" s="247">
        <f t="shared" si="147"/>
        <v>1.5445868753700616</v>
      </c>
      <c r="W249" s="231"/>
      <c r="X249" s="231"/>
    </row>
    <row r="250" spans="1:24" outlineLevel="2" x14ac:dyDescent="0.3">
      <c r="A250" s="448"/>
      <c r="B250" s="231" t="s">
        <v>76</v>
      </c>
      <c r="C250" s="21">
        <f>SUMPRODUCT($G$45:$G$66,Y45:Y66)+SUMPRODUCT($G$45:$G$66,$N$45:$N$66)+SUMPRODUCT($G$69:$G$88,$N$69:$N$88)</f>
        <v>12024.124881230115</v>
      </c>
      <c r="D250" s="21">
        <f>SUMPRODUCT($G$45:$G$66,Z45:Z66)+SUMPRODUCT($G$45:$G$66,$N$45:$N$66)+SUMPRODUCT($G$69:$G$88,$N$69:$N$88)</f>
        <v>9727.9089312301167</v>
      </c>
      <c r="E250" s="21">
        <f>SUMPRODUCT($G$45:$G$66,AA45:AA66)+SUMPRODUCT($G$45:$G$66,$N$45:$N$66)+SUMPRODUCT($G$69:$G$88,$N$69:$N$88)</f>
        <v>7890.9361712301161</v>
      </c>
      <c r="F250" s="21">
        <f>SUMPRODUCT($G$45:$G$66,AB45:AB66)+SUMPRODUCT($G$45:$G$66,$N$45:$N$66)+SUMPRODUCT($G$69:$G$88,$N$69:$N$88)</f>
        <v>6421.3579632301171</v>
      </c>
      <c r="G250" s="21">
        <f>SUMPRODUCT($G$45:$G$66,AC45:AC66)+SUMPRODUCT($G$45:$G$66,$N$45:$N$66)+SUMPRODUCT($G$69:$G$88,$N$69:$N$88)</f>
        <v>5245.6953968301168</v>
      </c>
      <c r="H250" s="21">
        <f t="shared" ref="H250" si="175">SUMPRODUCT($H$45:$H$66,AD$45:AD$66)</f>
        <v>338.82111999999995</v>
      </c>
      <c r="I250" s="21">
        <f t="shared" ref="I250" si="176">SUMPRODUCT($H$45:$H$66,AE$45:AE$66)</f>
        <v>271.05689599999999</v>
      </c>
      <c r="J250" s="21">
        <f t="shared" ref="J250" si="177">SUMPRODUCT($H$45:$H$66,AF$45:AF$66)</f>
        <v>216.84551680000004</v>
      </c>
      <c r="K250" s="21">
        <f t="shared" ref="K250" si="178">SUMPRODUCT($H$45:$H$66,AG$45:AG$66)</f>
        <v>173.47641344000004</v>
      </c>
      <c r="L250" s="21">
        <f t="shared" ref="L250" si="179">SUMPRODUCT($H$45:$H$66,AH$45:AH$66)</f>
        <v>138.78113075200002</v>
      </c>
      <c r="M250" s="255">
        <f t="shared" si="138"/>
        <v>133.82442828302854</v>
      </c>
      <c r="N250" s="247">
        <f t="shared" si="139"/>
        <v>108.26832422070247</v>
      </c>
      <c r="O250" s="247">
        <f t="shared" si="140"/>
        <v>87.823440970841588</v>
      </c>
      <c r="P250" s="247">
        <f t="shared" si="141"/>
        <v>71.46753437095289</v>
      </c>
      <c r="Q250" s="247">
        <f t="shared" si="142"/>
        <v>58.382809091041928</v>
      </c>
      <c r="R250" s="247">
        <f t="shared" si="143"/>
        <v>3.7709640511964384</v>
      </c>
      <c r="S250" s="247">
        <f t="shared" si="144"/>
        <v>3.016771240957151</v>
      </c>
      <c r="T250" s="247">
        <f t="shared" si="145"/>
        <v>2.4134169927657214</v>
      </c>
      <c r="U250" s="247">
        <f t="shared" si="146"/>
        <v>1.9307335942125772</v>
      </c>
      <c r="V250" s="247">
        <f t="shared" si="147"/>
        <v>1.5445868753700616</v>
      </c>
      <c r="W250" s="231"/>
      <c r="X250" s="231"/>
    </row>
    <row r="251" spans="1:24" outlineLevel="2" x14ac:dyDescent="0.3">
      <c r="A251" s="448"/>
      <c r="B251" s="231" t="s">
        <v>77</v>
      </c>
      <c r="C251" s="21">
        <f t="shared" ref="C251:H251" si="180">SUMPRODUCT($G$45:$G$66,Y45:Y66)+SUMPRODUCT($G$45:$G$66,$N$45:$N$66)+SUMPRODUCT($G$69:$G$88,$N$69:$N$88)</f>
        <v>12024.124881230115</v>
      </c>
      <c r="D251" s="21">
        <f t="shared" si="180"/>
        <v>9727.9089312301167</v>
      </c>
      <c r="E251" s="21">
        <f t="shared" si="180"/>
        <v>7890.9361712301161</v>
      </c>
      <c r="F251" s="21">
        <f t="shared" si="180"/>
        <v>6421.3579632301171</v>
      </c>
      <c r="G251" s="21">
        <f t="shared" si="180"/>
        <v>5245.6953968301168</v>
      </c>
      <c r="H251" s="21">
        <f t="shared" si="180"/>
        <v>4305.1653437101177</v>
      </c>
      <c r="I251" s="21">
        <f t="shared" ref="I251" si="181">SUMPRODUCT($H$45:$H$66,AE$45:AE$66)</f>
        <v>271.05689599999999</v>
      </c>
      <c r="J251" s="21">
        <f t="shared" ref="J251" si="182">SUMPRODUCT($H$45:$H$66,AF$45:AF$66)</f>
        <v>216.84551680000004</v>
      </c>
      <c r="K251" s="21">
        <f t="shared" ref="K251" si="183">SUMPRODUCT($H$45:$H$66,AG$45:AG$66)</f>
        <v>173.47641344000004</v>
      </c>
      <c r="L251" s="21">
        <f t="shared" ref="L251" si="184">SUMPRODUCT($H$45:$H$66,AH$45:AH$66)</f>
        <v>138.78113075200002</v>
      </c>
      <c r="M251" s="255">
        <f>C251/$B$15</f>
        <v>133.82442828302854</v>
      </c>
      <c r="N251" s="247">
        <f t="shared" si="139"/>
        <v>108.26832422070247</v>
      </c>
      <c r="O251" s="247">
        <f t="shared" si="140"/>
        <v>87.823440970841588</v>
      </c>
      <c r="P251" s="247">
        <f t="shared" si="141"/>
        <v>71.46753437095289</v>
      </c>
      <c r="Q251" s="247">
        <f t="shared" si="142"/>
        <v>58.382809091041928</v>
      </c>
      <c r="R251" s="247">
        <f t="shared" si="143"/>
        <v>47.915028867113165</v>
      </c>
      <c r="S251" s="247">
        <f t="shared" si="144"/>
        <v>3.016771240957151</v>
      </c>
      <c r="T251" s="247">
        <f t="shared" si="145"/>
        <v>2.4134169927657214</v>
      </c>
      <c r="U251" s="247">
        <f t="shared" si="146"/>
        <v>1.9307335942125772</v>
      </c>
      <c r="V251" s="247">
        <f t="shared" si="147"/>
        <v>1.5445868753700616</v>
      </c>
      <c r="W251" s="231"/>
      <c r="X251" s="231"/>
    </row>
    <row r="252" spans="1:24" outlineLevel="2" x14ac:dyDescent="0.3">
      <c r="A252" s="448"/>
      <c r="B252" s="231" t="s">
        <v>78</v>
      </c>
      <c r="C252" s="21">
        <f t="shared" ref="C252:I252" si="185">SUMPRODUCT($G$45:$G$66,Y45:Y66)+SUMPRODUCT($G$45:$G$66,$N$45:$N$66)+SUMPRODUCT($G$69:$G$88,$N$69:$N$88)</f>
        <v>12024.124881230115</v>
      </c>
      <c r="D252" s="21">
        <f t="shared" si="185"/>
        <v>9727.9089312301167</v>
      </c>
      <c r="E252" s="21">
        <f t="shared" si="185"/>
        <v>7890.9361712301161</v>
      </c>
      <c r="F252" s="21">
        <f t="shared" si="185"/>
        <v>6421.3579632301171</v>
      </c>
      <c r="G252" s="21">
        <f t="shared" si="185"/>
        <v>5245.6953968301168</v>
      </c>
      <c r="H252" s="21">
        <f t="shared" si="185"/>
        <v>4305.1653437101177</v>
      </c>
      <c r="I252" s="21">
        <f t="shared" si="185"/>
        <v>3552.741301214116</v>
      </c>
      <c r="J252" s="21">
        <f t="shared" ref="J252" si="186">SUMPRODUCT($H$45:$H$66,AF$45:AF$66)</f>
        <v>216.84551680000004</v>
      </c>
      <c r="K252" s="21">
        <f t="shared" ref="K252" si="187">SUMPRODUCT($H$45:$H$66,AG$45:AG$66)</f>
        <v>173.47641344000004</v>
      </c>
      <c r="L252" s="21">
        <f t="shared" ref="L252" si="188">SUMPRODUCT($H$45:$H$66,AH$45:AH$66)</f>
        <v>138.78113075200002</v>
      </c>
      <c r="M252" s="255">
        <f t="shared" si="138"/>
        <v>133.82442828302854</v>
      </c>
      <c r="N252" s="247">
        <f t="shared" si="139"/>
        <v>108.26832422070247</v>
      </c>
      <c r="O252" s="247">
        <f t="shared" si="140"/>
        <v>87.823440970841588</v>
      </c>
      <c r="P252" s="247">
        <f t="shared" si="141"/>
        <v>71.46753437095289</v>
      </c>
      <c r="Q252" s="247">
        <f t="shared" si="142"/>
        <v>58.382809091041928</v>
      </c>
      <c r="R252" s="247">
        <f t="shared" si="143"/>
        <v>47.915028867113165</v>
      </c>
      <c r="S252" s="247">
        <f t="shared" si="144"/>
        <v>39.54080468797013</v>
      </c>
      <c r="T252" s="247">
        <f t="shared" si="145"/>
        <v>2.4134169927657214</v>
      </c>
      <c r="U252" s="247">
        <f t="shared" si="146"/>
        <v>1.9307335942125772</v>
      </c>
      <c r="V252" s="247">
        <f t="shared" si="147"/>
        <v>1.5445868753700616</v>
      </c>
      <c r="W252" s="231"/>
      <c r="X252" s="231"/>
    </row>
    <row r="253" spans="1:24" outlineLevel="2" x14ac:dyDescent="0.3">
      <c r="A253" s="448"/>
      <c r="B253" s="231" t="s">
        <v>79</v>
      </c>
      <c r="C253" s="21">
        <f t="shared" ref="C253:J253" si="189">SUMPRODUCT($G$45:$G$66,Y45:Y66)+SUMPRODUCT($G$45:$G$66,$N$45:$N$66)+SUMPRODUCT($G$69:$G$88,$N$69:$N$88)</f>
        <v>12024.124881230115</v>
      </c>
      <c r="D253" s="21">
        <f t="shared" si="189"/>
        <v>9727.9089312301167</v>
      </c>
      <c r="E253" s="21">
        <f t="shared" si="189"/>
        <v>7890.9361712301161</v>
      </c>
      <c r="F253" s="21">
        <f t="shared" si="189"/>
        <v>6421.3579632301171</v>
      </c>
      <c r="G253" s="21">
        <f t="shared" si="189"/>
        <v>5245.6953968301168</v>
      </c>
      <c r="H253" s="21">
        <f t="shared" si="189"/>
        <v>4305.1653437101177</v>
      </c>
      <c r="I253" s="21">
        <f t="shared" si="189"/>
        <v>3552.741301214116</v>
      </c>
      <c r="J253" s="21">
        <f t="shared" si="189"/>
        <v>2950.802067217317</v>
      </c>
      <c r="K253" s="21">
        <f t="shared" ref="K253" si="190">SUMPRODUCT($H$45:$H$66,AG$45:AG$66)</f>
        <v>173.47641344000004</v>
      </c>
      <c r="L253" s="21">
        <f t="shared" ref="L253" si="191">SUMPRODUCT($H$45:$H$66,AH$45:AH$66)</f>
        <v>138.78113075200002</v>
      </c>
      <c r="M253" s="255">
        <f t="shared" si="138"/>
        <v>133.82442828302854</v>
      </c>
      <c r="N253" s="247">
        <f t="shared" si="139"/>
        <v>108.26832422070247</v>
      </c>
      <c r="O253" s="247">
        <f t="shared" si="140"/>
        <v>87.823440970841588</v>
      </c>
      <c r="P253" s="247">
        <f t="shared" si="141"/>
        <v>71.46753437095289</v>
      </c>
      <c r="Q253" s="247">
        <f t="shared" si="142"/>
        <v>58.382809091041928</v>
      </c>
      <c r="R253" s="247">
        <f t="shared" si="143"/>
        <v>47.915028867113165</v>
      </c>
      <c r="S253" s="247">
        <f t="shared" si="144"/>
        <v>39.54080468797013</v>
      </c>
      <c r="T253" s="247">
        <f t="shared" si="145"/>
        <v>32.841425344655725</v>
      </c>
      <c r="U253" s="247">
        <f t="shared" si="146"/>
        <v>1.9307335942125772</v>
      </c>
      <c r="V253" s="247">
        <f t="shared" si="147"/>
        <v>1.5445868753700616</v>
      </c>
      <c r="W253" s="231"/>
      <c r="X253" s="231"/>
    </row>
    <row r="254" spans="1:24" outlineLevel="2" x14ac:dyDescent="0.3">
      <c r="A254" s="448"/>
      <c r="B254" s="231" t="s">
        <v>80</v>
      </c>
      <c r="C254" s="21">
        <f t="shared" ref="C254:K254" si="192">SUMPRODUCT($G$45:$G$66,Y45:Y66)+SUMPRODUCT($G$45:$G$66,$N$45:$N$66)+SUMPRODUCT($G$69:$G$88,$N$69:$N$88)</f>
        <v>12024.124881230115</v>
      </c>
      <c r="D254" s="21">
        <f t="shared" si="192"/>
        <v>9727.9089312301167</v>
      </c>
      <c r="E254" s="21">
        <f t="shared" si="192"/>
        <v>7890.9361712301161</v>
      </c>
      <c r="F254" s="21">
        <f t="shared" si="192"/>
        <v>6421.3579632301171</v>
      </c>
      <c r="G254" s="21">
        <f t="shared" si="192"/>
        <v>5245.6953968301168</v>
      </c>
      <c r="H254" s="21">
        <f t="shared" si="192"/>
        <v>4305.1653437101177</v>
      </c>
      <c r="I254" s="21">
        <f t="shared" si="192"/>
        <v>3552.741301214116</v>
      </c>
      <c r="J254" s="21">
        <f t="shared" si="192"/>
        <v>2950.802067217317</v>
      </c>
      <c r="K254" s="21">
        <f t="shared" si="192"/>
        <v>2469.2506800198771</v>
      </c>
      <c r="L254" s="21">
        <f>SUMPRODUCT($H$45:$H$66,AH$45:AH$66)</f>
        <v>138.78113075200002</v>
      </c>
      <c r="M254" s="255">
        <f t="shared" si="138"/>
        <v>133.82442828302854</v>
      </c>
      <c r="N254" s="247">
        <f t="shared" si="139"/>
        <v>108.26832422070247</v>
      </c>
      <c r="O254" s="247">
        <f t="shared" si="140"/>
        <v>87.823440970841588</v>
      </c>
      <c r="P254" s="247">
        <f t="shared" si="141"/>
        <v>71.46753437095289</v>
      </c>
      <c r="Q254" s="247">
        <f t="shared" si="142"/>
        <v>58.382809091041928</v>
      </c>
      <c r="R254" s="247">
        <f t="shared" si="143"/>
        <v>47.915028867113165</v>
      </c>
      <c r="S254" s="247">
        <f t="shared" si="144"/>
        <v>39.54080468797013</v>
      </c>
      <c r="T254" s="247">
        <f t="shared" si="145"/>
        <v>32.841425344655725</v>
      </c>
      <c r="U254" s="247">
        <f t="shared" si="146"/>
        <v>27.4819218700042</v>
      </c>
      <c r="V254" s="247">
        <f t="shared" si="147"/>
        <v>1.5445868753700616</v>
      </c>
      <c r="W254" s="231"/>
      <c r="X254" s="231"/>
    </row>
    <row r="255" spans="1:24" outlineLevel="2" x14ac:dyDescent="0.3">
      <c r="A255" s="449"/>
      <c r="B255" s="182" t="s">
        <v>134</v>
      </c>
      <c r="C255" s="240">
        <f t="shared" ref="C255:L255" si="193">SUMPRODUCT($G$45:$G$66,Y45:Y66)+SUMPRODUCT($G$45:$G$66,$N$45:$N$66)+SUMPRODUCT($G$69:$G$88,$N$69:$N$88)</f>
        <v>12024.124881230115</v>
      </c>
      <c r="D255" s="240">
        <f t="shared" si="193"/>
        <v>9727.9089312301167</v>
      </c>
      <c r="E255" s="240">
        <f t="shared" si="193"/>
        <v>7890.9361712301161</v>
      </c>
      <c r="F255" s="240">
        <f t="shared" si="193"/>
        <v>6421.3579632301171</v>
      </c>
      <c r="G255" s="240">
        <f t="shared" si="193"/>
        <v>5245.6953968301168</v>
      </c>
      <c r="H255" s="240">
        <f t="shared" si="193"/>
        <v>4305.1653437101177</v>
      </c>
      <c r="I255" s="240">
        <f t="shared" si="193"/>
        <v>3552.741301214116</v>
      </c>
      <c r="J255" s="240">
        <f t="shared" si="193"/>
        <v>2950.802067217317</v>
      </c>
      <c r="K255" s="240">
        <f t="shared" si="193"/>
        <v>2469.2506800198771</v>
      </c>
      <c r="L255" s="240">
        <f t="shared" si="193"/>
        <v>2084.0095702619251</v>
      </c>
      <c r="M255" s="255">
        <f t="shared" si="138"/>
        <v>133.82442828302854</v>
      </c>
      <c r="N255" s="247">
        <f t="shared" si="139"/>
        <v>108.26832422070247</v>
      </c>
      <c r="O255" s="247">
        <f t="shared" si="140"/>
        <v>87.823440970841588</v>
      </c>
      <c r="P255" s="247">
        <f t="shared" si="141"/>
        <v>71.46753437095289</v>
      </c>
      <c r="Q255" s="247">
        <f t="shared" si="142"/>
        <v>58.382809091041928</v>
      </c>
      <c r="R255" s="247">
        <f t="shared" si="143"/>
        <v>47.915028867113165</v>
      </c>
      <c r="S255" s="247">
        <f t="shared" si="144"/>
        <v>39.54080468797013</v>
      </c>
      <c r="T255" s="247">
        <f t="shared" si="145"/>
        <v>32.841425344655725</v>
      </c>
      <c r="U255" s="247">
        <f t="shared" si="146"/>
        <v>27.4819218700042</v>
      </c>
      <c r="V255" s="247">
        <f t="shared" si="147"/>
        <v>23.194319090282974</v>
      </c>
      <c r="W255" s="231"/>
      <c r="X255" s="231"/>
    </row>
    <row r="256" spans="1:24" ht="14.4" customHeight="1" outlineLevel="2" x14ac:dyDescent="0.3">
      <c r="A256" s="455" t="s">
        <v>244</v>
      </c>
      <c r="B256" s="231" t="s">
        <v>72</v>
      </c>
      <c r="C256" s="246">
        <f>$G$67*$N$67+$G$68*$N$68</f>
        <v>0</v>
      </c>
      <c r="D256" s="21">
        <v>0</v>
      </c>
      <c r="E256" s="21">
        <v>0</v>
      </c>
      <c r="F256" s="21">
        <v>0</v>
      </c>
      <c r="G256" s="21">
        <v>0</v>
      </c>
      <c r="H256" s="21">
        <v>0</v>
      </c>
      <c r="I256" s="21">
        <v>0</v>
      </c>
      <c r="J256" s="21">
        <v>0</v>
      </c>
      <c r="K256" s="21">
        <v>0</v>
      </c>
      <c r="L256" s="21">
        <v>0</v>
      </c>
      <c r="M256" s="255">
        <f t="shared" si="138"/>
        <v>0</v>
      </c>
      <c r="N256" s="247">
        <f t="shared" si="139"/>
        <v>0</v>
      </c>
      <c r="O256" s="247">
        <f t="shared" si="140"/>
        <v>0</v>
      </c>
      <c r="P256" s="247">
        <f t="shared" si="141"/>
        <v>0</v>
      </c>
      <c r="Q256" s="247">
        <f t="shared" si="142"/>
        <v>0</v>
      </c>
      <c r="R256" s="247">
        <f t="shared" si="143"/>
        <v>0</v>
      </c>
      <c r="S256" s="247">
        <f t="shared" si="144"/>
        <v>0</v>
      </c>
      <c r="T256" s="247">
        <f t="shared" si="145"/>
        <v>0</v>
      </c>
      <c r="U256" s="247">
        <f t="shared" si="146"/>
        <v>0</v>
      </c>
      <c r="V256" s="247">
        <f t="shared" si="147"/>
        <v>0</v>
      </c>
    </row>
    <row r="257" spans="1:23" outlineLevel="2" x14ac:dyDescent="0.3">
      <c r="A257" s="448"/>
      <c r="B257" s="231" t="s">
        <v>73</v>
      </c>
      <c r="C257" s="21">
        <f t="shared" ref="C257:C265" si="194">$G$67*$N$67+$G$68*$N$68</f>
        <v>0</v>
      </c>
      <c r="D257" s="246">
        <f t="shared" ref="D257:L265" si="195">$G$67*$N$67+$G$68*$N$68</f>
        <v>0</v>
      </c>
      <c r="E257" s="21">
        <v>0</v>
      </c>
      <c r="F257" s="21">
        <v>0</v>
      </c>
      <c r="G257" s="21">
        <v>0</v>
      </c>
      <c r="H257" s="21">
        <v>0</v>
      </c>
      <c r="I257" s="21">
        <v>0</v>
      </c>
      <c r="J257" s="21">
        <v>0</v>
      </c>
      <c r="K257" s="21">
        <v>0</v>
      </c>
      <c r="L257" s="21">
        <v>0</v>
      </c>
      <c r="M257" s="255">
        <f t="shared" si="138"/>
        <v>0</v>
      </c>
      <c r="N257" s="247">
        <f t="shared" si="139"/>
        <v>0</v>
      </c>
      <c r="O257" s="247">
        <f t="shared" si="140"/>
        <v>0</v>
      </c>
      <c r="P257" s="247">
        <f t="shared" si="141"/>
        <v>0</v>
      </c>
      <c r="Q257" s="247">
        <f t="shared" si="142"/>
        <v>0</v>
      </c>
      <c r="R257" s="247">
        <f t="shared" si="143"/>
        <v>0</v>
      </c>
      <c r="S257" s="247">
        <f t="shared" si="144"/>
        <v>0</v>
      </c>
      <c r="T257" s="247">
        <f t="shared" si="145"/>
        <v>0</v>
      </c>
      <c r="U257" s="247">
        <f t="shared" si="146"/>
        <v>0</v>
      </c>
      <c r="V257" s="247">
        <f t="shared" si="147"/>
        <v>0</v>
      </c>
    </row>
    <row r="258" spans="1:23" ht="14.4" customHeight="1" outlineLevel="2" x14ac:dyDescent="0.3">
      <c r="A258" s="448"/>
      <c r="B258" s="231" t="s">
        <v>74</v>
      </c>
      <c r="C258" s="21">
        <f t="shared" si="194"/>
        <v>0</v>
      </c>
      <c r="D258" s="21">
        <f t="shared" si="195"/>
        <v>0</v>
      </c>
      <c r="E258" s="246">
        <f t="shared" si="195"/>
        <v>0</v>
      </c>
      <c r="F258" s="21">
        <v>0</v>
      </c>
      <c r="G258" s="21">
        <v>0</v>
      </c>
      <c r="H258" s="21">
        <v>0</v>
      </c>
      <c r="I258" s="21">
        <v>0</v>
      </c>
      <c r="J258" s="21">
        <v>0</v>
      </c>
      <c r="K258" s="21">
        <v>0</v>
      </c>
      <c r="L258" s="21">
        <v>0</v>
      </c>
      <c r="M258" s="255">
        <f t="shared" si="138"/>
        <v>0</v>
      </c>
      <c r="N258" s="247">
        <f t="shared" si="139"/>
        <v>0</v>
      </c>
      <c r="O258" s="247">
        <f t="shared" si="140"/>
        <v>0</v>
      </c>
      <c r="P258" s="247">
        <f t="shared" si="141"/>
        <v>0</v>
      </c>
      <c r="Q258" s="247">
        <f t="shared" si="142"/>
        <v>0</v>
      </c>
      <c r="R258" s="247">
        <f t="shared" si="143"/>
        <v>0</v>
      </c>
      <c r="S258" s="247">
        <f t="shared" si="144"/>
        <v>0</v>
      </c>
      <c r="T258" s="247">
        <f t="shared" si="145"/>
        <v>0</v>
      </c>
      <c r="U258" s="247">
        <f t="shared" si="146"/>
        <v>0</v>
      </c>
      <c r="V258" s="247">
        <f t="shared" si="147"/>
        <v>0</v>
      </c>
    </row>
    <row r="259" spans="1:23" outlineLevel="2" x14ac:dyDescent="0.3">
      <c r="A259" s="448"/>
      <c r="B259" s="231" t="s">
        <v>75</v>
      </c>
      <c r="C259" s="21">
        <f t="shared" si="194"/>
        <v>0</v>
      </c>
      <c r="D259" s="21">
        <f t="shared" si="195"/>
        <v>0</v>
      </c>
      <c r="E259" s="21">
        <f t="shared" si="195"/>
        <v>0</v>
      </c>
      <c r="F259" s="246">
        <f t="shared" si="195"/>
        <v>0</v>
      </c>
      <c r="G259" s="21">
        <v>0</v>
      </c>
      <c r="H259" s="21">
        <v>0</v>
      </c>
      <c r="I259" s="21">
        <v>0</v>
      </c>
      <c r="J259" s="21">
        <v>0</v>
      </c>
      <c r="K259" s="21">
        <v>0</v>
      </c>
      <c r="L259" s="21">
        <v>0</v>
      </c>
      <c r="M259" s="255">
        <f t="shared" si="138"/>
        <v>0</v>
      </c>
      <c r="N259" s="247">
        <f t="shared" si="139"/>
        <v>0</v>
      </c>
      <c r="O259" s="247">
        <f t="shared" si="140"/>
        <v>0</v>
      </c>
      <c r="P259" s="247">
        <f t="shared" si="141"/>
        <v>0</v>
      </c>
      <c r="Q259" s="247">
        <f t="shared" si="142"/>
        <v>0</v>
      </c>
      <c r="R259" s="247">
        <f t="shared" si="143"/>
        <v>0</v>
      </c>
      <c r="S259" s="247">
        <f t="shared" si="144"/>
        <v>0</v>
      </c>
      <c r="T259" s="247">
        <f t="shared" si="145"/>
        <v>0</v>
      </c>
      <c r="U259" s="247">
        <f t="shared" si="146"/>
        <v>0</v>
      </c>
      <c r="V259" s="247">
        <f t="shared" si="147"/>
        <v>0</v>
      </c>
    </row>
    <row r="260" spans="1:23" outlineLevel="2" x14ac:dyDescent="0.3">
      <c r="A260" s="448"/>
      <c r="B260" s="231" t="s">
        <v>76</v>
      </c>
      <c r="C260" s="21">
        <f t="shared" si="194"/>
        <v>0</v>
      </c>
      <c r="D260" s="21">
        <f t="shared" si="195"/>
        <v>0</v>
      </c>
      <c r="E260" s="21">
        <f t="shared" si="195"/>
        <v>0</v>
      </c>
      <c r="F260" s="21">
        <f t="shared" si="195"/>
        <v>0</v>
      </c>
      <c r="G260" s="246">
        <f t="shared" si="195"/>
        <v>0</v>
      </c>
      <c r="H260" s="21">
        <v>0</v>
      </c>
      <c r="I260" s="21">
        <v>0</v>
      </c>
      <c r="J260" s="21">
        <v>0</v>
      </c>
      <c r="K260" s="21">
        <v>0</v>
      </c>
      <c r="L260" s="21">
        <v>0</v>
      </c>
      <c r="M260" s="255">
        <f t="shared" si="138"/>
        <v>0</v>
      </c>
      <c r="N260" s="247">
        <f t="shared" si="139"/>
        <v>0</v>
      </c>
      <c r="O260" s="247">
        <f t="shared" si="140"/>
        <v>0</v>
      </c>
      <c r="P260" s="247">
        <f t="shared" si="141"/>
        <v>0</v>
      </c>
      <c r="Q260" s="247">
        <f t="shared" si="142"/>
        <v>0</v>
      </c>
      <c r="R260" s="247">
        <f t="shared" si="143"/>
        <v>0</v>
      </c>
      <c r="S260" s="247">
        <f t="shared" si="144"/>
        <v>0</v>
      </c>
      <c r="T260" s="247">
        <f t="shared" si="145"/>
        <v>0</v>
      </c>
      <c r="U260" s="247">
        <f t="shared" si="146"/>
        <v>0</v>
      </c>
      <c r="V260" s="247">
        <f t="shared" si="147"/>
        <v>0</v>
      </c>
    </row>
    <row r="261" spans="1:23" outlineLevel="2" x14ac:dyDescent="0.3">
      <c r="A261" s="448"/>
      <c r="B261" s="231" t="s">
        <v>77</v>
      </c>
      <c r="C261" s="21">
        <f t="shared" si="194"/>
        <v>0</v>
      </c>
      <c r="D261" s="21">
        <f t="shared" si="195"/>
        <v>0</v>
      </c>
      <c r="E261" s="21">
        <f t="shared" si="195"/>
        <v>0</v>
      </c>
      <c r="F261" s="21">
        <f t="shared" si="195"/>
        <v>0</v>
      </c>
      <c r="G261" s="21">
        <f t="shared" si="195"/>
        <v>0</v>
      </c>
      <c r="H261" s="246">
        <f t="shared" si="195"/>
        <v>0</v>
      </c>
      <c r="I261" s="21">
        <v>0</v>
      </c>
      <c r="J261" s="21">
        <v>0</v>
      </c>
      <c r="K261" s="21">
        <v>0</v>
      </c>
      <c r="L261" s="21">
        <v>0</v>
      </c>
      <c r="M261" s="255">
        <f t="shared" si="138"/>
        <v>0</v>
      </c>
      <c r="N261" s="247">
        <f t="shared" si="139"/>
        <v>0</v>
      </c>
      <c r="O261" s="247">
        <f t="shared" si="140"/>
        <v>0</v>
      </c>
      <c r="P261" s="247">
        <f t="shared" si="141"/>
        <v>0</v>
      </c>
      <c r="Q261" s="247">
        <f t="shared" si="142"/>
        <v>0</v>
      </c>
      <c r="R261" s="247">
        <f t="shared" si="143"/>
        <v>0</v>
      </c>
      <c r="S261" s="247">
        <f t="shared" si="144"/>
        <v>0</v>
      </c>
      <c r="T261" s="247">
        <f t="shared" si="145"/>
        <v>0</v>
      </c>
      <c r="U261" s="247">
        <f t="shared" si="146"/>
        <v>0</v>
      </c>
      <c r="V261" s="247">
        <f t="shared" si="147"/>
        <v>0</v>
      </c>
    </row>
    <row r="262" spans="1:23" outlineLevel="2" x14ac:dyDescent="0.3">
      <c r="A262" s="448"/>
      <c r="B262" s="231" t="s">
        <v>78</v>
      </c>
      <c r="C262" s="21">
        <f t="shared" si="194"/>
        <v>0</v>
      </c>
      <c r="D262" s="21">
        <f t="shared" si="195"/>
        <v>0</v>
      </c>
      <c r="E262" s="21">
        <f t="shared" si="195"/>
        <v>0</v>
      </c>
      <c r="F262" s="21">
        <f t="shared" si="195"/>
        <v>0</v>
      </c>
      <c r="G262" s="21">
        <f t="shared" si="195"/>
        <v>0</v>
      </c>
      <c r="H262" s="21">
        <f t="shared" si="195"/>
        <v>0</v>
      </c>
      <c r="I262" s="246">
        <f t="shared" si="195"/>
        <v>0</v>
      </c>
      <c r="J262" s="21">
        <v>0</v>
      </c>
      <c r="K262" s="21">
        <v>0</v>
      </c>
      <c r="L262" s="21">
        <v>0</v>
      </c>
      <c r="M262" s="255">
        <f t="shared" si="138"/>
        <v>0</v>
      </c>
      <c r="N262" s="247">
        <f t="shared" si="139"/>
        <v>0</v>
      </c>
      <c r="O262" s="247">
        <f t="shared" si="140"/>
        <v>0</v>
      </c>
      <c r="P262" s="247">
        <f t="shared" si="141"/>
        <v>0</v>
      </c>
      <c r="Q262" s="247">
        <f t="shared" si="142"/>
        <v>0</v>
      </c>
      <c r="R262" s="247">
        <f t="shared" si="143"/>
        <v>0</v>
      </c>
      <c r="S262" s="247">
        <f t="shared" si="144"/>
        <v>0</v>
      </c>
      <c r="T262" s="247">
        <f t="shared" si="145"/>
        <v>0</v>
      </c>
      <c r="U262" s="247">
        <f t="shared" si="146"/>
        <v>0</v>
      </c>
      <c r="V262" s="247">
        <f t="shared" si="147"/>
        <v>0</v>
      </c>
    </row>
    <row r="263" spans="1:23" outlineLevel="2" x14ac:dyDescent="0.3">
      <c r="A263" s="448"/>
      <c r="B263" s="231" t="s">
        <v>79</v>
      </c>
      <c r="C263" s="21">
        <f t="shared" si="194"/>
        <v>0</v>
      </c>
      <c r="D263" s="21">
        <f t="shared" si="195"/>
        <v>0</v>
      </c>
      <c r="E263" s="21">
        <f t="shared" si="195"/>
        <v>0</v>
      </c>
      <c r="F263" s="21">
        <f t="shared" si="195"/>
        <v>0</v>
      </c>
      <c r="G263" s="21">
        <f t="shared" si="195"/>
        <v>0</v>
      </c>
      <c r="H263" s="21">
        <f t="shared" si="195"/>
        <v>0</v>
      </c>
      <c r="I263" s="21">
        <f t="shared" si="195"/>
        <v>0</v>
      </c>
      <c r="J263" s="246">
        <f t="shared" si="195"/>
        <v>0</v>
      </c>
      <c r="K263" s="21">
        <v>0</v>
      </c>
      <c r="L263" s="21">
        <v>0</v>
      </c>
      <c r="M263" s="255">
        <f t="shared" si="138"/>
        <v>0</v>
      </c>
      <c r="N263" s="247">
        <f t="shared" si="139"/>
        <v>0</v>
      </c>
      <c r="O263" s="247">
        <f t="shared" si="140"/>
        <v>0</v>
      </c>
      <c r="P263" s="247">
        <f t="shared" si="141"/>
        <v>0</v>
      </c>
      <c r="Q263" s="247">
        <f t="shared" si="142"/>
        <v>0</v>
      </c>
      <c r="R263" s="247">
        <f t="shared" si="143"/>
        <v>0</v>
      </c>
      <c r="S263" s="247">
        <f t="shared" si="144"/>
        <v>0</v>
      </c>
      <c r="T263" s="247">
        <f t="shared" si="145"/>
        <v>0</v>
      </c>
      <c r="U263" s="247">
        <f t="shared" si="146"/>
        <v>0</v>
      </c>
      <c r="V263" s="247">
        <f t="shared" si="147"/>
        <v>0</v>
      </c>
    </row>
    <row r="264" spans="1:23" outlineLevel="2" x14ac:dyDescent="0.3">
      <c r="A264" s="448"/>
      <c r="B264" s="231" t="s">
        <v>80</v>
      </c>
      <c r="C264" s="21">
        <f t="shared" si="194"/>
        <v>0</v>
      </c>
      <c r="D264" s="21">
        <f t="shared" si="195"/>
        <v>0</v>
      </c>
      <c r="E264" s="21">
        <f t="shared" si="195"/>
        <v>0</v>
      </c>
      <c r="F264" s="21">
        <f t="shared" si="195"/>
        <v>0</v>
      </c>
      <c r="G264" s="21">
        <f t="shared" si="195"/>
        <v>0</v>
      </c>
      <c r="H264" s="21">
        <f t="shared" si="195"/>
        <v>0</v>
      </c>
      <c r="I264" s="21">
        <f t="shared" si="195"/>
        <v>0</v>
      </c>
      <c r="J264" s="21">
        <f t="shared" si="195"/>
        <v>0</v>
      </c>
      <c r="K264" s="246">
        <f t="shared" si="195"/>
        <v>0</v>
      </c>
      <c r="L264" s="21">
        <v>0</v>
      </c>
      <c r="M264" s="255">
        <f t="shared" si="138"/>
        <v>0</v>
      </c>
      <c r="N264" s="247">
        <f t="shared" si="139"/>
        <v>0</v>
      </c>
      <c r="O264" s="247">
        <f t="shared" si="140"/>
        <v>0</v>
      </c>
      <c r="P264" s="247">
        <f t="shared" si="141"/>
        <v>0</v>
      </c>
      <c r="Q264" s="247">
        <f t="shared" si="142"/>
        <v>0</v>
      </c>
      <c r="R264" s="247">
        <f t="shared" si="143"/>
        <v>0</v>
      </c>
      <c r="S264" s="247">
        <f t="shared" si="144"/>
        <v>0</v>
      </c>
      <c r="T264" s="247">
        <f t="shared" si="145"/>
        <v>0</v>
      </c>
      <c r="U264" s="247">
        <f t="shared" si="146"/>
        <v>0</v>
      </c>
      <c r="V264" s="247">
        <f t="shared" si="147"/>
        <v>0</v>
      </c>
    </row>
    <row r="265" spans="1:23" outlineLevel="2" x14ac:dyDescent="0.3">
      <c r="A265" s="449"/>
      <c r="B265" s="182" t="s">
        <v>134</v>
      </c>
      <c r="C265" s="21">
        <f t="shared" si="194"/>
        <v>0</v>
      </c>
      <c r="D265" s="21">
        <f t="shared" si="195"/>
        <v>0</v>
      </c>
      <c r="E265" s="21">
        <f t="shared" si="195"/>
        <v>0</v>
      </c>
      <c r="F265" s="21">
        <f t="shared" si="195"/>
        <v>0</v>
      </c>
      <c r="G265" s="21">
        <f t="shared" si="195"/>
        <v>0</v>
      </c>
      <c r="H265" s="21">
        <f t="shared" si="195"/>
        <v>0</v>
      </c>
      <c r="I265" s="21">
        <f t="shared" si="195"/>
        <v>0</v>
      </c>
      <c r="J265" s="21">
        <f t="shared" si="195"/>
        <v>0</v>
      </c>
      <c r="K265" s="21">
        <f t="shared" si="195"/>
        <v>0</v>
      </c>
      <c r="L265" s="21">
        <f t="shared" si="195"/>
        <v>0</v>
      </c>
      <c r="M265" s="255">
        <f t="shared" si="138"/>
        <v>0</v>
      </c>
      <c r="N265" s="247">
        <f t="shared" si="139"/>
        <v>0</v>
      </c>
      <c r="O265" s="247">
        <f t="shared" si="140"/>
        <v>0</v>
      </c>
      <c r="P265" s="247">
        <f t="shared" si="141"/>
        <v>0</v>
      </c>
      <c r="Q265" s="247">
        <f t="shared" si="142"/>
        <v>0</v>
      </c>
      <c r="R265" s="247">
        <f t="shared" si="143"/>
        <v>0</v>
      </c>
      <c r="S265" s="247">
        <f t="shared" si="144"/>
        <v>0</v>
      </c>
      <c r="T265" s="247">
        <f t="shared" si="145"/>
        <v>0</v>
      </c>
      <c r="U265" s="247">
        <f t="shared" si="146"/>
        <v>0</v>
      </c>
      <c r="V265" s="247">
        <f t="shared" si="147"/>
        <v>0</v>
      </c>
    </row>
    <row r="266" spans="1:23" ht="14.4" customHeight="1" outlineLevel="2" x14ac:dyDescent="0.3">
      <c r="A266" s="455" t="s">
        <v>245</v>
      </c>
      <c r="B266" s="231" t="s">
        <v>72</v>
      </c>
      <c r="C266" s="243">
        <f t="shared" ref="C266:L266" si="196">C216-C226-C236-C246-C256</f>
        <v>-10466.41790555292</v>
      </c>
      <c r="D266" s="243">
        <f t="shared" si="196"/>
        <v>-827.2</v>
      </c>
      <c r="E266" s="243">
        <f t="shared" si="196"/>
        <v>-661.75999999999976</v>
      </c>
      <c r="F266" s="243">
        <f t="shared" si="196"/>
        <v>-529.40799999999979</v>
      </c>
      <c r="G266" s="243">
        <f t="shared" si="196"/>
        <v>-423.52639999999997</v>
      </c>
      <c r="H266" s="243">
        <f t="shared" si="196"/>
        <v>-338.82111999999995</v>
      </c>
      <c r="I266" s="243">
        <f t="shared" si="196"/>
        <v>-271.05689599999999</v>
      </c>
      <c r="J266" s="243">
        <f t="shared" si="196"/>
        <v>-216.84551680000004</v>
      </c>
      <c r="K266" s="243">
        <f t="shared" si="196"/>
        <v>-173.47641344000004</v>
      </c>
      <c r="L266" s="243">
        <f t="shared" si="196"/>
        <v>-138.78113075200002</v>
      </c>
      <c r="M266" s="4"/>
      <c r="N266" s="7"/>
      <c r="O266" s="7"/>
      <c r="P266" s="7"/>
      <c r="Q266" s="7"/>
      <c r="R266" s="7"/>
      <c r="S266" s="7"/>
      <c r="T266" s="7"/>
      <c r="U266" s="7"/>
      <c r="V266" s="7"/>
    </row>
    <row r="267" spans="1:23" outlineLevel="2" x14ac:dyDescent="0.3">
      <c r="A267" s="448"/>
      <c r="B267" s="231" t="s">
        <v>73</v>
      </c>
      <c r="C267" s="144">
        <f t="shared" ref="C267:L267" si="197">C217-C227-C237-C247-C257</f>
        <v>-9670.9179055529203</v>
      </c>
      <c r="D267" s="144">
        <f t="shared" si="197"/>
        <v>-4224.2286284055208</v>
      </c>
      <c r="E267" s="144">
        <f t="shared" si="197"/>
        <v>-661.75999999999976</v>
      </c>
      <c r="F267" s="144">
        <f t="shared" si="197"/>
        <v>-529.40799999999979</v>
      </c>
      <c r="G267" s="144">
        <f t="shared" si="197"/>
        <v>-423.52639999999997</v>
      </c>
      <c r="H267" s="144">
        <f t="shared" si="197"/>
        <v>-338.82111999999995</v>
      </c>
      <c r="I267" s="144">
        <f t="shared" si="197"/>
        <v>-271.05689599999999</v>
      </c>
      <c r="J267" s="144">
        <f t="shared" si="197"/>
        <v>-216.84551680000004</v>
      </c>
      <c r="K267" s="144">
        <f t="shared" si="197"/>
        <v>-173.47641344000004</v>
      </c>
      <c r="L267" s="144">
        <f t="shared" si="197"/>
        <v>-138.78113075200002</v>
      </c>
      <c r="M267" s="4"/>
      <c r="N267" s="7"/>
      <c r="O267" s="7"/>
      <c r="P267" s="7"/>
      <c r="Q267" s="7"/>
      <c r="R267" s="7"/>
      <c r="S267" s="7"/>
      <c r="T267" s="7"/>
      <c r="U267" s="7"/>
      <c r="V267" s="7"/>
    </row>
    <row r="268" spans="1:23" ht="14.4" customHeight="1" outlineLevel="2" x14ac:dyDescent="0.3">
      <c r="A268" s="448"/>
      <c r="B268" s="231" t="s">
        <v>74</v>
      </c>
      <c r="C268" s="144">
        <f t="shared" ref="C268:L268" si="198">C218-C228-C238-C248-C258</f>
        <v>-9670.9179055529203</v>
      </c>
      <c r="D268" s="144">
        <f t="shared" si="198"/>
        <v>-3428.7286284055208</v>
      </c>
      <c r="E268" s="144">
        <f t="shared" si="198"/>
        <v>-2387.2558684055202</v>
      </c>
      <c r="F268" s="144">
        <f t="shared" si="198"/>
        <v>-529.40799999999979</v>
      </c>
      <c r="G268" s="144">
        <f t="shared" si="198"/>
        <v>-423.52639999999997</v>
      </c>
      <c r="H268" s="144">
        <f t="shared" si="198"/>
        <v>-338.82111999999995</v>
      </c>
      <c r="I268" s="144">
        <f t="shared" si="198"/>
        <v>-271.05689599999999</v>
      </c>
      <c r="J268" s="144">
        <f t="shared" si="198"/>
        <v>-216.84551680000004</v>
      </c>
      <c r="K268" s="144">
        <f t="shared" si="198"/>
        <v>-173.47641344000004</v>
      </c>
      <c r="L268" s="144">
        <f t="shared" si="198"/>
        <v>-138.78113075200002</v>
      </c>
      <c r="M268" s="4"/>
      <c r="N268" s="7"/>
      <c r="O268" s="7"/>
      <c r="P268" s="7"/>
      <c r="Q268" s="7"/>
      <c r="R268" s="7"/>
      <c r="S268" s="7"/>
      <c r="T268" s="7"/>
      <c r="U268" s="7"/>
      <c r="V268" s="7"/>
      <c r="W268" s="231"/>
    </row>
    <row r="269" spans="1:23" outlineLevel="2" x14ac:dyDescent="0.3">
      <c r="A269" s="448"/>
      <c r="B269" s="231" t="s">
        <v>75</v>
      </c>
      <c r="C269" s="144">
        <f t="shared" ref="C269:L269" si="199">C219-C229-C239-C249-C259</f>
        <v>-9670.9179055529203</v>
      </c>
      <c r="D269" s="144">
        <f t="shared" si="199"/>
        <v>-3428.7286284055208</v>
      </c>
      <c r="E269" s="144">
        <f t="shared" si="199"/>
        <v>-1591.7558684055202</v>
      </c>
      <c r="F269" s="144">
        <f t="shared" si="199"/>
        <v>-917.67766040552124</v>
      </c>
      <c r="G269" s="144">
        <f t="shared" si="199"/>
        <v>-423.52639999999997</v>
      </c>
      <c r="H269" s="144">
        <f t="shared" si="199"/>
        <v>-338.82111999999995</v>
      </c>
      <c r="I269" s="144">
        <f t="shared" si="199"/>
        <v>-271.05689599999999</v>
      </c>
      <c r="J269" s="144">
        <f t="shared" si="199"/>
        <v>-216.84551680000004</v>
      </c>
      <c r="K269" s="144">
        <f t="shared" si="199"/>
        <v>-173.47641344000004</v>
      </c>
      <c r="L269" s="144">
        <f t="shared" si="199"/>
        <v>-138.78113075200002</v>
      </c>
      <c r="M269" s="4"/>
      <c r="N269" s="201"/>
      <c r="O269" s="201"/>
      <c r="P269" s="201"/>
      <c r="Q269" s="201"/>
      <c r="R269" s="201"/>
      <c r="S269" s="201"/>
      <c r="T269" s="201"/>
      <c r="U269" s="201"/>
      <c r="V269" s="201"/>
      <c r="W269" s="32"/>
    </row>
    <row r="270" spans="1:23" outlineLevel="2" x14ac:dyDescent="0.3">
      <c r="A270" s="448"/>
      <c r="B270" s="231" t="s">
        <v>76</v>
      </c>
      <c r="C270" s="144">
        <f t="shared" ref="C270:L270" si="200">C220-C230-C240-C250-C260</f>
        <v>-9670.9179055529203</v>
      </c>
      <c r="D270" s="144">
        <f t="shared" si="200"/>
        <v>-3428.7286284055208</v>
      </c>
      <c r="E270" s="144">
        <f t="shared" si="200"/>
        <v>-1591.7558684055202</v>
      </c>
      <c r="F270" s="144">
        <f t="shared" si="200"/>
        <v>-122.17766040552124</v>
      </c>
      <c r="G270" s="144">
        <f t="shared" si="200"/>
        <v>257.98490599447905</v>
      </c>
      <c r="H270" s="144">
        <f t="shared" si="200"/>
        <v>-338.82111999999995</v>
      </c>
      <c r="I270" s="144">
        <f t="shared" si="200"/>
        <v>-271.05689599999999</v>
      </c>
      <c r="J270" s="144">
        <f t="shared" si="200"/>
        <v>-216.84551680000004</v>
      </c>
      <c r="K270" s="144">
        <f t="shared" si="200"/>
        <v>-173.47641344000004</v>
      </c>
      <c r="L270" s="144">
        <f t="shared" si="200"/>
        <v>-138.78113075200002</v>
      </c>
      <c r="M270" s="4"/>
      <c r="N270" s="247"/>
      <c r="O270" s="247"/>
      <c r="P270" s="247"/>
      <c r="Q270" s="247"/>
      <c r="R270" s="247"/>
      <c r="S270" s="247"/>
      <c r="T270" s="247"/>
      <c r="U270" s="247"/>
      <c r="V270" s="247"/>
      <c r="W270" s="247"/>
    </row>
    <row r="271" spans="1:23" outlineLevel="2" x14ac:dyDescent="0.3">
      <c r="A271" s="448"/>
      <c r="B271" s="231" t="s">
        <v>77</v>
      </c>
      <c r="C271" s="144">
        <f t="shared" ref="C271:L271" si="201">C221-C231-C241-C251-C261</f>
        <v>-9670.9179055529203</v>
      </c>
      <c r="D271" s="144">
        <f t="shared" si="201"/>
        <v>-3428.7286284055208</v>
      </c>
      <c r="E271" s="144">
        <f t="shared" si="201"/>
        <v>-1591.7558684055202</v>
      </c>
      <c r="F271" s="144">
        <f t="shared" si="201"/>
        <v>-122.17766040552124</v>
      </c>
      <c r="G271" s="144">
        <f t="shared" si="201"/>
        <v>1053.484905994479</v>
      </c>
      <c r="H271" s="144">
        <f t="shared" si="201"/>
        <v>1198.5149591144782</v>
      </c>
      <c r="I271" s="144">
        <f t="shared" si="201"/>
        <v>-271.05689599999999</v>
      </c>
      <c r="J271" s="144">
        <f t="shared" si="201"/>
        <v>-216.84551680000004</v>
      </c>
      <c r="K271" s="144">
        <f t="shared" si="201"/>
        <v>-173.47641344000004</v>
      </c>
      <c r="L271" s="144">
        <f t="shared" si="201"/>
        <v>-138.78113075200002</v>
      </c>
      <c r="M271" s="4"/>
      <c r="N271" s="250"/>
      <c r="O271" s="250"/>
      <c r="P271" s="250"/>
      <c r="Q271" s="250"/>
      <c r="R271" s="250"/>
      <c r="S271" s="250"/>
      <c r="T271" s="250"/>
      <c r="U271" s="250"/>
      <c r="V271" s="250"/>
      <c r="W271" s="250"/>
    </row>
    <row r="272" spans="1:23" outlineLevel="2" x14ac:dyDescent="0.3">
      <c r="A272" s="448"/>
      <c r="B272" s="231" t="s">
        <v>78</v>
      </c>
      <c r="C272" s="144">
        <f t="shared" ref="C272:L272" si="202">C222-C232-C242-C252-C262</f>
        <v>-9670.9179055529203</v>
      </c>
      <c r="D272" s="144">
        <f t="shared" si="202"/>
        <v>-3428.7286284055208</v>
      </c>
      <c r="E272" s="144">
        <f t="shared" si="202"/>
        <v>-1591.7558684055202</v>
      </c>
      <c r="F272" s="144">
        <f t="shared" si="202"/>
        <v>-122.17766040552124</v>
      </c>
      <c r="G272" s="144">
        <f t="shared" si="202"/>
        <v>1053.484905994479</v>
      </c>
      <c r="H272" s="144">
        <f t="shared" si="202"/>
        <v>1994.0149591144782</v>
      </c>
      <c r="I272" s="144">
        <f t="shared" si="202"/>
        <v>1950.9390016104799</v>
      </c>
      <c r="J272" s="144">
        <f t="shared" si="202"/>
        <v>-216.84551680000004</v>
      </c>
      <c r="K272" s="144">
        <f t="shared" si="202"/>
        <v>-173.47641344000004</v>
      </c>
      <c r="L272" s="144">
        <f t="shared" si="202"/>
        <v>-138.78113075200002</v>
      </c>
      <c r="M272" s="4"/>
      <c r="N272" s="201"/>
      <c r="O272" s="7"/>
      <c r="P272" s="7"/>
      <c r="Q272" s="7"/>
      <c r="R272" s="7"/>
      <c r="S272" s="7"/>
      <c r="T272" s="7"/>
      <c r="U272" s="7"/>
      <c r="V272" s="7"/>
    </row>
    <row r="273" spans="1:37" outlineLevel="2" x14ac:dyDescent="0.3">
      <c r="A273" s="448"/>
      <c r="B273" s="231" t="s">
        <v>79</v>
      </c>
      <c r="C273" s="144">
        <f t="shared" ref="C273:L273" si="203">C223-C233-C243-C253-C263</f>
        <v>-9670.9179055529203</v>
      </c>
      <c r="D273" s="144">
        <f t="shared" si="203"/>
        <v>-3428.7286284055208</v>
      </c>
      <c r="E273" s="144">
        <f t="shared" si="203"/>
        <v>-1591.7558684055202</v>
      </c>
      <c r="F273" s="144">
        <f t="shared" si="203"/>
        <v>-122.17766040552124</v>
      </c>
      <c r="G273" s="144">
        <f t="shared" si="203"/>
        <v>1053.484905994479</v>
      </c>
      <c r="H273" s="144">
        <f t="shared" si="203"/>
        <v>1994.0149591144782</v>
      </c>
      <c r="I273" s="144">
        <f t="shared" si="203"/>
        <v>2746.4390016104799</v>
      </c>
      <c r="J273" s="144">
        <f t="shared" si="203"/>
        <v>2552.8782356072788</v>
      </c>
      <c r="K273" s="144">
        <f t="shared" si="203"/>
        <v>-173.47641344000004</v>
      </c>
      <c r="L273" s="144">
        <f t="shared" si="203"/>
        <v>-138.78113075200002</v>
      </c>
      <c r="M273" s="4"/>
      <c r="N273" s="7"/>
      <c r="O273" s="7"/>
      <c r="P273" s="7"/>
      <c r="Q273" s="7"/>
      <c r="R273" s="7"/>
      <c r="S273" s="7"/>
      <c r="T273" s="7"/>
      <c r="U273" s="7"/>
      <c r="V273" s="7"/>
    </row>
    <row r="274" spans="1:37" outlineLevel="2" x14ac:dyDescent="0.3">
      <c r="A274" s="448"/>
      <c r="B274" s="231" t="s">
        <v>80</v>
      </c>
      <c r="C274" s="144">
        <f t="shared" ref="C274:L274" si="204">C224-C234-C244-C254-C264</f>
        <v>-9670.9179055529203</v>
      </c>
      <c r="D274" s="144">
        <f t="shared" si="204"/>
        <v>-3428.7286284055208</v>
      </c>
      <c r="E274" s="144">
        <f t="shared" si="204"/>
        <v>-1591.7558684055202</v>
      </c>
      <c r="F274" s="144">
        <f t="shared" si="204"/>
        <v>-122.17766040552124</v>
      </c>
      <c r="G274" s="144">
        <f t="shared" si="204"/>
        <v>1053.484905994479</v>
      </c>
      <c r="H274" s="144">
        <f t="shared" si="204"/>
        <v>1994.0149591144782</v>
      </c>
      <c r="I274" s="144">
        <f t="shared" si="204"/>
        <v>2746.4390016104799</v>
      </c>
      <c r="J274" s="144">
        <f t="shared" si="204"/>
        <v>3348.3782356072788</v>
      </c>
      <c r="K274" s="144">
        <f t="shared" si="204"/>
        <v>3034.4296228047187</v>
      </c>
      <c r="L274" s="144">
        <f t="shared" si="204"/>
        <v>-138.78113075200002</v>
      </c>
      <c r="M274" s="4"/>
      <c r="N274" s="250"/>
      <c r="O274" s="7"/>
      <c r="P274" s="7"/>
      <c r="Q274" s="7"/>
      <c r="R274" s="7"/>
      <c r="S274" s="7"/>
      <c r="T274" s="7"/>
      <c r="U274" s="7"/>
      <c r="V274" s="7"/>
    </row>
    <row r="275" spans="1:37" outlineLevel="2" x14ac:dyDescent="0.3">
      <c r="A275" s="449"/>
      <c r="B275" s="182" t="s">
        <v>134</v>
      </c>
      <c r="C275" s="239">
        <f t="shared" ref="C275:L275" si="205">C225-C235-C245-C255-C265</f>
        <v>-9670.9179055529203</v>
      </c>
      <c r="D275" s="239">
        <f t="shared" si="205"/>
        <v>-3428.7286284055208</v>
      </c>
      <c r="E275" s="239">
        <f t="shared" si="205"/>
        <v>-1591.7558684055202</v>
      </c>
      <c r="F275" s="239">
        <f t="shared" si="205"/>
        <v>-122.17766040552124</v>
      </c>
      <c r="G275" s="239">
        <f t="shared" si="205"/>
        <v>1053.484905994479</v>
      </c>
      <c r="H275" s="239">
        <f t="shared" si="205"/>
        <v>1994.0149591144782</v>
      </c>
      <c r="I275" s="239">
        <f t="shared" si="205"/>
        <v>2746.4390016104799</v>
      </c>
      <c r="J275" s="239">
        <f t="shared" si="205"/>
        <v>3348.3782356072788</v>
      </c>
      <c r="K275" s="239">
        <f t="shared" si="205"/>
        <v>3829.9296228047187</v>
      </c>
      <c r="L275" s="239">
        <f t="shared" si="205"/>
        <v>4215.1707325626703</v>
      </c>
      <c r="M275" s="4"/>
      <c r="N275" s="250"/>
      <c r="O275" s="7"/>
      <c r="P275" s="7"/>
      <c r="Q275" s="7"/>
      <c r="R275" s="7"/>
      <c r="S275" s="7"/>
      <c r="T275" s="7"/>
      <c r="U275" s="7"/>
      <c r="V275" s="7"/>
    </row>
    <row r="276" spans="1:37" s="231" customFormat="1" outlineLevel="2" x14ac:dyDescent="0.3">
      <c r="A276" s="455" t="s">
        <v>246</v>
      </c>
      <c r="B276" s="231" t="s">
        <v>72</v>
      </c>
      <c r="C276" s="21">
        <f t="shared" ref="C276:C285" si="206">C266</f>
        <v>-10466.41790555292</v>
      </c>
      <c r="D276" s="21">
        <f t="shared" ref="D276:L276" si="207">C276+D266</f>
        <v>-11293.617905552921</v>
      </c>
      <c r="E276" s="21">
        <f t="shared" si="207"/>
        <v>-11955.377905552921</v>
      </c>
      <c r="F276" s="21">
        <f t="shared" si="207"/>
        <v>-12484.785905552921</v>
      </c>
      <c r="G276" s="21">
        <f t="shared" si="207"/>
        <v>-12908.312305552921</v>
      </c>
      <c r="H276" s="21">
        <f t="shared" si="207"/>
        <v>-13247.133425552922</v>
      </c>
      <c r="I276" s="21">
        <f t="shared" si="207"/>
        <v>-13518.190321552922</v>
      </c>
      <c r="J276" s="21">
        <f t="shared" si="207"/>
        <v>-13735.035838352922</v>
      </c>
      <c r="K276" s="21">
        <f t="shared" si="207"/>
        <v>-13908.512251792921</v>
      </c>
      <c r="L276" s="21">
        <f t="shared" si="207"/>
        <v>-14047.293382544922</v>
      </c>
      <c r="M276" s="4"/>
      <c r="N276" s="251"/>
      <c r="O276" s="227"/>
      <c r="P276" s="144"/>
      <c r="Q276" s="144"/>
      <c r="R276" s="144"/>
      <c r="S276" s="144"/>
      <c r="T276" s="144"/>
      <c r="U276" s="144"/>
      <c r="V276" s="144"/>
      <c r="W276" s="144"/>
      <c r="X276" s="144"/>
      <c r="Y276" s="144"/>
      <c r="Z276" s="233"/>
      <c r="AA276" s="227"/>
      <c r="AB276" s="144"/>
      <c r="AC276" s="144"/>
      <c r="AD276" s="144"/>
      <c r="AE276" s="144"/>
      <c r="AF276" s="144"/>
      <c r="AG276" s="144"/>
      <c r="AH276" s="144"/>
      <c r="AI276" s="144"/>
      <c r="AJ276" s="144"/>
      <c r="AK276" s="144"/>
    </row>
    <row r="277" spans="1:37" s="231" customFormat="1" outlineLevel="2" x14ac:dyDescent="0.3">
      <c r="A277" s="448"/>
      <c r="B277" s="231" t="s">
        <v>73</v>
      </c>
      <c r="C277" s="21">
        <f t="shared" si="206"/>
        <v>-9670.9179055529203</v>
      </c>
      <c r="D277" s="21">
        <f t="shared" ref="D277:L277" si="208">C277+D267</f>
        <v>-13895.146533958441</v>
      </c>
      <c r="E277" s="21">
        <f t="shared" si="208"/>
        <v>-14556.906533958441</v>
      </c>
      <c r="F277" s="21">
        <f t="shared" si="208"/>
        <v>-15086.314533958441</v>
      </c>
      <c r="G277" s="21">
        <f t="shared" si="208"/>
        <v>-15509.840933958441</v>
      </c>
      <c r="H277" s="21">
        <f t="shared" si="208"/>
        <v>-15848.662053958442</v>
      </c>
      <c r="I277" s="21">
        <f t="shared" si="208"/>
        <v>-16119.718949958442</v>
      </c>
      <c r="J277" s="21">
        <f t="shared" si="208"/>
        <v>-16336.564466758442</v>
      </c>
      <c r="K277" s="21">
        <f t="shared" si="208"/>
        <v>-16510.040880198441</v>
      </c>
      <c r="L277" s="21">
        <f t="shared" si="208"/>
        <v>-16648.82201095044</v>
      </c>
      <c r="M277" s="4"/>
      <c r="N277" s="251"/>
      <c r="O277" s="227"/>
      <c r="P277" s="144"/>
      <c r="Q277" s="144"/>
      <c r="R277" s="144"/>
      <c r="S277" s="144"/>
      <c r="T277" s="144"/>
      <c r="U277" s="144"/>
      <c r="V277" s="144"/>
      <c r="W277" s="144"/>
      <c r="X277" s="144"/>
      <c r="Y277" s="144"/>
      <c r="Z277" s="233"/>
      <c r="AA277" s="227"/>
      <c r="AB277" s="144"/>
      <c r="AC277" s="144"/>
      <c r="AD277" s="144"/>
      <c r="AE277" s="144"/>
      <c r="AF277" s="144"/>
      <c r="AG277" s="144"/>
      <c r="AH277" s="144"/>
      <c r="AI277" s="144"/>
      <c r="AJ277" s="144"/>
      <c r="AK277" s="144"/>
    </row>
    <row r="278" spans="1:37" s="231" customFormat="1" outlineLevel="2" x14ac:dyDescent="0.3">
      <c r="A278" s="448"/>
      <c r="B278" s="231" t="s">
        <v>74</v>
      </c>
      <c r="C278" s="21">
        <f t="shared" si="206"/>
        <v>-9670.9179055529203</v>
      </c>
      <c r="D278" s="21">
        <f t="shared" ref="D278:L278" si="209">C278+D268</f>
        <v>-13099.646533958441</v>
      </c>
      <c r="E278" s="21">
        <f t="shared" si="209"/>
        <v>-15486.902402363961</v>
      </c>
      <c r="F278" s="21">
        <f t="shared" si="209"/>
        <v>-16016.310402363961</v>
      </c>
      <c r="G278" s="21">
        <f t="shared" si="209"/>
        <v>-16439.83680236396</v>
      </c>
      <c r="H278" s="21">
        <f t="shared" si="209"/>
        <v>-16778.65792236396</v>
      </c>
      <c r="I278" s="21">
        <f t="shared" si="209"/>
        <v>-17049.714818363958</v>
      </c>
      <c r="J278" s="21">
        <f t="shared" si="209"/>
        <v>-17266.560335163958</v>
      </c>
      <c r="K278" s="21">
        <f t="shared" si="209"/>
        <v>-17440.036748603958</v>
      </c>
      <c r="L278" s="21">
        <f t="shared" si="209"/>
        <v>-17578.817879355956</v>
      </c>
      <c r="M278" s="4"/>
      <c r="N278" s="251"/>
      <c r="O278" s="227"/>
      <c r="P278" s="144"/>
      <c r="Q278" s="144"/>
      <c r="R278" s="144"/>
      <c r="S278" s="144"/>
      <c r="T278" s="144"/>
      <c r="U278" s="144"/>
      <c r="V278" s="144"/>
      <c r="W278" s="144"/>
      <c r="X278" s="144"/>
      <c r="Y278" s="144"/>
      <c r="Z278" s="233"/>
      <c r="AA278" s="227"/>
      <c r="AB278" s="144"/>
      <c r="AC278" s="144"/>
      <c r="AD278" s="144"/>
      <c r="AE278" s="144"/>
      <c r="AF278" s="144"/>
      <c r="AG278" s="144"/>
      <c r="AH278" s="144"/>
      <c r="AI278" s="144"/>
      <c r="AJ278" s="144"/>
      <c r="AK278" s="144"/>
    </row>
    <row r="279" spans="1:37" s="231" customFormat="1" outlineLevel="2" x14ac:dyDescent="0.3">
      <c r="A279" s="448"/>
      <c r="B279" s="231" t="s">
        <v>75</v>
      </c>
      <c r="C279" s="21">
        <f t="shared" si="206"/>
        <v>-9670.9179055529203</v>
      </c>
      <c r="D279" s="21">
        <f t="shared" ref="D279:L279" si="210">C279+D269</f>
        <v>-13099.646533958441</v>
      </c>
      <c r="E279" s="21">
        <f t="shared" si="210"/>
        <v>-14691.402402363961</v>
      </c>
      <c r="F279" s="21">
        <f t="shared" si="210"/>
        <v>-15609.080062769483</v>
      </c>
      <c r="G279" s="21">
        <f t="shared" si="210"/>
        <v>-16032.606462769483</v>
      </c>
      <c r="H279" s="21">
        <f t="shared" si="210"/>
        <v>-16371.427582769484</v>
      </c>
      <c r="I279" s="21">
        <f t="shared" si="210"/>
        <v>-16642.484478769482</v>
      </c>
      <c r="J279" s="21">
        <f t="shared" si="210"/>
        <v>-16859.329995569482</v>
      </c>
      <c r="K279" s="21">
        <f t="shared" si="210"/>
        <v>-17032.806409009481</v>
      </c>
      <c r="L279" s="21">
        <f t="shared" si="210"/>
        <v>-17171.58753976148</v>
      </c>
      <c r="M279" s="4"/>
      <c r="N279" s="251"/>
      <c r="O279" s="227"/>
      <c r="P279" s="144"/>
      <c r="Q279" s="144"/>
      <c r="R279" s="144"/>
      <c r="S279" s="144"/>
      <c r="T279" s="144"/>
      <c r="U279" s="144"/>
      <c r="V279" s="144"/>
      <c r="W279" s="144"/>
      <c r="X279" s="144"/>
      <c r="Y279" s="144"/>
      <c r="Z279" s="233"/>
      <c r="AA279" s="227"/>
      <c r="AB279" s="144"/>
      <c r="AC279" s="144"/>
      <c r="AD279" s="144"/>
      <c r="AE279" s="144"/>
      <c r="AF279" s="144"/>
      <c r="AG279" s="144"/>
      <c r="AH279" s="144"/>
      <c r="AI279" s="144"/>
      <c r="AJ279" s="144"/>
      <c r="AK279" s="144"/>
    </row>
    <row r="280" spans="1:37" s="231" customFormat="1" outlineLevel="2" x14ac:dyDescent="0.3">
      <c r="A280" s="448"/>
      <c r="B280" s="231" t="s">
        <v>76</v>
      </c>
      <c r="C280" s="21">
        <f t="shared" si="206"/>
        <v>-9670.9179055529203</v>
      </c>
      <c r="D280" s="21">
        <f t="shared" ref="D280:L280" si="211">C280+D270</f>
        <v>-13099.646533958441</v>
      </c>
      <c r="E280" s="21">
        <f t="shared" si="211"/>
        <v>-14691.402402363961</v>
      </c>
      <c r="F280" s="21">
        <f t="shared" si="211"/>
        <v>-14813.580062769483</v>
      </c>
      <c r="G280" s="21">
        <f t="shared" si="211"/>
        <v>-14555.595156775003</v>
      </c>
      <c r="H280" s="21">
        <f t="shared" si="211"/>
        <v>-14894.416276775004</v>
      </c>
      <c r="I280" s="21">
        <f t="shared" si="211"/>
        <v>-15165.473172775004</v>
      </c>
      <c r="J280" s="21">
        <f t="shared" si="211"/>
        <v>-15382.318689575004</v>
      </c>
      <c r="K280" s="21">
        <f t="shared" si="211"/>
        <v>-15555.795103015003</v>
      </c>
      <c r="L280" s="21">
        <f t="shared" si="211"/>
        <v>-15694.576233767004</v>
      </c>
      <c r="M280" s="4"/>
      <c r="N280" s="251"/>
      <c r="O280" s="227"/>
      <c r="P280" s="144"/>
      <c r="Q280" s="144"/>
      <c r="R280" s="144"/>
      <c r="S280" s="144"/>
      <c r="T280" s="144"/>
      <c r="U280" s="144"/>
      <c r="V280" s="144"/>
      <c r="W280" s="144"/>
      <c r="X280" s="144"/>
      <c r="Y280" s="144"/>
      <c r="Z280" s="233"/>
      <c r="AA280" s="227"/>
      <c r="AB280" s="144"/>
      <c r="AC280" s="144"/>
      <c r="AD280" s="144"/>
      <c r="AE280" s="144"/>
      <c r="AF280" s="144"/>
      <c r="AG280" s="144"/>
      <c r="AH280" s="144"/>
      <c r="AI280" s="144"/>
      <c r="AJ280" s="144"/>
      <c r="AK280" s="144"/>
    </row>
    <row r="281" spans="1:37" s="231" customFormat="1" outlineLevel="2" x14ac:dyDescent="0.3">
      <c r="A281" s="448"/>
      <c r="B281" s="231" t="s">
        <v>77</v>
      </c>
      <c r="C281" s="21">
        <f t="shared" si="206"/>
        <v>-9670.9179055529203</v>
      </c>
      <c r="D281" s="21">
        <f t="shared" ref="D281:L281" si="212">C281+D271</f>
        <v>-13099.646533958441</v>
      </c>
      <c r="E281" s="21">
        <f t="shared" si="212"/>
        <v>-14691.402402363961</v>
      </c>
      <c r="F281" s="21">
        <f t="shared" si="212"/>
        <v>-14813.580062769483</v>
      </c>
      <c r="G281" s="21">
        <f t="shared" si="212"/>
        <v>-13760.095156775003</v>
      </c>
      <c r="H281" s="21">
        <f t="shared" si="212"/>
        <v>-12561.580197660525</v>
      </c>
      <c r="I281" s="21">
        <f t="shared" si="212"/>
        <v>-12832.637093660525</v>
      </c>
      <c r="J281" s="21">
        <f t="shared" si="212"/>
        <v>-13049.482610460525</v>
      </c>
      <c r="K281" s="21">
        <f t="shared" si="212"/>
        <v>-13222.959023900525</v>
      </c>
      <c r="L281" s="21">
        <f t="shared" si="212"/>
        <v>-13361.740154652525</v>
      </c>
      <c r="M281" s="4"/>
      <c r="N281" s="251"/>
      <c r="O281" s="227"/>
      <c r="P281" s="144"/>
      <c r="Q281" s="144"/>
      <c r="R281" s="144"/>
      <c r="S281" s="144"/>
      <c r="T281" s="144"/>
      <c r="U281" s="144"/>
      <c r="V281" s="144"/>
      <c r="W281" s="144"/>
      <c r="X281" s="144"/>
      <c r="Y281" s="144"/>
      <c r="Z281" s="233"/>
      <c r="AA281" s="227"/>
      <c r="AB281" s="144"/>
      <c r="AC281" s="144"/>
      <c r="AD281" s="144"/>
      <c r="AE281" s="144"/>
      <c r="AF281" s="144"/>
      <c r="AG281" s="144"/>
      <c r="AH281" s="144"/>
      <c r="AI281" s="144"/>
      <c r="AJ281" s="144"/>
      <c r="AK281" s="144"/>
    </row>
    <row r="282" spans="1:37" s="231" customFormat="1" outlineLevel="2" x14ac:dyDescent="0.3">
      <c r="A282" s="448"/>
      <c r="B282" s="231" t="s">
        <v>78</v>
      </c>
      <c r="C282" s="21">
        <f t="shared" si="206"/>
        <v>-9670.9179055529203</v>
      </c>
      <c r="D282" s="21">
        <f t="shared" ref="D282:L282" si="213">C282+D272</f>
        <v>-13099.646533958441</v>
      </c>
      <c r="E282" s="21">
        <f t="shared" si="213"/>
        <v>-14691.402402363961</v>
      </c>
      <c r="F282" s="21">
        <f t="shared" si="213"/>
        <v>-14813.580062769483</v>
      </c>
      <c r="G282" s="21">
        <f t="shared" si="213"/>
        <v>-13760.095156775003</v>
      </c>
      <c r="H282" s="21">
        <f t="shared" si="213"/>
        <v>-11766.080197660525</v>
      </c>
      <c r="I282" s="21">
        <f t="shared" si="213"/>
        <v>-9815.1411960500445</v>
      </c>
      <c r="J282" s="21">
        <f t="shared" si="213"/>
        <v>-10031.986712850045</v>
      </c>
      <c r="K282" s="21">
        <f t="shared" si="213"/>
        <v>-10205.463126290044</v>
      </c>
      <c r="L282" s="21">
        <f t="shared" si="213"/>
        <v>-10344.244257042044</v>
      </c>
      <c r="M282" s="4"/>
      <c r="N282" s="251"/>
      <c r="O282" s="227"/>
      <c r="P282" s="144"/>
      <c r="Q282" s="144"/>
      <c r="R282" s="144"/>
      <c r="S282" s="144"/>
      <c r="T282" s="144"/>
      <c r="U282" s="144"/>
      <c r="V282" s="144"/>
      <c r="W282" s="144"/>
      <c r="X282" s="144"/>
      <c r="Y282" s="144"/>
      <c r="Z282" s="233"/>
      <c r="AA282" s="227"/>
      <c r="AB282" s="144"/>
      <c r="AC282" s="144"/>
      <c r="AD282" s="144"/>
      <c r="AE282" s="144"/>
      <c r="AF282" s="144"/>
      <c r="AG282" s="144"/>
      <c r="AH282" s="144"/>
      <c r="AI282" s="144"/>
      <c r="AJ282" s="144"/>
      <c r="AK282" s="144"/>
    </row>
    <row r="283" spans="1:37" s="231" customFormat="1" outlineLevel="2" x14ac:dyDescent="0.3">
      <c r="A283" s="448"/>
      <c r="B283" s="231" t="s">
        <v>79</v>
      </c>
      <c r="C283" s="21">
        <f t="shared" si="206"/>
        <v>-9670.9179055529203</v>
      </c>
      <c r="D283" s="21">
        <f t="shared" ref="D283:L283" si="214">C283+D273</f>
        <v>-13099.646533958441</v>
      </c>
      <c r="E283" s="21">
        <f t="shared" si="214"/>
        <v>-14691.402402363961</v>
      </c>
      <c r="F283" s="21">
        <f t="shared" si="214"/>
        <v>-14813.580062769483</v>
      </c>
      <c r="G283" s="21">
        <f t="shared" si="214"/>
        <v>-13760.095156775003</v>
      </c>
      <c r="H283" s="21">
        <f t="shared" si="214"/>
        <v>-11766.080197660525</v>
      </c>
      <c r="I283" s="21">
        <f t="shared" si="214"/>
        <v>-9019.6411960500445</v>
      </c>
      <c r="J283" s="21">
        <f t="shared" si="214"/>
        <v>-6466.7629604427657</v>
      </c>
      <c r="K283" s="21">
        <f t="shared" si="214"/>
        <v>-6640.2393738827659</v>
      </c>
      <c r="L283" s="21">
        <f t="shared" si="214"/>
        <v>-6779.0205046347655</v>
      </c>
      <c r="M283" s="4"/>
      <c r="N283" s="251"/>
      <c r="O283" s="227"/>
      <c r="P283" s="144"/>
      <c r="Q283" s="144"/>
      <c r="R283" s="144"/>
      <c r="S283" s="144"/>
      <c r="T283" s="144"/>
      <c r="U283" s="144"/>
      <c r="V283" s="144"/>
      <c r="W283" s="144"/>
      <c r="X283" s="144"/>
      <c r="Y283" s="144"/>
      <c r="Z283" s="233"/>
      <c r="AA283" s="227"/>
      <c r="AB283" s="144"/>
      <c r="AC283" s="144"/>
      <c r="AD283" s="144"/>
      <c r="AE283" s="144"/>
      <c r="AF283" s="144"/>
      <c r="AG283" s="144"/>
      <c r="AH283" s="144"/>
      <c r="AI283" s="144"/>
      <c r="AJ283" s="144"/>
      <c r="AK283" s="144"/>
    </row>
    <row r="284" spans="1:37" s="231" customFormat="1" outlineLevel="2" x14ac:dyDescent="0.3">
      <c r="A284" s="448"/>
      <c r="B284" s="231" t="s">
        <v>80</v>
      </c>
      <c r="C284" s="21">
        <f t="shared" si="206"/>
        <v>-9670.9179055529203</v>
      </c>
      <c r="D284" s="21">
        <f t="shared" ref="D284:L284" si="215">C284+D274</f>
        <v>-13099.646533958441</v>
      </c>
      <c r="E284" s="21">
        <f t="shared" si="215"/>
        <v>-14691.402402363961</v>
      </c>
      <c r="F284" s="21">
        <f t="shared" si="215"/>
        <v>-14813.580062769483</v>
      </c>
      <c r="G284" s="21">
        <f t="shared" si="215"/>
        <v>-13760.095156775003</v>
      </c>
      <c r="H284" s="21">
        <f t="shared" si="215"/>
        <v>-11766.080197660525</v>
      </c>
      <c r="I284" s="21">
        <f t="shared" si="215"/>
        <v>-9019.6411960500445</v>
      </c>
      <c r="J284" s="21">
        <f t="shared" si="215"/>
        <v>-5671.2629604427657</v>
      </c>
      <c r="K284" s="21">
        <f t="shared" si="215"/>
        <v>-2636.8333376380469</v>
      </c>
      <c r="L284" s="21">
        <f t="shared" si="215"/>
        <v>-2775.614468390047</v>
      </c>
      <c r="M284" s="4"/>
      <c r="N284" s="251"/>
      <c r="O284" s="227"/>
      <c r="P284" s="144"/>
      <c r="Q284" s="144"/>
      <c r="R284" s="144"/>
      <c r="S284" s="144"/>
      <c r="T284" s="144"/>
      <c r="U284" s="144"/>
      <c r="V284" s="144"/>
      <c r="W284" s="144"/>
      <c r="X284" s="144"/>
      <c r="Y284" s="144"/>
      <c r="Z284" s="233"/>
      <c r="AA284" s="227"/>
      <c r="AB284" s="144"/>
      <c r="AC284" s="144"/>
      <c r="AD284" s="144"/>
      <c r="AE284" s="144"/>
      <c r="AF284" s="144"/>
      <c r="AG284" s="144"/>
      <c r="AH284" s="144"/>
      <c r="AI284" s="144"/>
      <c r="AJ284" s="144"/>
      <c r="AK284" s="144"/>
    </row>
    <row r="285" spans="1:37" s="231" customFormat="1" outlineLevel="2" x14ac:dyDescent="0.3">
      <c r="A285" s="449"/>
      <c r="B285" s="182" t="s">
        <v>134</v>
      </c>
      <c r="C285" s="239">
        <f t="shared" si="206"/>
        <v>-9670.9179055529203</v>
      </c>
      <c r="D285" s="239">
        <f t="shared" ref="D285:L285" si="216">C285+D275</f>
        <v>-13099.646533958441</v>
      </c>
      <c r="E285" s="239">
        <f t="shared" si="216"/>
        <v>-14691.402402363961</v>
      </c>
      <c r="F285" s="239">
        <f t="shared" si="216"/>
        <v>-14813.580062769483</v>
      </c>
      <c r="G285" s="239">
        <f t="shared" si="216"/>
        <v>-13760.095156775003</v>
      </c>
      <c r="H285" s="239">
        <f t="shared" si="216"/>
        <v>-11766.080197660525</v>
      </c>
      <c r="I285" s="239">
        <f t="shared" si="216"/>
        <v>-9019.6411960500445</v>
      </c>
      <c r="J285" s="239">
        <f t="shared" si="216"/>
        <v>-5671.2629604427657</v>
      </c>
      <c r="K285" s="239">
        <f t="shared" si="216"/>
        <v>-1841.3333376380469</v>
      </c>
      <c r="L285" s="239">
        <f t="shared" si="216"/>
        <v>2373.8373949246234</v>
      </c>
      <c r="M285" s="4"/>
      <c r="N285" s="251"/>
      <c r="O285" s="227"/>
      <c r="P285" s="144"/>
      <c r="Q285" s="144"/>
      <c r="R285" s="144"/>
      <c r="S285" s="144"/>
      <c r="T285" s="144"/>
      <c r="U285" s="144"/>
      <c r="V285" s="144"/>
      <c r="W285" s="144"/>
      <c r="X285" s="144"/>
      <c r="Y285" s="144"/>
      <c r="Z285" s="233"/>
      <c r="AA285" s="227"/>
      <c r="AB285" s="144"/>
      <c r="AC285" s="144"/>
      <c r="AD285" s="144"/>
      <c r="AE285" s="144"/>
      <c r="AF285" s="144"/>
      <c r="AG285" s="144"/>
      <c r="AH285" s="144"/>
      <c r="AI285" s="144"/>
      <c r="AJ285" s="144"/>
      <c r="AK285" s="144"/>
    </row>
    <row r="286" spans="1:37" s="231" customFormat="1" outlineLevel="2" x14ac:dyDescent="0.3">
      <c r="A286" s="455" t="s">
        <v>247</v>
      </c>
      <c r="B286" s="231" t="s">
        <v>72</v>
      </c>
      <c r="C286" s="21">
        <f t="shared" ref="C286:L286" si="217">C276/$B$15</f>
        <v>-116.48767841461236</v>
      </c>
      <c r="D286" s="21">
        <f t="shared" si="217"/>
        <v>-125.69413361772868</v>
      </c>
      <c r="E286" s="21">
        <f t="shared" si="217"/>
        <v>-133.05929778022173</v>
      </c>
      <c r="F286" s="21">
        <f t="shared" si="217"/>
        <v>-138.95142911021617</v>
      </c>
      <c r="G286" s="21">
        <f t="shared" si="217"/>
        <v>-143.66513417421172</v>
      </c>
      <c r="H286" s="21">
        <f t="shared" si="217"/>
        <v>-147.43609822540816</v>
      </c>
      <c r="I286" s="21">
        <f t="shared" si="217"/>
        <v>-150.45286946636531</v>
      </c>
      <c r="J286" s="21">
        <f t="shared" si="217"/>
        <v>-152.86628645913103</v>
      </c>
      <c r="K286" s="21">
        <f t="shared" si="217"/>
        <v>-154.7970200533436</v>
      </c>
      <c r="L286" s="21">
        <f t="shared" si="217"/>
        <v>-156.34160692871367</v>
      </c>
      <c r="M286" s="4"/>
      <c r="N286" s="251"/>
      <c r="O286" s="227"/>
      <c r="P286" s="144"/>
      <c r="Q286" s="144"/>
      <c r="R286" s="144"/>
      <c r="S286" s="144"/>
      <c r="T286" s="144"/>
      <c r="U286" s="144"/>
      <c r="V286" s="144"/>
      <c r="W286" s="144"/>
      <c r="X286" s="144"/>
      <c r="Y286" s="144"/>
      <c r="Z286" s="233"/>
      <c r="AA286" s="227"/>
      <c r="AB286" s="144"/>
      <c r="AC286" s="144"/>
      <c r="AD286" s="144"/>
      <c r="AE286" s="144"/>
      <c r="AF286" s="144"/>
      <c r="AG286" s="144"/>
      <c r="AH286" s="144"/>
      <c r="AI286" s="144"/>
      <c r="AJ286" s="144"/>
      <c r="AK286" s="144"/>
    </row>
    <row r="287" spans="1:37" s="231" customFormat="1" outlineLevel="2" x14ac:dyDescent="0.3">
      <c r="A287" s="448"/>
      <c r="B287" s="231" t="s">
        <v>73</v>
      </c>
      <c r="C287" s="21">
        <f t="shared" ref="C287:L287" si="218">C277/$B$15</f>
        <v>-107.63403345078376</v>
      </c>
      <c r="D287" s="21">
        <f t="shared" si="218"/>
        <v>-154.64826415090084</v>
      </c>
      <c r="E287" s="21">
        <f t="shared" si="218"/>
        <v>-162.01342831339392</v>
      </c>
      <c r="F287" s="21">
        <f t="shared" si="218"/>
        <v>-167.90555964338833</v>
      </c>
      <c r="G287" s="21">
        <f t="shared" si="218"/>
        <v>-172.61926470738388</v>
      </c>
      <c r="H287" s="21">
        <f t="shared" si="218"/>
        <v>-176.39022875858032</v>
      </c>
      <c r="I287" s="21">
        <f t="shared" si="218"/>
        <v>-179.40699999953748</v>
      </c>
      <c r="J287" s="21">
        <f t="shared" si="218"/>
        <v>-181.82041699230319</v>
      </c>
      <c r="K287" s="21">
        <f t="shared" si="218"/>
        <v>-183.75115058651576</v>
      </c>
      <c r="L287" s="21">
        <f t="shared" si="218"/>
        <v>-185.29573746188584</v>
      </c>
      <c r="M287" s="4"/>
      <c r="N287" s="251"/>
      <c r="O287" s="227"/>
      <c r="P287" s="144"/>
      <c r="Q287" s="144"/>
      <c r="R287" s="144"/>
      <c r="S287" s="144"/>
      <c r="T287" s="144"/>
      <c r="U287" s="144"/>
      <c r="V287" s="144"/>
      <c r="W287" s="144"/>
      <c r="X287" s="144"/>
      <c r="Y287" s="144"/>
      <c r="Z287" s="233"/>
      <c r="AA287" s="227"/>
      <c r="AB287" s="144"/>
      <c r="AC287" s="144"/>
      <c r="AD287" s="144"/>
      <c r="AE287" s="144"/>
      <c r="AF287" s="144"/>
      <c r="AG287" s="144"/>
      <c r="AH287" s="144"/>
      <c r="AI287" s="144"/>
      <c r="AJ287" s="144"/>
      <c r="AK287" s="144"/>
    </row>
    <row r="288" spans="1:37" s="231" customFormat="1" outlineLevel="2" x14ac:dyDescent="0.3">
      <c r="A288" s="448"/>
      <c r="B288" s="231" t="s">
        <v>74</v>
      </c>
      <c r="C288" s="21">
        <f t="shared" ref="C288:L288" si="219">C278/$B$15</f>
        <v>-107.63403345078376</v>
      </c>
      <c r="D288" s="21">
        <f t="shared" si="219"/>
        <v>-145.79461918707224</v>
      </c>
      <c r="E288" s="21">
        <f t="shared" si="219"/>
        <v>-172.36396663732847</v>
      </c>
      <c r="F288" s="21">
        <f t="shared" si="219"/>
        <v>-178.25609796732289</v>
      </c>
      <c r="G288" s="21">
        <f t="shared" si="219"/>
        <v>-182.96980303131843</v>
      </c>
      <c r="H288" s="21">
        <f t="shared" si="219"/>
        <v>-186.74076708251488</v>
      </c>
      <c r="I288" s="21">
        <f t="shared" si="219"/>
        <v>-189.75753832347201</v>
      </c>
      <c r="J288" s="21">
        <f t="shared" si="219"/>
        <v>-192.17095531623772</v>
      </c>
      <c r="K288" s="21">
        <f t="shared" si="219"/>
        <v>-194.10168891045029</v>
      </c>
      <c r="L288" s="21">
        <f t="shared" si="219"/>
        <v>-195.64627578582034</v>
      </c>
      <c r="M288" s="4"/>
      <c r="N288" s="251"/>
      <c r="O288" s="227"/>
      <c r="P288" s="144"/>
      <c r="Q288" s="144"/>
      <c r="R288" s="144"/>
      <c r="S288" s="144"/>
      <c r="T288" s="144"/>
      <c r="U288" s="144"/>
      <c r="V288" s="144"/>
      <c r="W288" s="144"/>
      <c r="X288" s="144"/>
      <c r="Y288" s="144"/>
      <c r="Z288" s="233"/>
      <c r="AA288" s="227"/>
      <c r="AB288" s="144"/>
      <c r="AC288" s="144"/>
      <c r="AD288" s="144"/>
      <c r="AE288" s="144"/>
      <c r="AF288" s="144"/>
      <c r="AG288" s="144"/>
      <c r="AH288" s="144"/>
      <c r="AI288" s="144"/>
      <c r="AJ288" s="144"/>
      <c r="AK288" s="144"/>
    </row>
    <row r="289" spans="1:37" s="231" customFormat="1" outlineLevel="2" x14ac:dyDescent="0.3">
      <c r="A289" s="448"/>
      <c r="B289" s="231" t="s">
        <v>75</v>
      </c>
      <c r="C289" s="21">
        <f t="shared" ref="C289:L289" si="220">C279/$B$15</f>
        <v>-107.63403345078376</v>
      </c>
      <c r="D289" s="21">
        <f t="shared" si="220"/>
        <v>-145.79461918707224</v>
      </c>
      <c r="E289" s="21">
        <f t="shared" si="220"/>
        <v>-163.51032167349985</v>
      </c>
      <c r="F289" s="21">
        <f t="shared" si="220"/>
        <v>-173.72376252386738</v>
      </c>
      <c r="G289" s="21">
        <f t="shared" si="220"/>
        <v>-178.43746758786293</v>
      </c>
      <c r="H289" s="21">
        <f t="shared" si="220"/>
        <v>-182.20843163905937</v>
      </c>
      <c r="I289" s="21">
        <f t="shared" si="220"/>
        <v>-185.2252028800165</v>
      </c>
      <c r="J289" s="21">
        <f t="shared" si="220"/>
        <v>-187.63861987278221</v>
      </c>
      <c r="K289" s="21">
        <f t="shared" si="220"/>
        <v>-189.56935346699478</v>
      </c>
      <c r="L289" s="21">
        <f t="shared" si="220"/>
        <v>-191.11394034236486</v>
      </c>
      <c r="M289" s="4"/>
      <c r="N289" s="251"/>
      <c r="O289" s="227"/>
      <c r="P289" s="144"/>
      <c r="Q289" s="144"/>
      <c r="R289" s="144"/>
      <c r="S289" s="144"/>
      <c r="T289" s="144"/>
      <c r="U289" s="144"/>
      <c r="V289" s="144"/>
      <c r="W289" s="144"/>
      <c r="X289" s="144"/>
      <c r="Y289" s="144"/>
      <c r="Z289" s="233"/>
      <c r="AA289" s="227"/>
      <c r="AB289" s="144"/>
      <c r="AC289" s="144"/>
      <c r="AD289" s="144"/>
      <c r="AE289" s="144"/>
      <c r="AF289" s="144"/>
      <c r="AG289" s="144"/>
      <c r="AH289" s="144"/>
      <c r="AI289" s="144"/>
      <c r="AJ289" s="144"/>
      <c r="AK289" s="144"/>
    </row>
    <row r="290" spans="1:37" s="231" customFormat="1" outlineLevel="2" x14ac:dyDescent="0.3">
      <c r="A290" s="448"/>
      <c r="B290" s="231" t="s">
        <v>76</v>
      </c>
      <c r="C290" s="21">
        <f t="shared" ref="C290:L290" si="221">C280/$B$15</f>
        <v>-107.63403345078376</v>
      </c>
      <c r="D290" s="21">
        <f t="shared" si="221"/>
        <v>-145.79461918707224</v>
      </c>
      <c r="E290" s="21">
        <f t="shared" si="221"/>
        <v>-163.51032167349985</v>
      </c>
      <c r="F290" s="21">
        <f t="shared" si="221"/>
        <v>-164.87011756003878</v>
      </c>
      <c r="G290" s="21">
        <f t="shared" si="221"/>
        <v>-161.99883313049531</v>
      </c>
      <c r="H290" s="21">
        <f t="shared" si="221"/>
        <v>-165.76979718169176</v>
      </c>
      <c r="I290" s="21">
        <f t="shared" si="221"/>
        <v>-168.78656842264891</v>
      </c>
      <c r="J290" s="21">
        <f t="shared" si="221"/>
        <v>-171.19998541541463</v>
      </c>
      <c r="K290" s="21">
        <f t="shared" si="221"/>
        <v>-173.1307190096272</v>
      </c>
      <c r="L290" s="21">
        <f t="shared" si="221"/>
        <v>-174.67530588499727</v>
      </c>
      <c r="M290" s="4"/>
      <c r="N290" s="251"/>
      <c r="O290" s="227"/>
      <c r="P290" s="144"/>
      <c r="Q290" s="144"/>
      <c r="R290" s="144"/>
      <c r="S290" s="144"/>
      <c r="T290" s="144"/>
      <c r="U290" s="144"/>
      <c r="V290" s="144"/>
      <c r="W290" s="144"/>
      <c r="X290" s="144"/>
      <c r="Y290" s="144"/>
      <c r="Z290" s="233"/>
      <c r="AA290" s="227"/>
      <c r="AB290" s="144"/>
      <c r="AC290" s="144"/>
      <c r="AD290" s="144"/>
      <c r="AE290" s="144"/>
      <c r="AF290" s="144"/>
      <c r="AG290" s="144"/>
      <c r="AH290" s="144"/>
      <c r="AI290" s="144"/>
      <c r="AJ290" s="144"/>
      <c r="AK290" s="144"/>
    </row>
    <row r="291" spans="1:37" s="231" customFormat="1" outlineLevel="2" x14ac:dyDescent="0.3">
      <c r="A291" s="448"/>
      <c r="B291" s="231" t="s">
        <v>77</v>
      </c>
      <c r="C291" s="21">
        <f t="shared" ref="C291:L291" si="222">C281/$B$15</f>
        <v>-107.63403345078376</v>
      </c>
      <c r="D291" s="21">
        <f t="shared" si="222"/>
        <v>-145.79461918707224</v>
      </c>
      <c r="E291" s="21">
        <f t="shared" si="222"/>
        <v>-163.51032167349985</v>
      </c>
      <c r="F291" s="21">
        <f t="shared" si="222"/>
        <v>-164.87011756003878</v>
      </c>
      <c r="G291" s="21">
        <f t="shared" si="222"/>
        <v>-153.14518816666671</v>
      </c>
      <c r="H291" s="21">
        <f t="shared" si="222"/>
        <v>-139.80612351319451</v>
      </c>
      <c r="I291" s="21">
        <f t="shared" si="222"/>
        <v>-142.82289475415166</v>
      </c>
      <c r="J291" s="21">
        <f t="shared" si="222"/>
        <v>-145.23631174691738</v>
      </c>
      <c r="K291" s="21">
        <f t="shared" si="222"/>
        <v>-147.16704534112995</v>
      </c>
      <c r="L291" s="21">
        <f t="shared" si="222"/>
        <v>-148.71163221650002</v>
      </c>
      <c r="M291" s="4"/>
      <c r="N291" s="251"/>
      <c r="O291" s="227"/>
      <c r="P291" s="144"/>
      <c r="Q291" s="144"/>
      <c r="R291" s="144"/>
      <c r="S291" s="144"/>
      <c r="T291" s="144"/>
      <c r="U291" s="144"/>
      <c r="V291" s="144"/>
      <c r="W291" s="144"/>
      <c r="X291" s="144"/>
      <c r="Y291" s="144"/>
      <c r="Z291" s="233"/>
      <c r="AA291" s="227"/>
      <c r="AB291" s="144"/>
      <c r="AC291" s="144"/>
      <c r="AD291" s="144"/>
      <c r="AE291" s="144"/>
      <c r="AF291" s="144"/>
      <c r="AG291" s="144"/>
      <c r="AH291" s="144"/>
      <c r="AI291" s="144"/>
      <c r="AJ291" s="144"/>
      <c r="AK291" s="144"/>
    </row>
    <row r="292" spans="1:37" s="231" customFormat="1" outlineLevel="2" x14ac:dyDescent="0.3">
      <c r="A292" s="448"/>
      <c r="B292" s="231" t="s">
        <v>78</v>
      </c>
      <c r="C292" s="21">
        <f t="shared" ref="C292:L292" si="223">C282/$B$15</f>
        <v>-107.63403345078376</v>
      </c>
      <c r="D292" s="21">
        <f t="shared" si="223"/>
        <v>-145.79461918707224</v>
      </c>
      <c r="E292" s="21">
        <f t="shared" si="223"/>
        <v>-163.51032167349985</v>
      </c>
      <c r="F292" s="21">
        <f t="shared" si="223"/>
        <v>-164.87011756003878</v>
      </c>
      <c r="G292" s="21">
        <f t="shared" si="223"/>
        <v>-153.14518816666671</v>
      </c>
      <c r="H292" s="21">
        <f t="shared" si="223"/>
        <v>-130.95247854936591</v>
      </c>
      <c r="I292" s="21">
        <f t="shared" si="223"/>
        <v>-109.23918971675064</v>
      </c>
      <c r="J292" s="21">
        <f t="shared" si="223"/>
        <v>-111.65260670951636</v>
      </c>
      <c r="K292" s="21">
        <f t="shared" si="223"/>
        <v>-113.58334030372893</v>
      </c>
      <c r="L292" s="21">
        <f t="shared" si="223"/>
        <v>-115.127927179099</v>
      </c>
      <c r="M292" s="4"/>
      <c r="N292" s="251"/>
      <c r="O292" s="227"/>
      <c r="P292" s="144"/>
      <c r="Q292" s="144"/>
      <c r="R292" s="144"/>
      <c r="S292" s="144"/>
      <c r="T292" s="144"/>
      <c r="U292" s="144"/>
      <c r="V292" s="144"/>
      <c r="W292" s="144"/>
      <c r="X292" s="144"/>
      <c r="Y292" s="144"/>
      <c r="Z292" s="233"/>
      <c r="AA292" s="227"/>
      <c r="AB292" s="144"/>
      <c r="AC292" s="144"/>
      <c r="AD292" s="144"/>
      <c r="AE292" s="144"/>
      <c r="AF292" s="144"/>
      <c r="AG292" s="144"/>
      <c r="AH292" s="144"/>
      <c r="AI292" s="144"/>
      <c r="AJ292" s="144"/>
      <c r="AK292" s="144"/>
    </row>
    <row r="293" spans="1:37" s="231" customFormat="1" outlineLevel="2" x14ac:dyDescent="0.3">
      <c r="A293" s="448"/>
      <c r="B293" s="231" t="s">
        <v>79</v>
      </c>
      <c r="C293" s="21">
        <f t="shared" ref="C293:L293" si="224">C283/$B$15</f>
        <v>-107.63403345078376</v>
      </c>
      <c r="D293" s="21">
        <f t="shared" si="224"/>
        <v>-145.79461918707224</v>
      </c>
      <c r="E293" s="21">
        <f t="shared" si="224"/>
        <v>-163.51032167349985</v>
      </c>
      <c r="F293" s="21">
        <f t="shared" si="224"/>
        <v>-164.87011756003878</v>
      </c>
      <c r="G293" s="21">
        <f t="shared" si="224"/>
        <v>-153.14518816666671</v>
      </c>
      <c r="H293" s="21">
        <f t="shared" si="224"/>
        <v>-130.95247854936591</v>
      </c>
      <c r="I293" s="21">
        <f t="shared" si="224"/>
        <v>-100.38554475292204</v>
      </c>
      <c r="J293" s="21">
        <f t="shared" si="224"/>
        <v>-71.972876576992391</v>
      </c>
      <c r="K293" s="21">
        <f t="shared" si="224"/>
        <v>-73.903610171204974</v>
      </c>
      <c r="L293" s="21">
        <f t="shared" si="224"/>
        <v>-75.448197046575018</v>
      </c>
      <c r="M293" s="4"/>
      <c r="N293" s="251"/>
      <c r="O293" s="227"/>
      <c r="P293" s="144"/>
      <c r="Q293" s="144"/>
      <c r="R293" s="144"/>
      <c r="S293" s="144"/>
      <c r="T293" s="144"/>
      <c r="U293" s="144"/>
      <c r="V293" s="144"/>
      <c r="W293" s="144"/>
      <c r="X293" s="144"/>
      <c r="Y293" s="144"/>
      <c r="Z293" s="233"/>
      <c r="AA293" s="227"/>
      <c r="AB293" s="144"/>
      <c r="AC293" s="144"/>
      <c r="AD293" s="144"/>
      <c r="AE293" s="144"/>
      <c r="AF293" s="144"/>
      <c r="AG293" s="144"/>
      <c r="AH293" s="144"/>
      <c r="AI293" s="144"/>
      <c r="AJ293" s="144"/>
      <c r="AK293" s="144"/>
    </row>
    <row r="294" spans="1:37" s="231" customFormat="1" outlineLevel="2" x14ac:dyDescent="0.3">
      <c r="A294" s="448"/>
      <c r="B294" s="231" t="s">
        <v>80</v>
      </c>
      <c r="C294" s="21">
        <f t="shared" ref="C294:L294" si="225">C284/$B$15</f>
        <v>-107.63403345078376</v>
      </c>
      <c r="D294" s="21">
        <f t="shared" si="225"/>
        <v>-145.79461918707224</v>
      </c>
      <c r="E294" s="21">
        <f t="shared" si="225"/>
        <v>-163.51032167349985</v>
      </c>
      <c r="F294" s="21">
        <f t="shared" si="225"/>
        <v>-164.87011756003878</v>
      </c>
      <c r="G294" s="21">
        <f t="shared" si="225"/>
        <v>-153.14518816666671</v>
      </c>
      <c r="H294" s="21">
        <f t="shared" si="225"/>
        <v>-130.95247854936591</v>
      </c>
      <c r="I294" s="21">
        <f t="shared" si="225"/>
        <v>-100.38554475292204</v>
      </c>
      <c r="J294" s="21">
        <f t="shared" si="225"/>
        <v>-63.119231613163784</v>
      </c>
      <c r="K294" s="21">
        <f t="shared" si="225"/>
        <v>-29.347059962582605</v>
      </c>
      <c r="L294" s="21">
        <f t="shared" si="225"/>
        <v>-30.891646837952667</v>
      </c>
      <c r="M294" s="4"/>
      <c r="N294" s="251"/>
      <c r="O294" s="227"/>
      <c r="P294" s="144"/>
      <c r="Q294" s="144"/>
      <c r="R294" s="144"/>
      <c r="S294" s="144"/>
      <c r="T294" s="144"/>
      <c r="U294" s="144"/>
      <c r="V294" s="144"/>
      <c r="W294" s="144"/>
      <c r="X294" s="144"/>
      <c r="Y294" s="144"/>
      <c r="Z294" s="233"/>
      <c r="AA294" s="227"/>
      <c r="AB294" s="144"/>
      <c r="AC294" s="144"/>
      <c r="AD294" s="144"/>
      <c r="AE294" s="144"/>
      <c r="AF294" s="144"/>
      <c r="AG294" s="144"/>
      <c r="AH294" s="144"/>
      <c r="AI294" s="144"/>
      <c r="AJ294" s="144"/>
      <c r="AK294" s="144"/>
    </row>
    <row r="295" spans="1:37" s="231" customFormat="1" outlineLevel="2" x14ac:dyDescent="0.3">
      <c r="A295" s="449"/>
      <c r="B295" s="182" t="s">
        <v>134</v>
      </c>
      <c r="C295" s="239">
        <f t="shared" ref="C295:L295" si="226">C285/$B$15</f>
        <v>-107.63403345078376</v>
      </c>
      <c r="D295" s="239">
        <f t="shared" si="226"/>
        <v>-145.79461918707224</v>
      </c>
      <c r="E295" s="239">
        <f t="shared" si="226"/>
        <v>-163.51032167349985</v>
      </c>
      <c r="F295" s="239">
        <f t="shared" si="226"/>
        <v>-164.87011756003878</v>
      </c>
      <c r="G295" s="239">
        <f t="shared" si="226"/>
        <v>-153.14518816666671</v>
      </c>
      <c r="H295" s="239">
        <f t="shared" si="226"/>
        <v>-130.95247854936591</v>
      </c>
      <c r="I295" s="239">
        <f t="shared" si="226"/>
        <v>-100.38554475292204</v>
      </c>
      <c r="J295" s="239">
        <f t="shared" si="226"/>
        <v>-63.119231613163784</v>
      </c>
      <c r="K295" s="239">
        <f t="shared" si="226"/>
        <v>-20.493414998754002</v>
      </c>
      <c r="L295" s="239">
        <f t="shared" si="226"/>
        <v>26.420004395376999</v>
      </c>
      <c r="M295" s="4"/>
      <c r="N295" s="251"/>
      <c r="O295" s="227"/>
      <c r="P295" s="144"/>
      <c r="Q295" s="144"/>
      <c r="R295" s="144"/>
      <c r="S295" s="144"/>
      <c r="T295" s="144"/>
      <c r="U295" s="144"/>
      <c r="V295" s="144"/>
      <c r="W295" s="144"/>
      <c r="X295" s="144"/>
      <c r="Y295" s="144"/>
      <c r="Z295" s="233"/>
      <c r="AA295" s="227"/>
      <c r="AB295" s="144"/>
      <c r="AC295" s="144"/>
      <c r="AD295" s="144"/>
      <c r="AE295" s="144"/>
      <c r="AF295" s="144"/>
      <c r="AG295" s="144"/>
      <c r="AH295" s="144"/>
      <c r="AI295" s="144"/>
      <c r="AJ295" s="144"/>
      <c r="AK295" s="144"/>
    </row>
    <row r="296" spans="1:37" s="231" customFormat="1" outlineLevel="1" x14ac:dyDescent="0.3">
      <c r="A296" s="234"/>
      <c r="B296" s="227"/>
      <c r="C296" s="228"/>
      <c r="D296" s="228"/>
      <c r="E296" s="228"/>
      <c r="F296" s="228"/>
      <c r="G296" s="228"/>
      <c r="H296" s="228"/>
      <c r="I296" s="228"/>
      <c r="J296" s="228"/>
      <c r="K296" s="228"/>
      <c r="L296" s="228"/>
      <c r="N296" s="233"/>
      <c r="O296" s="227"/>
      <c r="P296" s="144"/>
      <c r="Q296" s="144"/>
      <c r="R296" s="144"/>
      <c r="S296" s="144"/>
      <c r="T296" s="144"/>
      <c r="U296" s="144"/>
      <c r="V296" s="144"/>
      <c r="W296" s="144"/>
      <c r="X296" s="144"/>
      <c r="Y296" s="144"/>
      <c r="Z296" s="233"/>
      <c r="AA296" s="227"/>
      <c r="AB296" s="144"/>
      <c r="AC296" s="144"/>
      <c r="AD296" s="144"/>
      <c r="AE296" s="144"/>
      <c r="AF296" s="144"/>
      <c r="AG296" s="144"/>
      <c r="AH296" s="144"/>
      <c r="AI296" s="144"/>
      <c r="AJ296" s="144"/>
      <c r="AK296" s="144"/>
    </row>
    <row r="297" spans="1:37" s="67" customFormat="1" outlineLevel="1" x14ac:dyDescent="0.3">
      <c r="A297" s="467" t="s">
        <v>249</v>
      </c>
      <c r="B297" s="467"/>
      <c r="C297" s="467"/>
      <c r="D297" s="467"/>
      <c r="E297" s="467"/>
      <c r="F297" s="467"/>
      <c r="G297" s="467"/>
      <c r="H297" s="467"/>
      <c r="I297" s="467"/>
      <c r="J297" s="467"/>
      <c r="K297" s="467"/>
      <c r="L297" s="467"/>
      <c r="M297" s="507" t="s">
        <v>254</v>
      </c>
      <c r="N297" s="508"/>
      <c r="O297" s="508"/>
      <c r="P297" s="508"/>
      <c r="Q297" s="508"/>
      <c r="R297" s="508"/>
      <c r="S297" s="508"/>
      <c r="T297" s="508"/>
      <c r="U297" s="508"/>
      <c r="V297" s="508"/>
      <c r="Y297" s="231"/>
      <c r="Z297" s="231"/>
    </row>
    <row r="298" spans="1:37" ht="14.4" hidden="1" customHeight="1" outlineLevel="2" x14ac:dyDescent="0.3">
      <c r="A298" s="231"/>
      <c r="B298" s="231"/>
      <c r="C298" s="451" t="s">
        <v>71</v>
      </c>
      <c r="D298" s="451"/>
      <c r="E298" s="451"/>
      <c r="F298" s="451"/>
      <c r="G298" s="451"/>
      <c r="H298" s="451"/>
      <c r="I298" s="451"/>
      <c r="J298" s="451"/>
      <c r="K298" s="451"/>
      <c r="L298" s="451"/>
      <c r="M298" s="444" t="s">
        <v>71</v>
      </c>
      <c r="N298" s="445"/>
      <c r="O298" s="445"/>
      <c r="P298" s="445"/>
      <c r="Q298" s="445"/>
      <c r="R298" s="445"/>
      <c r="S298" s="445"/>
      <c r="T298" s="445"/>
      <c r="U298" s="445"/>
      <c r="V298" s="445"/>
    </row>
    <row r="299" spans="1:37" ht="14.4" hidden="1" customHeight="1" outlineLevel="2" x14ac:dyDescent="0.3">
      <c r="A299" s="231"/>
      <c r="B299" s="231"/>
      <c r="C299" s="158">
        <v>1</v>
      </c>
      <c r="D299" s="158">
        <v>2</v>
      </c>
      <c r="E299" s="158">
        <v>3</v>
      </c>
      <c r="F299" s="158">
        <v>4</v>
      </c>
      <c r="G299" s="158">
        <v>5</v>
      </c>
      <c r="H299" s="158">
        <v>6</v>
      </c>
      <c r="I299" s="158">
        <v>7</v>
      </c>
      <c r="J299" s="158">
        <v>8</v>
      </c>
      <c r="K299" s="158">
        <v>9</v>
      </c>
      <c r="L299" s="158">
        <v>10</v>
      </c>
      <c r="M299" s="254">
        <v>1</v>
      </c>
      <c r="N299" s="158">
        <v>2</v>
      </c>
      <c r="O299" s="158">
        <v>3</v>
      </c>
      <c r="P299" s="158">
        <v>4</v>
      </c>
      <c r="Q299" s="158">
        <v>5</v>
      </c>
      <c r="R299" s="158">
        <v>6</v>
      </c>
      <c r="S299" s="158">
        <v>7</v>
      </c>
      <c r="T299" s="158">
        <v>8</v>
      </c>
      <c r="U299" s="158">
        <v>9</v>
      </c>
      <c r="V299" s="158">
        <v>10</v>
      </c>
    </row>
    <row r="300" spans="1:37" ht="14.4" hidden="1" customHeight="1" outlineLevel="2" x14ac:dyDescent="0.3">
      <c r="A300" s="448" t="s">
        <v>240</v>
      </c>
      <c r="B300" s="231" t="s">
        <v>72</v>
      </c>
      <c r="C300" s="21">
        <f xml:space="preserve"> $I$30 * $M$30 + $I$31 * $M$31 + $I$32 * $M$32 + $I$33 * $M$33 + $I$34 * $M$34 + $I$35 * $M$35 + $I$36 * $M$36 + $I$37 * $M$37 + $I$38 * $M$38 + $I$39 * $M$39 + $I$40 * $M$40 + $I$41 * $M$41 + $I$42 * $M$42 + $I$43 * $M$43 + $I$44 * $M$44</f>
        <v>4228.6828394399581</v>
      </c>
      <c r="D300" s="144">
        <f t="shared" ref="D300:L300" si="227" xml:space="preserve"> $J$30 * $M$30 + $J$31 * $M$31 + $J$32 * $M$32 + $J$33 * $M$33 + $J$34 * $M$34 + $J$35 * $M$35 + $J$36 * $M$36 + $J$37 * $M$37 + $J$38 * $M$38 + $J$39 * $M$39 + $J$40 * $M$40 + $J$41 * $M$41 + $J$42 * $M$42 + $J$43 * $M$43 + $J$44 * $M$44</f>
        <v>0</v>
      </c>
      <c r="E300" s="144">
        <f t="shared" si="227"/>
        <v>0</v>
      </c>
      <c r="F300" s="144">
        <f t="shared" si="227"/>
        <v>0</v>
      </c>
      <c r="G300" s="144">
        <f t="shared" si="227"/>
        <v>0</v>
      </c>
      <c r="H300" s="144">
        <f t="shared" si="227"/>
        <v>0</v>
      </c>
      <c r="I300" s="144">
        <f t="shared" si="227"/>
        <v>0</v>
      </c>
      <c r="J300" s="144">
        <f t="shared" si="227"/>
        <v>0</v>
      </c>
      <c r="K300" s="144">
        <f t="shared" si="227"/>
        <v>0</v>
      </c>
      <c r="L300" s="144">
        <f t="shared" si="227"/>
        <v>0</v>
      </c>
      <c r="M300" s="255">
        <f>C300/$B$15</f>
        <v>47.063804556927749</v>
      </c>
      <c r="N300" s="247">
        <f t="shared" ref="N300:V300" si="228">D300/$B$15</f>
        <v>0</v>
      </c>
      <c r="O300" s="247">
        <f t="shared" si="228"/>
        <v>0</v>
      </c>
      <c r="P300" s="247">
        <f t="shared" si="228"/>
        <v>0</v>
      </c>
      <c r="Q300" s="247">
        <f t="shared" si="228"/>
        <v>0</v>
      </c>
      <c r="R300" s="247">
        <f t="shared" si="228"/>
        <v>0</v>
      </c>
      <c r="S300" s="247">
        <f t="shared" si="228"/>
        <v>0</v>
      </c>
      <c r="T300" s="247">
        <f t="shared" si="228"/>
        <v>0</v>
      </c>
      <c r="U300" s="247">
        <f t="shared" si="228"/>
        <v>0</v>
      </c>
      <c r="V300" s="247">
        <f t="shared" si="228"/>
        <v>0</v>
      </c>
      <c r="W300" s="231"/>
      <c r="X300" s="231"/>
    </row>
    <row r="301" spans="1:37" hidden="1" outlineLevel="2" x14ac:dyDescent="0.3">
      <c r="A301" s="448"/>
      <c r="B301" s="231" t="s">
        <v>73</v>
      </c>
      <c r="C301" s="21">
        <f t="shared" ref="C301:C309" si="229" xml:space="preserve"> $I$30 * $M$30 + $I$31 * $M$31 + $I$32 * $M$32 + $I$33 * $M$33 + $I$34 * $M$34 + $I$35 * $M$35 + $I$36 * $M$36 + $I$37 * $M$37 + $I$38 * $M$38 + $I$39 * $M$39 + $I$40 * $M$40 + $I$41 * $M$41 + $I$42 * $M$42 + $I$43 * $M$43 + $I$44 * $M$44</f>
        <v>4228.6828394399581</v>
      </c>
      <c r="D301" s="21">
        <f t="shared" ref="D301:D309" si="230" xml:space="preserve"> $I$30 * $M$30 + $I$31 * $M$31 + $I$32 * $M$32 + $I$33 * $M$33 + $I$34 * $M$34 + $I$35 * $M$35 + $I$36 * $M$36 + $I$37 * $M$37 + $I$38 * $M$38 + $I$39 * $M$39 + $I$40 * $M$40 + $I$41 * $M$41 + $I$42 * $M$42 + $I$43 * $M$43 + $I$44 * $M$44</f>
        <v>4228.6828394399581</v>
      </c>
      <c r="E301" s="144">
        <f t="shared" ref="E301:L301" si="231" xml:space="preserve"> $J$30 * $M$30 + $J$31 * $M$31 + $J$32 * $M$32 + $J$33 * $M$33 + $J$34 * $M$34 + $J$35 * $M$35 + $J$36 * $M$36 + $J$37 * $M$37 + $J$38 * $M$38 + $J$39 * $M$39 + $J$40 * $M$40 + $J$41 * $M$41 + $J$42 * $M$42 + $J$43 * $M$43 + $J$44 * $M$44</f>
        <v>0</v>
      </c>
      <c r="F301" s="144">
        <f t="shared" si="231"/>
        <v>0</v>
      </c>
      <c r="G301" s="144">
        <f t="shared" si="231"/>
        <v>0</v>
      </c>
      <c r="H301" s="144">
        <f t="shared" si="231"/>
        <v>0</v>
      </c>
      <c r="I301" s="144">
        <f t="shared" si="231"/>
        <v>0</v>
      </c>
      <c r="J301" s="144">
        <f t="shared" si="231"/>
        <v>0</v>
      </c>
      <c r="K301" s="144">
        <f t="shared" si="231"/>
        <v>0</v>
      </c>
      <c r="L301" s="144">
        <f t="shared" si="231"/>
        <v>0</v>
      </c>
      <c r="M301" s="255">
        <f t="shared" ref="M301:M349" si="232">C301/$B$15</f>
        <v>47.063804556927749</v>
      </c>
      <c r="N301" s="247">
        <f t="shared" ref="N301:N349" si="233">D301/$B$15</f>
        <v>47.063804556927749</v>
      </c>
      <c r="O301" s="247">
        <f t="shared" ref="O301:O349" si="234">E301/$B$15</f>
        <v>0</v>
      </c>
      <c r="P301" s="247">
        <f t="shared" ref="P301:P349" si="235">F301/$B$15</f>
        <v>0</v>
      </c>
      <c r="Q301" s="247">
        <f t="shared" ref="Q301:Q349" si="236">G301/$B$15</f>
        <v>0</v>
      </c>
      <c r="R301" s="247">
        <f t="shared" ref="R301:R349" si="237">H301/$B$15</f>
        <v>0</v>
      </c>
      <c r="S301" s="247">
        <f t="shared" ref="S301:S349" si="238">I301/$B$15</f>
        <v>0</v>
      </c>
      <c r="T301" s="247">
        <f t="shared" ref="T301:T349" si="239">J301/$B$15</f>
        <v>0</v>
      </c>
      <c r="U301" s="247">
        <f t="shared" ref="U301:U349" si="240">K301/$B$15</f>
        <v>0</v>
      </c>
      <c r="V301" s="247">
        <f t="shared" ref="V301:V349" si="241">L301/$B$15</f>
        <v>0</v>
      </c>
      <c r="W301" s="231"/>
      <c r="X301" s="231"/>
    </row>
    <row r="302" spans="1:37" hidden="1" outlineLevel="2" x14ac:dyDescent="0.3">
      <c r="A302" s="448"/>
      <c r="B302" s="231" t="s">
        <v>74</v>
      </c>
      <c r="C302" s="21">
        <f t="shared" si="229"/>
        <v>4228.6828394399581</v>
      </c>
      <c r="D302" s="21">
        <f t="shared" si="230"/>
        <v>4228.6828394399581</v>
      </c>
      <c r="E302" s="21">
        <f t="shared" ref="E302:E309" si="242" xml:space="preserve"> $I$30 * $M$30 + $I$31 * $M$31 + $I$32 * $M$32 + $I$33 * $M$33 + $I$34 * $M$34 + $I$35 * $M$35 + $I$36 * $M$36 + $I$37 * $M$37 + $I$38 * $M$38 + $I$39 * $M$39 + $I$40 * $M$40 + $I$41 * $M$41 + $I$42 * $M$42 + $I$43 * $M$43 + $I$44 * $M$44</f>
        <v>4228.6828394399581</v>
      </c>
      <c r="F302" s="144">
        <f t="shared" ref="F302:L302" si="243" xml:space="preserve"> $J$30 * $M$30 + $J$31 * $M$31 + $J$32 * $M$32 + $J$33 * $M$33 + $J$34 * $M$34 + $J$35 * $M$35 + $J$36 * $M$36 + $J$37 * $M$37 + $J$38 * $M$38 + $J$39 * $M$39 + $J$40 * $M$40 + $J$41 * $M$41 + $J$42 * $M$42 + $J$43 * $M$43 + $J$44 * $M$44</f>
        <v>0</v>
      </c>
      <c r="G302" s="144">
        <f t="shared" si="243"/>
        <v>0</v>
      </c>
      <c r="H302" s="144">
        <f t="shared" si="243"/>
        <v>0</v>
      </c>
      <c r="I302" s="144">
        <f t="shared" si="243"/>
        <v>0</v>
      </c>
      <c r="J302" s="144">
        <f t="shared" si="243"/>
        <v>0</v>
      </c>
      <c r="K302" s="144">
        <f t="shared" si="243"/>
        <v>0</v>
      </c>
      <c r="L302" s="144">
        <f t="shared" si="243"/>
        <v>0</v>
      </c>
      <c r="M302" s="255">
        <f t="shared" si="232"/>
        <v>47.063804556927749</v>
      </c>
      <c r="N302" s="247">
        <f t="shared" si="233"/>
        <v>47.063804556927749</v>
      </c>
      <c r="O302" s="247">
        <f t="shared" si="234"/>
        <v>47.063804556927749</v>
      </c>
      <c r="P302" s="247">
        <f t="shared" si="235"/>
        <v>0</v>
      </c>
      <c r="Q302" s="247">
        <f t="shared" si="236"/>
        <v>0</v>
      </c>
      <c r="R302" s="247">
        <f t="shared" si="237"/>
        <v>0</v>
      </c>
      <c r="S302" s="247">
        <f t="shared" si="238"/>
        <v>0</v>
      </c>
      <c r="T302" s="247">
        <f t="shared" si="239"/>
        <v>0</v>
      </c>
      <c r="U302" s="247">
        <f t="shared" si="240"/>
        <v>0</v>
      </c>
      <c r="V302" s="247">
        <f t="shared" si="241"/>
        <v>0</v>
      </c>
      <c r="W302" s="231"/>
      <c r="X302" s="231"/>
    </row>
    <row r="303" spans="1:37" hidden="1" outlineLevel="2" x14ac:dyDescent="0.3">
      <c r="A303" s="448"/>
      <c r="B303" s="231" t="s">
        <v>75</v>
      </c>
      <c r="C303" s="21">
        <f t="shared" si="229"/>
        <v>4228.6828394399581</v>
      </c>
      <c r="D303" s="21">
        <f t="shared" si="230"/>
        <v>4228.6828394399581</v>
      </c>
      <c r="E303" s="21">
        <f t="shared" si="242"/>
        <v>4228.6828394399581</v>
      </c>
      <c r="F303" s="21">
        <f t="shared" ref="F303:F309" si="244" xml:space="preserve"> $I$30 * $M$30 + $I$31 * $M$31 + $I$32 * $M$32 + $I$33 * $M$33 + $I$34 * $M$34 + $I$35 * $M$35 + $I$36 * $M$36 + $I$37 * $M$37 + $I$38 * $M$38 + $I$39 * $M$39 + $I$40 * $M$40 + $I$41 * $M$41 + $I$42 * $M$42 + $I$43 * $M$43 + $I$44 * $M$44</f>
        <v>4228.6828394399581</v>
      </c>
      <c r="G303" s="144">
        <f t="shared" ref="G303:L303" si="245" xml:space="preserve"> $J$30 * $M$30 + $J$31 * $M$31 + $J$32 * $M$32 + $J$33 * $M$33 + $J$34 * $M$34 + $J$35 * $M$35 + $J$36 * $M$36 + $J$37 * $M$37 + $J$38 * $M$38 + $J$39 * $M$39 + $J$40 * $M$40 + $J$41 * $M$41 + $J$42 * $M$42 + $J$43 * $M$43 + $J$44 * $M$44</f>
        <v>0</v>
      </c>
      <c r="H303" s="144">
        <f t="shared" si="245"/>
        <v>0</v>
      </c>
      <c r="I303" s="144">
        <f t="shared" si="245"/>
        <v>0</v>
      </c>
      <c r="J303" s="144">
        <f t="shared" si="245"/>
        <v>0</v>
      </c>
      <c r="K303" s="144">
        <f t="shared" si="245"/>
        <v>0</v>
      </c>
      <c r="L303" s="144">
        <f t="shared" si="245"/>
        <v>0</v>
      </c>
      <c r="M303" s="255">
        <f t="shared" si="232"/>
        <v>47.063804556927749</v>
      </c>
      <c r="N303" s="247">
        <f t="shared" si="233"/>
        <v>47.063804556927749</v>
      </c>
      <c r="O303" s="247">
        <f t="shared" si="234"/>
        <v>47.063804556927749</v>
      </c>
      <c r="P303" s="247">
        <f t="shared" si="235"/>
        <v>47.063804556927749</v>
      </c>
      <c r="Q303" s="247">
        <f t="shared" si="236"/>
        <v>0</v>
      </c>
      <c r="R303" s="247">
        <f t="shared" si="237"/>
        <v>0</v>
      </c>
      <c r="S303" s="247">
        <f t="shared" si="238"/>
        <v>0</v>
      </c>
      <c r="T303" s="247">
        <f t="shared" si="239"/>
        <v>0</v>
      </c>
      <c r="U303" s="247">
        <f t="shared" si="240"/>
        <v>0</v>
      </c>
      <c r="V303" s="247">
        <f t="shared" si="241"/>
        <v>0</v>
      </c>
      <c r="W303" s="231"/>
      <c r="X303" s="231"/>
    </row>
    <row r="304" spans="1:37" hidden="1" outlineLevel="2" x14ac:dyDescent="0.3">
      <c r="A304" s="448"/>
      <c r="B304" s="231" t="s">
        <v>76</v>
      </c>
      <c r="C304" s="21">
        <f t="shared" si="229"/>
        <v>4228.6828394399581</v>
      </c>
      <c r="D304" s="21">
        <f t="shared" si="230"/>
        <v>4228.6828394399581</v>
      </c>
      <c r="E304" s="21">
        <f t="shared" si="242"/>
        <v>4228.6828394399581</v>
      </c>
      <c r="F304" s="21">
        <f t="shared" si="244"/>
        <v>4228.6828394399581</v>
      </c>
      <c r="G304" s="21">
        <f t="shared" ref="G304:G309" si="246" xml:space="preserve"> $I$30 * $M$30 + $I$31 * $M$31 + $I$32 * $M$32 + $I$33 * $M$33 + $I$34 * $M$34 + $I$35 * $M$35 + $I$36 * $M$36 + $I$37 * $M$37 + $I$38 * $M$38 + $I$39 * $M$39 + $I$40 * $M$40 + $I$41 * $M$41 + $I$42 * $M$42 + $I$43 * $M$43 + $I$44 * $M$44</f>
        <v>4228.6828394399581</v>
      </c>
      <c r="H304" s="144">
        <f xml:space="preserve"> $J$30 * $M$30 + $J$31 * $M$31 + $J$32 * $M$32 + $J$33 * $M$33 + $J$34 * $M$34 + $J$35 * $M$35 + $J$36 * $M$36 + $J$37 * $M$37 + $J$38 * $M$38 + $J$39 * $M$39 + $J$40 * $M$40 + $J$41 * $M$41 + $J$42 * $M$42 + $J$43 * $M$43 + $J$44 * $M$44</f>
        <v>0</v>
      </c>
      <c r="I304" s="144">
        <f xml:space="preserve"> $J$30 * $M$30 + $J$31 * $M$31 + $J$32 * $M$32 + $J$33 * $M$33 + $J$34 * $M$34 + $J$35 * $M$35 + $J$36 * $M$36 + $J$37 * $M$37 + $J$38 * $M$38 + $J$39 * $M$39 + $J$40 * $M$40 + $J$41 * $M$41 + $J$42 * $M$42 + $J$43 * $M$43 + $J$44 * $M$44</f>
        <v>0</v>
      </c>
      <c r="J304" s="144">
        <f xml:space="preserve"> $J$30 * $M$30 + $J$31 * $M$31 + $J$32 * $M$32 + $J$33 * $M$33 + $J$34 * $M$34 + $J$35 * $M$35 + $J$36 * $M$36 + $J$37 * $M$37 + $J$38 * $M$38 + $J$39 * $M$39 + $J$40 * $M$40 + $J$41 * $M$41 + $J$42 * $M$42 + $J$43 * $M$43 + $J$44 * $M$44</f>
        <v>0</v>
      </c>
      <c r="K304" s="144">
        <f xml:space="preserve"> $J$30 * $M$30 + $J$31 * $M$31 + $J$32 * $M$32 + $J$33 * $M$33 + $J$34 * $M$34 + $J$35 * $M$35 + $J$36 * $M$36 + $J$37 * $M$37 + $J$38 * $M$38 + $J$39 * $M$39 + $J$40 * $M$40 + $J$41 * $M$41 + $J$42 * $M$42 + $J$43 * $M$43 + $J$44 * $M$44</f>
        <v>0</v>
      </c>
      <c r="L304" s="144">
        <f xml:space="preserve"> $J$30 * $M$30 + $J$31 * $M$31 + $J$32 * $M$32 + $J$33 * $M$33 + $J$34 * $M$34 + $J$35 * $M$35 + $J$36 * $M$36 + $J$37 * $M$37 + $J$38 * $M$38 + $J$39 * $M$39 + $J$40 * $M$40 + $J$41 * $M$41 + $J$42 * $M$42 + $J$43 * $M$43 + $J$44 * $M$44</f>
        <v>0</v>
      </c>
      <c r="M304" s="255">
        <f t="shared" si="232"/>
        <v>47.063804556927749</v>
      </c>
      <c r="N304" s="247">
        <f t="shared" si="233"/>
        <v>47.063804556927749</v>
      </c>
      <c r="O304" s="247">
        <f t="shared" si="234"/>
        <v>47.063804556927749</v>
      </c>
      <c r="P304" s="247">
        <f t="shared" si="235"/>
        <v>47.063804556927749</v>
      </c>
      <c r="Q304" s="247">
        <f t="shared" si="236"/>
        <v>47.063804556927749</v>
      </c>
      <c r="R304" s="247">
        <f t="shared" si="237"/>
        <v>0</v>
      </c>
      <c r="S304" s="247">
        <f t="shared" si="238"/>
        <v>0</v>
      </c>
      <c r="T304" s="247">
        <f t="shared" si="239"/>
        <v>0</v>
      </c>
      <c r="U304" s="247">
        <f t="shared" si="240"/>
        <v>0</v>
      </c>
      <c r="V304" s="247">
        <f t="shared" si="241"/>
        <v>0</v>
      </c>
      <c r="W304" s="231"/>
      <c r="X304" s="231"/>
    </row>
    <row r="305" spans="1:24" hidden="1" outlineLevel="2" x14ac:dyDescent="0.3">
      <c r="A305" s="448"/>
      <c r="B305" s="231" t="s">
        <v>77</v>
      </c>
      <c r="C305" s="21">
        <f t="shared" si="229"/>
        <v>4228.6828394399581</v>
      </c>
      <c r="D305" s="21">
        <f t="shared" si="230"/>
        <v>4228.6828394399581</v>
      </c>
      <c r="E305" s="21">
        <f t="shared" si="242"/>
        <v>4228.6828394399581</v>
      </c>
      <c r="F305" s="21">
        <f t="shared" si="244"/>
        <v>4228.6828394399581</v>
      </c>
      <c r="G305" s="21">
        <f t="shared" si="246"/>
        <v>4228.6828394399581</v>
      </c>
      <c r="H305" s="21">
        <f xml:space="preserve"> $I$30 * $M$30 + $I$31 * $M$31 + $I$32 * $M$32 + $I$33 * $M$33 + $I$34 * $M$34 + $I$35 * $M$35 + $I$36 * $M$36 + $I$37 * $M$37 + $I$38 * $M$38 + $I$39 * $M$39 + $I$40 * $M$40 + $I$41 * $M$41 + $I$42 * $M$42 + $I$43 * $M$43 + $I$44 * $M$44</f>
        <v>4228.6828394399581</v>
      </c>
      <c r="I305" s="144">
        <f xml:space="preserve"> $J$30 * $M$30 + $J$31 * $M$31 + $J$32 * $M$32 + $J$33 * $M$33 + $J$34 * $M$34 + $J$35 * $M$35 + $J$36 * $M$36 + $J$37 * $M$37 + $J$38 * $M$38 + $J$39 * $M$39 + $J$40 * $M$40 + $J$41 * $M$41 + $J$42 * $M$42 + $J$43 * $M$43 + $J$44 * $M$44</f>
        <v>0</v>
      </c>
      <c r="J305" s="144">
        <f xml:space="preserve"> $J$30 * $M$30 + $J$31 * $M$31 + $J$32 * $M$32 + $J$33 * $M$33 + $J$34 * $M$34 + $J$35 * $M$35 + $J$36 * $M$36 + $J$37 * $M$37 + $J$38 * $M$38 + $J$39 * $M$39 + $J$40 * $M$40 + $J$41 * $M$41 + $J$42 * $M$42 + $J$43 * $M$43 + $J$44 * $M$44</f>
        <v>0</v>
      </c>
      <c r="K305" s="144">
        <f xml:space="preserve"> $J$30 * $M$30 + $J$31 * $M$31 + $J$32 * $M$32 + $J$33 * $M$33 + $J$34 * $M$34 + $J$35 * $M$35 + $J$36 * $M$36 + $J$37 * $M$37 + $J$38 * $M$38 + $J$39 * $M$39 + $J$40 * $M$40 + $J$41 * $M$41 + $J$42 * $M$42 + $J$43 * $M$43 + $J$44 * $M$44</f>
        <v>0</v>
      </c>
      <c r="L305" s="144">
        <f xml:space="preserve"> $J$30 * $M$30 + $J$31 * $M$31 + $J$32 * $M$32 + $J$33 * $M$33 + $J$34 * $M$34 + $J$35 * $M$35 + $J$36 * $M$36 + $J$37 * $M$37 + $J$38 * $M$38 + $J$39 * $M$39 + $J$40 * $M$40 + $J$41 * $M$41 + $J$42 * $M$42 + $J$43 * $M$43 + $J$44 * $M$44</f>
        <v>0</v>
      </c>
      <c r="M305" s="255">
        <f t="shared" si="232"/>
        <v>47.063804556927749</v>
      </c>
      <c r="N305" s="247">
        <f t="shared" si="233"/>
        <v>47.063804556927749</v>
      </c>
      <c r="O305" s="247">
        <f t="shared" si="234"/>
        <v>47.063804556927749</v>
      </c>
      <c r="P305" s="247">
        <f t="shared" si="235"/>
        <v>47.063804556927749</v>
      </c>
      <c r="Q305" s="247">
        <f t="shared" si="236"/>
        <v>47.063804556927749</v>
      </c>
      <c r="R305" s="247">
        <f t="shared" si="237"/>
        <v>47.063804556927749</v>
      </c>
      <c r="S305" s="247">
        <f t="shared" si="238"/>
        <v>0</v>
      </c>
      <c r="T305" s="247">
        <f t="shared" si="239"/>
        <v>0</v>
      </c>
      <c r="U305" s="247">
        <f t="shared" si="240"/>
        <v>0</v>
      </c>
      <c r="V305" s="247">
        <f t="shared" si="241"/>
        <v>0</v>
      </c>
      <c r="W305" s="231"/>
      <c r="X305" s="231"/>
    </row>
    <row r="306" spans="1:24" hidden="1" outlineLevel="2" x14ac:dyDescent="0.3">
      <c r="A306" s="448"/>
      <c r="B306" s="231" t="s">
        <v>78</v>
      </c>
      <c r="C306" s="21">
        <f t="shared" si="229"/>
        <v>4228.6828394399581</v>
      </c>
      <c r="D306" s="21">
        <f t="shared" si="230"/>
        <v>4228.6828394399581</v>
      </c>
      <c r="E306" s="21">
        <f t="shared" si="242"/>
        <v>4228.6828394399581</v>
      </c>
      <c r="F306" s="21">
        <f t="shared" si="244"/>
        <v>4228.6828394399581</v>
      </c>
      <c r="G306" s="21">
        <f t="shared" si="246"/>
        <v>4228.6828394399581</v>
      </c>
      <c r="H306" s="21">
        <f xml:space="preserve"> $I$30 * $M$30 + $I$31 * $M$31 + $I$32 * $M$32 + $I$33 * $M$33 + $I$34 * $M$34 + $I$35 * $M$35 + $I$36 * $M$36 + $I$37 * $M$37 + $I$38 * $M$38 + $I$39 * $M$39 + $I$40 * $M$40 + $I$41 * $M$41 + $I$42 * $M$42 + $I$43 * $M$43 + $I$44 * $M$44</f>
        <v>4228.6828394399581</v>
      </c>
      <c r="I306" s="21">
        <f xml:space="preserve"> $I$30 * $M$30 + $I$31 * $M$31 + $I$32 * $M$32 + $I$33 * $M$33 + $I$34 * $M$34 + $I$35 * $M$35 + $I$36 * $M$36 + $I$37 * $M$37 + $I$38 * $M$38 + $I$39 * $M$39 + $I$40 * $M$40 + $I$41 * $M$41 + $I$42 * $M$42 + $I$43 * $M$43 + $I$44 * $M$44</f>
        <v>4228.6828394399581</v>
      </c>
      <c r="J306" s="144">
        <f xml:space="preserve"> $J$30 * $M$30 + $J$31 * $M$31 + $J$32 * $M$32 + $J$33 * $M$33 + $J$34 * $M$34 + $J$35 * $M$35 + $J$36 * $M$36 + $J$37 * $M$37 + $J$38 * $M$38 + $J$39 * $M$39 + $J$40 * $M$40 + $J$41 * $M$41 + $J$42 * $M$42 + $J$43 * $M$43 + $J$44 * $M$44</f>
        <v>0</v>
      </c>
      <c r="K306" s="144">
        <f xml:space="preserve"> $J$30 * $M$30 + $J$31 * $M$31 + $J$32 * $M$32 + $J$33 * $M$33 + $J$34 * $M$34 + $J$35 * $M$35 + $J$36 * $M$36 + $J$37 * $M$37 + $J$38 * $M$38 + $J$39 * $M$39 + $J$40 * $M$40 + $J$41 * $M$41 + $J$42 * $M$42 + $J$43 * $M$43 + $J$44 * $M$44</f>
        <v>0</v>
      </c>
      <c r="L306" s="144">
        <f xml:space="preserve"> $J$30 * $M$30 + $J$31 * $M$31 + $J$32 * $M$32 + $J$33 * $M$33 + $J$34 * $M$34 + $J$35 * $M$35 + $J$36 * $M$36 + $J$37 * $M$37 + $J$38 * $M$38 + $J$39 * $M$39 + $J$40 * $M$40 + $J$41 * $M$41 + $J$42 * $M$42 + $J$43 * $M$43 + $J$44 * $M$44</f>
        <v>0</v>
      </c>
      <c r="M306" s="255">
        <f t="shared" si="232"/>
        <v>47.063804556927749</v>
      </c>
      <c r="N306" s="247">
        <f t="shared" si="233"/>
        <v>47.063804556927749</v>
      </c>
      <c r="O306" s="247">
        <f t="shared" si="234"/>
        <v>47.063804556927749</v>
      </c>
      <c r="P306" s="247">
        <f t="shared" si="235"/>
        <v>47.063804556927749</v>
      </c>
      <c r="Q306" s="247">
        <f t="shared" si="236"/>
        <v>47.063804556927749</v>
      </c>
      <c r="R306" s="247">
        <f t="shared" si="237"/>
        <v>47.063804556927749</v>
      </c>
      <c r="S306" s="247">
        <f t="shared" si="238"/>
        <v>47.063804556927749</v>
      </c>
      <c r="T306" s="247">
        <f t="shared" si="239"/>
        <v>0</v>
      </c>
      <c r="U306" s="247">
        <f t="shared" si="240"/>
        <v>0</v>
      </c>
      <c r="V306" s="247">
        <f t="shared" si="241"/>
        <v>0</v>
      </c>
      <c r="W306" s="231"/>
      <c r="X306" s="231"/>
    </row>
    <row r="307" spans="1:24" hidden="1" outlineLevel="2" x14ac:dyDescent="0.3">
      <c r="A307" s="448"/>
      <c r="B307" s="231" t="s">
        <v>79</v>
      </c>
      <c r="C307" s="21">
        <f t="shared" si="229"/>
        <v>4228.6828394399581</v>
      </c>
      <c r="D307" s="21">
        <f t="shared" si="230"/>
        <v>4228.6828394399581</v>
      </c>
      <c r="E307" s="21">
        <f t="shared" si="242"/>
        <v>4228.6828394399581</v>
      </c>
      <c r="F307" s="21">
        <f t="shared" si="244"/>
        <v>4228.6828394399581</v>
      </c>
      <c r="G307" s="21">
        <f t="shared" si="246"/>
        <v>4228.6828394399581</v>
      </c>
      <c r="H307" s="21">
        <f xml:space="preserve"> $I$30 * $M$30 + $I$31 * $M$31 + $I$32 * $M$32 + $I$33 * $M$33 + $I$34 * $M$34 + $I$35 * $M$35 + $I$36 * $M$36 + $I$37 * $M$37 + $I$38 * $M$38 + $I$39 * $M$39 + $I$40 * $M$40 + $I$41 * $M$41 + $I$42 * $M$42 + $I$43 * $M$43 + $I$44 * $M$44</f>
        <v>4228.6828394399581</v>
      </c>
      <c r="I307" s="21">
        <f xml:space="preserve"> $I$30 * $M$30 + $I$31 * $M$31 + $I$32 * $M$32 + $I$33 * $M$33 + $I$34 * $M$34 + $I$35 * $M$35 + $I$36 * $M$36 + $I$37 * $M$37 + $I$38 * $M$38 + $I$39 * $M$39 + $I$40 * $M$40 + $I$41 * $M$41 + $I$42 * $M$42 + $I$43 * $M$43 + $I$44 * $M$44</f>
        <v>4228.6828394399581</v>
      </c>
      <c r="J307" s="21">
        <f xml:space="preserve"> $I$30 * $M$30 + $I$31 * $M$31 + $I$32 * $M$32 + $I$33 * $M$33 + $I$34 * $M$34 + $I$35 * $M$35 + $I$36 * $M$36 + $I$37 * $M$37 + $I$38 * $M$38 + $I$39 * $M$39 + $I$40 * $M$40 + $I$41 * $M$41 + $I$42 * $M$42 + $I$43 * $M$43 + $I$44 * $M$44</f>
        <v>4228.6828394399581</v>
      </c>
      <c r="K307" s="144">
        <f xml:space="preserve"> $J$30 * $M$30 + $J$31 * $M$31 + $J$32 * $M$32 + $J$33 * $M$33 + $J$34 * $M$34 + $J$35 * $M$35 + $J$36 * $M$36 + $J$37 * $M$37 + $J$38 * $M$38 + $J$39 * $M$39 + $J$40 * $M$40 + $J$41 * $M$41 + $J$42 * $M$42 + $J$43 * $M$43 + $J$44 * $M$44</f>
        <v>0</v>
      </c>
      <c r="L307" s="144">
        <f xml:space="preserve"> $J$30 * $M$30 + $J$31 * $M$31 + $J$32 * $M$32 + $J$33 * $M$33 + $J$34 * $M$34 + $J$35 * $M$35 + $J$36 * $M$36 + $J$37 * $M$37 + $J$38 * $M$38 + $J$39 * $M$39 + $J$40 * $M$40 + $J$41 * $M$41 + $J$42 * $M$42 + $J$43 * $M$43 + $J$44 * $M$44</f>
        <v>0</v>
      </c>
      <c r="M307" s="255">
        <f t="shared" si="232"/>
        <v>47.063804556927749</v>
      </c>
      <c r="N307" s="247">
        <f t="shared" si="233"/>
        <v>47.063804556927749</v>
      </c>
      <c r="O307" s="247">
        <f t="shared" si="234"/>
        <v>47.063804556927749</v>
      </c>
      <c r="P307" s="247">
        <f t="shared" si="235"/>
        <v>47.063804556927749</v>
      </c>
      <c r="Q307" s="247">
        <f t="shared" si="236"/>
        <v>47.063804556927749</v>
      </c>
      <c r="R307" s="247">
        <f t="shared" si="237"/>
        <v>47.063804556927749</v>
      </c>
      <c r="S307" s="247">
        <f t="shared" si="238"/>
        <v>47.063804556927749</v>
      </c>
      <c r="T307" s="247">
        <f t="shared" si="239"/>
        <v>47.063804556927749</v>
      </c>
      <c r="U307" s="247">
        <f t="shared" si="240"/>
        <v>0</v>
      </c>
      <c r="V307" s="247">
        <f t="shared" si="241"/>
        <v>0</v>
      </c>
      <c r="W307" s="231"/>
      <c r="X307" s="231"/>
    </row>
    <row r="308" spans="1:24" hidden="1" outlineLevel="2" x14ac:dyDescent="0.3">
      <c r="A308" s="448"/>
      <c r="B308" s="231" t="s">
        <v>80</v>
      </c>
      <c r="C308" s="21">
        <f t="shared" si="229"/>
        <v>4228.6828394399581</v>
      </c>
      <c r="D308" s="21">
        <f t="shared" si="230"/>
        <v>4228.6828394399581</v>
      </c>
      <c r="E308" s="21">
        <f t="shared" si="242"/>
        <v>4228.6828394399581</v>
      </c>
      <c r="F308" s="21">
        <f t="shared" si="244"/>
        <v>4228.6828394399581</v>
      </c>
      <c r="G308" s="21">
        <f t="shared" si="246"/>
        <v>4228.6828394399581</v>
      </c>
      <c r="H308" s="21">
        <f xml:space="preserve"> $I$30 * $M$30 + $I$31 * $M$31 + $I$32 * $M$32 + $I$33 * $M$33 + $I$34 * $M$34 + $I$35 * $M$35 + $I$36 * $M$36 + $I$37 * $M$37 + $I$38 * $M$38 + $I$39 * $M$39 + $I$40 * $M$40 + $I$41 * $M$41 + $I$42 * $M$42 + $I$43 * $M$43 + $I$44 * $M$44</f>
        <v>4228.6828394399581</v>
      </c>
      <c r="I308" s="21">
        <f xml:space="preserve"> $I$30 * $M$30 + $I$31 * $M$31 + $I$32 * $M$32 + $I$33 * $M$33 + $I$34 * $M$34 + $I$35 * $M$35 + $I$36 * $M$36 + $I$37 * $M$37 + $I$38 * $M$38 + $I$39 * $M$39 + $I$40 * $M$40 + $I$41 * $M$41 + $I$42 * $M$42 + $I$43 * $M$43 + $I$44 * $M$44</f>
        <v>4228.6828394399581</v>
      </c>
      <c r="J308" s="21">
        <f xml:space="preserve"> $I$30 * $M$30 + $I$31 * $M$31 + $I$32 * $M$32 + $I$33 * $M$33 + $I$34 * $M$34 + $I$35 * $M$35 + $I$36 * $M$36 + $I$37 * $M$37 + $I$38 * $M$38 + $I$39 * $M$39 + $I$40 * $M$40 + $I$41 * $M$41 + $I$42 * $M$42 + $I$43 * $M$43 + $I$44 * $M$44</f>
        <v>4228.6828394399581</v>
      </c>
      <c r="K308" s="21">
        <f xml:space="preserve"> $I$30 * $M$30 + $I$31 * $M$31 + $I$32 * $M$32 + $I$33 * $M$33 + $I$34 * $M$34 + $I$35 * $M$35 + $I$36 * $M$36 + $I$37 * $M$37 + $I$38 * $M$38 + $I$39 * $M$39 + $I$40 * $M$40 + $I$41 * $M$41 + $I$42 * $M$42 + $I$43 * $M$43 + $I$44 * $M$44</f>
        <v>4228.6828394399581</v>
      </c>
      <c r="L308" s="144">
        <f xml:space="preserve"> $J$30 * $M$30 + $J$31 * $M$31 + $J$32 * $M$32 + $J$33 * $M$33 + $J$34 * $M$34 + $J$35 * $M$35 + $J$36 * $M$36 + $J$37 * $M$37 + $J$38 * $M$38 + $J$39 * $M$39 + $J$40 * $M$40 + $J$41 * $M$41 + $J$42 * $M$42 + $J$43 * $M$43 + $J$44 * $M$44</f>
        <v>0</v>
      </c>
      <c r="M308" s="255">
        <f t="shared" si="232"/>
        <v>47.063804556927749</v>
      </c>
      <c r="N308" s="247">
        <f t="shared" si="233"/>
        <v>47.063804556927749</v>
      </c>
      <c r="O308" s="247">
        <f t="shared" si="234"/>
        <v>47.063804556927749</v>
      </c>
      <c r="P308" s="247">
        <f t="shared" si="235"/>
        <v>47.063804556927749</v>
      </c>
      <c r="Q308" s="247">
        <f t="shared" si="236"/>
        <v>47.063804556927749</v>
      </c>
      <c r="R308" s="247">
        <f t="shared" si="237"/>
        <v>47.063804556927749</v>
      </c>
      <c r="S308" s="247">
        <f t="shared" si="238"/>
        <v>47.063804556927749</v>
      </c>
      <c r="T308" s="247">
        <f t="shared" si="239"/>
        <v>47.063804556927749</v>
      </c>
      <c r="U308" s="247">
        <f t="shared" si="240"/>
        <v>47.063804556927749</v>
      </c>
      <c r="V308" s="247">
        <f t="shared" si="241"/>
        <v>0</v>
      </c>
      <c r="W308" s="231"/>
      <c r="X308" s="231"/>
    </row>
    <row r="309" spans="1:24" ht="14.4" hidden="1" customHeight="1" outlineLevel="2" x14ac:dyDescent="0.3">
      <c r="A309" s="449"/>
      <c r="B309" s="182" t="s">
        <v>134</v>
      </c>
      <c r="C309" s="183">
        <f t="shared" si="229"/>
        <v>4228.6828394399581</v>
      </c>
      <c r="D309" s="183">
        <f t="shared" si="230"/>
        <v>4228.6828394399581</v>
      </c>
      <c r="E309" s="183">
        <f t="shared" si="242"/>
        <v>4228.6828394399581</v>
      </c>
      <c r="F309" s="183">
        <f t="shared" si="244"/>
        <v>4228.6828394399581</v>
      </c>
      <c r="G309" s="183">
        <f t="shared" si="246"/>
        <v>4228.6828394399581</v>
      </c>
      <c r="H309" s="183">
        <f xml:space="preserve"> $I$30 * $M$30 + $I$31 * $M$31 + $I$32 * $M$32 + $I$33 * $M$33 + $I$34 * $M$34 + $I$35 * $M$35 + $I$36 * $M$36 + $I$37 * $M$37 + $I$38 * $M$38 + $I$39 * $M$39 + $I$40 * $M$40 + $I$41 * $M$41 + $I$42 * $M$42 + $I$43 * $M$43 + $I$44 * $M$44</f>
        <v>4228.6828394399581</v>
      </c>
      <c r="I309" s="183">
        <f xml:space="preserve"> $I$30 * $M$30 + $I$31 * $M$31 + $I$32 * $M$32 + $I$33 * $M$33 + $I$34 * $M$34 + $I$35 * $M$35 + $I$36 * $M$36 + $I$37 * $M$37 + $I$38 * $M$38 + $I$39 * $M$39 + $I$40 * $M$40 + $I$41 * $M$41 + $I$42 * $M$42 + $I$43 * $M$43 + $I$44 * $M$44</f>
        <v>4228.6828394399581</v>
      </c>
      <c r="J309" s="183">
        <f xml:space="preserve"> $I$30 * $M$30 + $I$31 * $M$31 + $I$32 * $M$32 + $I$33 * $M$33 + $I$34 * $M$34 + $I$35 * $M$35 + $I$36 * $M$36 + $I$37 * $M$37 + $I$38 * $M$38 + $I$39 * $M$39 + $I$40 * $M$40 + $I$41 * $M$41 + $I$42 * $M$42 + $I$43 * $M$43 + $I$44 * $M$44</f>
        <v>4228.6828394399581</v>
      </c>
      <c r="K309" s="183">
        <f xml:space="preserve"> $I$30 * $M$30 + $I$31 * $M$31 + $I$32 * $M$32 + $I$33 * $M$33 + $I$34 * $M$34 + $I$35 * $M$35 + $I$36 * $M$36 + $I$37 * $M$37 + $I$38 * $M$38 + $I$39 * $M$39 + $I$40 * $M$40 + $I$41 * $M$41 + $I$42 * $M$42 + $I$43 * $M$43 + $I$44 * $M$44</f>
        <v>4228.6828394399581</v>
      </c>
      <c r="L309" s="183">
        <f xml:space="preserve"> $I$30 * $M$30 + $I$31 * $M$31 + $I$32 * $M$32 + $I$33 * $M$33 + $I$34 * $M$34 + $I$35 * $M$35 + $I$36 * $M$36 + $I$37 * $M$37 + $I$38 * $M$38 + $I$39 * $M$39 + $I$40 * $M$40 + $I$41 * $M$41 + $I$42 * $M$42 + $I$43 * $M$43 + $I$44 * $M$44</f>
        <v>4228.6828394399581</v>
      </c>
      <c r="M309" s="255">
        <f t="shared" si="232"/>
        <v>47.063804556927749</v>
      </c>
      <c r="N309" s="247">
        <f t="shared" si="233"/>
        <v>47.063804556927749</v>
      </c>
      <c r="O309" s="247">
        <f t="shared" si="234"/>
        <v>47.063804556927749</v>
      </c>
      <c r="P309" s="247">
        <f t="shared" si="235"/>
        <v>47.063804556927749</v>
      </c>
      <c r="Q309" s="247">
        <f t="shared" si="236"/>
        <v>47.063804556927749</v>
      </c>
      <c r="R309" s="247">
        <f t="shared" si="237"/>
        <v>47.063804556927749</v>
      </c>
      <c r="S309" s="247">
        <f t="shared" si="238"/>
        <v>47.063804556927749</v>
      </c>
      <c r="T309" s="247">
        <f t="shared" si="239"/>
        <v>47.063804556927749</v>
      </c>
      <c r="U309" s="247">
        <f t="shared" si="240"/>
        <v>47.063804556927749</v>
      </c>
      <c r="V309" s="247">
        <f t="shared" si="241"/>
        <v>47.063804556927749</v>
      </c>
      <c r="W309" s="231"/>
      <c r="X309" s="231"/>
    </row>
    <row r="310" spans="1:24" ht="14.4" hidden="1" customHeight="1" outlineLevel="2" x14ac:dyDescent="0.3">
      <c r="A310" s="455" t="s">
        <v>241</v>
      </c>
      <c r="B310" s="231" t="s">
        <v>72</v>
      </c>
      <c r="C310" s="21">
        <f>$I$54*$M$54+$I$64*$M$64+$I$65*$M$65+SUMPRODUCT($I$69:$I$88,$M$69:$M$88)</f>
        <v>3021.473327147402</v>
      </c>
      <c r="D310" s="144">
        <v>0</v>
      </c>
      <c r="E310" s="144">
        <v>0</v>
      </c>
      <c r="F310" s="144">
        <v>0</v>
      </c>
      <c r="G310" s="144">
        <v>0</v>
      </c>
      <c r="H310" s="144">
        <v>0</v>
      </c>
      <c r="I310" s="144">
        <v>0</v>
      </c>
      <c r="J310" s="144">
        <v>0</v>
      </c>
      <c r="K310" s="144">
        <v>0</v>
      </c>
      <c r="L310" s="144">
        <v>0</v>
      </c>
      <c r="M310" s="255">
        <f t="shared" si="232"/>
        <v>33.627972477990006</v>
      </c>
      <c r="N310" s="247">
        <f t="shared" si="233"/>
        <v>0</v>
      </c>
      <c r="O310" s="247">
        <f t="shared" si="234"/>
        <v>0</v>
      </c>
      <c r="P310" s="247">
        <f t="shared" si="235"/>
        <v>0</v>
      </c>
      <c r="Q310" s="247">
        <f t="shared" si="236"/>
        <v>0</v>
      </c>
      <c r="R310" s="247">
        <f t="shared" si="237"/>
        <v>0</v>
      </c>
      <c r="S310" s="247">
        <f t="shared" si="238"/>
        <v>0</v>
      </c>
      <c r="T310" s="247">
        <f t="shared" si="239"/>
        <v>0</v>
      </c>
      <c r="U310" s="247">
        <f t="shared" si="240"/>
        <v>0</v>
      </c>
      <c r="V310" s="247">
        <f t="shared" si="241"/>
        <v>0</v>
      </c>
      <c r="W310" s="231"/>
      <c r="X310" s="231"/>
    </row>
    <row r="311" spans="1:24" hidden="1" outlineLevel="2" x14ac:dyDescent="0.3">
      <c r="A311" s="448"/>
      <c r="B311" s="231" t="s">
        <v>73</v>
      </c>
      <c r="C311" s="21">
        <f t="shared" ref="C311:C319" si="247">$I$54*$M$54+$I$64*$M$64+$I$65*$M$65+SUMPRODUCT($I$69:$I$88,$M$69:$M$88)</f>
        <v>3021.473327147402</v>
      </c>
      <c r="D311" s="21">
        <v>0</v>
      </c>
      <c r="E311" s="21">
        <v>0</v>
      </c>
      <c r="F311" s="21">
        <v>0</v>
      </c>
      <c r="G311" s="21">
        <v>0</v>
      </c>
      <c r="H311" s="21">
        <v>0</v>
      </c>
      <c r="I311" s="21">
        <v>0</v>
      </c>
      <c r="J311" s="21">
        <v>0</v>
      </c>
      <c r="K311" s="21">
        <v>0</v>
      </c>
      <c r="L311" s="21">
        <v>0</v>
      </c>
      <c r="M311" s="255">
        <f t="shared" si="232"/>
        <v>33.627972477990006</v>
      </c>
      <c r="N311" s="247">
        <f t="shared" si="233"/>
        <v>0</v>
      </c>
      <c r="O311" s="247">
        <f t="shared" si="234"/>
        <v>0</v>
      </c>
      <c r="P311" s="247">
        <f t="shared" si="235"/>
        <v>0</v>
      </c>
      <c r="Q311" s="247">
        <f t="shared" si="236"/>
        <v>0</v>
      </c>
      <c r="R311" s="247">
        <f t="shared" si="237"/>
        <v>0</v>
      </c>
      <c r="S311" s="247">
        <f t="shared" si="238"/>
        <v>0</v>
      </c>
      <c r="T311" s="247">
        <f t="shared" si="239"/>
        <v>0</v>
      </c>
      <c r="U311" s="247">
        <f t="shared" si="240"/>
        <v>0</v>
      </c>
      <c r="V311" s="247">
        <f t="shared" si="241"/>
        <v>0</v>
      </c>
      <c r="W311" s="231"/>
      <c r="X311" s="231"/>
    </row>
    <row r="312" spans="1:24" hidden="1" outlineLevel="2" x14ac:dyDescent="0.3">
      <c r="A312" s="448"/>
      <c r="B312" s="231" t="s">
        <v>74</v>
      </c>
      <c r="C312" s="21">
        <f t="shared" si="247"/>
        <v>3021.473327147402</v>
      </c>
      <c r="D312" s="21">
        <v>0</v>
      </c>
      <c r="E312" s="21">
        <v>0</v>
      </c>
      <c r="F312" s="21">
        <v>0</v>
      </c>
      <c r="G312" s="21">
        <v>0</v>
      </c>
      <c r="H312" s="21">
        <v>0</v>
      </c>
      <c r="I312" s="21">
        <v>0</v>
      </c>
      <c r="J312" s="21">
        <v>0</v>
      </c>
      <c r="K312" s="21">
        <v>0</v>
      </c>
      <c r="L312" s="21">
        <v>0</v>
      </c>
      <c r="M312" s="255">
        <f t="shared" si="232"/>
        <v>33.627972477990006</v>
      </c>
      <c r="N312" s="247">
        <f t="shared" si="233"/>
        <v>0</v>
      </c>
      <c r="O312" s="247">
        <f t="shared" si="234"/>
        <v>0</v>
      </c>
      <c r="P312" s="247">
        <f t="shared" si="235"/>
        <v>0</v>
      </c>
      <c r="Q312" s="247">
        <f t="shared" si="236"/>
        <v>0</v>
      </c>
      <c r="R312" s="247">
        <f t="shared" si="237"/>
        <v>0</v>
      </c>
      <c r="S312" s="247">
        <f t="shared" si="238"/>
        <v>0</v>
      </c>
      <c r="T312" s="247">
        <f t="shared" si="239"/>
        <v>0</v>
      </c>
      <c r="U312" s="247">
        <f t="shared" si="240"/>
        <v>0</v>
      </c>
      <c r="V312" s="247">
        <f t="shared" si="241"/>
        <v>0</v>
      </c>
      <c r="W312" s="231"/>
      <c r="X312" s="231"/>
    </row>
    <row r="313" spans="1:24" hidden="1" outlineLevel="2" x14ac:dyDescent="0.3">
      <c r="A313" s="448"/>
      <c r="B313" s="231" t="s">
        <v>75</v>
      </c>
      <c r="C313" s="21">
        <f t="shared" si="247"/>
        <v>3021.473327147402</v>
      </c>
      <c r="D313" s="21">
        <v>0</v>
      </c>
      <c r="E313" s="21">
        <v>0</v>
      </c>
      <c r="F313" s="21">
        <v>0</v>
      </c>
      <c r="G313" s="21">
        <v>0</v>
      </c>
      <c r="H313" s="21">
        <v>0</v>
      </c>
      <c r="I313" s="21">
        <v>0</v>
      </c>
      <c r="J313" s="21">
        <v>0</v>
      </c>
      <c r="K313" s="21">
        <v>0</v>
      </c>
      <c r="L313" s="21">
        <v>0</v>
      </c>
      <c r="M313" s="255">
        <f t="shared" si="232"/>
        <v>33.627972477990006</v>
      </c>
      <c r="N313" s="247">
        <f t="shared" si="233"/>
        <v>0</v>
      </c>
      <c r="O313" s="247">
        <f t="shared" si="234"/>
        <v>0</v>
      </c>
      <c r="P313" s="247">
        <f t="shared" si="235"/>
        <v>0</v>
      </c>
      <c r="Q313" s="247">
        <f t="shared" si="236"/>
        <v>0</v>
      </c>
      <c r="R313" s="247">
        <f t="shared" si="237"/>
        <v>0</v>
      </c>
      <c r="S313" s="247">
        <f t="shared" si="238"/>
        <v>0</v>
      </c>
      <c r="T313" s="247">
        <f t="shared" si="239"/>
        <v>0</v>
      </c>
      <c r="U313" s="247">
        <f t="shared" si="240"/>
        <v>0</v>
      </c>
      <c r="V313" s="247">
        <f t="shared" si="241"/>
        <v>0</v>
      </c>
      <c r="W313" s="231"/>
      <c r="X313" s="231"/>
    </row>
    <row r="314" spans="1:24" hidden="1" outlineLevel="2" x14ac:dyDescent="0.3">
      <c r="A314" s="448"/>
      <c r="B314" s="231" t="s">
        <v>76</v>
      </c>
      <c r="C314" s="21">
        <f t="shared" si="247"/>
        <v>3021.473327147402</v>
      </c>
      <c r="D314" s="21">
        <v>0</v>
      </c>
      <c r="E314" s="21">
        <v>0</v>
      </c>
      <c r="F314" s="21">
        <v>0</v>
      </c>
      <c r="G314" s="21">
        <v>0</v>
      </c>
      <c r="H314" s="21">
        <v>0</v>
      </c>
      <c r="I314" s="21">
        <v>0</v>
      </c>
      <c r="J314" s="21">
        <v>0</v>
      </c>
      <c r="K314" s="21">
        <v>0</v>
      </c>
      <c r="L314" s="21">
        <v>0</v>
      </c>
      <c r="M314" s="255">
        <f t="shared" si="232"/>
        <v>33.627972477990006</v>
      </c>
      <c r="N314" s="247">
        <f t="shared" si="233"/>
        <v>0</v>
      </c>
      <c r="O314" s="247">
        <f t="shared" si="234"/>
        <v>0</v>
      </c>
      <c r="P314" s="247">
        <f t="shared" si="235"/>
        <v>0</v>
      </c>
      <c r="Q314" s="247">
        <f t="shared" si="236"/>
        <v>0</v>
      </c>
      <c r="R314" s="247">
        <f t="shared" si="237"/>
        <v>0</v>
      </c>
      <c r="S314" s="247">
        <f t="shared" si="238"/>
        <v>0</v>
      </c>
      <c r="T314" s="247">
        <f t="shared" si="239"/>
        <v>0</v>
      </c>
      <c r="U314" s="247">
        <f t="shared" si="240"/>
        <v>0</v>
      </c>
      <c r="V314" s="247">
        <f t="shared" si="241"/>
        <v>0</v>
      </c>
      <c r="W314" s="231"/>
      <c r="X314" s="231"/>
    </row>
    <row r="315" spans="1:24" hidden="1" outlineLevel="2" x14ac:dyDescent="0.3">
      <c r="A315" s="448"/>
      <c r="B315" s="231" t="s">
        <v>77</v>
      </c>
      <c r="C315" s="21">
        <f t="shared" si="247"/>
        <v>3021.473327147402</v>
      </c>
      <c r="D315" s="21">
        <v>0</v>
      </c>
      <c r="E315" s="21">
        <v>0</v>
      </c>
      <c r="F315" s="21">
        <v>0</v>
      </c>
      <c r="G315" s="21">
        <v>0</v>
      </c>
      <c r="H315" s="21">
        <v>0</v>
      </c>
      <c r="I315" s="21">
        <v>0</v>
      </c>
      <c r="J315" s="21">
        <v>0</v>
      </c>
      <c r="K315" s="21">
        <v>0</v>
      </c>
      <c r="L315" s="21">
        <v>0</v>
      </c>
      <c r="M315" s="255">
        <f t="shared" si="232"/>
        <v>33.627972477990006</v>
      </c>
      <c r="N315" s="247">
        <f t="shared" si="233"/>
        <v>0</v>
      </c>
      <c r="O315" s="247">
        <f t="shared" si="234"/>
        <v>0</v>
      </c>
      <c r="P315" s="247">
        <f t="shared" si="235"/>
        <v>0</v>
      </c>
      <c r="Q315" s="247">
        <f t="shared" si="236"/>
        <v>0</v>
      </c>
      <c r="R315" s="247">
        <f t="shared" si="237"/>
        <v>0</v>
      </c>
      <c r="S315" s="247">
        <f t="shared" si="238"/>
        <v>0</v>
      </c>
      <c r="T315" s="247">
        <f t="shared" si="239"/>
        <v>0</v>
      </c>
      <c r="U315" s="247">
        <f t="shared" si="240"/>
        <v>0</v>
      </c>
      <c r="V315" s="247">
        <f t="shared" si="241"/>
        <v>0</v>
      </c>
      <c r="W315" s="231"/>
      <c r="X315" s="231"/>
    </row>
    <row r="316" spans="1:24" hidden="1" outlineLevel="2" x14ac:dyDescent="0.3">
      <c r="A316" s="448"/>
      <c r="B316" s="231" t="s">
        <v>78</v>
      </c>
      <c r="C316" s="21">
        <f t="shared" si="247"/>
        <v>3021.473327147402</v>
      </c>
      <c r="D316" s="21">
        <v>0</v>
      </c>
      <c r="E316" s="21">
        <v>0</v>
      </c>
      <c r="F316" s="21">
        <v>0</v>
      </c>
      <c r="G316" s="21">
        <v>0</v>
      </c>
      <c r="H316" s="21">
        <v>0</v>
      </c>
      <c r="I316" s="21">
        <v>0</v>
      </c>
      <c r="J316" s="21">
        <v>0</v>
      </c>
      <c r="K316" s="21">
        <v>0</v>
      </c>
      <c r="L316" s="21">
        <v>0</v>
      </c>
      <c r="M316" s="255">
        <f t="shared" si="232"/>
        <v>33.627972477990006</v>
      </c>
      <c r="N316" s="247">
        <f t="shared" si="233"/>
        <v>0</v>
      </c>
      <c r="O316" s="247">
        <f t="shared" si="234"/>
        <v>0</v>
      </c>
      <c r="P316" s="247">
        <f t="shared" si="235"/>
        <v>0</v>
      </c>
      <c r="Q316" s="247">
        <f t="shared" si="236"/>
        <v>0</v>
      </c>
      <c r="R316" s="247">
        <f t="shared" si="237"/>
        <v>0</v>
      </c>
      <c r="S316" s="247">
        <f t="shared" si="238"/>
        <v>0</v>
      </c>
      <c r="T316" s="247">
        <f t="shared" si="239"/>
        <v>0</v>
      </c>
      <c r="U316" s="247">
        <f t="shared" si="240"/>
        <v>0</v>
      </c>
      <c r="V316" s="247">
        <f t="shared" si="241"/>
        <v>0</v>
      </c>
      <c r="W316" s="231"/>
      <c r="X316" s="231"/>
    </row>
    <row r="317" spans="1:24" hidden="1" outlineLevel="2" x14ac:dyDescent="0.3">
      <c r="A317" s="448"/>
      <c r="B317" s="231" t="s">
        <v>79</v>
      </c>
      <c r="C317" s="21">
        <f t="shared" si="247"/>
        <v>3021.473327147402</v>
      </c>
      <c r="D317" s="21">
        <v>0</v>
      </c>
      <c r="E317" s="21">
        <v>0</v>
      </c>
      <c r="F317" s="21">
        <v>0</v>
      </c>
      <c r="G317" s="21">
        <v>0</v>
      </c>
      <c r="H317" s="21">
        <v>0</v>
      </c>
      <c r="I317" s="21">
        <v>0</v>
      </c>
      <c r="J317" s="21">
        <v>0</v>
      </c>
      <c r="K317" s="21">
        <v>0</v>
      </c>
      <c r="L317" s="21">
        <v>0</v>
      </c>
      <c r="M317" s="255">
        <f t="shared" si="232"/>
        <v>33.627972477990006</v>
      </c>
      <c r="N317" s="247">
        <f t="shared" si="233"/>
        <v>0</v>
      </c>
      <c r="O317" s="247">
        <f t="shared" si="234"/>
        <v>0</v>
      </c>
      <c r="P317" s="247">
        <f t="shared" si="235"/>
        <v>0</v>
      </c>
      <c r="Q317" s="247">
        <f t="shared" si="236"/>
        <v>0</v>
      </c>
      <c r="R317" s="247">
        <f t="shared" si="237"/>
        <v>0</v>
      </c>
      <c r="S317" s="247">
        <f t="shared" si="238"/>
        <v>0</v>
      </c>
      <c r="T317" s="247">
        <f t="shared" si="239"/>
        <v>0</v>
      </c>
      <c r="U317" s="247">
        <f t="shared" si="240"/>
        <v>0</v>
      </c>
      <c r="V317" s="247">
        <f t="shared" si="241"/>
        <v>0</v>
      </c>
      <c r="W317" s="231"/>
      <c r="X317" s="231"/>
    </row>
    <row r="318" spans="1:24" hidden="1" outlineLevel="2" x14ac:dyDescent="0.3">
      <c r="A318" s="448"/>
      <c r="B318" s="231" t="s">
        <v>80</v>
      </c>
      <c r="C318" s="21">
        <f t="shared" si="247"/>
        <v>3021.473327147402</v>
      </c>
      <c r="D318" s="21">
        <v>0</v>
      </c>
      <c r="E318" s="21">
        <v>0</v>
      </c>
      <c r="F318" s="21">
        <v>0</v>
      </c>
      <c r="G318" s="21">
        <v>0</v>
      </c>
      <c r="H318" s="21">
        <v>0</v>
      </c>
      <c r="I318" s="21">
        <v>0</v>
      </c>
      <c r="J318" s="21">
        <v>0</v>
      </c>
      <c r="K318" s="21">
        <v>0</v>
      </c>
      <c r="L318" s="21">
        <v>0</v>
      </c>
      <c r="M318" s="255">
        <f t="shared" si="232"/>
        <v>33.627972477990006</v>
      </c>
      <c r="N318" s="247">
        <f t="shared" si="233"/>
        <v>0</v>
      </c>
      <c r="O318" s="247">
        <f t="shared" si="234"/>
        <v>0</v>
      </c>
      <c r="P318" s="247">
        <f t="shared" si="235"/>
        <v>0</v>
      </c>
      <c r="Q318" s="247">
        <f t="shared" si="236"/>
        <v>0</v>
      </c>
      <c r="R318" s="247">
        <f t="shared" si="237"/>
        <v>0</v>
      </c>
      <c r="S318" s="247">
        <f t="shared" si="238"/>
        <v>0</v>
      </c>
      <c r="T318" s="247">
        <f t="shared" si="239"/>
        <v>0</v>
      </c>
      <c r="U318" s="247">
        <f t="shared" si="240"/>
        <v>0</v>
      </c>
      <c r="V318" s="247">
        <f t="shared" si="241"/>
        <v>0</v>
      </c>
      <c r="W318" s="231"/>
      <c r="X318" s="231"/>
    </row>
    <row r="319" spans="1:24" hidden="1" outlineLevel="2" x14ac:dyDescent="0.3">
      <c r="A319" s="449"/>
      <c r="B319" s="182" t="s">
        <v>134</v>
      </c>
      <c r="C319" s="239">
        <f t="shared" si="247"/>
        <v>3021.473327147402</v>
      </c>
      <c r="D319" s="183">
        <v>0</v>
      </c>
      <c r="E319" s="183">
        <v>0</v>
      </c>
      <c r="F319" s="183">
        <v>0</v>
      </c>
      <c r="G319" s="183">
        <v>0</v>
      </c>
      <c r="H319" s="183">
        <v>0</v>
      </c>
      <c r="I319" s="183">
        <v>0</v>
      </c>
      <c r="J319" s="183">
        <v>0</v>
      </c>
      <c r="K319" s="183">
        <v>0</v>
      </c>
      <c r="L319" s="183">
        <v>0</v>
      </c>
      <c r="M319" s="255">
        <f t="shared" si="232"/>
        <v>33.627972477990006</v>
      </c>
      <c r="N319" s="247">
        <f t="shared" si="233"/>
        <v>0</v>
      </c>
      <c r="O319" s="247">
        <f t="shared" si="234"/>
        <v>0</v>
      </c>
      <c r="P319" s="247">
        <f t="shared" si="235"/>
        <v>0</v>
      </c>
      <c r="Q319" s="247">
        <f t="shared" si="236"/>
        <v>0</v>
      </c>
      <c r="R319" s="247">
        <f t="shared" si="237"/>
        <v>0</v>
      </c>
      <c r="S319" s="247">
        <f t="shared" si="238"/>
        <v>0</v>
      </c>
      <c r="T319" s="247">
        <f t="shared" si="239"/>
        <v>0</v>
      </c>
      <c r="U319" s="247">
        <f t="shared" si="240"/>
        <v>0</v>
      </c>
      <c r="V319" s="247">
        <f t="shared" si="241"/>
        <v>0</v>
      </c>
      <c r="W319" s="231"/>
      <c r="X319" s="231"/>
    </row>
    <row r="320" spans="1:24" ht="14.4" hidden="1" customHeight="1" outlineLevel="2" x14ac:dyDescent="0.3">
      <c r="A320" s="455" t="s">
        <v>242</v>
      </c>
      <c r="B320" s="231" t="s">
        <v>72</v>
      </c>
      <c r="C320" s="21">
        <f>$J$54*$M$54+$J$64*$M$64+SUMPRODUCT($J$69:$J$84,$M$69:$M$84)</f>
        <v>86</v>
      </c>
      <c r="D320" s="21">
        <v>0</v>
      </c>
      <c r="E320" s="21">
        <v>0</v>
      </c>
      <c r="F320" s="21">
        <v>0</v>
      </c>
      <c r="G320" s="21">
        <v>0</v>
      </c>
      <c r="H320" s="21">
        <v>0</v>
      </c>
      <c r="I320" s="21">
        <v>0</v>
      </c>
      <c r="J320" s="21">
        <v>0</v>
      </c>
      <c r="K320" s="21">
        <v>0</v>
      </c>
      <c r="L320" s="21">
        <v>0</v>
      </c>
      <c r="M320" s="255">
        <f t="shared" si="232"/>
        <v>0.95715080690038956</v>
      </c>
      <c r="N320" s="247">
        <f t="shared" si="233"/>
        <v>0</v>
      </c>
      <c r="O320" s="247">
        <f t="shared" si="234"/>
        <v>0</v>
      </c>
      <c r="P320" s="247">
        <f t="shared" si="235"/>
        <v>0</v>
      </c>
      <c r="Q320" s="247">
        <f t="shared" si="236"/>
        <v>0</v>
      </c>
      <c r="R320" s="247">
        <f t="shared" si="237"/>
        <v>0</v>
      </c>
      <c r="S320" s="247">
        <f t="shared" si="238"/>
        <v>0</v>
      </c>
      <c r="T320" s="247">
        <f t="shared" si="239"/>
        <v>0</v>
      </c>
      <c r="U320" s="247">
        <f t="shared" si="240"/>
        <v>0</v>
      </c>
      <c r="V320" s="247">
        <f t="shared" si="241"/>
        <v>0</v>
      </c>
      <c r="W320" s="231"/>
      <c r="X320" s="231"/>
    </row>
    <row r="321" spans="1:24" hidden="1" outlineLevel="2" x14ac:dyDescent="0.3">
      <c r="A321" s="448"/>
      <c r="B321" s="231" t="s">
        <v>73</v>
      </c>
      <c r="C321" s="21">
        <v>0</v>
      </c>
      <c r="D321" s="21">
        <f>$J$54*$M$54+$J$64*$M$64+SUMPRODUCT($J$69:$J$84,$M$69:$M$84)</f>
        <v>86</v>
      </c>
      <c r="E321" s="144">
        <v>0</v>
      </c>
      <c r="F321" s="144">
        <v>0</v>
      </c>
      <c r="G321" s="144">
        <v>0</v>
      </c>
      <c r="H321" s="144">
        <v>0</v>
      </c>
      <c r="I321" s="144">
        <v>0</v>
      </c>
      <c r="J321" s="144">
        <v>0</v>
      </c>
      <c r="K321" s="144">
        <v>0</v>
      </c>
      <c r="L321" s="144">
        <v>0</v>
      </c>
      <c r="M321" s="255">
        <f t="shared" si="232"/>
        <v>0</v>
      </c>
      <c r="N321" s="247">
        <f t="shared" si="233"/>
        <v>0.95715080690038956</v>
      </c>
      <c r="O321" s="247">
        <f t="shared" si="234"/>
        <v>0</v>
      </c>
      <c r="P321" s="247">
        <f t="shared" si="235"/>
        <v>0</v>
      </c>
      <c r="Q321" s="247">
        <f t="shared" si="236"/>
        <v>0</v>
      </c>
      <c r="R321" s="247">
        <f t="shared" si="237"/>
        <v>0</v>
      </c>
      <c r="S321" s="247">
        <f t="shared" si="238"/>
        <v>0</v>
      </c>
      <c r="T321" s="247">
        <f t="shared" si="239"/>
        <v>0</v>
      </c>
      <c r="U321" s="247">
        <f t="shared" si="240"/>
        <v>0</v>
      </c>
      <c r="V321" s="247">
        <f t="shared" si="241"/>
        <v>0</v>
      </c>
      <c r="W321" s="231"/>
      <c r="X321" s="231"/>
    </row>
    <row r="322" spans="1:24" hidden="1" outlineLevel="2" x14ac:dyDescent="0.3">
      <c r="A322" s="448"/>
      <c r="B322" s="231" t="s">
        <v>74</v>
      </c>
      <c r="C322" s="21">
        <v>0</v>
      </c>
      <c r="D322" s="21">
        <v>0</v>
      </c>
      <c r="E322" s="21">
        <f>$J$54*$M$54+$J$64*$M$64+SUMPRODUCT($J$69:$J$84,$M$69:$M$84)</f>
        <v>86</v>
      </c>
      <c r="F322" s="144">
        <v>0</v>
      </c>
      <c r="G322" s="144">
        <v>0</v>
      </c>
      <c r="H322" s="144">
        <v>0</v>
      </c>
      <c r="I322" s="144">
        <v>0</v>
      </c>
      <c r="J322" s="144">
        <v>0</v>
      </c>
      <c r="K322" s="144">
        <v>0</v>
      </c>
      <c r="L322" s="144">
        <v>0</v>
      </c>
      <c r="M322" s="255">
        <f t="shared" si="232"/>
        <v>0</v>
      </c>
      <c r="N322" s="247">
        <f t="shared" si="233"/>
        <v>0</v>
      </c>
      <c r="O322" s="247">
        <f t="shared" si="234"/>
        <v>0.95715080690038956</v>
      </c>
      <c r="P322" s="247">
        <f t="shared" si="235"/>
        <v>0</v>
      </c>
      <c r="Q322" s="247">
        <f t="shared" si="236"/>
        <v>0</v>
      </c>
      <c r="R322" s="247">
        <f t="shared" si="237"/>
        <v>0</v>
      </c>
      <c r="S322" s="247">
        <f t="shared" si="238"/>
        <v>0</v>
      </c>
      <c r="T322" s="247">
        <f t="shared" si="239"/>
        <v>0</v>
      </c>
      <c r="U322" s="247">
        <f t="shared" si="240"/>
        <v>0</v>
      </c>
      <c r="V322" s="247">
        <f t="shared" si="241"/>
        <v>0</v>
      </c>
      <c r="W322" s="231"/>
      <c r="X322" s="231"/>
    </row>
    <row r="323" spans="1:24" hidden="1" outlineLevel="2" x14ac:dyDescent="0.3">
      <c r="A323" s="448"/>
      <c r="B323" s="231" t="s">
        <v>75</v>
      </c>
      <c r="C323" s="21">
        <v>0</v>
      </c>
      <c r="D323" s="21">
        <v>0</v>
      </c>
      <c r="E323" s="21">
        <v>0</v>
      </c>
      <c r="F323" s="21">
        <f>$J$54*$M$54+$J$64*$M$64+SUMPRODUCT($J$69:$J$84,$M$69:$M$84)</f>
        <v>86</v>
      </c>
      <c r="G323" s="144">
        <v>0</v>
      </c>
      <c r="H323" s="144">
        <v>0</v>
      </c>
      <c r="I323" s="144">
        <v>0</v>
      </c>
      <c r="J323" s="144">
        <v>0</v>
      </c>
      <c r="K323" s="144">
        <v>0</v>
      </c>
      <c r="L323" s="144">
        <v>0</v>
      </c>
      <c r="M323" s="255">
        <f t="shared" si="232"/>
        <v>0</v>
      </c>
      <c r="N323" s="247">
        <f t="shared" si="233"/>
        <v>0</v>
      </c>
      <c r="O323" s="247">
        <f t="shared" si="234"/>
        <v>0</v>
      </c>
      <c r="P323" s="247">
        <f t="shared" si="235"/>
        <v>0.95715080690038956</v>
      </c>
      <c r="Q323" s="247">
        <f t="shared" si="236"/>
        <v>0</v>
      </c>
      <c r="R323" s="247">
        <f t="shared" si="237"/>
        <v>0</v>
      </c>
      <c r="S323" s="247">
        <f t="shared" si="238"/>
        <v>0</v>
      </c>
      <c r="T323" s="247">
        <f t="shared" si="239"/>
        <v>0</v>
      </c>
      <c r="U323" s="247">
        <f t="shared" si="240"/>
        <v>0</v>
      </c>
      <c r="V323" s="247">
        <f t="shared" si="241"/>
        <v>0</v>
      </c>
      <c r="W323" s="231"/>
      <c r="X323" s="231"/>
    </row>
    <row r="324" spans="1:24" hidden="1" outlineLevel="2" x14ac:dyDescent="0.3">
      <c r="A324" s="448"/>
      <c r="B324" s="231" t="s">
        <v>76</v>
      </c>
      <c r="C324" s="21">
        <v>0</v>
      </c>
      <c r="D324" s="21">
        <v>0</v>
      </c>
      <c r="E324" s="21">
        <v>0</v>
      </c>
      <c r="F324" s="21">
        <v>0</v>
      </c>
      <c r="G324" s="21">
        <f>$J$54*$M$54+$J$64*$M$64+SUMPRODUCT($J$69:$J$84,$M$69:$M$84)</f>
        <v>86</v>
      </c>
      <c r="H324" s="144">
        <v>0</v>
      </c>
      <c r="I324" s="144">
        <v>0</v>
      </c>
      <c r="J324" s="144">
        <v>0</v>
      </c>
      <c r="K324" s="144">
        <v>0</v>
      </c>
      <c r="L324" s="144">
        <v>0</v>
      </c>
      <c r="M324" s="255">
        <f t="shared" si="232"/>
        <v>0</v>
      </c>
      <c r="N324" s="247">
        <f t="shared" si="233"/>
        <v>0</v>
      </c>
      <c r="O324" s="247">
        <f t="shared" si="234"/>
        <v>0</v>
      </c>
      <c r="P324" s="247">
        <f t="shared" si="235"/>
        <v>0</v>
      </c>
      <c r="Q324" s="247">
        <f t="shared" si="236"/>
        <v>0.95715080690038956</v>
      </c>
      <c r="R324" s="247">
        <f t="shared" si="237"/>
        <v>0</v>
      </c>
      <c r="S324" s="247">
        <f t="shared" si="238"/>
        <v>0</v>
      </c>
      <c r="T324" s="247">
        <f t="shared" si="239"/>
        <v>0</v>
      </c>
      <c r="U324" s="247">
        <f t="shared" si="240"/>
        <v>0</v>
      </c>
      <c r="V324" s="247">
        <f t="shared" si="241"/>
        <v>0</v>
      </c>
      <c r="W324" s="231"/>
      <c r="X324" s="231"/>
    </row>
    <row r="325" spans="1:24" hidden="1" outlineLevel="2" x14ac:dyDescent="0.3">
      <c r="A325" s="448"/>
      <c r="B325" s="231" t="s">
        <v>77</v>
      </c>
      <c r="C325" s="21">
        <v>0</v>
      </c>
      <c r="D325" s="21">
        <v>0</v>
      </c>
      <c r="E325" s="21">
        <v>0</v>
      </c>
      <c r="F325" s="21">
        <v>0</v>
      </c>
      <c r="G325" s="21">
        <v>0</v>
      </c>
      <c r="H325" s="21">
        <f>$J$54*$M$54+$J$64*$M$64+SUMPRODUCT($J$69:$J$84,$M$69:$M$84)</f>
        <v>86</v>
      </c>
      <c r="I325" s="144">
        <v>0</v>
      </c>
      <c r="J325" s="144">
        <v>0</v>
      </c>
      <c r="K325" s="144">
        <v>0</v>
      </c>
      <c r="L325" s="144">
        <v>0</v>
      </c>
      <c r="M325" s="255">
        <f t="shared" si="232"/>
        <v>0</v>
      </c>
      <c r="N325" s="247">
        <f t="shared" si="233"/>
        <v>0</v>
      </c>
      <c r="O325" s="247">
        <f t="shared" si="234"/>
        <v>0</v>
      </c>
      <c r="P325" s="247">
        <f t="shared" si="235"/>
        <v>0</v>
      </c>
      <c r="Q325" s="247">
        <f t="shared" si="236"/>
        <v>0</v>
      </c>
      <c r="R325" s="247">
        <f t="shared" si="237"/>
        <v>0.95715080690038956</v>
      </c>
      <c r="S325" s="247">
        <f t="shared" si="238"/>
        <v>0</v>
      </c>
      <c r="T325" s="247">
        <f t="shared" si="239"/>
        <v>0</v>
      </c>
      <c r="U325" s="247">
        <f t="shared" si="240"/>
        <v>0</v>
      </c>
      <c r="V325" s="247">
        <f t="shared" si="241"/>
        <v>0</v>
      </c>
      <c r="W325" s="231"/>
      <c r="X325" s="231"/>
    </row>
    <row r="326" spans="1:24" hidden="1" outlineLevel="2" x14ac:dyDescent="0.3">
      <c r="A326" s="448"/>
      <c r="B326" s="231" t="s">
        <v>78</v>
      </c>
      <c r="C326" s="21">
        <v>0</v>
      </c>
      <c r="D326" s="21">
        <v>0</v>
      </c>
      <c r="E326" s="21">
        <v>0</v>
      </c>
      <c r="F326" s="21">
        <v>0</v>
      </c>
      <c r="G326" s="21">
        <v>0</v>
      </c>
      <c r="H326" s="21">
        <v>0</v>
      </c>
      <c r="I326" s="21">
        <f>$J$54*$M$54+$J$64*$M$64+SUMPRODUCT($J$69:$J$84,$M$69:$M$84)</f>
        <v>86</v>
      </c>
      <c r="J326" s="144">
        <v>0</v>
      </c>
      <c r="K326" s="144">
        <v>0</v>
      </c>
      <c r="L326" s="144">
        <v>0</v>
      </c>
      <c r="M326" s="255">
        <f t="shared" si="232"/>
        <v>0</v>
      </c>
      <c r="N326" s="247">
        <f t="shared" si="233"/>
        <v>0</v>
      </c>
      <c r="O326" s="247">
        <f t="shared" si="234"/>
        <v>0</v>
      </c>
      <c r="P326" s="247">
        <f t="shared" si="235"/>
        <v>0</v>
      </c>
      <c r="Q326" s="247">
        <f t="shared" si="236"/>
        <v>0</v>
      </c>
      <c r="R326" s="247">
        <f t="shared" si="237"/>
        <v>0</v>
      </c>
      <c r="S326" s="247">
        <f t="shared" si="238"/>
        <v>0.95715080690038956</v>
      </c>
      <c r="T326" s="247">
        <f t="shared" si="239"/>
        <v>0</v>
      </c>
      <c r="U326" s="247">
        <f t="shared" si="240"/>
        <v>0</v>
      </c>
      <c r="V326" s="247">
        <f t="shared" si="241"/>
        <v>0</v>
      </c>
      <c r="W326" s="231"/>
      <c r="X326" s="231"/>
    </row>
    <row r="327" spans="1:24" hidden="1" outlineLevel="2" x14ac:dyDescent="0.3">
      <c r="A327" s="448"/>
      <c r="B327" s="231" t="s">
        <v>79</v>
      </c>
      <c r="C327" s="21">
        <v>0</v>
      </c>
      <c r="D327" s="21">
        <v>0</v>
      </c>
      <c r="E327" s="21">
        <v>0</v>
      </c>
      <c r="F327" s="21">
        <v>0</v>
      </c>
      <c r="G327" s="21">
        <v>0</v>
      </c>
      <c r="H327" s="21">
        <v>0</v>
      </c>
      <c r="I327" s="21">
        <v>0</v>
      </c>
      <c r="J327" s="21">
        <f>$J$54*$M$54+$J$64*$M$64+SUMPRODUCT($J$69:$J$84,$M$69:$M$84)</f>
        <v>86</v>
      </c>
      <c r="K327" s="144">
        <v>0</v>
      </c>
      <c r="L327" s="144">
        <v>0</v>
      </c>
      <c r="M327" s="255">
        <f t="shared" si="232"/>
        <v>0</v>
      </c>
      <c r="N327" s="247">
        <f t="shared" si="233"/>
        <v>0</v>
      </c>
      <c r="O327" s="247">
        <f t="shared" si="234"/>
        <v>0</v>
      </c>
      <c r="P327" s="247">
        <f t="shared" si="235"/>
        <v>0</v>
      </c>
      <c r="Q327" s="247">
        <f t="shared" si="236"/>
        <v>0</v>
      </c>
      <c r="R327" s="247">
        <f t="shared" si="237"/>
        <v>0</v>
      </c>
      <c r="S327" s="247">
        <f t="shared" si="238"/>
        <v>0</v>
      </c>
      <c r="T327" s="247">
        <f t="shared" si="239"/>
        <v>0.95715080690038956</v>
      </c>
      <c r="U327" s="247">
        <f t="shared" si="240"/>
        <v>0</v>
      </c>
      <c r="V327" s="247">
        <f t="shared" si="241"/>
        <v>0</v>
      </c>
      <c r="W327" s="231"/>
      <c r="X327" s="231"/>
    </row>
    <row r="328" spans="1:24" hidden="1" outlineLevel="2" x14ac:dyDescent="0.3">
      <c r="A328" s="448"/>
      <c r="B328" s="231" t="s">
        <v>80</v>
      </c>
      <c r="C328" s="21">
        <v>0</v>
      </c>
      <c r="D328" s="21">
        <v>0</v>
      </c>
      <c r="E328" s="21">
        <v>0</v>
      </c>
      <c r="F328" s="21">
        <v>0</v>
      </c>
      <c r="G328" s="21">
        <v>0</v>
      </c>
      <c r="H328" s="21">
        <v>0</v>
      </c>
      <c r="I328" s="21">
        <v>0</v>
      </c>
      <c r="J328" s="21">
        <v>0</v>
      </c>
      <c r="K328" s="21">
        <f>$J$54*$M$54+$J$64*$M$64+SUMPRODUCT($J$69:$J$84,$M$69:$M$84)</f>
        <v>86</v>
      </c>
      <c r="L328" s="144">
        <v>0</v>
      </c>
      <c r="M328" s="255">
        <f t="shared" si="232"/>
        <v>0</v>
      </c>
      <c r="N328" s="247">
        <f t="shared" si="233"/>
        <v>0</v>
      </c>
      <c r="O328" s="247">
        <f t="shared" si="234"/>
        <v>0</v>
      </c>
      <c r="P328" s="247">
        <f t="shared" si="235"/>
        <v>0</v>
      </c>
      <c r="Q328" s="247">
        <f t="shared" si="236"/>
        <v>0</v>
      </c>
      <c r="R328" s="247">
        <f t="shared" si="237"/>
        <v>0</v>
      </c>
      <c r="S328" s="247">
        <f t="shared" si="238"/>
        <v>0</v>
      </c>
      <c r="T328" s="247">
        <f t="shared" si="239"/>
        <v>0</v>
      </c>
      <c r="U328" s="247">
        <f t="shared" si="240"/>
        <v>0.95715080690038956</v>
      </c>
      <c r="V328" s="247">
        <f t="shared" si="241"/>
        <v>0</v>
      </c>
      <c r="W328" s="231"/>
      <c r="X328" s="231"/>
    </row>
    <row r="329" spans="1:24" hidden="1" outlineLevel="2" x14ac:dyDescent="0.3">
      <c r="A329" s="449"/>
      <c r="B329" s="182" t="s">
        <v>134</v>
      </c>
      <c r="C329" s="183">
        <v>0</v>
      </c>
      <c r="D329" s="183">
        <v>0</v>
      </c>
      <c r="E329" s="183">
        <v>0</v>
      </c>
      <c r="F329" s="183">
        <v>0</v>
      </c>
      <c r="G329" s="183">
        <v>0</v>
      </c>
      <c r="H329" s="183">
        <v>0</v>
      </c>
      <c r="I329" s="183">
        <v>0</v>
      </c>
      <c r="J329" s="183">
        <v>0</v>
      </c>
      <c r="K329" s="183">
        <v>0</v>
      </c>
      <c r="L329" s="239">
        <v>0</v>
      </c>
      <c r="M329" s="255">
        <f t="shared" si="232"/>
        <v>0</v>
      </c>
      <c r="N329" s="247">
        <f t="shared" si="233"/>
        <v>0</v>
      </c>
      <c r="O329" s="247">
        <f t="shared" si="234"/>
        <v>0</v>
      </c>
      <c r="P329" s="247">
        <f t="shared" si="235"/>
        <v>0</v>
      </c>
      <c r="Q329" s="247">
        <f t="shared" si="236"/>
        <v>0</v>
      </c>
      <c r="R329" s="247">
        <f t="shared" si="237"/>
        <v>0</v>
      </c>
      <c r="S329" s="247">
        <f t="shared" si="238"/>
        <v>0</v>
      </c>
      <c r="T329" s="247">
        <f t="shared" si="239"/>
        <v>0</v>
      </c>
      <c r="U329" s="247">
        <f t="shared" si="240"/>
        <v>0</v>
      </c>
      <c r="V329" s="247">
        <f t="shared" si="241"/>
        <v>0</v>
      </c>
      <c r="W329" s="231"/>
      <c r="X329" s="231"/>
    </row>
    <row r="330" spans="1:24" ht="14.4" hidden="1" customHeight="1" outlineLevel="2" x14ac:dyDescent="0.3">
      <c r="A330" s="455" t="s">
        <v>243</v>
      </c>
      <c r="B330" s="231" t="s">
        <v>72</v>
      </c>
      <c r="C330" s="21">
        <f>SUMPRODUCT($I$45:$I$66,Y45:Y66)+SUMPRODUCT($I$45:$I$66,$N$45:$N$66)+SUMPRODUCT($I$69:$I$88,$N$69:$N$88)</f>
        <v>5263.6821312301163</v>
      </c>
      <c r="D330" s="21">
        <f>SUMPRODUCT($J$45:$J$66,Z$45:Z$66)</f>
        <v>332.82960000000003</v>
      </c>
      <c r="E330" s="21">
        <f t="shared" ref="E330:L330" si="248">SUMPRODUCT($J$45:$J$66,AA$45:AA$66)</f>
        <v>266.26367999999997</v>
      </c>
      <c r="F330" s="21">
        <f t="shared" si="248"/>
        <v>213.01094399999994</v>
      </c>
      <c r="G330" s="21">
        <f t="shared" si="248"/>
        <v>170.40875519999997</v>
      </c>
      <c r="H330" s="21">
        <f t="shared" si="248"/>
        <v>136.32700416</v>
      </c>
      <c r="I330" s="21">
        <f t="shared" si="248"/>
        <v>109.06160332800005</v>
      </c>
      <c r="J330" s="21">
        <f t="shared" si="248"/>
        <v>87.24928266240002</v>
      </c>
      <c r="K330" s="21">
        <f t="shared" si="248"/>
        <v>69.799426129920022</v>
      </c>
      <c r="L330" s="21">
        <f t="shared" si="248"/>
        <v>55.839540903936012</v>
      </c>
      <c r="M330" s="255">
        <f t="shared" si="232"/>
        <v>58.582995339233349</v>
      </c>
      <c r="N330" s="247">
        <f t="shared" si="233"/>
        <v>3.7042804674457432</v>
      </c>
      <c r="O330" s="247">
        <f t="shared" si="234"/>
        <v>2.963424373956594</v>
      </c>
      <c r="P330" s="247">
        <f t="shared" si="235"/>
        <v>2.3707394991652748</v>
      </c>
      <c r="Q330" s="247">
        <f t="shared" si="236"/>
        <v>1.8965915993322202</v>
      </c>
      <c r="R330" s="247">
        <f t="shared" si="237"/>
        <v>1.5172732794657764</v>
      </c>
      <c r="S330" s="247">
        <f t="shared" si="238"/>
        <v>1.2138186235726216</v>
      </c>
      <c r="T330" s="247">
        <f t="shared" si="239"/>
        <v>0.97105489885809715</v>
      </c>
      <c r="U330" s="247">
        <f t="shared" si="240"/>
        <v>0.77684391908647776</v>
      </c>
      <c r="V330" s="247">
        <f t="shared" si="241"/>
        <v>0.62147513526918219</v>
      </c>
      <c r="W330" s="231"/>
      <c r="X330" s="231"/>
    </row>
    <row r="331" spans="1:24" hidden="1" outlineLevel="2" x14ac:dyDescent="0.3">
      <c r="A331" s="448"/>
      <c r="B331" s="231" t="s">
        <v>73</v>
      </c>
      <c r="C331" s="21">
        <f>SUMPRODUCT($I$45:$I$66,Y45:Y66)+SUMPRODUCT($I$45:$I$66,$N$45:$N$66)+SUMPRODUCT($I$69:$I$88,$N$69:$N$88)</f>
        <v>5263.6821312301163</v>
      </c>
      <c r="D331" s="21">
        <f>SUMPRODUCT($I$45:$I$66,Z45:Z66)+SUMPRODUCT($I$45:$I$66,$N$45:$N$66)+SUMPRODUCT($I$69:$I$88,$N$69:$N$88)</f>
        <v>4289.5547312301169</v>
      </c>
      <c r="E331" s="21">
        <f t="shared" ref="E331" si="249">SUMPRODUCT($J$45:$J$66,AA$45:AA$66)</f>
        <v>266.26367999999997</v>
      </c>
      <c r="F331" s="21">
        <f t="shared" ref="F331" si="250">SUMPRODUCT($J$45:$J$66,AB$45:AB$66)</f>
        <v>213.01094399999994</v>
      </c>
      <c r="G331" s="21">
        <f t="shared" ref="G331" si="251">SUMPRODUCT($J$45:$J$66,AC$45:AC$66)</f>
        <v>170.40875519999997</v>
      </c>
      <c r="H331" s="21">
        <f t="shared" ref="H331" si="252">SUMPRODUCT($J$45:$J$66,AD$45:AD$66)</f>
        <v>136.32700416</v>
      </c>
      <c r="I331" s="21">
        <f t="shared" ref="I331" si="253">SUMPRODUCT($J$45:$J$66,AE$45:AE$66)</f>
        <v>109.06160332800005</v>
      </c>
      <c r="J331" s="21">
        <f t="shared" ref="J331" si="254">SUMPRODUCT($J$45:$J$66,AF$45:AF$66)</f>
        <v>87.24928266240002</v>
      </c>
      <c r="K331" s="21">
        <f t="shared" ref="K331" si="255">SUMPRODUCT($J$45:$J$66,AG$45:AG$66)</f>
        <v>69.799426129920022</v>
      </c>
      <c r="L331" s="21">
        <f t="shared" ref="L331" si="256">SUMPRODUCT($J$45:$J$66,AH$45:AH$66)</f>
        <v>55.839540903936012</v>
      </c>
      <c r="M331" s="255">
        <f t="shared" si="232"/>
        <v>58.582995339233349</v>
      </c>
      <c r="N331" s="247">
        <f t="shared" si="233"/>
        <v>47.741288049305702</v>
      </c>
      <c r="O331" s="247">
        <f t="shared" si="234"/>
        <v>2.963424373956594</v>
      </c>
      <c r="P331" s="247">
        <f t="shared" si="235"/>
        <v>2.3707394991652748</v>
      </c>
      <c r="Q331" s="247">
        <f t="shared" si="236"/>
        <v>1.8965915993322202</v>
      </c>
      <c r="R331" s="247">
        <f t="shared" si="237"/>
        <v>1.5172732794657764</v>
      </c>
      <c r="S331" s="247">
        <f t="shared" si="238"/>
        <v>1.2138186235726216</v>
      </c>
      <c r="T331" s="247">
        <f t="shared" si="239"/>
        <v>0.97105489885809715</v>
      </c>
      <c r="U331" s="247">
        <f t="shared" si="240"/>
        <v>0.77684391908647776</v>
      </c>
      <c r="V331" s="247">
        <f t="shared" si="241"/>
        <v>0.62147513526918219</v>
      </c>
      <c r="W331" s="231"/>
      <c r="X331" s="231"/>
    </row>
    <row r="332" spans="1:24" hidden="1" outlineLevel="2" x14ac:dyDescent="0.3">
      <c r="A332" s="448"/>
      <c r="B332" s="231" t="s">
        <v>74</v>
      </c>
      <c r="C332" s="21">
        <f>SUMPRODUCT($I$45:$I$66,Y45:Y66)+SUMPRODUCT($I$45:$I$66,$N$45:$N$66)+SUMPRODUCT($I$69:$I$88,$N$69:$N$88)</f>
        <v>5263.6821312301163</v>
      </c>
      <c r="D332" s="21">
        <f>SUMPRODUCT($I$45:$I$66,Z45:Z66)+SUMPRODUCT($I$45:$I$66,$N$45:$N$66)+SUMPRODUCT($I$69:$I$88,$N$69:$N$88)</f>
        <v>4289.5547312301169</v>
      </c>
      <c r="E332" s="21">
        <f>SUMPRODUCT($I$45:$I$66,AA45:AA66)+SUMPRODUCT($I$45:$I$66,$N$45:$N$66)+SUMPRODUCT($I$69:$I$88,$N$69:$N$88)</f>
        <v>3510.2528112301161</v>
      </c>
      <c r="F332" s="21">
        <f t="shared" ref="F332" si="257">SUMPRODUCT($J$45:$J$66,AB$45:AB$66)</f>
        <v>213.01094399999994</v>
      </c>
      <c r="G332" s="21">
        <f t="shared" ref="G332" si="258">SUMPRODUCT($J$45:$J$66,AC$45:AC$66)</f>
        <v>170.40875519999997</v>
      </c>
      <c r="H332" s="21">
        <f t="shared" ref="H332" si="259">SUMPRODUCT($J$45:$J$66,AD$45:AD$66)</f>
        <v>136.32700416</v>
      </c>
      <c r="I332" s="21">
        <f t="shared" ref="I332" si="260">SUMPRODUCT($J$45:$J$66,AE$45:AE$66)</f>
        <v>109.06160332800005</v>
      </c>
      <c r="J332" s="21">
        <f t="shared" ref="J332" si="261">SUMPRODUCT($J$45:$J$66,AF$45:AF$66)</f>
        <v>87.24928266240002</v>
      </c>
      <c r="K332" s="21">
        <f t="shared" ref="K332" si="262">SUMPRODUCT($J$45:$J$66,AG$45:AG$66)</f>
        <v>69.799426129920022</v>
      </c>
      <c r="L332" s="21">
        <f t="shared" ref="L332" si="263">SUMPRODUCT($J$45:$J$66,AH$45:AH$66)</f>
        <v>55.839540903936012</v>
      </c>
      <c r="M332" s="255">
        <f t="shared" si="232"/>
        <v>58.582995339233349</v>
      </c>
      <c r="N332" s="247">
        <f t="shared" si="233"/>
        <v>47.741288049305702</v>
      </c>
      <c r="O332" s="247">
        <f t="shared" si="234"/>
        <v>39.067922217363567</v>
      </c>
      <c r="P332" s="247">
        <f t="shared" si="235"/>
        <v>2.3707394991652748</v>
      </c>
      <c r="Q332" s="247">
        <f t="shared" si="236"/>
        <v>1.8965915993322202</v>
      </c>
      <c r="R332" s="247">
        <f t="shared" si="237"/>
        <v>1.5172732794657764</v>
      </c>
      <c r="S332" s="247">
        <f t="shared" si="238"/>
        <v>1.2138186235726216</v>
      </c>
      <c r="T332" s="247">
        <f t="shared" si="239"/>
        <v>0.97105489885809715</v>
      </c>
      <c r="U332" s="247">
        <f t="shared" si="240"/>
        <v>0.77684391908647776</v>
      </c>
      <c r="V332" s="247">
        <f t="shared" si="241"/>
        <v>0.62147513526918219</v>
      </c>
      <c r="W332" s="231"/>
      <c r="X332" s="231"/>
    </row>
    <row r="333" spans="1:24" hidden="1" outlineLevel="2" x14ac:dyDescent="0.3">
      <c r="A333" s="448"/>
      <c r="B333" s="231" t="s">
        <v>75</v>
      </c>
      <c r="C333" s="21">
        <f>SUMPRODUCT($I$45:$I$66,Y45:Y66)+SUMPRODUCT($I$45:$I$66,$N$45:$N$66)+SUMPRODUCT($I$69:$I$88,$N$69:$N$88)</f>
        <v>5263.6821312301163</v>
      </c>
      <c r="D333" s="21">
        <f>SUMPRODUCT($I$45:$I$66,Z45:Z66)+SUMPRODUCT($I$45:$I$66,$N$45:$N$66)+SUMPRODUCT($I$69:$I$88,$N$69:$N$88)</f>
        <v>4289.5547312301169</v>
      </c>
      <c r="E333" s="21">
        <f>SUMPRODUCT($I$45:$I$66,AA45:AA66)+SUMPRODUCT($I$45:$I$66,$N$45:$N$66)+SUMPRODUCT($I$69:$I$88,$N$69:$N$88)</f>
        <v>3510.2528112301161</v>
      </c>
      <c r="F333" s="21">
        <f>SUMPRODUCT($I$45:$I$66,AB45:AB66)+SUMPRODUCT($I$45:$I$66,$N$45:$N$66)+SUMPRODUCT($I$69:$I$88,$N$69:$N$88)</f>
        <v>2886.8112752301163</v>
      </c>
      <c r="G333" s="21">
        <f t="shared" ref="G333" si="264">SUMPRODUCT($J$45:$J$66,AC$45:AC$66)</f>
        <v>170.40875519999997</v>
      </c>
      <c r="H333" s="21">
        <f t="shared" ref="H333" si="265">SUMPRODUCT($J$45:$J$66,AD$45:AD$66)</f>
        <v>136.32700416</v>
      </c>
      <c r="I333" s="21">
        <f t="shared" ref="I333" si="266">SUMPRODUCT($J$45:$J$66,AE$45:AE$66)</f>
        <v>109.06160332800005</v>
      </c>
      <c r="J333" s="21">
        <f t="shared" ref="J333" si="267">SUMPRODUCT($J$45:$J$66,AF$45:AF$66)</f>
        <v>87.24928266240002</v>
      </c>
      <c r="K333" s="21">
        <f t="shared" ref="K333" si="268">SUMPRODUCT($J$45:$J$66,AG$45:AG$66)</f>
        <v>69.799426129920022</v>
      </c>
      <c r="L333" s="21">
        <f t="shared" ref="L333" si="269">SUMPRODUCT($J$45:$J$66,AH$45:AH$66)</f>
        <v>55.839540903936012</v>
      </c>
      <c r="M333" s="255">
        <f t="shared" si="232"/>
        <v>58.582995339233349</v>
      </c>
      <c r="N333" s="247">
        <f t="shared" si="233"/>
        <v>47.741288049305702</v>
      </c>
      <c r="O333" s="247">
        <f t="shared" si="234"/>
        <v>39.067922217363567</v>
      </c>
      <c r="P333" s="247">
        <f t="shared" si="235"/>
        <v>32.129229551809864</v>
      </c>
      <c r="Q333" s="247">
        <f t="shared" si="236"/>
        <v>1.8965915993322202</v>
      </c>
      <c r="R333" s="247">
        <f t="shared" si="237"/>
        <v>1.5172732794657764</v>
      </c>
      <c r="S333" s="247">
        <f t="shared" si="238"/>
        <v>1.2138186235726216</v>
      </c>
      <c r="T333" s="247">
        <f t="shared" si="239"/>
        <v>0.97105489885809715</v>
      </c>
      <c r="U333" s="247">
        <f t="shared" si="240"/>
        <v>0.77684391908647776</v>
      </c>
      <c r="V333" s="247">
        <f t="shared" si="241"/>
        <v>0.62147513526918219</v>
      </c>
      <c r="W333" s="231"/>
      <c r="X333" s="231"/>
    </row>
    <row r="334" spans="1:24" hidden="1" outlineLevel="2" x14ac:dyDescent="0.3">
      <c r="A334" s="448"/>
      <c r="B334" s="231" t="s">
        <v>76</v>
      </c>
      <c r="C334" s="21">
        <f>SUMPRODUCT($I$45:$I$66,Y45:Y66)+SUMPRODUCT($I$45:$I$66,$N$45:$N$66)+SUMPRODUCT($I$69:$I$88,$N$69:$N$88)</f>
        <v>5263.6821312301163</v>
      </c>
      <c r="D334" s="21">
        <f>SUMPRODUCT($I$45:$I$66,Z45:Z66)+SUMPRODUCT($I$45:$I$66,$N$45:$N$66)+SUMPRODUCT($I$69:$I$88,$N$69:$N$88)</f>
        <v>4289.5547312301169</v>
      </c>
      <c r="E334" s="21">
        <f>SUMPRODUCT($I$45:$I$66,AA45:AA66)+SUMPRODUCT($I$45:$I$66,$N$45:$N$66)+SUMPRODUCT($I$69:$I$88,$N$69:$N$88)</f>
        <v>3510.2528112301161</v>
      </c>
      <c r="F334" s="21">
        <f>SUMPRODUCT($I$45:$I$66,AB45:AB66)+SUMPRODUCT($I$45:$I$66,$N$45:$N$66)+SUMPRODUCT($I$69:$I$88,$N$69:$N$88)</f>
        <v>2886.8112752301163</v>
      </c>
      <c r="G334" s="21">
        <f>SUMPRODUCT($I$45:$I$66,AC45:AC66)+SUMPRODUCT($I$45:$I$66,$N$45:$N$66)+SUMPRODUCT($I$69:$I$88,$N$69:$N$88)</f>
        <v>2388.0580464301165</v>
      </c>
      <c r="H334" s="21">
        <f t="shared" ref="H334" si="270">SUMPRODUCT($J$45:$J$66,AD$45:AD$66)</f>
        <v>136.32700416</v>
      </c>
      <c r="I334" s="21">
        <f t="shared" ref="I334" si="271">SUMPRODUCT($J$45:$J$66,AE$45:AE$66)</f>
        <v>109.06160332800005</v>
      </c>
      <c r="J334" s="21">
        <f t="shared" ref="J334" si="272">SUMPRODUCT($J$45:$J$66,AF$45:AF$66)</f>
        <v>87.24928266240002</v>
      </c>
      <c r="K334" s="21">
        <f t="shared" ref="K334" si="273">SUMPRODUCT($J$45:$J$66,AG$45:AG$66)</f>
        <v>69.799426129920022</v>
      </c>
      <c r="L334" s="21">
        <f t="shared" ref="L334" si="274">SUMPRODUCT($J$45:$J$66,AH$45:AH$66)</f>
        <v>55.839540903936012</v>
      </c>
      <c r="M334" s="255">
        <f t="shared" si="232"/>
        <v>58.582995339233349</v>
      </c>
      <c r="N334" s="247">
        <f t="shared" si="233"/>
        <v>47.741288049305702</v>
      </c>
      <c r="O334" s="247">
        <f t="shared" si="234"/>
        <v>39.067922217363567</v>
      </c>
      <c r="P334" s="247">
        <f t="shared" si="235"/>
        <v>32.129229551809864</v>
      </c>
      <c r="Q334" s="247">
        <f t="shared" si="236"/>
        <v>26.578275419366907</v>
      </c>
      <c r="R334" s="247">
        <f t="shared" si="237"/>
        <v>1.5172732794657764</v>
      </c>
      <c r="S334" s="247">
        <f t="shared" si="238"/>
        <v>1.2138186235726216</v>
      </c>
      <c r="T334" s="247">
        <f t="shared" si="239"/>
        <v>0.97105489885809715</v>
      </c>
      <c r="U334" s="247">
        <f t="shared" si="240"/>
        <v>0.77684391908647776</v>
      </c>
      <c r="V334" s="247">
        <f t="shared" si="241"/>
        <v>0.62147513526918219</v>
      </c>
      <c r="W334" s="231"/>
      <c r="X334" s="231"/>
    </row>
    <row r="335" spans="1:24" hidden="1" outlineLevel="2" x14ac:dyDescent="0.3">
      <c r="A335" s="448"/>
      <c r="B335" s="231" t="s">
        <v>77</v>
      </c>
      <c r="C335" s="21">
        <f t="shared" ref="C335:H335" si="275">SUMPRODUCT($I$45:$I$66,Y45:Y66)+SUMPRODUCT($I$45:$I$66,$N$45:$N$66)+SUMPRODUCT($I$69:$I$88,$N$69:$N$88)</f>
        <v>5263.6821312301163</v>
      </c>
      <c r="D335" s="21">
        <f t="shared" si="275"/>
        <v>4289.5547312301169</v>
      </c>
      <c r="E335" s="21">
        <f t="shared" si="275"/>
        <v>3510.2528112301161</v>
      </c>
      <c r="F335" s="21">
        <f t="shared" si="275"/>
        <v>2886.8112752301163</v>
      </c>
      <c r="G335" s="21">
        <f t="shared" si="275"/>
        <v>2388.0580464301165</v>
      </c>
      <c r="H335" s="21">
        <f t="shared" si="275"/>
        <v>1989.0554633901165</v>
      </c>
      <c r="I335" s="21">
        <f t="shared" ref="I335" si="276">SUMPRODUCT($J$45:$J$66,AE$45:AE$66)</f>
        <v>109.06160332800005</v>
      </c>
      <c r="J335" s="21">
        <f t="shared" ref="J335" si="277">SUMPRODUCT($J$45:$J$66,AF$45:AF$66)</f>
        <v>87.24928266240002</v>
      </c>
      <c r="K335" s="21">
        <f t="shared" ref="K335" si="278">SUMPRODUCT($J$45:$J$66,AG$45:AG$66)</f>
        <v>69.799426129920022</v>
      </c>
      <c r="L335" s="21">
        <f t="shared" ref="L335" si="279">SUMPRODUCT($J$45:$J$66,AH$45:AH$66)</f>
        <v>55.839540903936012</v>
      </c>
      <c r="M335" s="255">
        <f t="shared" si="232"/>
        <v>58.582995339233349</v>
      </c>
      <c r="N335" s="247">
        <f t="shared" si="233"/>
        <v>47.741288049305702</v>
      </c>
      <c r="O335" s="247">
        <f t="shared" si="234"/>
        <v>39.067922217363567</v>
      </c>
      <c r="P335" s="247">
        <f t="shared" si="235"/>
        <v>32.129229551809864</v>
      </c>
      <c r="Q335" s="247">
        <f t="shared" si="236"/>
        <v>26.578275419366907</v>
      </c>
      <c r="R335" s="247">
        <f t="shared" si="237"/>
        <v>22.137512113412541</v>
      </c>
      <c r="S335" s="247">
        <f t="shared" si="238"/>
        <v>1.2138186235726216</v>
      </c>
      <c r="T335" s="247">
        <f t="shared" si="239"/>
        <v>0.97105489885809715</v>
      </c>
      <c r="U335" s="247">
        <f t="shared" si="240"/>
        <v>0.77684391908647776</v>
      </c>
      <c r="V335" s="247">
        <f t="shared" si="241"/>
        <v>0.62147513526918219</v>
      </c>
      <c r="W335" s="231"/>
      <c r="X335" s="231"/>
    </row>
    <row r="336" spans="1:24" hidden="1" outlineLevel="2" x14ac:dyDescent="0.3">
      <c r="A336" s="448"/>
      <c r="B336" s="231" t="s">
        <v>78</v>
      </c>
      <c r="C336" s="21">
        <f t="shared" ref="C336:I336" si="280">SUMPRODUCT($I$45:$I$66,Y45:Y66)+SUMPRODUCT($I$45:$I$66,$N$45:$N$66)+SUMPRODUCT($I$69:$I$88,$N$69:$N$88)</f>
        <v>5263.6821312301163</v>
      </c>
      <c r="D336" s="21">
        <f t="shared" si="280"/>
        <v>4289.5547312301169</v>
      </c>
      <c r="E336" s="21">
        <f t="shared" si="280"/>
        <v>3510.2528112301161</v>
      </c>
      <c r="F336" s="21">
        <f t="shared" si="280"/>
        <v>2886.8112752301163</v>
      </c>
      <c r="G336" s="21">
        <f t="shared" si="280"/>
        <v>2388.0580464301165</v>
      </c>
      <c r="H336" s="21">
        <f t="shared" si="280"/>
        <v>1989.0554633901165</v>
      </c>
      <c r="I336" s="21">
        <f t="shared" si="280"/>
        <v>1669.8533969581165</v>
      </c>
      <c r="J336" s="21">
        <f t="shared" ref="J336" si="281">SUMPRODUCT($J$45:$J$66,AF$45:AF$66)</f>
        <v>87.24928266240002</v>
      </c>
      <c r="K336" s="21">
        <f t="shared" ref="K336" si="282">SUMPRODUCT($J$45:$J$66,AG$45:AG$66)</f>
        <v>69.799426129920022</v>
      </c>
      <c r="L336" s="21">
        <f t="shared" ref="L336" si="283">SUMPRODUCT($J$45:$J$66,AH$45:AH$66)</f>
        <v>55.839540903936012</v>
      </c>
      <c r="M336" s="255">
        <f t="shared" si="232"/>
        <v>58.582995339233349</v>
      </c>
      <c r="N336" s="247">
        <f t="shared" si="233"/>
        <v>47.741288049305702</v>
      </c>
      <c r="O336" s="247">
        <f t="shared" si="234"/>
        <v>39.067922217363567</v>
      </c>
      <c r="P336" s="247">
        <f t="shared" si="235"/>
        <v>32.129229551809864</v>
      </c>
      <c r="Q336" s="247">
        <f t="shared" si="236"/>
        <v>26.578275419366907</v>
      </c>
      <c r="R336" s="247">
        <f t="shared" si="237"/>
        <v>22.137512113412541</v>
      </c>
      <c r="S336" s="247">
        <f t="shared" si="238"/>
        <v>18.584901468649043</v>
      </c>
      <c r="T336" s="247">
        <f t="shared" si="239"/>
        <v>0.97105489885809715</v>
      </c>
      <c r="U336" s="247">
        <f t="shared" si="240"/>
        <v>0.77684391908647776</v>
      </c>
      <c r="V336" s="247">
        <f t="shared" si="241"/>
        <v>0.62147513526918219</v>
      </c>
      <c r="W336" s="231"/>
      <c r="X336" s="231"/>
    </row>
    <row r="337" spans="1:24" hidden="1" outlineLevel="2" x14ac:dyDescent="0.3">
      <c r="A337" s="448"/>
      <c r="B337" s="231" t="s">
        <v>79</v>
      </c>
      <c r="C337" s="21">
        <f t="shared" ref="C337:J337" si="284">SUMPRODUCT($I$45:$I$66,Y45:Y66)+SUMPRODUCT($I$45:$I$66,$N$45:$N$66)+SUMPRODUCT($I$69:$I$88,$N$69:$N$88)</f>
        <v>5263.6821312301163</v>
      </c>
      <c r="D337" s="21">
        <f t="shared" si="284"/>
        <v>4289.5547312301169</v>
      </c>
      <c r="E337" s="21">
        <f t="shared" si="284"/>
        <v>3510.2528112301161</v>
      </c>
      <c r="F337" s="21">
        <f t="shared" si="284"/>
        <v>2886.8112752301163</v>
      </c>
      <c r="G337" s="21">
        <f t="shared" si="284"/>
        <v>2388.0580464301165</v>
      </c>
      <c r="H337" s="21">
        <f t="shared" si="284"/>
        <v>1989.0554633901165</v>
      </c>
      <c r="I337" s="21">
        <f t="shared" si="284"/>
        <v>1669.8533969581165</v>
      </c>
      <c r="J337" s="21">
        <f t="shared" si="284"/>
        <v>1414.4917438125169</v>
      </c>
      <c r="K337" s="21">
        <f t="shared" ref="K337" si="285">SUMPRODUCT($J$45:$J$66,AG$45:AG$66)</f>
        <v>69.799426129920022</v>
      </c>
      <c r="L337" s="21">
        <f t="shared" ref="L337:L338" si="286">SUMPRODUCT($J$45:$J$66,AH$45:AH$66)</f>
        <v>55.839540903936012</v>
      </c>
      <c r="M337" s="255">
        <f t="shared" si="232"/>
        <v>58.582995339233349</v>
      </c>
      <c r="N337" s="247">
        <f t="shared" si="233"/>
        <v>47.741288049305702</v>
      </c>
      <c r="O337" s="247">
        <f t="shared" si="234"/>
        <v>39.067922217363567</v>
      </c>
      <c r="P337" s="247">
        <f t="shared" si="235"/>
        <v>32.129229551809864</v>
      </c>
      <c r="Q337" s="247">
        <f t="shared" si="236"/>
        <v>26.578275419366907</v>
      </c>
      <c r="R337" s="247">
        <f t="shared" si="237"/>
        <v>22.137512113412541</v>
      </c>
      <c r="S337" s="247">
        <f t="shared" si="238"/>
        <v>18.584901468649043</v>
      </c>
      <c r="T337" s="247">
        <f t="shared" si="239"/>
        <v>15.742812952838253</v>
      </c>
      <c r="U337" s="247">
        <f t="shared" si="240"/>
        <v>0.77684391908647776</v>
      </c>
      <c r="V337" s="247">
        <f t="shared" si="241"/>
        <v>0.62147513526918219</v>
      </c>
      <c r="W337" s="231"/>
      <c r="X337" s="231"/>
    </row>
    <row r="338" spans="1:24" hidden="1" outlineLevel="2" x14ac:dyDescent="0.3">
      <c r="A338" s="448"/>
      <c r="B338" s="231" t="s">
        <v>80</v>
      </c>
      <c r="C338" s="21">
        <f t="shared" ref="C338:K338" si="287">SUMPRODUCT($I$45:$I$66,Y45:Y66)+SUMPRODUCT($I$45:$I$66,$N$45:$N$66)+SUMPRODUCT($I$69:$I$88,$N$69:$N$88)</f>
        <v>5263.6821312301163</v>
      </c>
      <c r="D338" s="21">
        <f t="shared" si="287"/>
        <v>4289.5547312301169</v>
      </c>
      <c r="E338" s="21">
        <f t="shared" si="287"/>
        <v>3510.2528112301161</v>
      </c>
      <c r="F338" s="21">
        <f t="shared" si="287"/>
        <v>2886.8112752301163</v>
      </c>
      <c r="G338" s="21">
        <f t="shared" si="287"/>
        <v>2388.0580464301165</v>
      </c>
      <c r="H338" s="21">
        <f t="shared" si="287"/>
        <v>1989.0554633901165</v>
      </c>
      <c r="I338" s="21">
        <f t="shared" si="287"/>
        <v>1669.8533969581165</v>
      </c>
      <c r="J338" s="21">
        <f t="shared" si="287"/>
        <v>1414.4917438125169</v>
      </c>
      <c r="K338" s="21">
        <f t="shared" si="287"/>
        <v>1210.2024212960368</v>
      </c>
      <c r="L338" s="21">
        <f t="shared" si="286"/>
        <v>55.839540903936012</v>
      </c>
      <c r="M338" s="255">
        <f t="shared" si="232"/>
        <v>58.582995339233349</v>
      </c>
      <c r="N338" s="247">
        <f t="shared" si="233"/>
        <v>47.741288049305702</v>
      </c>
      <c r="O338" s="247">
        <f t="shared" si="234"/>
        <v>39.067922217363567</v>
      </c>
      <c r="P338" s="247">
        <f t="shared" si="235"/>
        <v>32.129229551809864</v>
      </c>
      <c r="Q338" s="247">
        <f t="shared" si="236"/>
        <v>26.578275419366907</v>
      </c>
      <c r="R338" s="247">
        <f t="shared" si="237"/>
        <v>22.137512113412541</v>
      </c>
      <c r="S338" s="247">
        <f t="shared" si="238"/>
        <v>18.584901468649043</v>
      </c>
      <c r="T338" s="247">
        <f t="shared" si="239"/>
        <v>15.742812952838253</v>
      </c>
      <c r="U338" s="247">
        <f t="shared" si="240"/>
        <v>13.469142140189614</v>
      </c>
      <c r="V338" s="247">
        <f t="shared" si="241"/>
        <v>0.62147513526918219</v>
      </c>
      <c r="W338" s="231"/>
      <c r="X338" s="231"/>
    </row>
    <row r="339" spans="1:24" hidden="1" outlineLevel="2" x14ac:dyDescent="0.3">
      <c r="A339" s="449"/>
      <c r="B339" s="182" t="s">
        <v>134</v>
      </c>
      <c r="C339" s="239">
        <f t="shared" ref="C339:L339" si="288">SUMPRODUCT($I$45:$I$66,Y45:Y66)+SUMPRODUCT($I$45:$I$66,$N$45:$N$66)+SUMPRODUCT($I$69:$I$88,$N$69:$N$88)</f>
        <v>5263.6821312301163</v>
      </c>
      <c r="D339" s="239">
        <f t="shared" si="288"/>
        <v>4289.5547312301169</v>
      </c>
      <c r="E339" s="239">
        <f t="shared" si="288"/>
        <v>3510.2528112301161</v>
      </c>
      <c r="F339" s="239">
        <f t="shared" si="288"/>
        <v>2886.8112752301163</v>
      </c>
      <c r="G339" s="239">
        <f t="shared" si="288"/>
        <v>2388.0580464301165</v>
      </c>
      <c r="H339" s="239">
        <f t="shared" si="288"/>
        <v>1989.0554633901165</v>
      </c>
      <c r="I339" s="239">
        <f t="shared" si="288"/>
        <v>1669.8533969581165</v>
      </c>
      <c r="J339" s="239">
        <f t="shared" si="288"/>
        <v>1414.4917438125169</v>
      </c>
      <c r="K339" s="239">
        <f t="shared" si="288"/>
        <v>1210.2024212960368</v>
      </c>
      <c r="L339" s="239">
        <f t="shared" si="288"/>
        <v>1046.770963282853</v>
      </c>
      <c r="M339" s="255">
        <f t="shared" si="232"/>
        <v>58.582995339233349</v>
      </c>
      <c r="N339" s="247">
        <f t="shared" si="233"/>
        <v>47.741288049305702</v>
      </c>
      <c r="O339" s="247">
        <f t="shared" si="234"/>
        <v>39.067922217363567</v>
      </c>
      <c r="P339" s="247">
        <f t="shared" si="235"/>
        <v>32.129229551809864</v>
      </c>
      <c r="Q339" s="247">
        <f t="shared" si="236"/>
        <v>26.578275419366907</v>
      </c>
      <c r="R339" s="247">
        <f t="shared" si="237"/>
        <v>22.137512113412541</v>
      </c>
      <c r="S339" s="247">
        <f t="shared" si="238"/>
        <v>18.584901468649043</v>
      </c>
      <c r="T339" s="247">
        <f t="shared" si="239"/>
        <v>15.742812952838253</v>
      </c>
      <c r="U339" s="247">
        <f t="shared" si="240"/>
        <v>13.469142140189614</v>
      </c>
      <c r="V339" s="247">
        <f t="shared" si="241"/>
        <v>11.650205490070707</v>
      </c>
      <c r="W339" s="231"/>
      <c r="X339" s="231"/>
    </row>
    <row r="340" spans="1:24" ht="14.4" hidden="1" customHeight="1" outlineLevel="2" x14ac:dyDescent="0.3">
      <c r="A340" s="455" t="s">
        <v>244</v>
      </c>
      <c r="B340" s="231" t="s">
        <v>72</v>
      </c>
      <c r="C340" s="246">
        <f>$I$67*$N$67+$I$68*$N$68</f>
        <v>0</v>
      </c>
      <c r="D340" s="21">
        <v>0</v>
      </c>
      <c r="E340" s="21">
        <v>0</v>
      </c>
      <c r="F340" s="21">
        <v>0</v>
      </c>
      <c r="G340" s="21">
        <v>0</v>
      </c>
      <c r="H340" s="21">
        <v>0</v>
      </c>
      <c r="I340" s="21">
        <v>0</v>
      </c>
      <c r="J340" s="21">
        <v>0</v>
      </c>
      <c r="K340" s="21">
        <v>0</v>
      </c>
      <c r="L340" s="21">
        <v>0</v>
      </c>
      <c r="M340" s="255">
        <f t="shared" si="232"/>
        <v>0</v>
      </c>
      <c r="N340" s="247">
        <f t="shared" si="233"/>
        <v>0</v>
      </c>
      <c r="O340" s="247">
        <f t="shared" si="234"/>
        <v>0</v>
      </c>
      <c r="P340" s="247">
        <f t="shared" si="235"/>
        <v>0</v>
      </c>
      <c r="Q340" s="247">
        <f t="shared" si="236"/>
        <v>0</v>
      </c>
      <c r="R340" s="247">
        <f t="shared" si="237"/>
        <v>0</v>
      </c>
      <c r="S340" s="247">
        <f t="shared" si="238"/>
        <v>0</v>
      </c>
      <c r="T340" s="247">
        <f t="shared" si="239"/>
        <v>0</v>
      </c>
      <c r="U340" s="247">
        <f t="shared" si="240"/>
        <v>0</v>
      </c>
      <c r="V340" s="247">
        <f t="shared" si="241"/>
        <v>0</v>
      </c>
    </row>
    <row r="341" spans="1:24" hidden="1" outlineLevel="2" x14ac:dyDescent="0.3">
      <c r="A341" s="448"/>
      <c r="B341" s="231" t="s">
        <v>73</v>
      </c>
      <c r="C341" s="21">
        <f t="shared" ref="C341:L349" si="289">$I$67*$N$67+$I$68*$N$68</f>
        <v>0</v>
      </c>
      <c r="D341" s="246">
        <f t="shared" si="289"/>
        <v>0</v>
      </c>
      <c r="E341" s="21">
        <v>0</v>
      </c>
      <c r="F341" s="21">
        <v>0</v>
      </c>
      <c r="G341" s="21">
        <v>0</v>
      </c>
      <c r="H341" s="21">
        <v>0</v>
      </c>
      <c r="I341" s="21">
        <v>0</v>
      </c>
      <c r="J341" s="21">
        <v>0</v>
      </c>
      <c r="K341" s="21">
        <v>0</v>
      </c>
      <c r="L341" s="21">
        <v>0</v>
      </c>
      <c r="M341" s="255">
        <f t="shared" si="232"/>
        <v>0</v>
      </c>
      <c r="N341" s="247">
        <f t="shared" si="233"/>
        <v>0</v>
      </c>
      <c r="O341" s="247">
        <f t="shared" si="234"/>
        <v>0</v>
      </c>
      <c r="P341" s="247">
        <f t="shared" si="235"/>
        <v>0</v>
      </c>
      <c r="Q341" s="247">
        <f t="shared" si="236"/>
        <v>0</v>
      </c>
      <c r="R341" s="247">
        <f t="shared" si="237"/>
        <v>0</v>
      </c>
      <c r="S341" s="247">
        <f t="shared" si="238"/>
        <v>0</v>
      </c>
      <c r="T341" s="247">
        <f t="shared" si="239"/>
        <v>0</v>
      </c>
      <c r="U341" s="247">
        <f t="shared" si="240"/>
        <v>0</v>
      </c>
      <c r="V341" s="247">
        <f t="shared" si="241"/>
        <v>0</v>
      </c>
    </row>
    <row r="342" spans="1:24" hidden="1" outlineLevel="2" x14ac:dyDescent="0.3">
      <c r="A342" s="448"/>
      <c r="B342" s="231" t="s">
        <v>74</v>
      </c>
      <c r="C342" s="21">
        <f t="shared" si="289"/>
        <v>0</v>
      </c>
      <c r="D342" s="21">
        <f t="shared" si="289"/>
        <v>0</v>
      </c>
      <c r="E342" s="246">
        <f t="shared" si="289"/>
        <v>0</v>
      </c>
      <c r="F342" s="21">
        <v>0</v>
      </c>
      <c r="G342" s="21">
        <v>0</v>
      </c>
      <c r="H342" s="21">
        <v>0</v>
      </c>
      <c r="I342" s="21">
        <v>0</v>
      </c>
      <c r="J342" s="21">
        <v>0</v>
      </c>
      <c r="K342" s="21">
        <v>0</v>
      </c>
      <c r="L342" s="21">
        <v>0</v>
      </c>
      <c r="M342" s="255">
        <f t="shared" si="232"/>
        <v>0</v>
      </c>
      <c r="N342" s="247">
        <f t="shared" si="233"/>
        <v>0</v>
      </c>
      <c r="O342" s="247">
        <f t="shared" si="234"/>
        <v>0</v>
      </c>
      <c r="P342" s="247">
        <f t="shared" si="235"/>
        <v>0</v>
      </c>
      <c r="Q342" s="247">
        <f t="shared" si="236"/>
        <v>0</v>
      </c>
      <c r="R342" s="247">
        <f t="shared" si="237"/>
        <v>0</v>
      </c>
      <c r="S342" s="247">
        <f t="shared" si="238"/>
        <v>0</v>
      </c>
      <c r="T342" s="247">
        <f t="shared" si="239"/>
        <v>0</v>
      </c>
      <c r="U342" s="247">
        <f t="shared" si="240"/>
        <v>0</v>
      </c>
      <c r="V342" s="247">
        <f t="shared" si="241"/>
        <v>0</v>
      </c>
    </row>
    <row r="343" spans="1:24" hidden="1" outlineLevel="2" x14ac:dyDescent="0.3">
      <c r="A343" s="448"/>
      <c r="B343" s="231" t="s">
        <v>75</v>
      </c>
      <c r="C343" s="21">
        <f t="shared" si="289"/>
        <v>0</v>
      </c>
      <c r="D343" s="21">
        <f t="shared" si="289"/>
        <v>0</v>
      </c>
      <c r="E343" s="21">
        <f t="shared" si="289"/>
        <v>0</v>
      </c>
      <c r="F343" s="246">
        <f t="shared" si="289"/>
        <v>0</v>
      </c>
      <c r="G343" s="21">
        <v>0</v>
      </c>
      <c r="H343" s="21">
        <v>0</v>
      </c>
      <c r="I343" s="21">
        <v>0</v>
      </c>
      <c r="J343" s="21">
        <v>0</v>
      </c>
      <c r="K343" s="21">
        <v>0</v>
      </c>
      <c r="L343" s="21">
        <v>0</v>
      </c>
      <c r="M343" s="255">
        <f t="shared" si="232"/>
        <v>0</v>
      </c>
      <c r="N343" s="247">
        <f t="shared" si="233"/>
        <v>0</v>
      </c>
      <c r="O343" s="247">
        <f t="shared" si="234"/>
        <v>0</v>
      </c>
      <c r="P343" s="247">
        <f t="shared" si="235"/>
        <v>0</v>
      </c>
      <c r="Q343" s="247">
        <f t="shared" si="236"/>
        <v>0</v>
      </c>
      <c r="R343" s="247">
        <f t="shared" si="237"/>
        <v>0</v>
      </c>
      <c r="S343" s="247">
        <f t="shared" si="238"/>
        <v>0</v>
      </c>
      <c r="T343" s="247">
        <f t="shared" si="239"/>
        <v>0</v>
      </c>
      <c r="U343" s="247">
        <f t="shared" si="240"/>
        <v>0</v>
      </c>
      <c r="V343" s="247">
        <f t="shared" si="241"/>
        <v>0</v>
      </c>
    </row>
    <row r="344" spans="1:24" hidden="1" outlineLevel="2" x14ac:dyDescent="0.3">
      <c r="A344" s="448"/>
      <c r="B344" s="231" t="s">
        <v>76</v>
      </c>
      <c r="C344" s="21">
        <f t="shared" si="289"/>
        <v>0</v>
      </c>
      <c r="D344" s="21">
        <f t="shared" si="289"/>
        <v>0</v>
      </c>
      <c r="E344" s="21">
        <f t="shared" si="289"/>
        <v>0</v>
      </c>
      <c r="F344" s="21">
        <f t="shared" si="289"/>
        <v>0</v>
      </c>
      <c r="G344" s="246">
        <f t="shared" si="289"/>
        <v>0</v>
      </c>
      <c r="H344" s="21">
        <v>0</v>
      </c>
      <c r="I344" s="21">
        <v>0</v>
      </c>
      <c r="J344" s="21">
        <v>0</v>
      </c>
      <c r="K344" s="21">
        <v>0</v>
      </c>
      <c r="L344" s="21">
        <v>0</v>
      </c>
      <c r="M344" s="255">
        <f t="shared" si="232"/>
        <v>0</v>
      </c>
      <c r="N344" s="247">
        <f t="shared" si="233"/>
        <v>0</v>
      </c>
      <c r="O344" s="247">
        <f t="shared" si="234"/>
        <v>0</v>
      </c>
      <c r="P344" s="247">
        <f t="shared" si="235"/>
        <v>0</v>
      </c>
      <c r="Q344" s="247">
        <f t="shared" si="236"/>
        <v>0</v>
      </c>
      <c r="R344" s="247">
        <f t="shared" si="237"/>
        <v>0</v>
      </c>
      <c r="S344" s="247">
        <f t="shared" si="238"/>
        <v>0</v>
      </c>
      <c r="T344" s="247">
        <f t="shared" si="239"/>
        <v>0</v>
      </c>
      <c r="U344" s="247">
        <f t="shared" si="240"/>
        <v>0</v>
      </c>
      <c r="V344" s="247">
        <f t="shared" si="241"/>
        <v>0</v>
      </c>
    </row>
    <row r="345" spans="1:24" hidden="1" outlineLevel="2" x14ac:dyDescent="0.3">
      <c r="A345" s="448"/>
      <c r="B345" s="231" t="s">
        <v>77</v>
      </c>
      <c r="C345" s="21">
        <f t="shared" si="289"/>
        <v>0</v>
      </c>
      <c r="D345" s="21">
        <f t="shared" si="289"/>
        <v>0</v>
      </c>
      <c r="E345" s="21">
        <f t="shared" si="289"/>
        <v>0</v>
      </c>
      <c r="F345" s="21">
        <f t="shared" si="289"/>
        <v>0</v>
      </c>
      <c r="G345" s="21">
        <f t="shared" si="289"/>
        <v>0</v>
      </c>
      <c r="H345" s="246">
        <f t="shared" si="289"/>
        <v>0</v>
      </c>
      <c r="I345" s="21">
        <v>0</v>
      </c>
      <c r="J345" s="21">
        <v>0</v>
      </c>
      <c r="K345" s="21">
        <v>0</v>
      </c>
      <c r="L345" s="21">
        <v>0</v>
      </c>
      <c r="M345" s="255">
        <f t="shared" si="232"/>
        <v>0</v>
      </c>
      <c r="N345" s="247">
        <f t="shared" si="233"/>
        <v>0</v>
      </c>
      <c r="O345" s="247">
        <f t="shared" si="234"/>
        <v>0</v>
      </c>
      <c r="P345" s="247">
        <f t="shared" si="235"/>
        <v>0</v>
      </c>
      <c r="Q345" s="247">
        <f t="shared" si="236"/>
        <v>0</v>
      </c>
      <c r="R345" s="247">
        <f t="shared" si="237"/>
        <v>0</v>
      </c>
      <c r="S345" s="247">
        <f t="shared" si="238"/>
        <v>0</v>
      </c>
      <c r="T345" s="247">
        <f t="shared" si="239"/>
        <v>0</v>
      </c>
      <c r="U345" s="247">
        <f t="shared" si="240"/>
        <v>0</v>
      </c>
      <c r="V345" s="247">
        <f t="shared" si="241"/>
        <v>0</v>
      </c>
    </row>
    <row r="346" spans="1:24" hidden="1" outlineLevel="2" x14ac:dyDescent="0.3">
      <c r="A346" s="448"/>
      <c r="B346" s="231" t="s">
        <v>78</v>
      </c>
      <c r="C346" s="21">
        <f t="shared" si="289"/>
        <v>0</v>
      </c>
      <c r="D346" s="21">
        <f t="shared" si="289"/>
        <v>0</v>
      </c>
      <c r="E346" s="21">
        <f t="shared" si="289"/>
        <v>0</v>
      </c>
      <c r="F346" s="21">
        <f t="shared" si="289"/>
        <v>0</v>
      </c>
      <c r="G346" s="21">
        <f t="shared" si="289"/>
        <v>0</v>
      </c>
      <c r="H346" s="21">
        <f t="shared" si="289"/>
        <v>0</v>
      </c>
      <c r="I346" s="246">
        <f t="shared" si="289"/>
        <v>0</v>
      </c>
      <c r="J346" s="21">
        <v>0</v>
      </c>
      <c r="K346" s="21">
        <v>0</v>
      </c>
      <c r="L346" s="21">
        <v>0</v>
      </c>
      <c r="M346" s="255">
        <f t="shared" si="232"/>
        <v>0</v>
      </c>
      <c r="N346" s="247">
        <f t="shared" si="233"/>
        <v>0</v>
      </c>
      <c r="O346" s="247">
        <f t="shared" si="234"/>
        <v>0</v>
      </c>
      <c r="P346" s="247">
        <f t="shared" si="235"/>
        <v>0</v>
      </c>
      <c r="Q346" s="247">
        <f t="shared" si="236"/>
        <v>0</v>
      </c>
      <c r="R346" s="247">
        <f t="shared" si="237"/>
        <v>0</v>
      </c>
      <c r="S346" s="247">
        <f t="shared" si="238"/>
        <v>0</v>
      </c>
      <c r="T346" s="247">
        <f t="shared" si="239"/>
        <v>0</v>
      </c>
      <c r="U346" s="247">
        <f t="shared" si="240"/>
        <v>0</v>
      </c>
      <c r="V346" s="247">
        <f t="shared" si="241"/>
        <v>0</v>
      </c>
    </row>
    <row r="347" spans="1:24" hidden="1" outlineLevel="2" x14ac:dyDescent="0.3">
      <c r="A347" s="448"/>
      <c r="B347" s="231" t="s">
        <v>79</v>
      </c>
      <c r="C347" s="21">
        <f t="shared" si="289"/>
        <v>0</v>
      </c>
      <c r="D347" s="21">
        <f t="shared" si="289"/>
        <v>0</v>
      </c>
      <c r="E347" s="21">
        <f t="shared" si="289"/>
        <v>0</v>
      </c>
      <c r="F347" s="21">
        <f t="shared" si="289"/>
        <v>0</v>
      </c>
      <c r="G347" s="21">
        <f t="shared" si="289"/>
        <v>0</v>
      </c>
      <c r="H347" s="21">
        <f t="shared" si="289"/>
        <v>0</v>
      </c>
      <c r="I347" s="21">
        <f t="shared" si="289"/>
        <v>0</v>
      </c>
      <c r="J347" s="246">
        <f t="shared" si="289"/>
        <v>0</v>
      </c>
      <c r="K347" s="21">
        <v>0</v>
      </c>
      <c r="L347" s="21">
        <v>0</v>
      </c>
      <c r="M347" s="255">
        <f t="shared" si="232"/>
        <v>0</v>
      </c>
      <c r="N347" s="247">
        <f t="shared" si="233"/>
        <v>0</v>
      </c>
      <c r="O347" s="247">
        <f t="shared" si="234"/>
        <v>0</v>
      </c>
      <c r="P347" s="247">
        <f t="shared" si="235"/>
        <v>0</v>
      </c>
      <c r="Q347" s="247">
        <f t="shared" si="236"/>
        <v>0</v>
      </c>
      <c r="R347" s="247">
        <f t="shared" si="237"/>
        <v>0</v>
      </c>
      <c r="S347" s="247">
        <f t="shared" si="238"/>
        <v>0</v>
      </c>
      <c r="T347" s="247">
        <f t="shared" si="239"/>
        <v>0</v>
      </c>
      <c r="U347" s="247">
        <f t="shared" si="240"/>
        <v>0</v>
      </c>
      <c r="V347" s="247">
        <f t="shared" si="241"/>
        <v>0</v>
      </c>
    </row>
    <row r="348" spans="1:24" hidden="1" outlineLevel="2" x14ac:dyDescent="0.3">
      <c r="A348" s="448"/>
      <c r="B348" s="231" t="s">
        <v>80</v>
      </c>
      <c r="C348" s="21">
        <f t="shared" si="289"/>
        <v>0</v>
      </c>
      <c r="D348" s="21">
        <f t="shared" si="289"/>
        <v>0</v>
      </c>
      <c r="E348" s="21">
        <f t="shared" si="289"/>
        <v>0</v>
      </c>
      <c r="F348" s="21">
        <f t="shared" si="289"/>
        <v>0</v>
      </c>
      <c r="G348" s="21">
        <f t="shared" si="289"/>
        <v>0</v>
      </c>
      <c r="H348" s="21">
        <f t="shared" si="289"/>
        <v>0</v>
      </c>
      <c r="I348" s="21">
        <f t="shared" si="289"/>
        <v>0</v>
      </c>
      <c r="J348" s="21">
        <f t="shared" si="289"/>
        <v>0</v>
      </c>
      <c r="K348" s="246">
        <f t="shared" si="289"/>
        <v>0</v>
      </c>
      <c r="L348" s="21">
        <v>0</v>
      </c>
      <c r="M348" s="255">
        <f t="shared" si="232"/>
        <v>0</v>
      </c>
      <c r="N348" s="247">
        <f t="shared" si="233"/>
        <v>0</v>
      </c>
      <c r="O348" s="247">
        <f t="shared" si="234"/>
        <v>0</v>
      </c>
      <c r="P348" s="247">
        <f t="shared" si="235"/>
        <v>0</v>
      </c>
      <c r="Q348" s="247">
        <f t="shared" si="236"/>
        <v>0</v>
      </c>
      <c r="R348" s="247">
        <f t="shared" si="237"/>
        <v>0</v>
      </c>
      <c r="S348" s="247">
        <f t="shared" si="238"/>
        <v>0</v>
      </c>
      <c r="T348" s="247">
        <f t="shared" si="239"/>
        <v>0</v>
      </c>
      <c r="U348" s="247">
        <f t="shared" si="240"/>
        <v>0</v>
      </c>
      <c r="V348" s="247">
        <f t="shared" si="241"/>
        <v>0</v>
      </c>
    </row>
    <row r="349" spans="1:24" hidden="1" outlineLevel="2" x14ac:dyDescent="0.3">
      <c r="A349" s="449"/>
      <c r="B349" s="182" t="s">
        <v>134</v>
      </c>
      <c r="C349" s="239">
        <f t="shared" si="289"/>
        <v>0</v>
      </c>
      <c r="D349" s="239">
        <f t="shared" si="289"/>
        <v>0</v>
      </c>
      <c r="E349" s="239">
        <f t="shared" si="289"/>
        <v>0</v>
      </c>
      <c r="F349" s="239">
        <f t="shared" si="289"/>
        <v>0</v>
      </c>
      <c r="G349" s="239">
        <f t="shared" si="289"/>
        <v>0</v>
      </c>
      <c r="H349" s="239">
        <f t="shared" si="289"/>
        <v>0</v>
      </c>
      <c r="I349" s="239">
        <f t="shared" si="289"/>
        <v>0</v>
      </c>
      <c r="J349" s="239">
        <f t="shared" si="289"/>
        <v>0</v>
      </c>
      <c r="K349" s="239">
        <f t="shared" si="289"/>
        <v>0</v>
      </c>
      <c r="L349" s="239">
        <f t="shared" si="289"/>
        <v>0</v>
      </c>
      <c r="M349" s="255">
        <f t="shared" si="232"/>
        <v>0</v>
      </c>
      <c r="N349" s="247">
        <f t="shared" si="233"/>
        <v>0</v>
      </c>
      <c r="O349" s="247">
        <f t="shared" si="234"/>
        <v>0</v>
      </c>
      <c r="P349" s="247">
        <f t="shared" si="235"/>
        <v>0</v>
      </c>
      <c r="Q349" s="247">
        <f t="shared" si="236"/>
        <v>0</v>
      </c>
      <c r="R349" s="247">
        <f t="shared" si="237"/>
        <v>0</v>
      </c>
      <c r="S349" s="247">
        <f t="shared" si="238"/>
        <v>0</v>
      </c>
      <c r="T349" s="247">
        <f t="shared" si="239"/>
        <v>0</v>
      </c>
      <c r="U349" s="247">
        <f t="shared" si="240"/>
        <v>0</v>
      </c>
      <c r="V349" s="247">
        <f t="shared" si="241"/>
        <v>0</v>
      </c>
    </row>
    <row r="350" spans="1:24" ht="14.4" hidden="1" customHeight="1" outlineLevel="2" x14ac:dyDescent="0.3">
      <c r="A350" s="455" t="s">
        <v>245</v>
      </c>
      <c r="B350" s="231" t="s">
        <v>72</v>
      </c>
      <c r="C350" s="21">
        <f>C300-C310-C320-C330-C340</f>
        <v>-4142.4726189375597</v>
      </c>
      <c r="D350" s="21">
        <f t="shared" ref="D350:L350" si="290">D300-D310-D320-D330-D340</f>
        <v>-332.82960000000003</v>
      </c>
      <c r="E350" s="21">
        <f t="shared" si="290"/>
        <v>-266.26367999999997</v>
      </c>
      <c r="F350" s="21">
        <f t="shared" si="290"/>
        <v>-213.01094399999994</v>
      </c>
      <c r="G350" s="21">
        <f t="shared" si="290"/>
        <v>-170.40875519999997</v>
      </c>
      <c r="H350" s="21">
        <f t="shared" si="290"/>
        <v>-136.32700416</v>
      </c>
      <c r="I350" s="21">
        <f t="shared" si="290"/>
        <v>-109.06160332800005</v>
      </c>
      <c r="J350" s="21">
        <f t="shared" si="290"/>
        <v>-87.24928266240002</v>
      </c>
      <c r="K350" s="21">
        <f t="shared" si="290"/>
        <v>-69.799426129920022</v>
      </c>
      <c r="L350" s="21">
        <f t="shared" si="290"/>
        <v>-55.839540903936012</v>
      </c>
      <c r="M350" s="4"/>
      <c r="N350" s="7"/>
      <c r="O350" s="7"/>
      <c r="P350" s="7"/>
      <c r="Q350" s="7"/>
      <c r="R350" s="7"/>
      <c r="S350" s="7"/>
      <c r="T350" s="7"/>
      <c r="U350" s="7"/>
      <c r="V350" s="7"/>
    </row>
    <row r="351" spans="1:24" hidden="1" outlineLevel="2" x14ac:dyDescent="0.3">
      <c r="A351" s="448"/>
      <c r="B351" s="231" t="s">
        <v>73</v>
      </c>
      <c r="C351" s="21">
        <f t="shared" ref="C351:L351" si="291">C301-C311-C321-C331-C341</f>
        <v>-4056.4726189375601</v>
      </c>
      <c r="D351" s="21">
        <f>D301-D311-D321-D331-D341</f>
        <v>-146.87189179015877</v>
      </c>
      <c r="E351" s="21">
        <f t="shared" si="291"/>
        <v>-266.26367999999997</v>
      </c>
      <c r="F351" s="21">
        <f t="shared" si="291"/>
        <v>-213.01094399999994</v>
      </c>
      <c r="G351" s="21">
        <f t="shared" si="291"/>
        <v>-170.40875519999997</v>
      </c>
      <c r="H351" s="21">
        <f t="shared" si="291"/>
        <v>-136.32700416</v>
      </c>
      <c r="I351" s="21">
        <f t="shared" si="291"/>
        <v>-109.06160332800005</v>
      </c>
      <c r="J351" s="21">
        <f t="shared" si="291"/>
        <v>-87.24928266240002</v>
      </c>
      <c r="K351" s="21">
        <f t="shared" si="291"/>
        <v>-69.799426129920022</v>
      </c>
      <c r="L351" s="21">
        <f t="shared" si="291"/>
        <v>-55.839540903936012</v>
      </c>
      <c r="M351" s="4"/>
      <c r="N351" s="7"/>
      <c r="O351" s="7"/>
      <c r="P351" s="7"/>
      <c r="Q351" s="7"/>
      <c r="R351" s="7"/>
      <c r="S351" s="7"/>
      <c r="T351" s="7"/>
      <c r="U351" s="7"/>
      <c r="V351" s="7"/>
    </row>
    <row r="352" spans="1:24" hidden="1" outlineLevel="2" x14ac:dyDescent="0.3">
      <c r="A352" s="448"/>
      <c r="B352" s="231" t="s">
        <v>74</v>
      </c>
      <c r="C352" s="21">
        <f t="shared" ref="C352:L352" si="292">C302-C312-C322-C332-C342</f>
        <v>-4056.4726189375601</v>
      </c>
      <c r="D352" s="21">
        <f t="shared" si="292"/>
        <v>-60.87189179015877</v>
      </c>
      <c r="E352" s="21">
        <f t="shared" si="292"/>
        <v>632.43002820984202</v>
      </c>
      <c r="F352" s="21">
        <f t="shared" si="292"/>
        <v>-213.01094399999994</v>
      </c>
      <c r="G352" s="21">
        <f t="shared" si="292"/>
        <v>-170.40875519999997</v>
      </c>
      <c r="H352" s="21">
        <f t="shared" si="292"/>
        <v>-136.32700416</v>
      </c>
      <c r="I352" s="21">
        <f t="shared" si="292"/>
        <v>-109.06160332800005</v>
      </c>
      <c r="J352" s="21">
        <f t="shared" si="292"/>
        <v>-87.24928266240002</v>
      </c>
      <c r="K352" s="21">
        <f t="shared" si="292"/>
        <v>-69.799426129920022</v>
      </c>
      <c r="L352" s="21">
        <f t="shared" si="292"/>
        <v>-55.839540903936012</v>
      </c>
      <c r="M352" s="4"/>
      <c r="N352" s="7"/>
      <c r="O352" s="7"/>
      <c r="P352" s="7"/>
      <c r="Q352" s="7"/>
      <c r="R352" s="7"/>
      <c r="S352" s="7"/>
      <c r="T352" s="7"/>
      <c r="U352" s="7"/>
      <c r="V352" s="7"/>
    </row>
    <row r="353" spans="1:37" hidden="1" outlineLevel="2" x14ac:dyDescent="0.3">
      <c r="A353" s="448"/>
      <c r="B353" s="231" t="s">
        <v>75</v>
      </c>
      <c r="C353" s="21">
        <f t="shared" ref="C353:L353" si="293">C303-C313-C323-C333-C343</f>
        <v>-4056.4726189375601</v>
      </c>
      <c r="D353" s="21">
        <f t="shared" si="293"/>
        <v>-60.87189179015877</v>
      </c>
      <c r="E353" s="21">
        <f t="shared" si="293"/>
        <v>718.43002820984202</v>
      </c>
      <c r="F353" s="21">
        <f t="shared" si="293"/>
        <v>1255.8715642098418</v>
      </c>
      <c r="G353" s="21">
        <f t="shared" si="293"/>
        <v>-170.40875519999997</v>
      </c>
      <c r="H353" s="21">
        <f t="shared" si="293"/>
        <v>-136.32700416</v>
      </c>
      <c r="I353" s="21">
        <f t="shared" si="293"/>
        <v>-109.06160332800005</v>
      </c>
      <c r="J353" s="21">
        <f t="shared" si="293"/>
        <v>-87.24928266240002</v>
      </c>
      <c r="K353" s="21">
        <f t="shared" si="293"/>
        <v>-69.799426129920022</v>
      </c>
      <c r="L353" s="21">
        <f t="shared" si="293"/>
        <v>-55.839540903936012</v>
      </c>
      <c r="M353" s="4"/>
      <c r="N353" s="201"/>
      <c r="O353" s="7"/>
      <c r="P353" s="7"/>
      <c r="Q353" s="7"/>
      <c r="R353" s="7"/>
      <c r="S353" s="7"/>
      <c r="T353" s="7"/>
      <c r="U353" s="7"/>
      <c r="V353" s="7"/>
    </row>
    <row r="354" spans="1:37" hidden="1" outlineLevel="2" x14ac:dyDescent="0.3">
      <c r="A354" s="448"/>
      <c r="B354" s="231" t="s">
        <v>76</v>
      </c>
      <c r="C354" s="21">
        <f t="shared" ref="C354:L354" si="294">C304-C314-C324-C334-C344</f>
        <v>-4056.4726189375601</v>
      </c>
      <c r="D354" s="21">
        <f t="shared" si="294"/>
        <v>-60.87189179015877</v>
      </c>
      <c r="E354" s="21">
        <f t="shared" si="294"/>
        <v>718.43002820984202</v>
      </c>
      <c r="F354" s="21">
        <f t="shared" si="294"/>
        <v>1341.8715642098418</v>
      </c>
      <c r="G354" s="21">
        <f t="shared" si="294"/>
        <v>1754.6247930098416</v>
      </c>
      <c r="H354" s="21">
        <f t="shared" si="294"/>
        <v>-136.32700416</v>
      </c>
      <c r="I354" s="21">
        <f t="shared" si="294"/>
        <v>-109.06160332800005</v>
      </c>
      <c r="J354" s="21">
        <f t="shared" si="294"/>
        <v>-87.24928266240002</v>
      </c>
      <c r="K354" s="21">
        <f t="shared" si="294"/>
        <v>-69.799426129920022</v>
      </c>
      <c r="L354" s="21">
        <f t="shared" si="294"/>
        <v>-55.839540903936012</v>
      </c>
      <c r="M354" s="4"/>
      <c r="N354" s="7"/>
      <c r="O354" s="7"/>
      <c r="P354" s="7"/>
      <c r="Q354" s="7"/>
      <c r="R354" s="7"/>
      <c r="S354" s="7"/>
      <c r="T354" s="7"/>
      <c r="U354" s="7"/>
      <c r="V354" s="7"/>
    </row>
    <row r="355" spans="1:37" hidden="1" outlineLevel="2" x14ac:dyDescent="0.3">
      <c r="A355" s="448"/>
      <c r="B355" s="231" t="s">
        <v>77</v>
      </c>
      <c r="C355" s="21">
        <f t="shared" ref="C355:L355" si="295">C305-C315-C325-C335-C345</f>
        <v>-4056.4726189375601</v>
      </c>
      <c r="D355" s="21">
        <f t="shared" si="295"/>
        <v>-60.87189179015877</v>
      </c>
      <c r="E355" s="21">
        <f t="shared" si="295"/>
        <v>718.43002820984202</v>
      </c>
      <c r="F355" s="21">
        <f t="shared" si="295"/>
        <v>1341.8715642098418</v>
      </c>
      <c r="G355" s="21">
        <f t="shared" si="295"/>
        <v>1840.6247930098416</v>
      </c>
      <c r="H355" s="21">
        <f t="shared" si="295"/>
        <v>2153.6273760498416</v>
      </c>
      <c r="I355" s="21">
        <f t="shared" si="295"/>
        <v>-109.06160332800005</v>
      </c>
      <c r="J355" s="21">
        <f t="shared" si="295"/>
        <v>-87.24928266240002</v>
      </c>
      <c r="K355" s="21">
        <f t="shared" si="295"/>
        <v>-69.799426129920022</v>
      </c>
      <c r="L355" s="21">
        <f t="shared" si="295"/>
        <v>-55.839540903936012</v>
      </c>
      <c r="M355" s="4"/>
      <c r="N355" s="7"/>
      <c r="O355" s="7"/>
      <c r="P355" s="7"/>
      <c r="Q355" s="7"/>
      <c r="R355" s="7"/>
      <c r="S355" s="7"/>
      <c r="T355" s="7"/>
      <c r="U355" s="7"/>
      <c r="V355" s="7"/>
    </row>
    <row r="356" spans="1:37" hidden="1" outlineLevel="2" x14ac:dyDescent="0.3">
      <c r="A356" s="448"/>
      <c r="B356" s="231" t="s">
        <v>78</v>
      </c>
      <c r="C356" s="21">
        <f t="shared" ref="C356:L356" si="296">C306-C316-C326-C336-C346</f>
        <v>-4056.4726189375601</v>
      </c>
      <c r="D356" s="21">
        <f t="shared" si="296"/>
        <v>-60.87189179015877</v>
      </c>
      <c r="E356" s="21">
        <f t="shared" si="296"/>
        <v>718.43002820984202</v>
      </c>
      <c r="F356" s="21">
        <f t="shared" si="296"/>
        <v>1341.8715642098418</v>
      </c>
      <c r="G356" s="21">
        <f t="shared" si="296"/>
        <v>1840.6247930098416</v>
      </c>
      <c r="H356" s="21">
        <f t="shared" si="296"/>
        <v>2239.6273760498416</v>
      </c>
      <c r="I356" s="21">
        <f t="shared" si="296"/>
        <v>2472.8294424818414</v>
      </c>
      <c r="J356" s="21">
        <f t="shared" si="296"/>
        <v>-87.24928266240002</v>
      </c>
      <c r="K356" s="21">
        <f t="shared" si="296"/>
        <v>-69.799426129920022</v>
      </c>
      <c r="L356" s="21">
        <f t="shared" si="296"/>
        <v>-55.839540903936012</v>
      </c>
      <c r="M356" s="4"/>
      <c r="N356" s="7"/>
      <c r="O356" s="7"/>
      <c r="P356" s="7"/>
      <c r="Q356" s="7"/>
      <c r="R356" s="7"/>
      <c r="S356" s="7"/>
      <c r="T356" s="7"/>
      <c r="U356" s="7"/>
      <c r="V356" s="7"/>
    </row>
    <row r="357" spans="1:37" hidden="1" outlineLevel="2" x14ac:dyDescent="0.3">
      <c r="A357" s="448"/>
      <c r="B357" s="231" t="s">
        <v>79</v>
      </c>
      <c r="C357" s="21">
        <f t="shared" ref="C357:L357" si="297">C307-C317-C327-C337-C347</f>
        <v>-4056.4726189375601</v>
      </c>
      <c r="D357" s="21">
        <f t="shared" si="297"/>
        <v>-60.87189179015877</v>
      </c>
      <c r="E357" s="21">
        <f t="shared" si="297"/>
        <v>718.43002820984202</v>
      </c>
      <c r="F357" s="21">
        <f t="shared" si="297"/>
        <v>1341.8715642098418</v>
      </c>
      <c r="G357" s="21">
        <f t="shared" si="297"/>
        <v>1840.6247930098416</v>
      </c>
      <c r="H357" s="21">
        <f t="shared" si="297"/>
        <v>2239.6273760498416</v>
      </c>
      <c r="I357" s="21">
        <f t="shared" si="297"/>
        <v>2558.8294424818414</v>
      </c>
      <c r="J357" s="21">
        <f t="shared" si="297"/>
        <v>2728.1910956274414</v>
      </c>
      <c r="K357" s="21">
        <f t="shared" si="297"/>
        <v>-69.799426129920022</v>
      </c>
      <c r="L357" s="21">
        <f t="shared" si="297"/>
        <v>-55.839540903936012</v>
      </c>
      <c r="M357" s="4"/>
      <c r="N357" s="7"/>
      <c r="O357" s="7"/>
      <c r="P357" s="7"/>
      <c r="Q357" s="7"/>
      <c r="R357" s="7"/>
      <c r="S357" s="7"/>
      <c r="T357" s="7"/>
      <c r="U357" s="7"/>
      <c r="V357" s="7"/>
    </row>
    <row r="358" spans="1:37" hidden="1" outlineLevel="2" x14ac:dyDescent="0.3">
      <c r="A358" s="448"/>
      <c r="B358" s="231" t="s">
        <v>80</v>
      </c>
      <c r="C358" s="21">
        <f t="shared" ref="C358:L358" si="298">C308-C318-C328-C338-C348</f>
        <v>-4056.4726189375601</v>
      </c>
      <c r="D358" s="21">
        <f t="shared" si="298"/>
        <v>-60.87189179015877</v>
      </c>
      <c r="E358" s="21">
        <f t="shared" si="298"/>
        <v>718.43002820984202</v>
      </c>
      <c r="F358" s="21">
        <f t="shared" si="298"/>
        <v>1341.8715642098418</v>
      </c>
      <c r="G358" s="21">
        <f t="shared" si="298"/>
        <v>1840.6247930098416</v>
      </c>
      <c r="H358" s="21">
        <f t="shared" si="298"/>
        <v>2239.6273760498416</v>
      </c>
      <c r="I358" s="21">
        <f t="shared" si="298"/>
        <v>2558.8294424818414</v>
      </c>
      <c r="J358" s="21">
        <f t="shared" si="298"/>
        <v>2814.1910956274414</v>
      </c>
      <c r="K358" s="21">
        <f t="shared" si="298"/>
        <v>2932.4804181439213</v>
      </c>
      <c r="L358" s="21">
        <f t="shared" si="298"/>
        <v>-55.839540903936012</v>
      </c>
      <c r="M358" s="4"/>
      <c r="N358" s="7"/>
      <c r="O358" s="7"/>
      <c r="P358" s="7"/>
      <c r="Q358" s="7"/>
      <c r="R358" s="7"/>
      <c r="S358" s="7"/>
      <c r="T358" s="7"/>
      <c r="U358" s="7"/>
      <c r="V358" s="7"/>
    </row>
    <row r="359" spans="1:37" hidden="1" outlineLevel="2" x14ac:dyDescent="0.3">
      <c r="A359" s="449"/>
      <c r="B359" s="182" t="s">
        <v>134</v>
      </c>
      <c r="C359" s="239">
        <f t="shared" ref="C359:L359" si="299">C309-C319-C329-C339-C349</f>
        <v>-4056.4726189375601</v>
      </c>
      <c r="D359" s="239">
        <f t="shared" si="299"/>
        <v>-60.87189179015877</v>
      </c>
      <c r="E359" s="239">
        <f t="shared" si="299"/>
        <v>718.43002820984202</v>
      </c>
      <c r="F359" s="239">
        <f t="shared" si="299"/>
        <v>1341.8715642098418</v>
      </c>
      <c r="G359" s="239">
        <f t="shared" si="299"/>
        <v>1840.6247930098416</v>
      </c>
      <c r="H359" s="239">
        <f t="shared" si="299"/>
        <v>2239.6273760498416</v>
      </c>
      <c r="I359" s="239">
        <f t="shared" si="299"/>
        <v>2558.8294424818414</v>
      </c>
      <c r="J359" s="239">
        <f t="shared" si="299"/>
        <v>2814.1910956274414</v>
      </c>
      <c r="K359" s="239">
        <f t="shared" si="299"/>
        <v>3018.4804181439213</v>
      </c>
      <c r="L359" s="239">
        <f t="shared" si="299"/>
        <v>3181.9118761571053</v>
      </c>
      <c r="M359" s="4"/>
      <c r="N359" s="7"/>
      <c r="O359" s="7"/>
      <c r="P359" s="7"/>
      <c r="Q359" s="7"/>
      <c r="R359" s="7"/>
      <c r="S359" s="7"/>
      <c r="T359" s="7"/>
      <c r="U359" s="7"/>
      <c r="V359" s="7"/>
    </row>
    <row r="360" spans="1:37" s="231" customFormat="1" hidden="1" outlineLevel="2" x14ac:dyDescent="0.3">
      <c r="A360" s="455" t="s">
        <v>246</v>
      </c>
      <c r="B360" s="231" t="s">
        <v>72</v>
      </c>
      <c r="C360" s="21">
        <f t="shared" ref="C360:C369" si="300">C350</f>
        <v>-4142.4726189375597</v>
      </c>
      <c r="D360" s="21">
        <f t="shared" ref="D360:L360" si="301">C360+D350</f>
        <v>-4475.3022189375597</v>
      </c>
      <c r="E360" s="21">
        <f t="shared" si="301"/>
        <v>-4741.5658989375597</v>
      </c>
      <c r="F360" s="21">
        <f t="shared" si="301"/>
        <v>-4954.5768429375594</v>
      </c>
      <c r="G360" s="21">
        <f t="shared" si="301"/>
        <v>-5124.9855981375595</v>
      </c>
      <c r="H360" s="21">
        <f t="shared" si="301"/>
        <v>-5261.3126022975594</v>
      </c>
      <c r="I360" s="21">
        <f t="shared" si="301"/>
        <v>-5370.3742056255596</v>
      </c>
      <c r="J360" s="21">
        <f t="shared" si="301"/>
        <v>-5457.6234882879598</v>
      </c>
      <c r="K360" s="21">
        <f t="shared" si="301"/>
        <v>-5527.4229144178798</v>
      </c>
      <c r="L360" s="21">
        <f t="shared" si="301"/>
        <v>-5583.2624553218157</v>
      </c>
      <c r="M360" s="4"/>
      <c r="N360" s="251"/>
      <c r="O360" s="227"/>
      <c r="P360" s="144"/>
      <c r="Q360" s="144"/>
      <c r="R360" s="144"/>
      <c r="S360" s="144"/>
      <c r="T360" s="144"/>
      <c r="U360" s="144"/>
      <c r="V360" s="144"/>
      <c r="W360" s="144"/>
      <c r="X360" s="144"/>
      <c r="Y360" s="144"/>
      <c r="Z360" s="233"/>
      <c r="AA360" s="227"/>
      <c r="AB360" s="144"/>
      <c r="AC360" s="144"/>
      <c r="AD360" s="144"/>
      <c r="AE360" s="144"/>
      <c r="AF360" s="144"/>
      <c r="AG360" s="144"/>
      <c r="AH360" s="144"/>
      <c r="AI360" s="144"/>
      <c r="AJ360" s="144"/>
      <c r="AK360" s="144"/>
    </row>
    <row r="361" spans="1:37" s="231" customFormat="1" hidden="1" outlineLevel="2" x14ac:dyDescent="0.3">
      <c r="A361" s="448"/>
      <c r="B361" s="231" t="s">
        <v>73</v>
      </c>
      <c r="C361" s="21">
        <f t="shared" si="300"/>
        <v>-4056.4726189375601</v>
      </c>
      <c r="D361" s="21">
        <f t="shared" ref="D361:L361" si="302">C361+D351</f>
        <v>-4203.3445107277184</v>
      </c>
      <c r="E361" s="21">
        <f t="shared" si="302"/>
        <v>-4469.6081907277185</v>
      </c>
      <c r="F361" s="21">
        <f t="shared" si="302"/>
        <v>-4682.6191347277181</v>
      </c>
      <c r="G361" s="21">
        <f t="shared" si="302"/>
        <v>-4853.0278899277182</v>
      </c>
      <c r="H361" s="21">
        <f t="shared" si="302"/>
        <v>-4989.3548940877181</v>
      </c>
      <c r="I361" s="21">
        <f t="shared" si="302"/>
        <v>-5098.4164974157184</v>
      </c>
      <c r="J361" s="21">
        <f t="shared" si="302"/>
        <v>-5185.6657800781186</v>
      </c>
      <c r="K361" s="21">
        <f t="shared" si="302"/>
        <v>-5255.4652062080386</v>
      </c>
      <c r="L361" s="21">
        <f t="shared" si="302"/>
        <v>-5311.3047471119744</v>
      </c>
      <c r="M361" s="4"/>
      <c r="N361" s="251"/>
      <c r="O361" s="227"/>
      <c r="P361" s="144"/>
      <c r="Q361" s="144"/>
      <c r="R361" s="144"/>
      <c r="S361" s="144"/>
      <c r="T361" s="144"/>
      <c r="U361" s="144"/>
      <c r="V361" s="144"/>
      <c r="W361" s="144"/>
      <c r="X361" s="144"/>
      <c r="Y361" s="144"/>
      <c r="Z361" s="233"/>
      <c r="AA361" s="227"/>
      <c r="AB361" s="144"/>
      <c r="AC361" s="144"/>
      <c r="AD361" s="144"/>
      <c r="AE361" s="144"/>
      <c r="AF361" s="144"/>
      <c r="AG361" s="144"/>
      <c r="AH361" s="144"/>
      <c r="AI361" s="144"/>
      <c r="AJ361" s="144"/>
      <c r="AK361" s="144"/>
    </row>
    <row r="362" spans="1:37" s="231" customFormat="1" hidden="1" outlineLevel="2" x14ac:dyDescent="0.3">
      <c r="A362" s="448"/>
      <c r="B362" s="231" t="s">
        <v>74</v>
      </c>
      <c r="C362" s="21">
        <f t="shared" si="300"/>
        <v>-4056.4726189375601</v>
      </c>
      <c r="D362" s="21">
        <f t="shared" ref="D362:L362" si="303">C362+D352</f>
        <v>-4117.3445107277184</v>
      </c>
      <c r="E362" s="21">
        <f t="shared" si="303"/>
        <v>-3484.9144825178764</v>
      </c>
      <c r="F362" s="21">
        <f t="shared" si="303"/>
        <v>-3697.9254265178765</v>
      </c>
      <c r="G362" s="21">
        <f t="shared" si="303"/>
        <v>-3868.3341817178766</v>
      </c>
      <c r="H362" s="21">
        <f t="shared" si="303"/>
        <v>-4004.6611858778765</v>
      </c>
      <c r="I362" s="21">
        <f t="shared" si="303"/>
        <v>-4113.7227892058763</v>
      </c>
      <c r="J362" s="21">
        <f t="shared" si="303"/>
        <v>-4200.9720718682765</v>
      </c>
      <c r="K362" s="21">
        <f t="shared" si="303"/>
        <v>-4270.7714979981965</v>
      </c>
      <c r="L362" s="21">
        <f t="shared" si="303"/>
        <v>-4326.6110389021323</v>
      </c>
      <c r="M362" s="4"/>
      <c r="N362" s="251"/>
      <c r="O362" s="227"/>
      <c r="P362" s="144"/>
      <c r="Q362" s="144"/>
      <c r="R362" s="144"/>
      <c r="S362" s="144"/>
      <c r="T362" s="144"/>
      <c r="U362" s="144"/>
      <c r="V362" s="144"/>
      <c r="W362" s="144"/>
      <c r="X362" s="144"/>
      <c r="Y362" s="144"/>
      <c r="Z362" s="233"/>
      <c r="AA362" s="227"/>
      <c r="AB362" s="144"/>
      <c r="AC362" s="144"/>
      <c r="AD362" s="144"/>
      <c r="AE362" s="144"/>
      <c r="AF362" s="144"/>
      <c r="AG362" s="144"/>
      <c r="AH362" s="144"/>
      <c r="AI362" s="144"/>
      <c r="AJ362" s="144"/>
      <c r="AK362" s="144"/>
    </row>
    <row r="363" spans="1:37" s="231" customFormat="1" hidden="1" outlineLevel="2" x14ac:dyDescent="0.3">
      <c r="A363" s="448"/>
      <c r="B363" s="231" t="s">
        <v>75</v>
      </c>
      <c r="C363" s="21">
        <f t="shared" si="300"/>
        <v>-4056.4726189375601</v>
      </c>
      <c r="D363" s="21">
        <f t="shared" ref="D363:L363" si="304">C363+D353</f>
        <v>-4117.3445107277184</v>
      </c>
      <c r="E363" s="21">
        <f t="shared" si="304"/>
        <v>-3398.9144825178764</v>
      </c>
      <c r="F363" s="21">
        <f t="shared" si="304"/>
        <v>-2143.0429183080346</v>
      </c>
      <c r="G363" s="21">
        <f t="shared" si="304"/>
        <v>-2313.4516735080347</v>
      </c>
      <c r="H363" s="21">
        <f t="shared" si="304"/>
        <v>-2449.7786776680346</v>
      </c>
      <c r="I363" s="21">
        <f t="shared" si="304"/>
        <v>-2558.8402809960344</v>
      </c>
      <c r="J363" s="21">
        <f t="shared" si="304"/>
        <v>-2646.0895636584346</v>
      </c>
      <c r="K363" s="21">
        <f t="shared" si="304"/>
        <v>-2715.8889897883546</v>
      </c>
      <c r="L363" s="21">
        <f t="shared" si="304"/>
        <v>-2771.7285306922904</v>
      </c>
      <c r="M363" s="4"/>
      <c r="N363" s="251"/>
      <c r="O363" s="227"/>
      <c r="P363" s="144"/>
      <c r="Q363" s="144"/>
      <c r="R363" s="144"/>
      <c r="S363" s="144"/>
      <c r="T363" s="144"/>
      <c r="U363" s="144"/>
      <c r="V363" s="144"/>
      <c r="W363" s="144"/>
      <c r="X363" s="144"/>
      <c r="Y363" s="144"/>
      <c r="Z363" s="233"/>
      <c r="AA363" s="227"/>
      <c r="AB363" s="144"/>
      <c r="AC363" s="144"/>
      <c r="AD363" s="144"/>
      <c r="AE363" s="144"/>
      <c r="AF363" s="144"/>
      <c r="AG363" s="144"/>
      <c r="AH363" s="144"/>
      <c r="AI363" s="144"/>
      <c r="AJ363" s="144"/>
      <c r="AK363" s="144"/>
    </row>
    <row r="364" spans="1:37" s="231" customFormat="1" hidden="1" outlineLevel="2" x14ac:dyDescent="0.3">
      <c r="A364" s="448"/>
      <c r="B364" s="231" t="s">
        <v>76</v>
      </c>
      <c r="C364" s="21">
        <f t="shared" si="300"/>
        <v>-4056.4726189375601</v>
      </c>
      <c r="D364" s="21">
        <f t="shared" ref="D364:L364" si="305">C364+D354</f>
        <v>-4117.3445107277184</v>
      </c>
      <c r="E364" s="21">
        <f t="shared" si="305"/>
        <v>-3398.9144825178764</v>
      </c>
      <c r="F364" s="21">
        <f t="shared" si="305"/>
        <v>-2057.0429183080346</v>
      </c>
      <c r="G364" s="21">
        <f t="shared" si="305"/>
        <v>-302.41812529819299</v>
      </c>
      <c r="H364" s="21">
        <f t="shared" si="305"/>
        <v>-438.74512945819299</v>
      </c>
      <c r="I364" s="21">
        <f t="shared" si="305"/>
        <v>-547.80673278619304</v>
      </c>
      <c r="J364" s="21">
        <f t="shared" si="305"/>
        <v>-635.05601544859303</v>
      </c>
      <c r="K364" s="21">
        <f t="shared" si="305"/>
        <v>-704.85544157851302</v>
      </c>
      <c r="L364" s="21">
        <f t="shared" si="305"/>
        <v>-760.69498248244906</v>
      </c>
      <c r="M364" s="4"/>
      <c r="N364" s="251"/>
      <c r="O364" s="227"/>
      <c r="P364" s="144"/>
      <c r="Q364" s="144"/>
      <c r="R364" s="144"/>
      <c r="S364" s="144"/>
      <c r="T364" s="144"/>
      <c r="U364" s="144"/>
      <c r="V364" s="144"/>
      <c r="W364" s="144"/>
      <c r="X364" s="144"/>
      <c r="Y364" s="144"/>
      <c r="Z364" s="233"/>
      <c r="AA364" s="227"/>
      <c r="AB364" s="144"/>
      <c r="AC364" s="144"/>
      <c r="AD364" s="144"/>
      <c r="AE364" s="144"/>
      <c r="AF364" s="144"/>
      <c r="AG364" s="144"/>
      <c r="AH364" s="144"/>
      <c r="AI364" s="144"/>
      <c r="AJ364" s="144"/>
      <c r="AK364" s="144"/>
    </row>
    <row r="365" spans="1:37" s="231" customFormat="1" hidden="1" outlineLevel="2" x14ac:dyDescent="0.3">
      <c r="A365" s="448"/>
      <c r="B365" s="231" t="s">
        <v>77</v>
      </c>
      <c r="C365" s="21">
        <f t="shared" si="300"/>
        <v>-4056.4726189375601</v>
      </c>
      <c r="D365" s="21">
        <f t="shared" ref="D365:L365" si="306">C365+D355</f>
        <v>-4117.3445107277184</v>
      </c>
      <c r="E365" s="21">
        <f t="shared" si="306"/>
        <v>-3398.9144825178764</v>
      </c>
      <c r="F365" s="21">
        <f t="shared" si="306"/>
        <v>-2057.0429183080346</v>
      </c>
      <c r="G365" s="21">
        <f t="shared" si="306"/>
        <v>-216.41812529819299</v>
      </c>
      <c r="H365" s="21">
        <f t="shared" si="306"/>
        <v>1937.2092507516486</v>
      </c>
      <c r="I365" s="21">
        <f t="shared" si="306"/>
        <v>1828.1476474236486</v>
      </c>
      <c r="J365" s="21">
        <f t="shared" si="306"/>
        <v>1740.8983647612486</v>
      </c>
      <c r="K365" s="21">
        <f t="shared" si="306"/>
        <v>1671.0989386313286</v>
      </c>
      <c r="L365" s="21">
        <f t="shared" si="306"/>
        <v>1615.2593977273925</v>
      </c>
      <c r="M365" s="4"/>
      <c r="N365" s="251"/>
      <c r="O365" s="227"/>
      <c r="P365" s="144"/>
      <c r="Q365" s="144"/>
      <c r="R365" s="144"/>
      <c r="S365" s="144"/>
      <c r="T365" s="144"/>
      <c r="U365" s="144"/>
      <c r="V365" s="144"/>
      <c r="W365" s="144"/>
      <c r="X365" s="144"/>
      <c r="Y365" s="144"/>
      <c r="Z365" s="233"/>
      <c r="AA365" s="227"/>
      <c r="AB365" s="144"/>
      <c r="AC365" s="144"/>
      <c r="AD365" s="144"/>
      <c r="AE365" s="144"/>
      <c r="AF365" s="144"/>
      <c r="AG365" s="144"/>
      <c r="AH365" s="144"/>
      <c r="AI365" s="144"/>
      <c r="AJ365" s="144"/>
      <c r="AK365" s="144"/>
    </row>
    <row r="366" spans="1:37" s="231" customFormat="1" hidden="1" outlineLevel="2" x14ac:dyDescent="0.3">
      <c r="A366" s="448"/>
      <c r="B366" s="231" t="s">
        <v>78</v>
      </c>
      <c r="C366" s="21">
        <f t="shared" si="300"/>
        <v>-4056.4726189375601</v>
      </c>
      <c r="D366" s="21">
        <f t="shared" ref="D366:L366" si="307">C366+D356</f>
        <v>-4117.3445107277184</v>
      </c>
      <c r="E366" s="21">
        <f t="shared" si="307"/>
        <v>-3398.9144825178764</v>
      </c>
      <c r="F366" s="21">
        <f t="shared" si="307"/>
        <v>-2057.0429183080346</v>
      </c>
      <c r="G366" s="21">
        <f t="shared" si="307"/>
        <v>-216.41812529819299</v>
      </c>
      <c r="H366" s="21">
        <f t="shared" si="307"/>
        <v>2023.2092507516486</v>
      </c>
      <c r="I366" s="21">
        <f t="shared" si="307"/>
        <v>4496.0386932334895</v>
      </c>
      <c r="J366" s="21">
        <f t="shared" si="307"/>
        <v>4408.7894105710893</v>
      </c>
      <c r="K366" s="21">
        <f t="shared" si="307"/>
        <v>4338.9899844411693</v>
      </c>
      <c r="L366" s="21">
        <f t="shared" si="307"/>
        <v>4283.1504435372335</v>
      </c>
      <c r="M366" s="4"/>
      <c r="N366" s="251"/>
      <c r="O366" s="227"/>
      <c r="P366" s="144"/>
      <c r="Q366" s="144"/>
      <c r="R366" s="144"/>
      <c r="S366" s="144"/>
      <c r="T366" s="144"/>
      <c r="U366" s="144"/>
      <c r="V366" s="144"/>
      <c r="W366" s="144"/>
      <c r="X366" s="144"/>
      <c r="Y366" s="144"/>
      <c r="Z366" s="233"/>
      <c r="AA366" s="227"/>
      <c r="AB366" s="144"/>
      <c r="AC366" s="144"/>
      <c r="AD366" s="144"/>
      <c r="AE366" s="144"/>
      <c r="AF366" s="144"/>
      <c r="AG366" s="144"/>
      <c r="AH366" s="144"/>
      <c r="AI366" s="144"/>
      <c r="AJ366" s="144"/>
      <c r="AK366" s="144"/>
    </row>
    <row r="367" spans="1:37" s="231" customFormat="1" hidden="1" outlineLevel="2" x14ac:dyDescent="0.3">
      <c r="A367" s="448"/>
      <c r="B367" s="231" t="s">
        <v>79</v>
      </c>
      <c r="C367" s="21">
        <f t="shared" si="300"/>
        <v>-4056.4726189375601</v>
      </c>
      <c r="D367" s="21">
        <f t="shared" ref="D367:L367" si="308">C367+D357</f>
        <v>-4117.3445107277184</v>
      </c>
      <c r="E367" s="21">
        <f t="shared" si="308"/>
        <v>-3398.9144825178764</v>
      </c>
      <c r="F367" s="21">
        <f t="shared" si="308"/>
        <v>-2057.0429183080346</v>
      </c>
      <c r="G367" s="21">
        <f t="shared" si="308"/>
        <v>-216.41812529819299</v>
      </c>
      <c r="H367" s="21">
        <f t="shared" si="308"/>
        <v>2023.2092507516486</v>
      </c>
      <c r="I367" s="21">
        <f t="shared" si="308"/>
        <v>4582.0386932334895</v>
      </c>
      <c r="J367" s="21">
        <f t="shared" si="308"/>
        <v>7310.229788860931</v>
      </c>
      <c r="K367" s="21">
        <f t="shared" si="308"/>
        <v>7240.430362731011</v>
      </c>
      <c r="L367" s="21">
        <f t="shared" si="308"/>
        <v>7184.5908218270752</v>
      </c>
      <c r="M367" s="4"/>
      <c r="N367" s="251"/>
      <c r="O367" s="227"/>
      <c r="P367" s="144"/>
      <c r="Q367" s="144"/>
      <c r="R367" s="144"/>
      <c r="S367" s="144"/>
      <c r="T367" s="144"/>
      <c r="U367" s="144"/>
      <c r="V367" s="144"/>
      <c r="W367" s="144"/>
      <c r="X367" s="144"/>
      <c r="Y367" s="144"/>
      <c r="Z367" s="233"/>
      <c r="AA367" s="227"/>
      <c r="AB367" s="144"/>
      <c r="AC367" s="144"/>
      <c r="AD367" s="144"/>
      <c r="AE367" s="144"/>
      <c r="AF367" s="144"/>
      <c r="AG367" s="144"/>
      <c r="AH367" s="144"/>
      <c r="AI367" s="144"/>
      <c r="AJ367" s="144"/>
      <c r="AK367" s="144"/>
    </row>
    <row r="368" spans="1:37" s="231" customFormat="1" hidden="1" outlineLevel="2" x14ac:dyDescent="0.3">
      <c r="A368" s="448"/>
      <c r="B368" s="231" t="s">
        <v>80</v>
      </c>
      <c r="C368" s="21">
        <f t="shared" si="300"/>
        <v>-4056.4726189375601</v>
      </c>
      <c r="D368" s="21">
        <f t="shared" ref="D368:L368" si="309">C368+D358</f>
        <v>-4117.3445107277184</v>
      </c>
      <c r="E368" s="21">
        <f t="shared" si="309"/>
        <v>-3398.9144825178764</v>
      </c>
      <c r="F368" s="21">
        <f t="shared" si="309"/>
        <v>-2057.0429183080346</v>
      </c>
      <c r="G368" s="21">
        <f t="shared" si="309"/>
        <v>-216.41812529819299</v>
      </c>
      <c r="H368" s="21">
        <f t="shared" si="309"/>
        <v>2023.2092507516486</v>
      </c>
      <c r="I368" s="21">
        <f t="shared" si="309"/>
        <v>4582.0386932334895</v>
      </c>
      <c r="J368" s="21">
        <f t="shared" si="309"/>
        <v>7396.229788860931</v>
      </c>
      <c r="K368" s="21">
        <f t="shared" si="309"/>
        <v>10328.710207004853</v>
      </c>
      <c r="L368" s="21">
        <f t="shared" si="309"/>
        <v>10272.870666100916</v>
      </c>
      <c r="M368" s="4"/>
      <c r="N368" s="251"/>
      <c r="O368" s="227"/>
      <c r="P368" s="144"/>
      <c r="Q368" s="144"/>
      <c r="R368" s="144"/>
      <c r="S368" s="144"/>
      <c r="T368" s="144"/>
      <c r="U368" s="144"/>
      <c r="V368" s="144"/>
      <c r="W368" s="144"/>
      <c r="X368" s="144"/>
      <c r="Y368" s="144"/>
      <c r="Z368" s="233"/>
      <c r="AA368" s="227"/>
      <c r="AB368" s="144"/>
      <c r="AC368" s="144"/>
      <c r="AD368" s="144"/>
      <c r="AE368" s="144"/>
      <c r="AF368" s="144"/>
      <c r="AG368" s="144"/>
      <c r="AH368" s="144"/>
      <c r="AI368" s="144"/>
      <c r="AJ368" s="144"/>
      <c r="AK368" s="144"/>
    </row>
    <row r="369" spans="1:37" s="231" customFormat="1" hidden="1" outlineLevel="2" x14ac:dyDescent="0.3">
      <c r="A369" s="449"/>
      <c r="B369" s="182" t="s">
        <v>134</v>
      </c>
      <c r="C369" s="239">
        <f t="shared" si="300"/>
        <v>-4056.4726189375601</v>
      </c>
      <c r="D369" s="239">
        <f t="shared" ref="D369:L369" si="310">C369+D359</f>
        <v>-4117.3445107277184</v>
      </c>
      <c r="E369" s="239">
        <f t="shared" si="310"/>
        <v>-3398.9144825178764</v>
      </c>
      <c r="F369" s="239">
        <f t="shared" si="310"/>
        <v>-2057.0429183080346</v>
      </c>
      <c r="G369" s="239">
        <f t="shared" si="310"/>
        <v>-216.41812529819299</v>
      </c>
      <c r="H369" s="239">
        <f t="shared" si="310"/>
        <v>2023.2092507516486</v>
      </c>
      <c r="I369" s="239">
        <f t="shared" si="310"/>
        <v>4582.0386932334895</v>
      </c>
      <c r="J369" s="239">
        <f t="shared" si="310"/>
        <v>7396.229788860931</v>
      </c>
      <c r="K369" s="239">
        <f t="shared" si="310"/>
        <v>10414.710207004853</v>
      </c>
      <c r="L369" s="186">
        <f t="shared" si="310"/>
        <v>13596.622083161958</v>
      </c>
      <c r="M369" s="4"/>
      <c r="N369" s="251"/>
      <c r="O369" s="227"/>
      <c r="P369" s="144"/>
      <c r="Q369" s="144"/>
      <c r="R369" s="144"/>
      <c r="S369" s="144"/>
      <c r="T369" s="144"/>
      <c r="U369" s="144"/>
      <c r="V369" s="144"/>
      <c r="W369" s="144"/>
      <c r="X369" s="144"/>
      <c r="Y369" s="144"/>
      <c r="Z369" s="233"/>
      <c r="AA369" s="227"/>
      <c r="AB369" s="144"/>
      <c r="AC369" s="144"/>
      <c r="AD369" s="144"/>
      <c r="AE369" s="144"/>
      <c r="AF369" s="144"/>
      <c r="AG369" s="144"/>
      <c r="AH369" s="144"/>
      <c r="AI369" s="144"/>
      <c r="AJ369" s="144"/>
      <c r="AK369" s="144"/>
    </row>
    <row r="370" spans="1:37" s="231" customFormat="1" hidden="1" outlineLevel="2" x14ac:dyDescent="0.3">
      <c r="A370" s="455" t="s">
        <v>247</v>
      </c>
      <c r="B370" s="231" t="s">
        <v>72</v>
      </c>
      <c r="C370" s="21">
        <f t="shared" ref="C370:L370" si="311">C360/$B$15</f>
        <v>-46.104314067195993</v>
      </c>
      <c r="D370" s="21">
        <f t="shared" si="311"/>
        <v>-49.808594534641735</v>
      </c>
      <c r="E370" s="21">
        <f t="shared" si="311"/>
        <v>-52.772018908598334</v>
      </c>
      <c r="F370" s="21">
        <f t="shared" si="311"/>
        <v>-55.142758407763601</v>
      </c>
      <c r="G370" s="21">
        <f t="shared" si="311"/>
        <v>-57.039350007095827</v>
      </c>
      <c r="H370" s="21">
        <f t="shared" si="311"/>
        <v>-58.556623286561596</v>
      </c>
      <c r="I370" s="21">
        <f t="shared" si="311"/>
        <v>-59.770441910134224</v>
      </c>
      <c r="J370" s="21">
        <f t="shared" si="311"/>
        <v>-60.741496808992324</v>
      </c>
      <c r="K370" s="21">
        <f t="shared" si="311"/>
        <v>-61.518340728078797</v>
      </c>
      <c r="L370" s="21">
        <f t="shared" si="311"/>
        <v>-62.139815863347977</v>
      </c>
      <c r="M370" s="4"/>
      <c r="N370" s="251"/>
      <c r="O370" s="227"/>
      <c r="P370" s="144"/>
      <c r="Q370" s="144"/>
      <c r="R370" s="144"/>
      <c r="S370" s="144"/>
      <c r="T370" s="144"/>
      <c r="U370" s="144"/>
      <c r="V370" s="144"/>
      <c r="W370" s="144"/>
      <c r="X370" s="144"/>
      <c r="Y370" s="144"/>
      <c r="Z370" s="233"/>
      <c r="AA370" s="227"/>
      <c r="AB370" s="144"/>
      <c r="AC370" s="144"/>
      <c r="AD370" s="144"/>
      <c r="AE370" s="144"/>
      <c r="AF370" s="144"/>
      <c r="AG370" s="144"/>
      <c r="AH370" s="144"/>
      <c r="AI370" s="144"/>
      <c r="AJ370" s="144"/>
      <c r="AK370" s="144"/>
    </row>
    <row r="371" spans="1:37" s="231" customFormat="1" hidden="1" outlineLevel="2" x14ac:dyDescent="0.3">
      <c r="A371" s="448"/>
      <c r="B371" s="231" t="s">
        <v>73</v>
      </c>
      <c r="C371" s="21">
        <f t="shared" ref="C371:L371" si="312">C361/$B$15</f>
        <v>-45.147163260295606</v>
      </c>
      <c r="D371" s="21">
        <f t="shared" si="312"/>
        <v>-46.781797559573945</v>
      </c>
      <c r="E371" s="21">
        <f t="shared" si="312"/>
        <v>-49.745221933530537</v>
      </c>
      <c r="F371" s="21">
        <f t="shared" si="312"/>
        <v>-52.115961432695812</v>
      </c>
      <c r="G371" s="21">
        <f t="shared" si="312"/>
        <v>-54.01255303202803</v>
      </c>
      <c r="H371" s="21">
        <f t="shared" si="312"/>
        <v>-55.529826311493807</v>
      </c>
      <c r="I371" s="21">
        <f t="shared" si="312"/>
        <v>-56.743644935066428</v>
      </c>
      <c r="J371" s="21">
        <f t="shared" si="312"/>
        <v>-57.714699833924527</v>
      </c>
      <c r="K371" s="21">
        <f t="shared" si="312"/>
        <v>-58.491543753011008</v>
      </c>
      <c r="L371" s="21">
        <f t="shared" si="312"/>
        <v>-59.113018888280187</v>
      </c>
      <c r="M371" s="4"/>
      <c r="N371" s="251"/>
      <c r="O371" s="227"/>
      <c r="P371" s="144"/>
      <c r="Q371" s="144"/>
      <c r="R371" s="144"/>
      <c r="S371" s="144"/>
      <c r="T371" s="144"/>
      <c r="U371" s="144"/>
      <c r="V371" s="144"/>
      <c r="W371" s="144"/>
      <c r="X371" s="144"/>
      <c r="Y371" s="144"/>
      <c r="Z371" s="233"/>
      <c r="AA371" s="227"/>
      <c r="AB371" s="144"/>
      <c r="AC371" s="144"/>
      <c r="AD371" s="144"/>
      <c r="AE371" s="144"/>
      <c r="AF371" s="144"/>
      <c r="AG371" s="144"/>
      <c r="AH371" s="144"/>
      <c r="AI371" s="144"/>
      <c r="AJ371" s="144"/>
      <c r="AK371" s="144"/>
    </row>
    <row r="372" spans="1:37" s="231" customFormat="1" hidden="1" outlineLevel="2" x14ac:dyDescent="0.3">
      <c r="A372" s="448"/>
      <c r="B372" s="231" t="s">
        <v>74</v>
      </c>
      <c r="C372" s="21">
        <f t="shared" ref="C372:L372" si="313">C362/$B$15</f>
        <v>-45.147163260295606</v>
      </c>
      <c r="D372" s="21">
        <f t="shared" si="313"/>
        <v>-45.824646752673551</v>
      </c>
      <c r="E372" s="21">
        <f t="shared" si="313"/>
        <v>-38.785915220009755</v>
      </c>
      <c r="F372" s="21">
        <f t="shared" si="313"/>
        <v>-41.15665471917503</v>
      </c>
      <c r="G372" s="21">
        <f t="shared" si="313"/>
        <v>-43.053246318507256</v>
      </c>
      <c r="H372" s="21">
        <f t="shared" si="313"/>
        <v>-44.570519597973032</v>
      </c>
      <c r="I372" s="21">
        <f t="shared" si="313"/>
        <v>-45.784338221545646</v>
      </c>
      <c r="J372" s="21">
        <f t="shared" si="313"/>
        <v>-46.755393120403745</v>
      </c>
      <c r="K372" s="21">
        <f t="shared" si="313"/>
        <v>-47.532237039490226</v>
      </c>
      <c r="L372" s="21">
        <f t="shared" si="313"/>
        <v>-48.153712174759406</v>
      </c>
      <c r="M372" s="4"/>
      <c r="N372" s="251"/>
      <c r="O372" s="227"/>
      <c r="P372" s="144"/>
      <c r="Q372" s="144"/>
      <c r="R372" s="144"/>
      <c r="S372" s="144"/>
      <c r="T372" s="144"/>
      <c r="U372" s="144"/>
      <c r="V372" s="144"/>
      <c r="W372" s="144"/>
      <c r="X372" s="144"/>
      <c r="Y372" s="144"/>
      <c r="Z372" s="233"/>
      <c r="AA372" s="227"/>
      <c r="AB372" s="144"/>
      <c r="AC372" s="144"/>
      <c r="AD372" s="144"/>
      <c r="AE372" s="144"/>
      <c r="AF372" s="144"/>
      <c r="AG372" s="144"/>
      <c r="AH372" s="144"/>
      <c r="AI372" s="144"/>
      <c r="AJ372" s="144"/>
      <c r="AK372" s="144"/>
    </row>
    <row r="373" spans="1:37" s="231" customFormat="1" hidden="1" outlineLevel="2" x14ac:dyDescent="0.3">
      <c r="A373" s="448"/>
      <c r="B373" s="231" t="s">
        <v>75</v>
      </c>
      <c r="C373" s="21">
        <f t="shared" ref="C373:L373" si="314">C363/$B$15</f>
        <v>-45.147163260295606</v>
      </c>
      <c r="D373" s="21">
        <f t="shared" si="314"/>
        <v>-45.824646752673551</v>
      </c>
      <c r="E373" s="21">
        <f t="shared" si="314"/>
        <v>-37.828764413109369</v>
      </c>
      <c r="F373" s="21">
        <f t="shared" si="314"/>
        <v>-23.851340214891874</v>
      </c>
      <c r="G373" s="21">
        <f t="shared" si="314"/>
        <v>-25.747931814224092</v>
      </c>
      <c r="H373" s="21">
        <f t="shared" si="314"/>
        <v>-27.265205093689868</v>
      </c>
      <c r="I373" s="21">
        <f t="shared" si="314"/>
        <v>-28.479023717262489</v>
      </c>
      <c r="J373" s="21">
        <f t="shared" si="314"/>
        <v>-29.450078616120589</v>
      </c>
      <c r="K373" s="21">
        <f t="shared" si="314"/>
        <v>-30.226922535207066</v>
      </c>
      <c r="L373" s="21">
        <f t="shared" si="314"/>
        <v>-30.848397670476245</v>
      </c>
      <c r="M373" s="4"/>
      <c r="N373" s="251"/>
      <c r="O373" s="227"/>
      <c r="P373" s="144"/>
      <c r="Q373" s="144"/>
      <c r="R373" s="144"/>
      <c r="S373" s="144"/>
      <c r="T373" s="144"/>
      <c r="U373" s="144"/>
      <c r="V373" s="144"/>
      <c r="W373" s="144"/>
      <c r="X373" s="144"/>
      <c r="Y373" s="144"/>
      <c r="Z373" s="233"/>
      <c r="AA373" s="227"/>
      <c r="AB373" s="144"/>
      <c r="AC373" s="144"/>
      <c r="AD373" s="144"/>
      <c r="AE373" s="144"/>
      <c r="AF373" s="144"/>
      <c r="AG373" s="144"/>
      <c r="AH373" s="144"/>
      <c r="AI373" s="144"/>
      <c r="AJ373" s="144"/>
      <c r="AK373" s="144"/>
    </row>
    <row r="374" spans="1:37" s="231" customFormat="1" hidden="1" outlineLevel="2" x14ac:dyDescent="0.3">
      <c r="A374" s="448"/>
      <c r="B374" s="231" t="s">
        <v>76</v>
      </c>
      <c r="C374" s="21">
        <f t="shared" ref="C374:L374" si="315">C364/$B$15</f>
        <v>-45.147163260295606</v>
      </c>
      <c r="D374" s="21">
        <f t="shared" si="315"/>
        <v>-45.824646752673551</v>
      </c>
      <c r="E374" s="21">
        <f t="shared" si="315"/>
        <v>-37.828764413109369</v>
      </c>
      <c r="F374" s="21">
        <f t="shared" si="315"/>
        <v>-22.894189407991483</v>
      </c>
      <c r="G374" s="21">
        <f t="shared" si="315"/>
        <v>-3.3658110773310295</v>
      </c>
      <c r="H374" s="21">
        <f t="shared" si="315"/>
        <v>-4.8830843567968056</v>
      </c>
      <c r="I374" s="21">
        <f t="shared" si="315"/>
        <v>-6.0969029803694275</v>
      </c>
      <c r="J374" s="21">
        <f t="shared" si="315"/>
        <v>-7.0679578792275244</v>
      </c>
      <c r="K374" s="21">
        <f t="shared" si="315"/>
        <v>-7.8448017983140019</v>
      </c>
      <c r="L374" s="21">
        <f t="shared" si="315"/>
        <v>-8.4662769335831847</v>
      </c>
      <c r="M374" s="4"/>
      <c r="N374" s="251"/>
      <c r="O374" s="227"/>
      <c r="P374" s="144"/>
      <c r="Q374" s="144"/>
      <c r="R374" s="144"/>
      <c r="S374" s="144"/>
      <c r="T374" s="144"/>
      <c r="U374" s="144"/>
      <c r="V374" s="144"/>
      <c r="W374" s="144"/>
      <c r="X374" s="144"/>
      <c r="Y374" s="144"/>
      <c r="Z374" s="233"/>
      <c r="AA374" s="227"/>
      <c r="AB374" s="144"/>
      <c r="AC374" s="144"/>
      <c r="AD374" s="144"/>
      <c r="AE374" s="144"/>
      <c r="AF374" s="144"/>
      <c r="AG374" s="144"/>
      <c r="AH374" s="144"/>
      <c r="AI374" s="144"/>
      <c r="AJ374" s="144"/>
      <c r="AK374" s="144"/>
    </row>
    <row r="375" spans="1:37" s="231" customFormat="1" hidden="1" outlineLevel="2" x14ac:dyDescent="0.3">
      <c r="A375" s="448"/>
      <c r="B375" s="231" t="s">
        <v>77</v>
      </c>
      <c r="C375" s="21">
        <f t="shared" ref="C375:L375" si="316">C365/$B$15</f>
        <v>-45.147163260295606</v>
      </c>
      <c r="D375" s="21">
        <f t="shared" si="316"/>
        <v>-45.824646752673551</v>
      </c>
      <c r="E375" s="21">
        <f t="shared" si="316"/>
        <v>-37.828764413109369</v>
      </c>
      <c r="F375" s="21">
        <f t="shared" si="316"/>
        <v>-22.894189407991483</v>
      </c>
      <c r="G375" s="21">
        <f t="shared" si="316"/>
        <v>-2.4086602704306399</v>
      </c>
      <c r="H375" s="21">
        <f t="shared" si="316"/>
        <v>21.560481366184181</v>
      </c>
      <c r="I375" s="21">
        <f t="shared" si="316"/>
        <v>20.34666274261156</v>
      </c>
      <c r="J375" s="21">
        <f t="shared" si="316"/>
        <v>19.375607843753464</v>
      </c>
      <c r="K375" s="21">
        <f t="shared" si="316"/>
        <v>18.598763924666986</v>
      </c>
      <c r="L375" s="21">
        <f t="shared" si="316"/>
        <v>17.977288789397804</v>
      </c>
      <c r="M375" s="4"/>
      <c r="N375" s="251"/>
      <c r="O375" s="227"/>
      <c r="P375" s="144"/>
      <c r="Q375" s="144"/>
      <c r="R375" s="144"/>
      <c r="S375" s="144"/>
      <c r="T375" s="144"/>
      <c r="U375" s="144"/>
      <c r="V375" s="144"/>
      <c r="W375" s="144"/>
      <c r="X375" s="144"/>
      <c r="Y375" s="144"/>
      <c r="Z375" s="233"/>
      <c r="AA375" s="227"/>
      <c r="AB375" s="144"/>
      <c r="AC375" s="144"/>
      <c r="AD375" s="144"/>
      <c r="AE375" s="144"/>
      <c r="AF375" s="144"/>
      <c r="AG375" s="144"/>
      <c r="AH375" s="144"/>
      <c r="AI375" s="144"/>
      <c r="AJ375" s="144"/>
      <c r="AK375" s="144"/>
    </row>
    <row r="376" spans="1:37" s="231" customFormat="1" hidden="1" outlineLevel="2" x14ac:dyDescent="0.3">
      <c r="A376" s="448"/>
      <c r="B376" s="231" t="s">
        <v>78</v>
      </c>
      <c r="C376" s="21">
        <f t="shared" ref="C376:L376" si="317">C366/$B$15</f>
        <v>-45.147163260295606</v>
      </c>
      <c r="D376" s="21">
        <f t="shared" si="317"/>
        <v>-45.824646752673551</v>
      </c>
      <c r="E376" s="21">
        <f t="shared" si="317"/>
        <v>-37.828764413109369</v>
      </c>
      <c r="F376" s="21">
        <f t="shared" si="317"/>
        <v>-22.894189407991483</v>
      </c>
      <c r="G376" s="21">
        <f t="shared" si="317"/>
        <v>-2.4086602704306399</v>
      </c>
      <c r="H376" s="21">
        <f t="shared" si="317"/>
        <v>22.517632173084571</v>
      </c>
      <c r="I376" s="21">
        <f t="shared" si="317"/>
        <v>50.039384454462883</v>
      </c>
      <c r="J376" s="21">
        <f t="shared" si="317"/>
        <v>49.068329555604784</v>
      </c>
      <c r="K376" s="21">
        <f t="shared" si="317"/>
        <v>48.291485636518303</v>
      </c>
      <c r="L376" s="21">
        <f t="shared" si="317"/>
        <v>47.670010501249124</v>
      </c>
      <c r="M376" s="4"/>
      <c r="N376" s="251"/>
      <c r="O376" s="227"/>
      <c r="P376" s="144"/>
      <c r="Q376" s="144"/>
      <c r="R376" s="144"/>
      <c r="S376" s="144"/>
      <c r="T376" s="144"/>
      <c r="U376" s="144"/>
      <c r="V376" s="144"/>
      <c r="W376" s="144"/>
      <c r="X376" s="144"/>
      <c r="Y376" s="144"/>
      <c r="Z376" s="233"/>
      <c r="AA376" s="227"/>
      <c r="AB376" s="144"/>
      <c r="AC376" s="144"/>
      <c r="AD376" s="144"/>
      <c r="AE376" s="144"/>
      <c r="AF376" s="144"/>
      <c r="AG376" s="144"/>
      <c r="AH376" s="144"/>
      <c r="AI376" s="144"/>
      <c r="AJ376" s="144"/>
      <c r="AK376" s="144"/>
    </row>
    <row r="377" spans="1:37" s="231" customFormat="1" hidden="1" outlineLevel="2" x14ac:dyDescent="0.3">
      <c r="A377" s="448"/>
      <c r="B377" s="231" t="s">
        <v>79</v>
      </c>
      <c r="C377" s="21">
        <f t="shared" ref="C377:L377" si="318">C367/$B$15</f>
        <v>-45.147163260295606</v>
      </c>
      <c r="D377" s="21">
        <f t="shared" si="318"/>
        <v>-45.824646752673551</v>
      </c>
      <c r="E377" s="21">
        <f t="shared" si="318"/>
        <v>-37.828764413109369</v>
      </c>
      <c r="F377" s="21">
        <f t="shared" si="318"/>
        <v>-22.894189407991483</v>
      </c>
      <c r="G377" s="21">
        <f t="shared" si="318"/>
        <v>-2.4086602704306399</v>
      </c>
      <c r="H377" s="21">
        <f t="shared" si="318"/>
        <v>22.517632173084571</v>
      </c>
      <c r="I377" s="21">
        <f t="shared" si="318"/>
        <v>50.99653526136327</v>
      </c>
      <c r="J377" s="21">
        <f t="shared" si="318"/>
        <v>81.360376058552376</v>
      </c>
      <c r="K377" s="21">
        <f t="shared" si="318"/>
        <v>80.583532139465902</v>
      </c>
      <c r="L377" s="21">
        <f t="shared" si="318"/>
        <v>79.962057004196723</v>
      </c>
      <c r="M377" s="4"/>
      <c r="N377" s="251"/>
      <c r="O377" s="227"/>
      <c r="P377" s="144"/>
      <c r="Q377" s="144"/>
      <c r="R377" s="144"/>
      <c r="S377" s="144"/>
      <c r="T377" s="144"/>
      <c r="U377" s="144"/>
      <c r="V377" s="144"/>
      <c r="W377" s="144"/>
      <c r="X377" s="144"/>
      <c r="Y377" s="144"/>
      <c r="Z377" s="233"/>
      <c r="AA377" s="227"/>
      <c r="AB377" s="144"/>
      <c r="AC377" s="144"/>
      <c r="AD377" s="144"/>
      <c r="AE377" s="144"/>
      <c r="AF377" s="144"/>
      <c r="AG377" s="144"/>
      <c r="AH377" s="144"/>
      <c r="AI377" s="144"/>
      <c r="AJ377" s="144"/>
      <c r="AK377" s="144"/>
    </row>
    <row r="378" spans="1:37" s="231" customFormat="1" hidden="1" outlineLevel="2" x14ac:dyDescent="0.3">
      <c r="A378" s="448"/>
      <c r="B378" s="231" t="s">
        <v>80</v>
      </c>
      <c r="C378" s="21">
        <f t="shared" ref="C378:L378" si="319">C368/$B$15</f>
        <v>-45.147163260295606</v>
      </c>
      <c r="D378" s="21">
        <f t="shared" si="319"/>
        <v>-45.824646752673551</v>
      </c>
      <c r="E378" s="21">
        <f t="shared" si="319"/>
        <v>-37.828764413109369</v>
      </c>
      <c r="F378" s="21">
        <f t="shared" si="319"/>
        <v>-22.894189407991483</v>
      </c>
      <c r="G378" s="21">
        <f t="shared" si="319"/>
        <v>-2.4086602704306399</v>
      </c>
      <c r="H378" s="21">
        <f t="shared" si="319"/>
        <v>22.517632173084571</v>
      </c>
      <c r="I378" s="21">
        <f t="shared" si="319"/>
        <v>50.99653526136327</v>
      </c>
      <c r="J378" s="21">
        <f t="shared" si="319"/>
        <v>82.317526865452777</v>
      </c>
      <c r="K378" s="21">
        <f t="shared" si="319"/>
        <v>114.95503847529052</v>
      </c>
      <c r="L378" s="21">
        <f t="shared" si="319"/>
        <v>114.33356334002134</v>
      </c>
      <c r="M378" s="4"/>
      <c r="N378" s="251"/>
      <c r="O378" s="227"/>
      <c r="P378" s="144"/>
      <c r="Q378" s="144"/>
      <c r="R378" s="144"/>
      <c r="S378" s="144"/>
      <c r="T378" s="144"/>
      <c r="U378" s="144"/>
      <c r="V378" s="144"/>
      <c r="W378" s="144"/>
      <c r="X378" s="144"/>
      <c r="Y378" s="144"/>
      <c r="Z378" s="233"/>
      <c r="AA378" s="227"/>
      <c r="AB378" s="144"/>
      <c r="AC378" s="144"/>
      <c r="AD378" s="144"/>
      <c r="AE378" s="144"/>
      <c r="AF378" s="144"/>
      <c r="AG378" s="144"/>
      <c r="AH378" s="144"/>
      <c r="AI378" s="144"/>
      <c r="AJ378" s="144"/>
      <c r="AK378" s="144"/>
    </row>
    <row r="379" spans="1:37" s="231" customFormat="1" hidden="1" outlineLevel="2" x14ac:dyDescent="0.3">
      <c r="A379" s="449"/>
      <c r="B379" s="182" t="s">
        <v>134</v>
      </c>
      <c r="C379" s="239">
        <f t="shared" ref="C379:L379" si="320">C369/$B$15</f>
        <v>-45.147163260295606</v>
      </c>
      <c r="D379" s="239">
        <f t="shared" si="320"/>
        <v>-45.824646752673551</v>
      </c>
      <c r="E379" s="239">
        <f t="shared" si="320"/>
        <v>-37.828764413109369</v>
      </c>
      <c r="F379" s="239">
        <f t="shared" si="320"/>
        <v>-22.894189407991483</v>
      </c>
      <c r="G379" s="239">
        <f t="shared" si="320"/>
        <v>-2.4086602704306399</v>
      </c>
      <c r="H379" s="239">
        <f t="shared" si="320"/>
        <v>22.517632173084571</v>
      </c>
      <c r="I379" s="239">
        <f t="shared" si="320"/>
        <v>50.99653526136327</v>
      </c>
      <c r="J379" s="239">
        <f t="shared" si="320"/>
        <v>82.317526865452777</v>
      </c>
      <c r="K379" s="239">
        <f t="shared" si="320"/>
        <v>115.91218928219092</v>
      </c>
      <c r="L379" s="239">
        <f t="shared" si="320"/>
        <v>151.32578834904794</v>
      </c>
      <c r="M379" s="4"/>
      <c r="N379" s="251"/>
      <c r="O379" s="227"/>
      <c r="P379" s="144"/>
      <c r="Q379" s="144"/>
      <c r="R379" s="144"/>
      <c r="S379" s="144"/>
      <c r="T379" s="144"/>
      <c r="U379" s="144"/>
      <c r="V379" s="144"/>
      <c r="W379" s="144"/>
      <c r="X379" s="144"/>
      <c r="Y379" s="144"/>
      <c r="Z379" s="233"/>
      <c r="AA379" s="227"/>
      <c r="AB379" s="144"/>
      <c r="AC379" s="144"/>
      <c r="AD379" s="144"/>
      <c r="AE379" s="144"/>
      <c r="AF379" s="144"/>
      <c r="AG379" s="144"/>
      <c r="AH379" s="144"/>
      <c r="AI379" s="144"/>
      <c r="AJ379" s="144"/>
      <c r="AK379" s="144"/>
    </row>
    <row r="380" spans="1:37" outlineLevel="1" collapsed="1" x14ac:dyDescent="0.3"/>
    <row r="381" spans="1:37" s="67" customFormat="1" outlineLevel="1" x14ac:dyDescent="0.3">
      <c r="A381" s="509" t="s">
        <v>250</v>
      </c>
      <c r="B381" s="509"/>
      <c r="C381" s="509"/>
      <c r="D381" s="509"/>
      <c r="E381" s="509"/>
      <c r="F381" s="509"/>
      <c r="G381" s="509"/>
      <c r="H381" s="509"/>
      <c r="I381" s="509"/>
      <c r="J381" s="509"/>
      <c r="K381" s="509"/>
      <c r="L381" s="509"/>
      <c r="M381" s="505" t="s">
        <v>250</v>
      </c>
      <c r="N381" s="506"/>
      <c r="O381" s="506"/>
      <c r="P381" s="506"/>
      <c r="Q381" s="506"/>
      <c r="R381" s="506"/>
      <c r="S381" s="506"/>
      <c r="T381" s="506"/>
      <c r="U381" s="506"/>
      <c r="V381" s="506"/>
    </row>
    <row r="382" spans="1:37" s="67" customFormat="1" outlineLevel="2" x14ac:dyDescent="0.3">
      <c r="A382" s="231"/>
      <c r="B382" s="231"/>
      <c r="C382" s="451" t="s">
        <v>71</v>
      </c>
      <c r="D382" s="451"/>
      <c r="E382" s="451"/>
      <c r="F382" s="451"/>
      <c r="G382" s="451"/>
      <c r="H382" s="451"/>
      <c r="I382" s="451"/>
      <c r="J382" s="451"/>
      <c r="K382" s="451"/>
      <c r="L382" s="451"/>
      <c r="M382" s="444" t="s">
        <v>71</v>
      </c>
      <c r="N382" s="445"/>
      <c r="O382" s="445"/>
      <c r="P382" s="445"/>
      <c r="Q382" s="445"/>
      <c r="R382" s="445"/>
      <c r="S382" s="445"/>
      <c r="T382" s="445"/>
      <c r="U382" s="445"/>
      <c r="V382" s="445"/>
    </row>
    <row r="383" spans="1:37" s="67" customFormat="1" outlineLevel="2" x14ac:dyDescent="0.3">
      <c r="A383" s="231"/>
      <c r="B383" s="231"/>
      <c r="C383" s="158">
        <v>1</v>
      </c>
      <c r="D383" s="158">
        <v>2</v>
      </c>
      <c r="E383" s="158">
        <v>3</v>
      </c>
      <c r="F383" s="158">
        <v>4</v>
      </c>
      <c r="G383" s="158">
        <v>5</v>
      </c>
      <c r="H383" s="158">
        <v>6</v>
      </c>
      <c r="I383" s="158">
        <v>7</v>
      </c>
      <c r="J383" s="158">
        <v>8</v>
      </c>
      <c r="K383" s="158">
        <v>9</v>
      </c>
      <c r="L383" s="158">
        <v>10</v>
      </c>
      <c r="M383" s="254">
        <v>1</v>
      </c>
      <c r="N383" s="158">
        <v>2</v>
      </c>
      <c r="O383" s="158">
        <v>3</v>
      </c>
      <c r="P383" s="158">
        <v>4</v>
      </c>
      <c r="Q383" s="158">
        <v>5</v>
      </c>
      <c r="R383" s="158">
        <v>6</v>
      </c>
      <c r="S383" s="158">
        <v>7</v>
      </c>
      <c r="T383" s="158">
        <v>8</v>
      </c>
      <c r="U383" s="158">
        <v>9</v>
      </c>
      <c r="V383" s="158">
        <v>10</v>
      </c>
    </row>
    <row r="384" spans="1:37" s="67" customFormat="1" outlineLevel="2" x14ac:dyDescent="0.3">
      <c r="A384" s="448" t="s">
        <v>240</v>
      </c>
      <c r="B384" s="231" t="s">
        <v>72</v>
      </c>
      <c r="C384" s="21">
        <f t="shared" ref="C384:C393" si="321" xml:space="preserve"> $K$30 * $M$30 + $K$31 * $M$31 + $K$32 * $M$32 + $K$33 * $M$33 + $K$34 * $M$34 + $K$35 * $M$35 + $K$36 * $M$36 + $K$37 * $M$37 + $K$38 * $M$38 + $K$39 * $M$39 + $K$40 * $M$40 + $K$41 * $M$41 + $K$42 * $M$42 + $K$43 * $M$43 + $K$44 * $M$44</f>
        <v>6299.1803028245959</v>
      </c>
      <c r="D384" s="144">
        <f t="shared" ref="D384:L384" si="322" xml:space="preserve"> $L$30 * $M$30 + $L$31 * $M$31 + $L$32 * $M$32 + $L$33 * $M$33 + $L$34 * $M$34 + $L$35 * $M$35 + $L$36 * $M$36 + $L$37 * $M$37 + $L$38 * $M$38 + $L$39 * $M$39 + $L$40 * $M$40 + $L$41 * $M$41 + $L$42 * $M$42 + $L$43 * $M$43 + $L$44 * $M$44</f>
        <v>0</v>
      </c>
      <c r="E384" s="144">
        <f t="shared" si="322"/>
        <v>0</v>
      </c>
      <c r="F384" s="144">
        <f t="shared" si="322"/>
        <v>0</v>
      </c>
      <c r="G384" s="144">
        <f t="shared" si="322"/>
        <v>0</v>
      </c>
      <c r="H384" s="144">
        <f t="shared" si="322"/>
        <v>0</v>
      </c>
      <c r="I384" s="144">
        <f t="shared" si="322"/>
        <v>0</v>
      </c>
      <c r="J384" s="144">
        <f t="shared" si="322"/>
        <v>0</v>
      </c>
      <c r="K384" s="144">
        <f t="shared" si="322"/>
        <v>0</v>
      </c>
      <c r="L384" s="144">
        <f t="shared" si="322"/>
        <v>0</v>
      </c>
      <c r="M384" s="255">
        <f>C384/$B$15</f>
        <v>70.107738484413986</v>
      </c>
      <c r="N384" s="247">
        <f t="shared" ref="N384:V384" si="323">D384/$B$15</f>
        <v>0</v>
      </c>
      <c r="O384" s="247">
        <f t="shared" si="323"/>
        <v>0</v>
      </c>
      <c r="P384" s="247">
        <f t="shared" si="323"/>
        <v>0</v>
      </c>
      <c r="Q384" s="247">
        <f t="shared" si="323"/>
        <v>0</v>
      </c>
      <c r="R384" s="247">
        <f t="shared" si="323"/>
        <v>0</v>
      </c>
      <c r="S384" s="247">
        <f t="shared" si="323"/>
        <v>0</v>
      </c>
      <c r="T384" s="247">
        <f t="shared" si="323"/>
        <v>0</v>
      </c>
      <c r="U384" s="247">
        <f t="shared" si="323"/>
        <v>0</v>
      </c>
      <c r="V384" s="247">
        <f t="shared" si="323"/>
        <v>0</v>
      </c>
    </row>
    <row r="385" spans="1:23" s="67" customFormat="1" outlineLevel="2" x14ac:dyDescent="0.3">
      <c r="A385" s="448"/>
      <c r="B385" s="231" t="s">
        <v>73</v>
      </c>
      <c r="C385" s="21">
        <f t="shared" si="321"/>
        <v>6299.1803028245959</v>
      </c>
      <c r="D385" s="21">
        <f t="shared" ref="D385:D393" si="324" xml:space="preserve"> $K$30 * $M$30 + $K$31 * $M$31 + $K$32 * $M$32 + $K$33 * $M$33 + $K$34 * $M$34 + $K$35 * $M$35 + $K$36 * $M$36 + $K$37 * $M$37 + $K$38 * $M$38 + $K$39 * $M$39 + $K$40 * $M$40 + $K$41 * $M$41 + $K$42 * $M$42 + $K$43 * $M$43 + $K$44 * $M$44</f>
        <v>6299.1803028245959</v>
      </c>
      <c r="E385" s="144">
        <f t="shared" ref="E385:L385" si="325" xml:space="preserve"> $L$30 * $M$30 + $L$31 * $M$31 + $L$32 * $M$32 + $L$33 * $M$33 + $L$34 * $M$34 + $L$35 * $M$35 + $L$36 * $M$36 + $L$37 * $M$37 + $L$38 * $M$38 + $L$39 * $M$39 + $L$40 * $M$40 + $L$41 * $M$41 + $L$42 * $M$42 + $L$43 * $M$43 + $L$44 * $M$44</f>
        <v>0</v>
      </c>
      <c r="F385" s="144">
        <f t="shared" si="325"/>
        <v>0</v>
      </c>
      <c r="G385" s="144">
        <f t="shared" si="325"/>
        <v>0</v>
      </c>
      <c r="H385" s="144">
        <f t="shared" si="325"/>
        <v>0</v>
      </c>
      <c r="I385" s="144">
        <f t="shared" si="325"/>
        <v>0</v>
      </c>
      <c r="J385" s="144">
        <f t="shared" si="325"/>
        <v>0</v>
      </c>
      <c r="K385" s="144">
        <f t="shared" si="325"/>
        <v>0</v>
      </c>
      <c r="L385" s="144">
        <f t="shared" si="325"/>
        <v>0</v>
      </c>
      <c r="M385" s="255">
        <f t="shared" ref="M385:M394" si="326">C385/$B$15</f>
        <v>70.107738484413986</v>
      </c>
      <c r="N385" s="247">
        <f t="shared" ref="N385:N394" si="327">D385/$B$15</f>
        <v>70.107738484413986</v>
      </c>
      <c r="O385" s="247">
        <f t="shared" ref="O385:O394" si="328">E385/$B$15</f>
        <v>0</v>
      </c>
      <c r="P385" s="247">
        <f t="shared" ref="P385:P394" si="329">F385/$B$15</f>
        <v>0</v>
      </c>
      <c r="Q385" s="247">
        <f t="shared" ref="Q385:Q394" si="330">G385/$B$15</f>
        <v>0</v>
      </c>
      <c r="R385" s="247">
        <f t="shared" ref="R385:R394" si="331">H385/$B$15</f>
        <v>0</v>
      </c>
      <c r="S385" s="247">
        <f t="shared" ref="S385:S394" si="332">I385/$B$15</f>
        <v>0</v>
      </c>
      <c r="T385" s="247">
        <f t="shared" ref="T385:T394" si="333">J385/$B$15</f>
        <v>0</v>
      </c>
      <c r="U385" s="247">
        <f t="shared" ref="U385:U394" si="334">K385/$B$15</f>
        <v>0</v>
      </c>
      <c r="V385" s="247">
        <f t="shared" ref="V385:V394" si="335">L385/$B$15</f>
        <v>0</v>
      </c>
    </row>
    <row r="386" spans="1:23" s="67" customFormat="1" outlineLevel="2" x14ac:dyDescent="0.3">
      <c r="A386" s="448"/>
      <c r="B386" s="231" t="s">
        <v>74</v>
      </c>
      <c r="C386" s="21">
        <f t="shared" si="321"/>
        <v>6299.1803028245959</v>
      </c>
      <c r="D386" s="21">
        <f t="shared" si="324"/>
        <v>6299.1803028245959</v>
      </c>
      <c r="E386" s="21">
        <f t="shared" ref="E386:E393" si="336" xml:space="preserve"> $K$30 * $M$30 + $K$31 * $M$31 + $K$32 * $M$32 + $K$33 * $M$33 + $K$34 * $M$34 + $K$35 * $M$35 + $K$36 * $M$36 + $K$37 * $M$37 + $K$38 * $M$38 + $K$39 * $M$39 + $K$40 * $M$40 + $K$41 * $M$41 + $K$42 * $M$42 + $K$43 * $M$43 + $K$44 * $M$44</f>
        <v>6299.1803028245959</v>
      </c>
      <c r="F386" s="144">
        <f t="shared" ref="F386:L386" si="337" xml:space="preserve"> $L$30 * $M$30 + $L$31 * $M$31 + $L$32 * $M$32 + $L$33 * $M$33 + $L$34 * $M$34 + $L$35 * $M$35 + $L$36 * $M$36 + $L$37 * $M$37 + $L$38 * $M$38 + $L$39 * $M$39 + $L$40 * $M$40 + $L$41 * $M$41 + $L$42 * $M$42 + $L$43 * $M$43 + $L$44 * $M$44</f>
        <v>0</v>
      </c>
      <c r="G386" s="144">
        <f t="shared" si="337"/>
        <v>0</v>
      </c>
      <c r="H386" s="144">
        <f t="shared" si="337"/>
        <v>0</v>
      </c>
      <c r="I386" s="144">
        <f t="shared" si="337"/>
        <v>0</v>
      </c>
      <c r="J386" s="144">
        <f t="shared" si="337"/>
        <v>0</v>
      </c>
      <c r="K386" s="144">
        <f t="shared" si="337"/>
        <v>0</v>
      </c>
      <c r="L386" s="144">
        <f t="shared" si="337"/>
        <v>0</v>
      </c>
      <c r="M386" s="255">
        <f t="shared" si="326"/>
        <v>70.107738484413986</v>
      </c>
      <c r="N386" s="247">
        <f t="shared" si="327"/>
        <v>70.107738484413986</v>
      </c>
      <c r="O386" s="247">
        <f t="shared" si="328"/>
        <v>70.107738484413986</v>
      </c>
      <c r="P386" s="247">
        <f t="shared" si="329"/>
        <v>0</v>
      </c>
      <c r="Q386" s="247">
        <f t="shared" si="330"/>
        <v>0</v>
      </c>
      <c r="R386" s="247">
        <f t="shared" si="331"/>
        <v>0</v>
      </c>
      <c r="S386" s="247">
        <f t="shared" si="332"/>
        <v>0</v>
      </c>
      <c r="T386" s="247">
        <f t="shared" si="333"/>
        <v>0</v>
      </c>
      <c r="U386" s="247">
        <f t="shared" si="334"/>
        <v>0</v>
      </c>
      <c r="V386" s="247">
        <f t="shared" si="335"/>
        <v>0</v>
      </c>
    </row>
    <row r="387" spans="1:23" s="67" customFormat="1" outlineLevel="2" x14ac:dyDescent="0.3">
      <c r="A387" s="448"/>
      <c r="B387" s="231" t="s">
        <v>75</v>
      </c>
      <c r="C387" s="21">
        <f t="shared" si="321"/>
        <v>6299.1803028245959</v>
      </c>
      <c r="D387" s="21">
        <f t="shared" si="324"/>
        <v>6299.1803028245959</v>
      </c>
      <c r="E387" s="21">
        <f t="shared" si="336"/>
        <v>6299.1803028245959</v>
      </c>
      <c r="F387" s="21">
        <f t="shared" ref="F387:F393" si="338" xml:space="preserve"> $K$30 * $M$30 + $K$31 * $M$31 + $K$32 * $M$32 + $K$33 * $M$33 + $K$34 * $M$34 + $K$35 * $M$35 + $K$36 * $M$36 + $K$37 * $M$37 + $K$38 * $M$38 + $K$39 * $M$39 + $K$40 * $M$40 + $K$41 * $M$41 + $K$42 * $M$42 + $K$43 * $M$43 + $K$44 * $M$44</f>
        <v>6299.1803028245959</v>
      </c>
      <c r="G387" s="144">
        <f t="shared" ref="G387:L387" si="339" xml:space="preserve"> $L$30 * $M$30 + $L$31 * $M$31 + $L$32 * $M$32 + $L$33 * $M$33 + $L$34 * $M$34 + $L$35 * $M$35 + $L$36 * $M$36 + $L$37 * $M$37 + $L$38 * $M$38 + $L$39 * $M$39 + $L$40 * $M$40 + $L$41 * $M$41 + $L$42 * $M$42 + $L$43 * $M$43 + $L$44 * $M$44</f>
        <v>0</v>
      </c>
      <c r="H387" s="144">
        <f t="shared" si="339"/>
        <v>0</v>
      </c>
      <c r="I387" s="144">
        <f t="shared" si="339"/>
        <v>0</v>
      </c>
      <c r="J387" s="144">
        <f t="shared" si="339"/>
        <v>0</v>
      </c>
      <c r="K387" s="144">
        <f t="shared" si="339"/>
        <v>0</v>
      </c>
      <c r="L387" s="144">
        <f t="shared" si="339"/>
        <v>0</v>
      </c>
      <c r="M387" s="255">
        <f t="shared" si="326"/>
        <v>70.107738484413986</v>
      </c>
      <c r="N387" s="247">
        <f t="shared" si="327"/>
        <v>70.107738484413986</v>
      </c>
      <c r="O387" s="247">
        <f t="shared" si="328"/>
        <v>70.107738484413986</v>
      </c>
      <c r="P387" s="247">
        <f t="shared" si="329"/>
        <v>70.107738484413986</v>
      </c>
      <c r="Q387" s="247">
        <f t="shared" si="330"/>
        <v>0</v>
      </c>
      <c r="R387" s="247">
        <f t="shared" si="331"/>
        <v>0</v>
      </c>
      <c r="S387" s="247">
        <f t="shared" si="332"/>
        <v>0</v>
      </c>
      <c r="T387" s="247">
        <f t="shared" si="333"/>
        <v>0</v>
      </c>
      <c r="U387" s="247">
        <f t="shared" si="334"/>
        <v>0</v>
      </c>
      <c r="V387" s="247">
        <f t="shared" si="335"/>
        <v>0</v>
      </c>
    </row>
    <row r="388" spans="1:23" s="67" customFormat="1" outlineLevel="2" x14ac:dyDescent="0.3">
      <c r="A388" s="448"/>
      <c r="B388" s="231" t="s">
        <v>76</v>
      </c>
      <c r="C388" s="21">
        <f t="shared" si="321"/>
        <v>6299.1803028245959</v>
      </c>
      <c r="D388" s="21">
        <f t="shared" si="324"/>
        <v>6299.1803028245959</v>
      </c>
      <c r="E388" s="21">
        <f t="shared" si="336"/>
        <v>6299.1803028245959</v>
      </c>
      <c r="F388" s="21">
        <f t="shared" si="338"/>
        <v>6299.1803028245959</v>
      </c>
      <c r="G388" s="21">
        <f t="shared" ref="G388:G393" si="340" xml:space="preserve"> $K$30 * $M$30 + $K$31 * $M$31 + $K$32 * $M$32 + $K$33 * $M$33 + $K$34 * $M$34 + $K$35 * $M$35 + $K$36 * $M$36 + $K$37 * $M$37 + $K$38 * $M$38 + $K$39 * $M$39 + $K$40 * $M$40 + $K$41 * $M$41 + $K$42 * $M$42 + $K$43 * $M$43 + $K$44 * $M$44</f>
        <v>6299.1803028245959</v>
      </c>
      <c r="H388" s="144">
        <f xml:space="preserve"> $L$30 * $M$30 + $L$31 * $M$31 + $L$32 * $M$32 + $L$33 * $M$33 + $L$34 * $M$34 + $L$35 * $M$35 + $L$36 * $M$36 + $L$37 * $M$37 + $L$38 * $M$38 + $L$39 * $M$39 + $L$40 * $M$40 + $L$41 * $M$41 + $L$42 * $M$42 + $L$43 * $M$43 + $L$44 * $M$44</f>
        <v>0</v>
      </c>
      <c r="I388" s="144">
        <f xml:space="preserve"> $L$30 * $M$30 + $L$31 * $M$31 + $L$32 * $M$32 + $L$33 * $M$33 + $L$34 * $M$34 + $L$35 * $M$35 + $L$36 * $M$36 + $L$37 * $M$37 + $L$38 * $M$38 + $L$39 * $M$39 + $L$40 * $M$40 + $L$41 * $M$41 + $L$42 * $M$42 + $L$43 * $M$43 + $L$44 * $M$44</f>
        <v>0</v>
      </c>
      <c r="J388" s="144">
        <f xml:space="preserve"> $L$30 * $M$30 + $L$31 * $M$31 + $L$32 * $M$32 + $L$33 * $M$33 + $L$34 * $M$34 + $L$35 * $M$35 + $L$36 * $M$36 + $L$37 * $M$37 + $L$38 * $M$38 + $L$39 * $M$39 + $L$40 * $M$40 + $L$41 * $M$41 + $L$42 * $M$42 + $L$43 * $M$43 + $L$44 * $M$44</f>
        <v>0</v>
      </c>
      <c r="K388" s="144">
        <f xml:space="preserve"> $L$30 * $M$30 + $L$31 * $M$31 + $L$32 * $M$32 + $L$33 * $M$33 + $L$34 * $M$34 + $L$35 * $M$35 + $L$36 * $M$36 + $L$37 * $M$37 + $L$38 * $M$38 + $L$39 * $M$39 + $L$40 * $M$40 + $L$41 * $M$41 + $L$42 * $M$42 + $L$43 * $M$43 + $L$44 * $M$44</f>
        <v>0</v>
      </c>
      <c r="L388" s="144">
        <f xml:space="preserve"> $L$30 * $M$30 + $L$31 * $M$31 + $L$32 * $M$32 + $L$33 * $M$33 + $L$34 * $M$34 + $L$35 * $M$35 + $L$36 * $M$36 + $L$37 * $M$37 + $L$38 * $M$38 + $L$39 * $M$39 + $L$40 * $M$40 + $L$41 * $M$41 + $L$42 * $M$42 + $L$43 * $M$43 + $L$44 * $M$44</f>
        <v>0</v>
      </c>
      <c r="M388" s="255">
        <f t="shared" si="326"/>
        <v>70.107738484413986</v>
      </c>
      <c r="N388" s="247">
        <f t="shared" si="327"/>
        <v>70.107738484413986</v>
      </c>
      <c r="O388" s="247">
        <f t="shared" si="328"/>
        <v>70.107738484413986</v>
      </c>
      <c r="P388" s="247">
        <f t="shared" si="329"/>
        <v>70.107738484413986</v>
      </c>
      <c r="Q388" s="247">
        <f t="shared" si="330"/>
        <v>70.107738484413986</v>
      </c>
      <c r="R388" s="247">
        <f t="shared" si="331"/>
        <v>0</v>
      </c>
      <c r="S388" s="247">
        <f t="shared" si="332"/>
        <v>0</v>
      </c>
      <c r="T388" s="247">
        <f t="shared" si="333"/>
        <v>0</v>
      </c>
      <c r="U388" s="247">
        <f t="shared" si="334"/>
        <v>0</v>
      </c>
      <c r="V388" s="247">
        <f t="shared" si="335"/>
        <v>0</v>
      </c>
    </row>
    <row r="389" spans="1:23" s="67" customFormat="1" outlineLevel="2" x14ac:dyDescent="0.3">
      <c r="A389" s="448"/>
      <c r="B389" s="231" t="s">
        <v>77</v>
      </c>
      <c r="C389" s="21">
        <f t="shared" si="321"/>
        <v>6299.1803028245959</v>
      </c>
      <c r="D389" s="21">
        <f t="shared" si="324"/>
        <v>6299.1803028245959</v>
      </c>
      <c r="E389" s="21">
        <f t="shared" si="336"/>
        <v>6299.1803028245959</v>
      </c>
      <c r="F389" s="21">
        <f t="shared" si="338"/>
        <v>6299.1803028245959</v>
      </c>
      <c r="G389" s="21">
        <f t="shared" si="340"/>
        <v>6299.1803028245959</v>
      </c>
      <c r="H389" s="21">
        <f xml:space="preserve"> $K$30 * $M$30 + $K$31 * $M$31 + $K$32 * $M$32 + $K$33 * $M$33 + $K$34 * $M$34 + $K$35 * $M$35 + $K$36 * $M$36 + $K$37 * $M$37 + $K$38 * $M$38 + $K$39 * $M$39 + $K$40 * $M$40 + $K$41 * $M$41 + $K$42 * $M$42 + $K$43 * $M$43 + $K$44 * $M$44</f>
        <v>6299.1803028245959</v>
      </c>
      <c r="I389" s="144">
        <f xml:space="preserve"> $L$30 * $M$30 + $L$31 * $M$31 + $L$32 * $M$32 + $L$33 * $M$33 + $L$34 * $M$34 + $L$35 * $M$35 + $L$36 * $M$36 + $L$37 * $M$37 + $L$38 * $M$38 + $L$39 * $M$39 + $L$40 * $M$40 + $L$41 * $M$41 + $L$42 * $M$42 + $L$43 * $M$43 + $L$44 * $M$44</f>
        <v>0</v>
      </c>
      <c r="J389" s="144">
        <f xml:space="preserve"> $L$30 * $M$30 + $L$31 * $M$31 + $L$32 * $M$32 + $L$33 * $M$33 + $L$34 * $M$34 + $L$35 * $M$35 + $L$36 * $M$36 + $L$37 * $M$37 + $L$38 * $M$38 + $L$39 * $M$39 + $L$40 * $M$40 + $L$41 * $M$41 + $L$42 * $M$42 + $L$43 * $M$43 + $L$44 * $M$44</f>
        <v>0</v>
      </c>
      <c r="K389" s="144">
        <f xml:space="preserve"> $L$30 * $M$30 + $L$31 * $M$31 + $L$32 * $M$32 + $L$33 * $M$33 + $L$34 * $M$34 + $L$35 * $M$35 + $L$36 * $M$36 + $L$37 * $M$37 + $L$38 * $M$38 + $L$39 * $M$39 + $L$40 * $M$40 + $L$41 * $M$41 + $L$42 * $M$42 + $L$43 * $M$43 + $L$44 * $M$44</f>
        <v>0</v>
      </c>
      <c r="L389" s="144">
        <f xml:space="preserve"> $L$30 * $M$30 + $L$31 * $M$31 + $L$32 * $M$32 + $L$33 * $M$33 + $L$34 * $M$34 + $L$35 * $M$35 + $L$36 * $M$36 + $L$37 * $M$37 + $L$38 * $M$38 + $L$39 * $M$39 + $L$40 * $M$40 + $L$41 * $M$41 + $L$42 * $M$42 + $L$43 * $M$43 + $L$44 * $M$44</f>
        <v>0</v>
      </c>
      <c r="M389" s="255">
        <f t="shared" si="326"/>
        <v>70.107738484413986</v>
      </c>
      <c r="N389" s="247">
        <f t="shared" si="327"/>
        <v>70.107738484413986</v>
      </c>
      <c r="O389" s="247">
        <f t="shared" si="328"/>
        <v>70.107738484413986</v>
      </c>
      <c r="P389" s="247">
        <f t="shared" si="329"/>
        <v>70.107738484413986</v>
      </c>
      <c r="Q389" s="247">
        <f t="shared" si="330"/>
        <v>70.107738484413986</v>
      </c>
      <c r="R389" s="247">
        <f t="shared" si="331"/>
        <v>70.107738484413986</v>
      </c>
      <c r="S389" s="247">
        <f t="shared" si="332"/>
        <v>0</v>
      </c>
      <c r="T389" s="247">
        <f t="shared" si="333"/>
        <v>0</v>
      </c>
      <c r="U389" s="247">
        <f t="shared" si="334"/>
        <v>0</v>
      </c>
      <c r="V389" s="247">
        <f t="shared" si="335"/>
        <v>0</v>
      </c>
    </row>
    <row r="390" spans="1:23" s="67" customFormat="1" outlineLevel="2" x14ac:dyDescent="0.3">
      <c r="A390" s="448"/>
      <c r="B390" s="231" t="s">
        <v>78</v>
      </c>
      <c r="C390" s="21">
        <f t="shared" si="321"/>
        <v>6299.1803028245959</v>
      </c>
      <c r="D390" s="21">
        <f t="shared" si="324"/>
        <v>6299.1803028245959</v>
      </c>
      <c r="E390" s="21">
        <f t="shared" si="336"/>
        <v>6299.1803028245959</v>
      </c>
      <c r="F390" s="21">
        <f t="shared" si="338"/>
        <v>6299.1803028245959</v>
      </c>
      <c r="G390" s="21">
        <f t="shared" si="340"/>
        <v>6299.1803028245959</v>
      </c>
      <c r="H390" s="21">
        <f xml:space="preserve"> $K$30 * $M$30 + $K$31 * $M$31 + $K$32 * $M$32 + $K$33 * $M$33 + $K$34 * $M$34 + $K$35 * $M$35 + $K$36 * $M$36 + $K$37 * $M$37 + $K$38 * $M$38 + $K$39 * $M$39 + $K$40 * $M$40 + $K$41 * $M$41 + $K$42 * $M$42 + $K$43 * $M$43 + $K$44 * $M$44</f>
        <v>6299.1803028245959</v>
      </c>
      <c r="I390" s="21">
        <f xml:space="preserve"> $K$30 * $M$30 + $K$31 * $M$31 + $K$32 * $M$32 + $K$33 * $M$33 + $K$34 * $M$34 + $K$35 * $M$35 + $K$36 * $M$36 + $K$37 * $M$37 + $K$38 * $M$38 + $K$39 * $M$39 + $K$40 * $M$40 + $K$41 * $M$41 + $K$42 * $M$42 + $K$43 * $M$43 + $K$44 * $M$44</f>
        <v>6299.1803028245959</v>
      </c>
      <c r="J390" s="144">
        <f xml:space="preserve"> $L$30 * $M$30 + $L$31 * $M$31 + $L$32 * $M$32 + $L$33 * $M$33 + $L$34 * $M$34 + $L$35 * $M$35 + $L$36 * $M$36 + $L$37 * $M$37 + $L$38 * $M$38 + $L$39 * $M$39 + $L$40 * $M$40 + $L$41 * $M$41 + $L$42 * $M$42 + $L$43 * $M$43 + $L$44 * $M$44</f>
        <v>0</v>
      </c>
      <c r="K390" s="144">
        <f xml:space="preserve"> $L$30 * $M$30 + $L$31 * $M$31 + $L$32 * $M$32 + $L$33 * $M$33 + $L$34 * $M$34 + $L$35 * $M$35 + $L$36 * $M$36 + $L$37 * $M$37 + $L$38 * $M$38 + $L$39 * $M$39 + $L$40 * $M$40 + $L$41 * $M$41 + $L$42 * $M$42 + $L$43 * $M$43 + $L$44 * $M$44</f>
        <v>0</v>
      </c>
      <c r="L390" s="144">
        <f xml:space="preserve"> $L$30 * $M$30 + $L$31 * $M$31 + $L$32 * $M$32 + $L$33 * $M$33 + $L$34 * $M$34 + $L$35 * $M$35 + $L$36 * $M$36 + $L$37 * $M$37 + $L$38 * $M$38 + $L$39 * $M$39 + $L$40 * $M$40 + $L$41 * $M$41 + $L$42 * $M$42 + $L$43 * $M$43 + $L$44 * $M$44</f>
        <v>0</v>
      </c>
      <c r="M390" s="255">
        <f t="shared" si="326"/>
        <v>70.107738484413986</v>
      </c>
      <c r="N390" s="247">
        <f t="shared" si="327"/>
        <v>70.107738484413986</v>
      </c>
      <c r="O390" s="247">
        <f t="shared" si="328"/>
        <v>70.107738484413986</v>
      </c>
      <c r="P390" s="247">
        <f t="shared" si="329"/>
        <v>70.107738484413986</v>
      </c>
      <c r="Q390" s="247">
        <f t="shared" si="330"/>
        <v>70.107738484413986</v>
      </c>
      <c r="R390" s="247">
        <f t="shared" si="331"/>
        <v>70.107738484413986</v>
      </c>
      <c r="S390" s="247">
        <f t="shared" si="332"/>
        <v>70.107738484413986</v>
      </c>
      <c r="T390" s="247">
        <f t="shared" si="333"/>
        <v>0</v>
      </c>
      <c r="U390" s="247">
        <f t="shared" si="334"/>
        <v>0</v>
      </c>
      <c r="V390" s="247">
        <f t="shared" si="335"/>
        <v>0</v>
      </c>
    </row>
    <row r="391" spans="1:23" s="67" customFormat="1" outlineLevel="2" x14ac:dyDescent="0.3">
      <c r="A391" s="448"/>
      <c r="B391" s="231" t="s">
        <v>79</v>
      </c>
      <c r="C391" s="21">
        <f t="shared" si="321"/>
        <v>6299.1803028245959</v>
      </c>
      <c r="D391" s="21">
        <f t="shared" si="324"/>
        <v>6299.1803028245959</v>
      </c>
      <c r="E391" s="21">
        <f t="shared" si="336"/>
        <v>6299.1803028245959</v>
      </c>
      <c r="F391" s="21">
        <f t="shared" si="338"/>
        <v>6299.1803028245959</v>
      </c>
      <c r="G391" s="21">
        <f t="shared" si="340"/>
        <v>6299.1803028245959</v>
      </c>
      <c r="H391" s="21">
        <f xml:space="preserve"> $K$30 * $M$30 + $K$31 * $M$31 + $K$32 * $M$32 + $K$33 * $M$33 + $K$34 * $M$34 + $K$35 * $M$35 + $K$36 * $M$36 + $K$37 * $M$37 + $K$38 * $M$38 + $K$39 * $M$39 + $K$40 * $M$40 + $K$41 * $M$41 + $K$42 * $M$42 + $K$43 * $M$43 + $K$44 * $M$44</f>
        <v>6299.1803028245959</v>
      </c>
      <c r="I391" s="21">
        <f xml:space="preserve"> $K$30 * $M$30 + $K$31 * $M$31 + $K$32 * $M$32 + $K$33 * $M$33 + $K$34 * $M$34 + $K$35 * $M$35 + $K$36 * $M$36 + $K$37 * $M$37 + $K$38 * $M$38 + $K$39 * $M$39 + $K$40 * $M$40 + $K$41 * $M$41 + $K$42 * $M$42 + $K$43 * $M$43 + $K$44 * $M$44</f>
        <v>6299.1803028245959</v>
      </c>
      <c r="J391" s="21">
        <f xml:space="preserve"> $K$30 * $M$30 + $K$31 * $M$31 + $K$32 * $M$32 + $K$33 * $M$33 + $K$34 * $M$34 + $K$35 * $M$35 + $K$36 * $M$36 + $K$37 * $M$37 + $K$38 * $M$38 + $K$39 * $M$39 + $K$40 * $M$40 + $K$41 * $M$41 + $K$42 * $M$42 + $K$43 * $M$43 + $K$44 * $M$44</f>
        <v>6299.1803028245959</v>
      </c>
      <c r="K391" s="144">
        <f xml:space="preserve"> $L$30 * $M$30 + $L$31 * $M$31 + $L$32 * $M$32 + $L$33 * $M$33 + $L$34 * $M$34 + $L$35 * $M$35 + $L$36 * $M$36 + $L$37 * $M$37 + $L$38 * $M$38 + $L$39 * $M$39 + $L$40 * $M$40 + $L$41 * $M$41 + $L$42 * $M$42 + $L$43 * $M$43 + $L$44 * $M$44</f>
        <v>0</v>
      </c>
      <c r="L391" s="144">
        <f xml:space="preserve"> $L$30 * $M$30 + $L$31 * $M$31 + $L$32 * $M$32 + $L$33 * $M$33 + $L$34 * $M$34 + $L$35 * $M$35 + $L$36 * $M$36 + $L$37 * $M$37 + $L$38 * $M$38 + $L$39 * $M$39 + $L$40 * $M$40 + $L$41 * $M$41 + $L$42 * $M$42 + $L$43 * $M$43 + $L$44 * $M$44</f>
        <v>0</v>
      </c>
      <c r="M391" s="255">
        <f t="shared" si="326"/>
        <v>70.107738484413986</v>
      </c>
      <c r="N391" s="247">
        <f t="shared" si="327"/>
        <v>70.107738484413986</v>
      </c>
      <c r="O391" s="247">
        <f t="shared" si="328"/>
        <v>70.107738484413986</v>
      </c>
      <c r="P391" s="247">
        <f t="shared" si="329"/>
        <v>70.107738484413986</v>
      </c>
      <c r="Q391" s="247">
        <f t="shared" si="330"/>
        <v>70.107738484413986</v>
      </c>
      <c r="R391" s="247">
        <f t="shared" si="331"/>
        <v>70.107738484413986</v>
      </c>
      <c r="S391" s="247">
        <f t="shared" si="332"/>
        <v>70.107738484413986</v>
      </c>
      <c r="T391" s="247">
        <f t="shared" si="333"/>
        <v>70.107738484413986</v>
      </c>
      <c r="U391" s="247">
        <f t="shared" si="334"/>
        <v>0</v>
      </c>
      <c r="V391" s="247">
        <f t="shared" si="335"/>
        <v>0</v>
      </c>
    </row>
    <row r="392" spans="1:23" s="67" customFormat="1" outlineLevel="2" x14ac:dyDescent="0.3">
      <c r="A392" s="448"/>
      <c r="B392" s="231" t="s">
        <v>80</v>
      </c>
      <c r="C392" s="21">
        <f t="shared" si="321"/>
        <v>6299.1803028245959</v>
      </c>
      <c r="D392" s="21">
        <f t="shared" si="324"/>
        <v>6299.1803028245959</v>
      </c>
      <c r="E392" s="21">
        <f t="shared" si="336"/>
        <v>6299.1803028245959</v>
      </c>
      <c r="F392" s="21">
        <f t="shared" si="338"/>
        <v>6299.1803028245959</v>
      </c>
      <c r="G392" s="21">
        <f t="shared" si="340"/>
        <v>6299.1803028245959</v>
      </c>
      <c r="H392" s="21">
        <f xml:space="preserve"> $K$30 * $M$30 + $K$31 * $M$31 + $K$32 * $M$32 + $K$33 * $M$33 + $K$34 * $M$34 + $K$35 * $M$35 + $K$36 * $M$36 + $K$37 * $M$37 + $K$38 * $M$38 + $K$39 * $M$39 + $K$40 * $M$40 + $K$41 * $M$41 + $K$42 * $M$42 + $K$43 * $M$43 + $K$44 * $M$44</f>
        <v>6299.1803028245959</v>
      </c>
      <c r="I392" s="21">
        <f xml:space="preserve"> $K$30 * $M$30 + $K$31 * $M$31 + $K$32 * $M$32 + $K$33 * $M$33 + $K$34 * $M$34 + $K$35 * $M$35 + $K$36 * $M$36 + $K$37 * $M$37 + $K$38 * $M$38 + $K$39 * $M$39 + $K$40 * $M$40 + $K$41 * $M$41 + $K$42 * $M$42 + $K$43 * $M$43 + $K$44 * $M$44</f>
        <v>6299.1803028245959</v>
      </c>
      <c r="J392" s="21">
        <f xml:space="preserve"> $K$30 * $M$30 + $K$31 * $M$31 + $K$32 * $M$32 + $K$33 * $M$33 + $K$34 * $M$34 + $K$35 * $M$35 + $K$36 * $M$36 + $K$37 * $M$37 + $K$38 * $M$38 + $K$39 * $M$39 + $K$40 * $M$40 + $K$41 * $M$41 + $K$42 * $M$42 + $K$43 * $M$43 + $K$44 * $M$44</f>
        <v>6299.1803028245959</v>
      </c>
      <c r="K392" s="21">
        <f xml:space="preserve"> $K$30 * $M$30 + $K$31 * $M$31 + $K$32 * $M$32 + $K$33 * $M$33 + $K$34 * $M$34 + $K$35 * $M$35 + $K$36 * $M$36 + $K$37 * $M$37 + $K$38 * $M$38 + $K$39 * $M$39 + $K$40 * $M$40 + $K$41 * $M$41 + $K$42 * $M$42 + $K$43 * $M$43 + $K$44 * $M$44</f>
        <v>6299.1803028245959</v>
      </c>
      <c r="L392" s="144">
        <f xml:space="preserve"> $L$30 * $M$30 + $L$31 * $M$31 + $L$32 * $M$32 + $L$33 * $M$33 + $L$34 * $M$34 + $L$35 * $M$35 + $L$36 * $M$36 + $L$37 * $M$37 + $L$38 * $M$38 + $L$39 * $M$39 + $L$40 * $M$40 + $L$41 * $M$41 + $L$42 * $M$42 + $L$43 * $M$43 + $L$44 * $M$44</f>
        <v>0</v>
      </c>
      <c r="M392" s="255">
        <f t="shared" si="326"/>
        <v>70.107738484413986</v>
      </c>
      <c r="N392" s="247">
        <f t="shared" si="327"/>
        <v>70.107738484413986</v>
      </c>
      <c r="O392" s="247">
        <f t="shared" si="328"/>
        <v>70.107738484413986</v>
      </c>
      <c r="P392" s="247">
        <f t="shared" si="329"/>
        <v>70.107738484413986</v>
      </c>
      <c r="Q392" s="247">
        <f t="shared" si="330"/>
        <v>70.107738484413986</v>
      </c>
      <c r="R392" s="247">
        <f t="shared" si="331"/>
        <v>70.107738484413986</v>
      </c>
      <c r="S392" s="247">
        <f t="shared" si="332"/>
        <v>70.107738484413986</v>
      </c>
      <c r="T392" s="247">
        <f t="shared" si="333"/>
        <v>70.107738484413986</v>
      </c>
      <c r="U392" s="247">
        <f t="shared" si="334"/>
        <v>70.107738484413986</v>
      </c>
      <c r="V392" s="247">
        <f t="shared" si="335"/>
        <v>0</v>
      </c>
    </row>
    <row r="393" spans="1:23" s="67" customFormat="1" outlineLevel="2" x14ac:dyDescent="0.3">
      <c r="A393" s="449"/>
      <c r="B393" s="182" t="s">
        <v>134</v>
      </c>
      <c r="C393" s="183">
        <f t="shared" si="321"/>
        <v>6299.1803028245959</v>
      </c>
      <c r="D393" s="183">
        <f t="shared" si="324"/>
        <v>6299.1803028245959</v>
      </c>
      <c r="E393" s="183">
        <f t="shared" si="336"/>
        <v>6299.1803028245959</v>
      </c>
      <c r="F393" s="183">
        <f t="shared" si="338"/>
        <v>6299.1803028245959</v>
      </c>
      <c r="G393" s="183">
        <f t="shared" si="340"/>
        <v>6299.1803028245959</v>
      </c>
      <c r="H393" s="183">
        <f xml:space="preserve"> $K$30 * $M$30 + $K$31 * $M$31 + $K$32 * $M$32 + $K$33 * $M$33 + $K$34 * $M$34 + $K$35 * $M$35 + $K$36 * $M$36 + $K$37 * $M$37 + $K$38 * $M$38 + $K$39 * $M$39 + $K$40 * $M$40 + $K$41 * $M$41 + $K$42 * $M$42 + $K$43 * $M$43 + $K$44 * $M$44</f>
        <v>6299.1803028245959</v>
      </c>
      <c r="I393" s="183">
        <f xml:space="preserve"> $K$30 * $M$30 + $K$31 * $M$31 + $K$32 * $M$32 + $K$33 * $M$33 + $K$34 * $M$34 + $K$35 * $M$35 + $K$36 * $M$36 + $K$37 * $M$37 + $K$38 * $M$38 + $K$39 * $M$39 + $K$40 * $M$40 + $K$41 * $M$41 + $K$42 * $M$42 + $K$43 * $M$43 + $K$44 * $M$44</f>
        <v>6299.1803028245959</v>
      </c>
      <c r="J393" s="183">
        <f xml:space="preserve"> $K$30 * $M$30 + $K$31 * $M$31 + $K$32 * $M$32 + $K$33 * $M$33 + $K$34 * $M$34 + $K$35 * $M$35 + $K$36 * $M$36 + $K$37 * $M$37 + $K$38 * $M$38 + $K$39 * $M$39 + $K$40 * $M$40 + $K$41 * $M$41 + $K$42 * $M$42 + $K$43 * $M$43 + $K$44 * $M$44</f>
        <v>6299.1803028245959</v>
      </c>
      <c r="K393" s="183">
        <f xml:space="preserve"> $K$30 * $M$30 + $K$31 * $M$31 + $K$32 * $M$32 + $K$33 * $M$33 + $K$34 * $M$34 + $K$35 * $M$35 + $K$36 * $M$36 + $K$37 * $M$37 + $K$38 * $M$38 + $K$39 * $M$39 + $K$40 * $M$40 + $K$41 * $M$41 + $K$42 * $M$42 + $K$43 * $M$43 + $K$44 * $M$44</f>
        <v>6299.1803028245959</v>
      </c>
      <c r="L393" s="183">
        <f xml:space="preserve"> $K$30 * $M$30 + $K$31 * $M$31 + $K$32 * $M$32 + $K$33 * $M$33 + $K$34 * $M$34 + $K$35 * $M$35 + $K$36 * $M$36 + $K$37 * $M$37 + $K$38 * $M$38 + $K$39 * $M$39 + $K$40 * $M$40 + $K$41 * $M$41 + $K$42 * $M$42 + $K$43 * $M$43 + $K$44 * $M$44</f>
        <v>6299.1803028245959</v>
      </c>
      <c r="M393" s="255">
        <f t="shared" si="326"/>
        <v>70.107738484413986</v>
      </c>
      <c r="N393" s="247">
        <f t="shared" si="327"/>
        <v>70.107738484413986</v>
      </c>
      <c r="O393" s="247">
        <f t="shared" si="328"/>
        <v>70.107738484413986</v>
      </c>
      <c r="P393" s="247">
        <f t="shared" si="329"/>
        <v>70.107738484413986</v>
      </c>
      <c r="Q393" s="247">
        <f t="shared" si="330"/>
        <v>70.107738484413986</v>
      </c>
      <c r="R393" s="247">
        <f t="shared" si="331"/>
        <v>70.107738484413986</v>
      </c>
      <c r="S393" s="247">
        <f t="shared" si="332"/>
        <v>70.107738484413986</v>
      </c>
      <c r="T393" s="247">
        <f t="shared" si="333"/>
        <v>70.107738484413986</v>
      </c>
      <c r="U393" s="247">
        <f t="shared" si="334"/>
        <v>70.107738484413986</v>
      </c>
      <c r="V393" s="247">
        <f t="shared" si="335"/>
        <v>70.107738484413986</v>
      </c>
    </row>
    <row r="394" spans="1:23" s="67" customFormat="1" outlineLevel="2" x14ac:dyDescent="0.3">
      <c r="A394" s="455" t="s">
        <v>241</v>
      </c>
      <c r="B394" s="231" t="s">
        <v>72</v>
      </c>
      <c r="C394" s="21">
        <f>$K$54*$M$54+$K$64*$M$64+$K$65*$M$65+SUMPRODUCT($K$69:$K$88,$M$69:$M$88)</f>
        <v>1999.578327147402</v>
      </c>
      <c r="D394" s="144">
        <v>0</v>
      </c>
      <c r="E394" s="144">
        <v>0</v>
      </c>
      <c r="F394" s="144">
        <v>0</v>
      </c>
      <c r="G394" s="144">
        <v>0</v>
      </c>
      <c r="H394" s="144">
        <v>0</v>
      </c>
      <c r="I394" s="144">
        <v>0</v>
      </c>
      <c r="J394" s="144">
        <v>0</v>
      </c>
      <c r="K394" s="144">
        <v>0</v>
      </c>
      <c r="L394" s="144">
        <v>0</v>
      </c>
      <c r="M394" s="255">
        <f t="shared" si="326"/>
        <v>22.254628014996129</v>
      </c>
      <c r="N394" s="247">
        <f t="shared" si="327"/>
        <v>0</v>
      </c>
      <c r="O394" s="247">
        <f t="shared" si="328"/>
        <v>0</v>
      </c>
      <c r="P394" s="247">
        <f t="shared" si="329"/>
        <v>0</v>
      </c>
      <c r="Q394" s="247">
        <f t="shared" si="330"/>
        <v>0</v>
      </c>
      <c r="R394" s="247">
        <f t="shared" si="331"/>
        <v>0</v>
      </c>
      <c r="S394" s="247">
        <f t="shared" si="332"/>
        <v>0</v>
      </c>
      <c r="T394" s="247">
        <f t="shared" si="333"/>
        <v>0</v>
      </c>
      <c r="U394" s="247">
        <f t="shared" si="334"/>
        <v>0</v>
      </c>
      <c r="V394" s="247">
        <f t="shared" si="335"/>
        <v>0</v>
      </c>
    </row>
    <row r="395" spans="1:23" s="67" customFormat="1" outlineLevel="2" x14ac:dyDescent="0.3">
      <c r="A395" s="448"/>
      <c r="B395" s="231" t="s">
        <v>73</v>
      </c>
      <c r="C395" s="21">
        <f t="shared" ref="C395:C403" si="341">$K$54*$M$54+$K$64*$M$64+$K$65*$M$65+SUMPRODUCT($K$69:$K$88,$M$69:$M$88)</f>
        <v>1999.578327147402</v>
      </c>
      <c r="D395" s="21">
        <v>0</v>
      </c>
      <c r="E395" s="21">
        <v>0</v>
      </c>
      <c r="F395" s="21">
        <v>0</v>
      </c>
      <c r="G395" s="21">
        <v>0</v>
      </c>
      <c r="H395" s="21">
        <v>0</v>
      </c>
      <c r="I395" s="21">
        <v>0</v>
      </c>
      <c r="J395" s="21">
        <v>0</v>
      </c>
      <c r="K395" s="21">
        <v>0</v>
      </c>
      <c r="L395" s="21">
        <v>0</v>
      </c>
      <c r="M395" s="255">
        <f t="shared" ref="M395:M433" si="342">C395/$B$15</f>
        <v>22.254628014996129</v>
      </c>
      <c r="N395" s="247">
        <f t="shared" ref="N395:N433" si="343">D395/$B$15</f>
        <v>0</v>
      </c>
      <c r="O395" s="247">
        <f t="shared" ref="O395:O433" si="344">E395/$B$15</f>
        <v>0</v>
      </c>
      <c r="P395" s="247">
        <f t="shared" ref="P395:P433" si="345">F395/$B$15</f>
        <v>0</v>
      </c>
      <c r="Q395" s="247">
        <f t="shared" ref="Q395:Q433" si="346">G395/$B$15</f>
        <v>0</v>
      </c>
      <c r="R395" s="247">
        <f t="shared" ref="R395:R433" si="347">H395/$B$15</f>
        <v>0</v>
      </c>
      <c r="S395" s="247">
        <f t="shared" ref="S395:S433" si="348">I395/$B$15</f>
        <v>0</v>
      </c>
      <c r="T395" s="247">
        <f t="shared" ref="T395:T433" si="349">J395/$B$15</f>
        <v>0</v>
      </c>
      <c r="U395" s="247">
        <f t="shared" ref="U395:U433" si="350">K395/$B$15</f>
        <v>0</v>
      </c>
      <c r="V395" s="247">
        <f t="shared" ref="V395:V433" si="351">L395/$B$15</f>
        <v>0</v>
      </c>
    </row>
    <row r="396" spans="1:23" s="67" customFormat="1" outlineLevel="2" x14ac:dyDescent="0.3">
      <c r="A396" s="448"/>
      <c r="B396" s="231" t="s">
        <v>74</v>
      </c>
      <c r="C396" s="21">
        <f t="shared" si="341"/>
        <v>1999.578327147402</v>
      </c>
      <c r="D396" s="21">
        <v>0</v>
      </c>
      <c r="E396" s="21">
        <v>0</v>
      </c>
      <c r="F396" s="21">
        <v>0</v>
      </c>
      <c r="G396" s="21">
        <v>0</v>
      </c>
      <c r="H396" s="21">
        <v>0</v>
      </c>
      <c r="I396" s="21">
        <v>0</v>
      </c>
      <c r="J396" s="21">
        <v>0</v>
      </c>
      <c r="K396" s="21">
        <v>0</v>
      </c>
      <c r="L396" s="21">
        <v>0</v>
      </c>
      <c r="M396" s="255">
        <f t="shared" si="342"/>
        <v>22.254628014996129</v>
      </c>
      <c r="N396" s="247">
        <f t="shared" si="343"/>
        <v>0</v>
      </c>
      <c r="O396" s="247">
        <f t="shared" si="344"/>
        <v>0</v>
      </c>
      <c r="P396" s="247">
        <f t="shared" si="345"/>
        <v>0</v>
      </c>
      <c r="Q396" s="247">
        <f t="shared" si="346"/>
        <v>0</v>
      </c>
      <c r="R396" s="247">
        <f t="shared" si="347"/>
        <v>0</v>
      </c>
      <c r="S396" s="247">
        <f t="shared" si="348"/>
        <v>0</v>
      </c>
      <c r="T396" s="247">
        <f t="shared" si="349"/>
        <v>0</v>
      </c>
      <c r="U396" s="247">
        <f t="shared" si="350"/>
        <v>0</v>
      </c>
      <c r="V396" s="247">
        <f t="shared" si="351"/>
        <v>0</v>
      </c>
    </row>
    <row r="397" spans="1:23" s="67" customFormat="1" outlineLevel="2" x14ac:dyDescent="0.3">
      <c r="A397" s="448"/>
      <c r="B397" s="231" t="s">
        <v>75</v>
      </c>
      <c r="C397" s="21">
        <f t="shared" si="341"/>
        <v>1999.578327147402</v>
      </c>
      <c r="D397" s="21">
        <v>0</v>
      </c>
      <c r="E397" s="21">
        <v>0</v>
      </c>
      <c r="F397" s="21">
        <v>0</v>
      </c>
      <c r="G397" s="21">
        <v>0</v>
      </c>
      <c r="H397" s="21">
        <v>0</v>
      </c>
      <c r="I397" s="21">
        <v>0</v>
      </c>
      <c r="J397" s="21">
        <v>0</v>
      </c>
      <c r="K397" s="21">
        <v>0</v>
      </c>
      <c r="L397" s="21">
        <v>0</v>
      </c>
      <c r="M397" s="255">
        <f t="shared" si="342"/>
        <v>22.254628014996129</v>
      </c>
      <c r="N397" s="247">
        <f t="shared" si="343"/>
        <v>0</v>
      </c>
      <c r="O397" s="247">
        <f t="shared" si="344"/>
        <v>0</v>
      </c>
      <c r="P397" s="247">
        <f t="shared" si="345"/>
        <v>0</v>
      </c>
      <c r="Q397" s="247">
        <f t="shared" si="346"/>
        <v>0</v>
      </c>
      <c r="R397" s="247">
        <f t="shared" si="347"/>
        <v>0</v>
      </c>
      <c r="S397" s="247">
        <f t="shared" si="348"/>
        <v>0</v>
      </c>
      <c r="T397" s="247">
        <f t="shared" si="349"/>
        <v>0</v>
      </c>
      <c r="U397" s="247">
        <f t="shared" si="350"/>
        <v>0</v>
      </c>
      <c r="V397" s="247">
        <f t="shared" si="351"/>
        <v>0</v>
      </c>
      <c r="W397" s="231"/>
    </row>
    <row r="398" spans="1:23" s="67" customFormat="1" outlineLevel="2" x14ac:dyDescent="0.3">
      <c r="A398" s="448"/>
      <c r="B398" s="231" t="s">
        <v>76</v>
      </c>
      <c r="C398" s="21">
        <f t="shared" si="341"/>
        <v>1999.578327147402</v>
      </c>
      <c r="D398" s="21">
        <v>0</v>
      </c>
      <c r="E398" s="21">
        <v>0</v>
      </c>
      <c r="F398" s="21">
        <v>0</v>
      </c>
      <c r="G398" s="21">
        <v>0</v>
      </c>
      <c r="H398" s="21">
        <v>0</v>
      </c>
      <c r="I398" s="21">
        <v>0</v>
      </c>
      <c r="J398" s="21">
        <v>0</v>
      </c>
      <c r="K398" s="21">
        <v>0</v>
      </c>
      <c r="L398" s="21">
        <v>0</v>
      </c>
      <c r="M398" s="255">
        <f t="shared" si="342"/>
        <v>22.254628014996129</v>
      </c>
      <c r="N398" s="247">
        <f t="shared" si="343"/>
        <v>0</v>
      </c>
      <c r="O398" s="247">
        <f t="shared" si="344"/>
        <v>0</v>
      </c>
      <c r="P398" s="247">
        <f t="shared" si="345"/>
        <v>0</v>
      </c>
      <c r="Q398" s="247">
        <f t="shared" si="346"/>
        <v>0</v>
      </c>
      <c r="R398" s="247">
        <f t="shared" si="347"/>
        <v>0</v>
      </c>
      <c r="S398" s="247">
        <f t="shared" si="348"/>
        <v>0</v>
      </c>
      <c r="T398" s="247">
        <f t="shared" si="349"/>
        <v>0</v>
      </c>
      <c r="U398" s="247">
        <f t="shared" si="350"/>
        <v>0</v>
      </c>
      <c r="V398" s="247">
        <f t="shared" si="351"/>
        <v>0</v>
      </c>
    </row>
    <row r="399" spans="1:23" s="67" customFormat="1" outlineLevel="2" x14ac:dyDescent="0.3">
      <c r="A399" s="448"/>
      <c r="B399" s="231" t="s">
        <v>77</v>
      </c>
      <c r="C399" s="21">
        <f t="shared" si="341"/>
        <v>1999.578327147402</v>
      </c>
      <c r="D399" s="21">
        <v>0</v>
      </c>
      <c r="E399" s="21">
        <v>0</v>
      </c>
      <c r="F399" s="21">
        <v>0</v>
      </c>
      <c r="G399" s="21">
        <v>0</v>
      </c>
      <c r="H399" s="21">
        <v>0</v>
      </c>
      <c r="I399" s="21">
        <v>0</v>
      </c>
      <c r="J399" s="21">
        <v>0</v>
      </c>
      <c r="K399" s="21">
        <v>0</v>
      </c>
      <c r="L399" s="21">
        <v>0</v>
      </c>
      <c r="M399" s="255">
        <f t="shared" si="342"/>
        <v>22.254628014996129</v>
      </c>
      <c r="N399" s="247">
        <f t="shared" si="343"/>
        <v>0</v>
      </c>
      <c r="O399" s="247">
        <f t="shared" si="344"/>
        <v>0</v>
      </c>
      <c r="P399" s="247">
        <f t="shared" si="345"/>
        <v>0</v>
      </c>
      <c r="Q399" s="247">
        <f t="shared" si="346"/>
        <v>0</v>
      </c>
      <c r="R399" s="247">
        <f t="shared" si="347"/>
        <v>0</v>
      </c>
      <c r="S399" s="247">
        <f t="shared" si="348"/>
        <v>0</v>
      </c>
      <c r="T399" s="247">
        <f t="shared" si="349"/>
        <v>0</v>
      </c>
      <c r="U399" s="247">
        <f t="shared" si="350"/>
        <v>0</v>
      </c>
      <c r="V399" s="247">
        <f t="shared" si="351"/>
        <v>0</v>
      </c>
    </row>
    <row r="400" spans="1:23" s="67" customFormat="1" outlineLevel="2" x14ac:dyDescent="0.3">
      <c r="A400" s="448"/>
      <c r="B400" s="231" t="s">
        <v>78</v>
      </c>
      <c r="C400" s="21">
        <f t="shared" si="341"/>
        <v>1999.578327147402</v>
      </c>
      <c r="D400" s="21">
        <v>0</v>
      </c>
      <c r="E400" s="21">
        <v>0</v>
      </c>
      <c r="F400" s="21">
        <v>0</v>
      </c>
      <c r="G400" s="21">
        <v>0</v>
      </c>
      <c r="H400" s="21">
        <v>0</v>
      </c>
      <c r="I400" s="21">
        <v>0</v>
      </c>
      <c r="J400" s="21">
        <v>0</v>
      </c>
      <c r="K400" s="21">
        <v>0</v>
      </c>
      <c r="L400" s="21">
        <v>0</v>
      </c>
      <c r="M400" s="255">
        <f t="shared" si="342"/>
        <v>22.254628014996129</v>
      </c>
      <c r="N400" s="247">
        <f t="shared" si="343"/>
        <v>0</v>
      </c>
      <c r="O400" s="247">
        <f t="shared" si="344"/>
        <v>0</v>
      </c>
      <c r="P400" s="247">
        <f t="shared" si="345"/>
        <v>0</v>
      </c>
      <c r="Q400" s="247">
        <f t="shared" si="346"/>
        <v>0</v>
      </c>
      <c r="R400" s="247">
        <f t="shared" si="347"/>
        <v>0</v>
      </c>
      <c r="S400" s="247">
        <f t="shared" si="348"/>
        <v>0</v>
      </c>
      <c r="T400" s="247">
        <f t="shared" si="349"/>
        <v>0</v>
      </c>
      <c r="U400" s="247">
        <f t="shared" si="350"/>
        <v>0</v>
      </c>
      <c r="V400" s="247">
        <f t="shared" si="351"/>
        <v>0</v>
      </c>
    </row>
    <row r="401" spans="1:24" s="67" customFormat="1" outlineLevel="2" x14ac:dyDescent="0.3">
      <c r="A401" s="448"/>
      <c r="B401" s="231" t="s">
        <v>79</v>
      </c>
      <c r="C401" s="21">
        <f t="shared" si="341"/>
        <v>1999.578327147402</v>
      </c>
      <c r="D401" s="21">
        <v>0</v>
      </c>
      <c r="E401" s="21">
        <v>0</v>
      </c>
      <c r="F401" s="21">
        <v>0</v>
      </c>
      <c r="G401" s="21">
        <v>0</v>
      </c>
      <c r="H401" s="21">
        <v>0</v>
      </c>
      <c r="I401" s="21">
        <v>0</v>
      </c>
      <c r="J401" s="21">
        <v>0</v>
      </c>
      <c r="K401" s="21">
        <v>0</v>
      </c>
      <c r="L401" s="21">
        <v>0</v>
      </c>
      <c r="M401" s="255">
        <f t="shared" si="342"/>
        <v>22.254628014996129</v>
      </c>
      <c r="N401" s="247">
        <f t="shared" si="343"/>
        <v>0</v>
      </c>
      <c r="O401" s="247">
        <f t="shared" si="344"/>
        <v>0</v>
      </c>
      <c r="P401" s="247">
        <f t="shared" si="345"/>
        <v>0</v>
      </c>
      <c r="Q401" s="247">
        <f t="shared" si="346"/>
        <v>0</v>
      </c>
      <c r="R401" s="247">
        <f t="shared" si="347"/>
        <v>0</v>
      </c>
      <c r="S401" s="247">
        <f t="shared" si="348"/>
        <v>0</v>
      </c>
      <c r="T401" s="247">
        <f t="shared" si="349"/>
        <v>0</v>
      </c>
      <c r="U401" s="247">
        <f t="shared" si="350"/>
        <v>0</v>
      </c>
      <c r="V401" s="247">
        <f t="shared" si="351"/>
        <v>0</v>
      </c>
      <c r="X401" s="248"/>
    </row>
    <row r="402" spans="1:24" s="67" customFormat="1" outlineLevel="2" x14ac:dyDescent="0.3">
      <c r="A402" s="448"/>
      <c r="B402" s="231" t="s">
        <v>80</v>
      </c>
      <c r="C402" s="21">
        <f t="shared" si="341"/>
        <v>1999.578327147402</v>
      </c>
      <c r="D402" s="21">
        <v>0</v>
      </c>
      <c r="E402" s="21">
        <v>0</v>
      </c>
      <c r="F402" s="21">
        <v>0</v>
      </c>
      <c r="G402" s="21">
        <v>0</v>
      </c>
      <c r="H402" s="21">
        <v>0</v>
      </c>
      <c r="I402" s="21">
        <v>0</v>
      </c>
      <c r="J402" s="21">
        <v>0</v>
      </c>
      <c r="K402" s="21">
        <v>0</v>
      </c>
      <c r="L402" s="21">
        <v>0</v>
      </c>
      <c r="M402" s="255">
        <f t="shared" si="342"/>
        <v>22.254628014996129</v>
      </c>
      <c r="N402" s="247">
        <f t="shared" si="343"/>
        <v>0</v>
      </c>
      <c r="O402" s="247">
        <f t="shared" si="344"/>
        <v>0</v>
      </c>
      <c r="P402" s="247">
        <f t="shared" si="345"/>
        <v>0</v>
      </c>
      <c r="Q402" s="247">
        <f t="shared" si="346"/>
        <v>0</v>
      </c>
      <c r="R402" s="247">
        <f t="shared" si="347"/>
        <v>0</v>
      </c>
      <c r="S402" s="247">
        <f t="shared" si="348"/>
        <v>0</v>
      </c>
      <c r="T402" s="247">
        <f t="shared" si="349"/>
        <v>0</v>
      </c>
      <c r="U402" s="247">
        <f t="shared" si="350"/>
        <v>0</v>
      </c>
      <c r="V402" s="247">
        <f t="shared" si="351"/>
        <v>0</v>
      </c>
    </row>
    <row r="403" spans="1:24" s="67" customFormat="1" outlineLevel="2" x14ac:dyDescent="0.3">
      <c r="A403" s="449"/>
      <c r="B403" s="182" t="s">
        <v>134</v>
      </c>
      <c r="C403" s="239">
        <f t="shared" si="341"/>
        <v>1999.578327147402</v>
      </c>
      <c r="D403" s="183">
        <v>0</v>
      </c>
      <c r="E403" s="183">
        <v>0</v>
      </c>
      <c r="F403" s="183">
        <v>0</v>
      </c>
      <c r="G403" s="183">
        <v>0</v>
      </c>
      <c r="H403" s="183">
        <v>0</v>
      </c>
      <c r="I403" s="183">
        <v>0</v>
      </c>
      <c r="J403" s="183">
        <v>0</v>
      </c>
      <c r="K403" s="183">
        <v>0</v>
      </c>
      <c r="L403" s="183">
        <v>0</v>
      </c>
      <c r="M403" s="255">
        <f t="shared" si="342"/>
        <v>22.254628014996129</v>
      </c>
      <c r="N403" s="247">
        <f t="shared" si="343"/>
        <v>0</v>
      </c>
      <c r="O403" s="247">
        <f t="shared" si="344"/>
        <v>0</v>
      </c>
      <c r="P403" s="247">
        <f t="shared" si="345"/>
        <v>0</v>
      </c>
      <c r="Q403" s="247">
        <f t="shared" si="346"/>
        <v>0</v>
      </c>
      <c r="R403" s="247">
        <f t="shared" si="347"/>
        <v>0</v>
      </c>
      <c r="S403" s="247">
        <f t="shared" si="348"/>
        <v>0</v>
      </c>
      <c r="T403" s="247">
        <f t="shared" si="349"/>
        <v>0</v>
      </c>
      <c r="U403" s="247">
        <f t="shared" si="350"/>
        <v>0</v>
      </c>
      <c r="V403" s="247">
        <f t="shared" si="351"/>
        <v>0</v>
      </c>
    </row>
    <row r="404" spans="1:24" s="67" customFormat="1" outlineLevel="2" x14ac:dyDescent="0.3">
      <c r="A404" s="455" t="s">
        <v>242</v>
      </c>
      <c r="B404" s="231" t="s">
        <v>72</v>
      </c>
      <c r="C404" s="21">
        <f>$L$54*$M$54+$L$64*$M$64+SUMPRODUCT($L$69:$L$84,$M$69:$M$84)</f>
        <v>0</v>
      </c>
      <c r="D404" s="21">
        <v>0</v>
      </c>
      <c r="E404" s="21">
        <v>0</v>
      </c>
      <c r="F404" s="21">
        <v>0</v>
      </c>
      <c r="G404" s="21">
        <v>0</v>
      </c>
      <c r="H404" s="21">
        <v>0</v>
      </c>
      <c r="I404" s="21">
        <v>0</v>
      </c>
      <c r="J404" s="21">
        <v>0</v>
      </c>
      <c r="K404" s="21">
        <v>0</v>
      </c>
      <c r="L404" s="21">
        <v>0</v>
      </c>
      <c r="M404" s="255">
        <f t="shared" si="342"/>
        <v>0</v>
      </c>
      <c r="N404" s="247">
        <f t="shared" si="343"/>
        <v>0</v>
      </c>
      <c r="O404" s="247">
        <f t="shared" si="344"/>
        <v>0</v>
      </c>
      <c r="P404" s="247">
        <f t="shared" si="345"/>
        <v>0</v>
      </c>
      <c r="Q404" s="247">
        <f t="shared" si="346"/>
        <v>0</v>
      </c>
      <c r="R404" s="247">
        <f t="shared" si="347"/>
        <v>0</v>
      </c>
      <c r="S404" s="247">
        <f t="shared" si="348"/>
        <v>0</v>
      </c>
      <c r="T404" s="247">
        <f t="shared" si="349"/>
        <v>0</v>
      </c>
      <c r="U404" s="247">
        <f t="shared" si="350"/>
        <v>0</v>
      </c>
      <c r="V404" s="247">
        <f t="shared" si="351"/>
        <v>0</v>
      </c>
    </row>
    <row r="405" spans="1:24" s="67" customFormat="1" outlineLevel="2" x14ac:dyDescent="0.3">
      <c r="A405" s="448"/>
      <c r="B405" s="231" t="s">
        <v>73</v>
      </c>
      <c r="C405" s="21">
        <v>0</v>
      </c>
      <c r="D405" s="21">
        <f>$L$54*$M$54+$L$64*$M$64+SUMPRODUCT($L$69:$L$84,$M$69:$M$84)</f>
        <v>0</v>
      </c>
      <c r="E405" s="144">
        <v>0</v>
      </c>
      <c r="F405" s="144">
        <v>0</v>
      </c>
      <c r="G405" s="144">
        <v>0</v>
      </c>
      <c r="H405" s="144">
        <v>0</v>
      </c>
      <c r="I405" s="144">
        <v>0</v>
      </c>
      <c r="J405" s="144">
        <v>0</v>
      </c>
      <c r="K405" s="144">
        <v>0</v>
      </c>
      <c r="L405" s="144">
        <v>0</v>
      </c>
      <c r="M405" s="255">
        <f t="shared" si="342"/>
        <v>0</v>
      </c>
      <c r="N405" s="247">
        <f t="shared" si="343"/>
        <v>0</v>
      </c>
      <c r="O405" s="247">
        <f t="shared" si="344"/>
        <v>0</v>
      </c>
      <c r="P405" s="247">
        <f t="shared" si="345"/>
        <v>0</v>
      </c>
      <c r="Q405" s="247">
        <f t="shared" si="346"/>
        <v>0</v>
      </c>
      <c r="R405" s="247">
        <f t="shared" si="347"/>
        <v>0</v>
      </c>
      <c r="S405" s="247">
        <f t="shared" si="348"/>
        <v>0</v>
      </c>
      <c r="T405" s="247">
        <f t="shared" si="349"/>
        <v>0</v>
      </c>
      <c r="U405" s="247">
        <f t="shared" si="350"/>
        <v>0</v>
      </c>
      <c r="V405" s="247">
        <f t="shared" si="351"/>
        <v>0</v>
      </c>
    </row>
    <row r="406" spans="1:24" s="67" customFormat="1" outlineLevel="2" x14ac:dyDescent="0.3">
      <c r="A406" s="448"/>
      <c r="B406" s="231" t="s">
        <v>74</v>
      </c>
      <c r="C406" s="21">
        <v>0</v>
      </c>
      <c r="D406" s="21">
        <v>0</v>
      </c>
      <c r="E406" s="21">
        <f>$L$54*$M$54+$L$64*$M$64+SUMPRODUCT($L$69:$L$84,$M$69:$M$84)</f>
        <v>0</v>
      </c>
      <c r="F406" s="144">
        <v>0</v>
      </c>
      <c r="G406" s="144">
        <v>0</v>
      </c>
      <c r="H406" s="144">
        <v>0</v>
      </c>
      <c r="I406" s="144">
        <v>0</v>
      </c>
      <c r="J406" s="144">
        <v>0</v>
      </c>
      <c r="K406" s="144">
        <v>0</v>
      </c>
      <c r="L406" s="144">
        <v>0</v>
      </c>
      <c r="M406" s="255">
        <f t="shared" si="342"/>
        <v>0</v>
      </c>
      <c r="N406" s="247">
        <f t="shared" si="343"/>
        <v>0</v>
      </c>
      <c r="O406" s="247">
        <f t="shared" si="344"/>
        <v>0</v>
      </c>
      <c r="P406" s="247">
        <f t="shared" si="345"/>
        <v>0</v>
      </c>
      <c r="Q406" s="247">
        <f t="shared" si="346"/>
        <v>0</v>
      </c>
      <c r="R406" s="247">
        <f t="shared" si="347"/>
        <v>0</v>
      </c>
      <c r="S406" s="247">
        <f t="shared" si="348"/>
        <v>0</v>
      </c>
      <c r="T406" s="247">
        <f t="shared" si="349"/>
        <v>0</v>
      </c>
      <c r="U406" s="247">
        <f t="shared" si="350"/>
        <v>0</v>
      </c>
      <c r="V406" s="247">
        <f t="shared" si="351"/>
        <v>0</v>
      </c>
    </row>
    <row r="407" spans="1:24" s="67" customFormat="1" outlineLevel="2" x14ac:dyDescent="0.3">
      <c r="A407" s="448"/>
      <c r="B407" s="231" t="s">
        <v>75</v>
      </c>
      <c r="C407" s="21">
        <v>0</v>
      </c>
      <c r="D407" s="21">
        <v>0</v>
      </c>
      <c r="E407" s="21">
        <v>0</v>
      </c>
      <c r="F407" s="21">
        <f>$L$54*$M$54+$L$64*$M$64+SUMPRODUCT($L$69:$L$84,$M$69:$M$84)</f>
        <v>0</v>
      </c>
      <c r="G407" s="144">
        <v>0</v>
      </c>
      <c r="H407" s="144">
        <v>0</v>
      </c>
      <c r="I407" s="144">
        <v>0</v>
      </c>
      <c r="J407" s="144">
        <v>0</v>
      </c>
      <c r="K407" s="144">
        <v>0</v>
      </c>
      <c r="L407" s="144">
        <v>0</v>
      </c>
      <c r="M407" s="255">
        <f t="shared" si="342"/>
        <v>0</v>
      </c>
      <c r="N407" s="247">
        <f t="shared" si="343"/>
        <v>0</v>
      </c>
      <c r="O407" s="247">
        <f t="shared" si="344"/>
        <v>0</v>
      </c>
      <c r="P407" s="247">
        <f t="shared" si="345"/>
        <v>0</v>
      </c>
      <c r="Q407" s="247">
        <f t="shared" si="346"/>
        <v>0</v>
      </c>
      <c r="R407" s="247">
        <f t="shared" si="347"/>
        <v>0</v>
      </c>
      <c r="S407" s="247">
        <f t="shared" si="348"/>
        <v>0</v>
      </c>
      <c r="T407" s="247">
        <f t="shared" si="349"/>
        <v>0</v>
      </c>
      <c r="U407" s="247">
        <f t="shared" si="350"/>
        <v>0</v>
      </c>
      <c r="V407" s="247">
        <f t="shared" si="351"/>
        <v>0</v>
      </c>
    </row>
    <row r="408" spans="1:24" s="67" customFormat="1" outlineLevel="2" x14ac:dyDescent="0.3">
      <c r="A408" s="448"/>
      <c r="B408" s="231" t="s">
        <v>76</v>
      </c>
      <c r="C408" s="21">
        <v>0</v>
      </c>
      <c r="D408" s="21">
        <v>0</v>
      </c>
      <c r="E408" s="21">
        <v>0</v>
      </c>
      <c r="F408" s="21">
        <v>0</v>
      </c>
      <c r="G408" s="21">
        <f>$L$54*$M$54+$L$64*$M$64+SUMPRODUCT($L$69:$L$84,$M$69:$M$84)</f>
        <v>0</v>
      </c>
      <c r="H408" s="144">
        <v>0</v>
      </c>
      <c r="I408" s="144">
        <v>0</v>
      </c>
      <c r="J408" s="144">
        <v>0</v>
      </c>
      <c r="K408" s="144">
        <v>0</v>
      </c>
      <c r="L408" s="144">
        <v>0</v>
      </c>
      <c r="M408" s="255">
        <f t="shared" si="342"/>
        <v>0</v>
      </c>
      <c r="N408" s="247">
        <f t="shared" si="343"/>
        <v>0</v>
      </c>
      <c r="O408" s="247">
        <f t="shared" si="344"/>
        <v>0</v>
      </c>
      <c r="P408" s="247">
        <f t="shared" si="345"/>
        <v>0</v>
      </c>
      <c r="Q408" s="247">
        <f t="shared" si="346"/>
        <v>0</v>
      </c>
      <c r="R408" s="247">
        <f t="shared" si="347"/>
        <v>0</v>
      </c>
      <c r="S408" s="247">
        <f t="shared" si="348"/>
        <v>0</v>
      </c>
      <c r="T408" s="247">
        <f t="shared" si="349"/>
        <v>0</v>
      </c>
      <c r="U408" s="247">
        <f t="shared" si="350"/>
        <v>0</v>
      </c>
      <c r="V408" s="247">
        <f t="shared" si="351"/>
        <v>0</v>
      </c>
    </row>
    <row r="409" spans="1:24" s="67" customFormat="1" outlineLevel="2" x14ac:dyDescent="0.3">
      <c r="A409" s="448"/>
      <c r="B409" s="231" t="s">
        <v>77</v>
      </c>
      <c r="C409" s="21">
        <v>0</v>
      </c>
      <c r="D409" s="21">
        <v>0</v>
      </c>
      <c r="E409" s="21">
        <v>0</v>
      </c>
      <c r="F409" s="21">
        <v>0</v>
      </c>
      <c r="G409" s="21">
        <v>0</v>
      </c>
      <c r="H409" s="21">
        <f>$L$54*$M$54+$L$64*$M$64+SUMPRODUCT($L$69:$L$84,$M$69:$M$84)</f>
        <v>0</v>
      </c>
      <c r="I409" s="144">
        <v>0</v>
      </c>
      <c r="J409" s="144">
        <v>0</v>
      </c>
      <c r="K409" s="144">
        <v>0</v>
      </c>
      <c r="L409" s="144">
        <v>0</v>
      </c>
      <c r="M409" s="255">
        <f t="shared" si="342"/>
        <v>0</v>
      </c>
      <c r="N409" s="247">
        <f t="shared" si="343"/>
        <v>0</v>
      </c>
      <c r="O409" s="247">
        <f t="shared" si="344"/>
        <v>0</v>
      </c>
      <c r="P409" s="247">
        <f t="shared" si="345"/>
        <v>0</v>
      </c>
      <c r="Q409" s="247">
        <f t="shared" si="346"/>
        <v>0</v>
      </c>
      <c r="R409" s="247">
        <f t="shared" si="347"/>
        <v>0</v>
      </c>
      <c r="S409" s="247">
        <f t="shared" si="348"/>
        <v>0</v>
      </c>
      <c r="T409" s="247">
        <f t="shared" si="349"/>
        <v>0</v>
      </c>
      <c r="U409" s="247">
        <f t="shared" si="350"/>
        <v>0</v>
      </c>
      <c r="V409" s="247">
        <f t="shared" si="351"/>
        <v>0</v>
      </c>
    </row>
    <row r="410" spans="1:24" s="67" customFormat="1" outlineLevel="2" x14ac:dyDescent="0.3">
      <c r="A410" s="448"/>
      <c r="B410" s="231" t="s">
        <v>78</v>
      </c>
      <c r="C410" s="21">
        <v>0</v>
      </c>
      <c r="D410" s="21">
        <v>0</v>
      </c>
      <c r="E410" s="21">
        <v>0</v>
      </c>
      <c r="F410" s="21">
        <v>0</v>
      </c>
      <c r="G410" s="21">
        <v>0</v>
      </c>
      <c r="H410" s="21">
        <v>0</v>
      </c>
      <c r="I410" s="21">
        <f>$L$54*$M$54+$L$64*$M$64+SUMPRODUCT($L$69:$L$84,$M$69:$M$84)</f>
        <v>0</v>
      </c>
      <c r="J410" s="144">
        <v>0</v>
      </c>
      <c r="K410" s="144">
        <v>0</v>
      </c>
      <c r="L410" s="144">
        <v>0</v>
      </c>
      <c r="M410" s="255">
        <f t="shared" si="342"/>
        <v>0</v>
      </c>
      <c r="N410" s="247">
        <f t="shared" si="343"/>
        <v>0</v>
      </c>
      <c r="O410" s="247">
        <f t="shared" si="344"/>
        <v>0</v>
      </c>
      <c r="P410" s="247">
        <f t="shared" si="345"/>
        <v>0</v>
      </c>
      <c r="Q410" s="247">
        <f t="shared" si="346"/>
        <v>0</v>
      </c>
      <c r="R410" s="247">
        <f t="shared" si="347"/>
        <v>0</v>
      </c>
      <c r="S410" s="247">
        <f t="shared" si="348"/>
        <v>0</v>
      </c>
      <c r="T410" s="247">
        <f t="shared" si="349"/>
        <v>0</v>
      </c>
      <c r="U410" s="247">
        <f t="shared" si="350"/>
        <v>0</v>
      </c>
      <c r="V410" s="247">
        <f t="shared" si="351"/>
        <v>0</v>
      </c>
    </row>
    <row r="411" spans="1:24" s="67" customFormat="1" outlineLevel="2" x14ac:dyDescent="0.3">
      <c r="A411" s="448"/>
      <c r="B411" s="231" t="s">
        <v>79</v>
      </c>
      <c r="C411" s="21">
        <v>0</v>
      </c>
      <c r="D411" s="21">
        <v>0</v>
      </c>
      <c r="E411" s="21">
        <v>0</v>
      </c>
      <c r="F411" s="21">
        <v>0</v>
      </c>
      <c r="G411" s="21">
        <v>0</v>
      </c>
      <c r="H411" s="21">
        <v>0</v>
      </c>
      <c r="I411" s="21">
        <v>0</v>
      </c>
      <c r="J411" s="21">
        <f>$L$54*$M$54+$L$64*$M$64+SUMPRODUCT($L$69:$L$84,$M$69:$M$84)</f>
        <v>0</v>
      </c>
      <c r="K411" s="144">
        <v>0</v>
      </c>
      <c r="L411" s="144">
        <v>0</v>
      </c>
      <c r="M411" s="255">
        <f t="shared" si="342"/>
        <v>0</v>
      </c>
      <c r="N411" s="247">
        <f t="shared" si="343"/>
        <v>0</v>
      </c>
      <c r="O411" s="247">
        <f t="shared" si="344"/>
        <v>0</v>
      </c>
      <c r="P411" s="247">
        <f t="shared" si="345"/>
        <v>0</v>
      </c>
      <c r="Q411" s="247">
        <f t="shared" si="346"/>
        <v>0</v>
      </c>
      <c r="R411" s="247">
        <f t="shared" si="347"/>
        <v>0</v>
      </c>
      <c r="S411" s="247">
        <f t="shared" si="348"/>
        <v>0</v>
      </c>
      <c r="T411" s="247">
        <f t="shared" si="349"/>
        <v>0</v>
      </c>
      <c r="U411" s="247">
        <f t="shared" si="350"/>
        <v>0</v>
      </c>
      <c r="V411" s="247">
        <f t="shared" si="351"/>
        <v>0</v>
      </c>
    </row>
    <row r="412" spans="1:24" s="67" customFormat="1" outlineLevel="2" x14ac:dyDescent="0.3">
      <c r="A412" s="448"/>
      <c r="B412" s="231" t="s">
        <v>80</v>
      </c>
      <c r="C412" s="21">
        <v>0</v>
      </c>
      <c r="D412" s="21">
        <v>0</v>
      </c>
      <c r="E412" s="21">
        <v>0</v>
      </c>
      <c r="F412" s="21">
        <v>0</v>
      </c>
      <c r="G412" s="21">
        <v>0</v>
      </c>
      <c r="H412" s="21">
        <v>0</v>
      </c>
      <c r="I412" s="21">
        <v>0</v>
      </c>
      <c r="J412" s="21">
        <v>0</v>
      </c>
      <c r="K412" s="21">
        <f>$L$54*$M$54+$L$64*$M$64+SUMPRODUCT($L$69:$L$84,$M$69:$M$84)</f>
        <v>0</v>
      </c>
      <c r="L412" s="144">
        <v>0</v>
      </c>
      <c r="M412" s="255">
        <f t="shared" si="342"/>
        <v>0</v>
      </c>
      <c r="N412" s="247">
        <f t="shared" si="343"/>
        <v>0</v>
      </c>
      <c r="O412" s="247">
        <f t="shared" si="344"/>
        <v>0</v>
      </c>
      <c r="P412" s="247">
        <f t="shared" si="345"/>
        <v>0</v>
      </c>
      <c r="Q412" s="247">
        <f t="shared" si="346"/>
        <v>0</v>
      </c>
      <c r="R412" s="247">
        <f t="shared" si="347"/>
        <v>0</v>
      </c>
      <c r="S412" s="247">
        <f t="shared" si="348"/>
        <v>0</v>
      </c>
      <c r="T412" s="247">
        <f t="shared" si="349"/>
        <v>0</v>
      </c>
      <c r="U412" s="247">
        <f t="shared" si="350"/>
        <v>0</v>
      </c>
      <c r="V412" s="247">
        <f t="shared" si="351"/>
        <v>0</v>
      </c>
    </row>
    <row r="413" spans="1:24" s="67" customFormat="1" outlineLevel="2" x14ac:dyDescent="0.3">
      <c r="A413" s="449"/>
      <c r="B413" s="182" t="s">
        <v>134</v>
      </c>
      <c r="C413" s="183">
        <v>0</v>
      </c>
      <c r="D413" s="183">
        <v>0</v>
      </c>
      <c r="E413" s="183">
        <v>0</v>
      </c>
      <c r="F413" s="183">
        <v>0</v>
      </c>
      <c r="G413" s="183">
        <v>0</v>
      </c>
      <c r="H413" s="183">
        <v>0</v>
      </c>
      <c r="I413" s="183">
        <v>0</v>
      </c>
      <c r="J413" s="183">
        <v>0</v>
      </c>
      <c r="K413" s="183">
        <v>0</v>
      </c>
      <c r="L413" s="239">
        <v>0</v>
      </c>
      <c r="M413" s="255">
        <f t="shared" si="342"/>
        <v>0</v>
      </c>
      <c r="N413" s="247">
        <f t="shared" si="343"/>
        <v>0</v>
      </c>
      <c r="O413" s="247">
        <f t="shared" si="344"/>
        <v>0</v>
      </c>
      <c r="P413" s="247">
        <f t="shared" si="345"/>
        <v>0</v>
      </c>
      <c r="Q413" s="247">
        <f t="shared" si="346"/>
        <v>0</v>
      </c>
      <c r="R413" s="247">
        <f t="shared" si="347"/>
        <v>0</v>
      </c>
      <c r="S413" s="247">
        <f t="shared" si="348"/>
        <v>0</v>
      </c>
      <c r="T413" s="247">
        <f t="shared" si="349"/>
        <v>0</v>
      </c>
      <c r="U413" s="247">
        <f t="shared" si="350"/>
        <v>0</v>
      </c>
      <c r="V413" s="247">
        <f t="shared" si="351"/>
        <v>0</v>
      </c>
    </row>
    <row r="414" spans="1:24" s="67" customFormat="1" outlineLevel="2" x14ac:dyDescent="0.3">
      <c r="A414" s="455" t="s">
        <v>243</v>
      </c>
      <c r="B414" s="231" t="s">
        <v>72</v>
      </c>
      <c r="C414" s="21">
        <f>SUMPRODUCT($K$45:$K$66,Y45:Y66)+SUMPRODUCT($K$45:$K$66,$N$45:$N$66)+SUMPRODUCT($K$69:$K$88,$N$69:$N$88)</f>
        <v>377.56513123011661</v>
      </c>
      <c r="D414" s="21">
        <f>SUMPRODUCT($L$45:$L$66,Z$45:Z$66)</f>
        <v>0</v>
      </c>
      <c r="E414" s="21">
        <f t="shared" ref="E414:L414" si="352">SUMPRODUCT($L$45:$L$66,AA$45:AA$66)</f>
        <v>0</v>
      </c>
      <c r="F414" s="21">
        <f t="shared" si="352"/>
        <v>0</v>
      </c>
      <c r="G414" s="21">
        <f t="shared" si="352"/>
        <v>0</v>
      </c>
      <c r="H414" s="21">
        <f t="shared" si="352"/>
        <v>0</v>
      </c>
      <c r="I414" s="21">
        <f t="shared" si="352"/>
        <v>0</v>
      </c>
      <c r="J414" s="21">
        <f t="shared" si="352"/>
        <v>0</v>
      </c>
      <c r="K414" s="21">
        <f t="shared" si="352"/>
        <v>0</v>
      </c>
      <c r="L414" s="21">
        <f t="shared" si="352"/>
        <v>0</v>
      </c>
      <c r="M414" s="255">
        <f t="shared" si="342"/>
        <v>4.2021717443529951</v>
      </c>
      <c r="N414" s="247">
        <f t="shared" si="343"/>
        <v>0</v>
      </c>
      <c r="O414" s="247">
        <f t="shared" si="344"/>
        <v>0</v>
      </c>
      <c r="P414" s="247">
        <f t="shared" si="345"/>
        <v>0</v>
      </c>
      <c r="Q414" s="247">
        <f t="shared" si="346"/>
        <v>0</v>
      </c>
      <c r="R414" s="247">
        <f t="shared" si="347"/>
        <v>0</v>
      </c>
      <c r="S414" s="247">
        <f t="shared" si="348"/>
        <v>0</v>
      </c>
      <c r="T414" s="247">
        <f t="shared" si="349"/>
        <v>0</v>
      </c>
      <c r="U414" s="247">
        <f t="shared" si="350"/>
        <v>0</v>
      </c>
      <c r="V414" s="247">
        <f t="shared" si="351"/>
        <v>0</v>
      </c>
    </row>
    <row r="415" spans="1:24" s="67" customFormat="1" outlineLevel="2" x14ac:dyDescent="0.3">
      <c r="A415" s="448"/>
      <c r="B415" s="231" t="s">
        <v>73</v>
      </c>
      <c r="C415" s="21">
        <f>SUMPRODUCT($K$45:$K$66,Y45:Y66)+SUMPRODUCT($K$45:$K$66,$N$45:$N$66)+SUMPRODUCT($K$69:$K$88,$N$69:$N$88)</f>
        <v>377.56513123011661</v>
      </c>
      <c r="D415" s="21">
        <f>SUMPRODUCT($K$45:$K$66,Z45:Z66)+SUMPRODUCT($K$45:$K$66,$N$45:$N$66)+SUMPRODUCT($K$69:$K$88,$N$69:$N$88)</f>
        <v>377.56513123011661</v>
      </c>
      <c r="E415" s="21">
        <f t="shared" ref="E415" si="353">SUMPRODUCT($L$45:$L$66,AA$45:AA$66)</f>
        <v>0</v>
      </c>
      <c r="F415" s="21">
        <f t="shared" ref="F415" si="354">SUMPRODUCT($L$45:$L$66,AB$45:AB$66)</f>
        <v>0</v>
      </c>
      <c r="G415" s="21">
        <f t="shared" ref="G415" si="355">SUMPRODUCT($L$45:$L$66,AC$45:AC$66)</f>
        <v>0</v>
      </c>
      <c r="H415" s="21">
        <f t="shared" ref="H415" si="356">SUMPRODUCT($L$45:$L$66,AD$45:AD$66)</f>
        <v>0</v>
      </c>
      <c r="I415" s="21">
        <f t="shared" ref="I415" si="357">SUMPRODUCT($L$45:$L$66,AE$45:AE$66)</f>
        <v>0</v>
      </c>
      <c r="J415" s="21">
        <f t="shared" ref="J415" si="358">SUMPRODUCT($L$45:$L$66,AF$45:AF$66)</f>
        <v>0</v>
      </c>
      <c r="K415" s="21">
        <f t="shared" ref="K415" si="359">SUMPRODUCT($L$45:$L$66,AG$45:AG$66)</f>
        <v>0</v>
      </c>
      <c r="L415" s="21">
        <f t="shared" ref="L415" si="360">SUMPRODUCT($L$45:$L$66,AH$45:AH$66)</f>
        <v>0</v>
      </c>
      <c r="M415" s="255">
        <f t="shared" si="342"/>
        <v>4.2021717443529951</v>
      </c>
      <c r="N415" s="247">
        <f t="shared" si="343"/>
        <v>4.2021717443529951</v>
      </c>
      <c r="O415" s="247">
        <f t="shared" si="344"/>
        <v>0</v>
      </c>
      <c r="P415" s="247">
        <f t="shared" si="345"/>
        <v>0</v>
      </c>
      <c r="Q415" s="247">
        <f t="shared" si="346"/>
        <v>0</v>
      </c>
      <c r="R415" s="247">
        <f t="shared" si="347"/>
        <v>0</v>
      </c>
      <c r="S415" s="247">
        <f t="shared" si="348"/>
        <v>0</v>
      </c>
      <c r="T415" s="247">
        <f t="shared" si="349"/>
        <v>0</v>
      </c>
      <c r="U415" s="247">
        <f t="shared" si="350"/>
        <v>0</v>
      </c>
      <c r="V415" s="247">
        <f t="shared" si="351"/>
        <v>0</v>
      </c>
    </row>
    <row r="416" spans="1:24" s="67" customFormat="1" outlineLevel="2" x14ac:dyDescent="0.3">
      <c r="A416" s="448"/>
      <c r="B416" s="231" t="s">
        <v>74</v>
      </c>
      <c r="C416" s="21">
        <f>SUMPRODUCT($K$45:$K$66,Y45:Y66)+SUMPRODUCT($K$45:$K$66,$N$45:$N$66)+SUMPRODUCT($K$69:$K$88,$N$69:$N$88)</f>
        <v>377.56513123011661</v>
      </c>
      <c r="D416" s="21">
        <f>SUMPRODUCT($K$45:$K$66,Z45:Z66)+SUMPRODUCT($K$45:$K$66,$N$45:$N$66)+SUMPRODUCT($K$69:$K$88,$N$69:$N$88)</f>
        <v>377.56513123011661</v>
      </c>
      <c r="E416" s="21">
        <f>SUMPRODUCT($K$45:$K$66,AA45:AA66)+SUMPRODUCT($K$45:$K$66,$N$45:$N$66)+SUMPRODUCT($K$69:$K$88,$N$69:$N$88)</f>
        <v>377.56513123011661</v>
      </c>
      <c r="F416" s="21">
        <f t="shared" ref="F416" si="361">SUMPRODUCT($L$45:$L$66,AB$45:AB$66)</f>
        <v>0</v>
      </c>
      <c r="G416" s="21">
        <f t="shared" ref="G416" si="362">SUMPRODUCT($L$45:$L$66,AC$45:AC$66)</f>
        <v>0</v>
      </c>
      <c r="H416" s="21">
        <f t="shared" ref="H416" si="363">SUMPRODUCT($L$45:$L$66,AD$45:AD$66)</f>
        <v>0</v>
      </c>
      <c r="I416" s="21">
        <f t="shared" ref="I416" si="364">SUMPRODUCT($L$45:$L$66,AE$45:AE$66)</f>
        <v>0</v>
      </c>
      <c r="J416" s="21">
        <f t="shared" ref="J416" si="365">SUMPRODUCT($L$45:$L$66,AF$45:AF$66)</f>
        <v>0</v>
      </c>
      <c r="K416" s="21">
        <f t="shared" ref="K416" si="366">SUMPRODUCT($L$45:$L$66,AG$45:AG$66)</f>
        <v>0</v>
      </c>
      <c r="L416" s="21">
        <f t="shared" ref="L416" si="367">SUMPRODUCT($L$45:$L$66,AH$45:AH$66)</f>
        <v>0</v>
      </c>
      <c r="M416" s="255">
        <f t="shared" si="342"/>
        <v>4.2021717443529951</v>
      </c>
      <c r="N416" s="247">
        <f t="shared" si="343"/>
        <v>4.2021717443529951</v>
      </c>
      <c r="O416" s="247">
        <f t="shared" si="344"/>
        <v>4.2021717443529951</v>
      </c>
      <c r="P416" s="247">
        <f t="shared" si="345"/>
        <v>0</v>
      </c>
      <c r="Q416" s="247">
        <f t="shared" si="346"/>
        <v>0</v>
      </c>
      <c r="R416" s="247">
        <f t="shared" si="347"/>
        <v>0</v>
      </c>
      <c r="S416" s="247">
        <f t="shared" si="348"/>
        <v>0</v>
      </c>
      <c r="T416" s="247">
        <f t="shared" si="349"/>
        <v>0</v>
      </c>
      <c r="U416" s="247">
        <f t="shared" si="350"/>
        <v>0</v>
      </c>
      <c r="V416" s="247">
        <f t="shared" si="351"/>
        <v>0</v>
      </c>
    </row>
    <row r="417" spans="1:22" s="67" customFormat="1" outlineLevel="2" x14ac:dyDescent="0.3">
      <c r="A417" s="448"/>
      <c r="B417" s="231" t="s">
        <v>75</v>
      </c>
      <c r="C417" s="21">
        <f>SUMPRODUCT($K$45:$K$66,Y45:Y66)+SUMPRODUCT($K$45:$K$66,$N$45:$N$66)+SUMPRODUCT($K$69:$K$88,$N$69:$N$88)</f>
        <v>377.56513123011661</v>
      </c>
      <c r="D417" s="21">
        <f>SUMPRODUCT($K$45:$K$66,Z45:Z66)+SUMPRODUCT($K$45:$K$66,$N$45:$N$66)+SUMPRODUCT($K$69:$K$88,$N$69:$N$88)</f>
        <v>377.56513123011661</v>
      </c>
      <c r="E417" s="21">
        <f>SUMPRODUCT($K$45:$K$66,AA45:AA66)+SUMPRODUCT($K$45:$K$66,$N$45:$N$66)+SUMPRODUCT($K$69:$K$88,$N$69:$N$88)</f>
        <v>377.56513123011661</v>
      </c>
      <c r="F417" s="21">
        <f>SUMPRODUCT($K$45:$K$66,AB45:AB66)+SUMPRODUCT($K$45:$K$66,$N$45:$N$66)+SUMPRODUCT($K$69:$K$88,$N$69:$N$88)</f>
        <v>377.56513123011661</v>
      </c>
      <c r="G417" s="21">
        <f t="shared" ref="G417" si="368">SUMPRODUCT($L$45:$L$66,AC$45:AC$66)</f>
        <v>0</v>
      </c>
      <c r="H417" s="21">
        <f t="shared" ref="H417" si="369">SUMPRODUCT($L$45:$L$66,AD$45:AD$66)</f>
        <v>0</v>
      </c>
      <c r="I417" s="21">
        <f t="shared" ref="I417" si="370">SUMPRODUCT($L$45:$L$66,AE$45:AE$66)</f>
        <v>0</v>
      </c>
      <c r="J417" s="21">
        <f t="shared" ref="J417" si="371">SUMPRODUCT($L$45:$L$66,AF$45:AF$66)</f>
        <v>0</v>
      </c>
      <c r="K417" s="21">
        <f t="shared" ref="K417" si="372">SUMPRODUCT($L$45:$L$66,AG$45:AG$66)</f>
        <v>0</v>
      </c>
      <c r="L417" s="21">
        <f t="shared" ref="L417" si="373">SUMPRODUCT($L$45:$L$66,AH$45:AH$66)</f>
        <v>0</v>
      </c>
      <c r="M417" s="255">
        <f t="shared" si="342"/>
        <v>4.2021717443529951</v>
      </c>
      <c r="N417" s="247">
        <f t="shared" si="343"/>
        <v>4.2021717443529951</v>
      </c>
      <c r="O417" s="247">
        <f t="shared" si="344"/>
        <v>4.2021717443529951</v>
      </c>
      <c r="P417" s="247">
        <f t="shared" si="345"/>
        <v>4.2021717443529951</v>
      </c>
      <c r="Q417" s="247">
        <f t="shared" si="346"/>
        <v>0</v>
      </c>
      <c r="R417" s="247">
        <f t="shared" si="347"/>
        <v>0</v>
      </c>
      <c r="S417" s="247">
        <f t="shared" si="348"/>
        <v>0</v>
      </c>
      <c r="T417" s="247">
        <f t="shared" si="349"/>
        <v>0</v>
      </c>
      <c r="U417" s="247">
        <f t="shared" si="350"/>
        <v>0</v>
      </c>
      <c r="V417" s="247">
        <f t="shared" si="351"/>
        <v>0</v>
      </c>
    </row>
    <row r="418" spans="1:22" s="67" customFormat="1" outlineLevel="2" x14ac:dyDescent="0.3">
      <c r="A418" s="448"/>
      <c r="B418" s="231" t="s">
        <v>76</v>
      </c>
      <c r="C418" s="21">
        <f>SUMPRODUCT($K$45:$K$66,Y45:Y66)+SUMPRODUCT($K$45:$K$66,$N$45:$N$66)+SUMPRODUCT($K$69:$K$88,$N$69:$N$88)</f>
        <v>377.56513123011661</v>
      </c>
      <c r="D418" s="21">
        <f>SUMPRODUCT($K$45:$K$66,Z45:Z66)+SUMPRODUCT($K$45:$K$66,$N$45:$N$66)+SUMPRODUCT($K$69:$K$88,$N$69:$N$88)</f>
        <v>377.56513123011661</v>
      </c>
      <c r="E418" s="21">
        <f>SUMPRODUCT($K$45:$K$66,AA45:AA66)+SUMPRODUCT($K$45:$K$66,$N$45:$N$66)+SUMPRODUCT($K$69:$K$88,$N$69:$N$88)</f>
        <v>377.56513123011661</v>
      </c>
      <c r="F418" s="21">
        <f>SUMPRODUCT($K$45:$K$66,AB45:AB66)+SUMPRODUCT($K$45:$K$66,$N$45:$N$66)+SUMPRODUCT($K$69:$K$88,$N$69:$N$88)</f>
        <v>377.56513123011661</v>
      </c>
      <c r="G418" s="21">
        <f>SUMPRODUCT($K$45:$K$66,AC45:AC66)+SUMPRODUCT($K$45:$K$66,$N$45:$N$66)+SUMPRODUCT($K$69:$K$88,$N$69:$N$88)</f>
        <v>377.56513123011661</v>
      </c>
      <c r="H418" s="21">
        <f t="shared" ref="H418" si="374">SUMPRODUCT($L$45:$L$66,AD$45:AD$66)</f>
        <v>0</v>
      </c>
      <c r="I418" s="21">
        <f t="shared" ref="I418" si="375">SUMPRODUCT($L$45:$L$66,AE$45:AE$66)</f>
        <v>0</v>
      </c>
      <c r="J418" s="21">
        <f t="shared" ref="J418" si="376">SUMPRODUCT($L$45:$L$66,AF$45:AF$66)</f>
        <v>0</v>
      </c>
      <c r="K418" s="21">
        <f t="shared" ref="K418" si="377">SUMPRODUCT($L$45:$L$66,AG$45:AG$66)</f>
        <v>0</v>
      </c>
      <c r="L418" s="21">
        <f t="shared" ref="L418" si="378">SUMPRODUCT($L$45:$L$66,AH$45:AH$66)</f>
        <v>0</v>
      </c>
      <c r="M418" s="255">
        <f t="shared" si="342"/>
        <v>4.2021717443529951</v>
      </c>
      <c r="N418" s="247">
        <f t="shared" si="343"/>
        <v>4.2021717443529951</v>
      </c>
      <c r="O418" s="247">
        <f t="shared" si="344"/>
        <v>4.2021717443529951</v>
      </c>
      <c r="P418" s="247">
        <f t="shared" si="345"/>
        <v>4.2021717443529951</v>
      </c>
      <c r="Q418" s="247">
        <f t="shared" si="346"/>
        <v>4.2021717443529951</v>
      </c>
      <c r="R418" s="247">
        <f t="shared" si="347"/>
        <v>0</v>
      </c>
      <c r="S418" s="247">
        <f t="shared" si="348"/>
        <v>0</v>
      </c>
      <c r="T418" s="247">
        <f t="shared" si="349"/>
        <v>0</v>
      </c>
      <c r="U418" s="247">
        <f t="shared" si="350"/>
        <v>0</v>
      </c>
      <c r="V418" s="247">
        <f t="shared" si="351"/>
        <v>0</v>
      </c>
    </row>
    <row r="419" spans="1:22" s="67" customFormat="1" outlineLevel="2" x14ac:dyDescent="0.3">
      <c r="A419" s="448"/>
      <c r="B419" s="231" t="s">
        <v>77</v>
      </c>
      <c r="C419" s="21">
        <f t="shared" ref="C419:H419" si="379">SUMPRODUCT($K$45:$K$66,Y45:Y66)+SUMPRODUCT($K$45:$K$66,$N$45:$N$66)+SUMPRODUCT($K$69:$K$88,$N$69:$N$88)</f>
        <v>377.56513123011661</v>
      </c>
      <c r="D419" s="21">
        <f t="shared" si="379"/>
        <v>377.56513123011661</v>
      </c>
      <c r="E419" s="21">
        <f t="shared" si="379"/>
        <v>377.56513123011661</v>
      </c>
      <c r="F419" s="21">
        <f t="shared" si="379"/>
        <v>377.56513123011661</v>
      </c>
      <c r="G419" s="21">
        <f t="shared" si="379"/>
        <v>377.56513123011661</v>
      </c>
      <c r="H419" s="21">
        <f t="shared" si="379"/>
        <v>377.56513123011661</v>
      </c>
      <c r="I419" s="21">
        <f t="shared" ref="I419" si="380">SUMPRODUCT($L$45:$L$66,AE$45:AE$66)</f>
        <v>0</v>
      </c>
      <c r="J419" s="21">
        <f t="shared" ref="J419" si="381">SUMPRODUCT($L$45:$L$66,AF$45:AF$66)</f>
        <v>0</v>
      </c>
      <c r="K419" s="21">
        <f t="shared" ref="K419" si="382">SUMPRODUCT($L$45:$L$66,AG$45:AG$66)</f>
        <v>0</v>
      </c>
      <c r="L419" s="21">
        <f t="shared" ref="L419" si="383">SUMPRODUCT($L$45:$L$66,AH$45:AH$66)</f>
        <v>0</v>
      </c>
      <c r="M419" s="255">
        <f t="shared" si="342"/>
        <v>4.2021717443529951</v>
      </c>
      <c r="N419" s="247">
        <f t="shared" si="343"/>
        <v>4.2021717443529951</v>
      </c>
      <c r="O419" s="247">
        <f t="shared" si="344"/>
        <v>4.2021717443529951</v>
      </c>
      <c r="P419" s="247">
        <f t="shared" si="345"/>
        <v>4.2021717443529951</v>
      </c>
      <c r="Q419" s="247">
        <f t="shared" si="346"/>
        <v>4.2021717443529951</v>
      </c>
      <c r="R419" s="247">
        <f t="shared" si="347"/>
        <v>4.2021717443529951</v>
      </c>
      <c r="S419" s="247">
        <f t="shared" si="348"/>
        <v>0</v>
      </c>
      <c r="T419" s="247">
        <f t="shared" si="349"/>
        <v>0</v>
      </c>
      <c r="U419" s="247">
        <f t="shared" si="350"/>
        <v>0</v>
      </c>
      <c r="V419" s="247">
        <f t="shared" si="351"/>
        <v>0</v>
      </c>
    </row>
    <row r="420" spans="1:22" s="67" customFormat="1" outlineLevel="2" x14ac:dyDescent="0.3">
      <c r="A420" s="448"/>
      <c r="B420" s="231" t="s">
        <v>78</v>
      </c>
      <c r="C420" s="21">
        <f t="shared" ref="C420:I420" si="384">SUMPRODUCT($K$45:$K$66,Y45:Y66)+SUMPRODUCT($K$45:$K$66,$N$45:$N$66)+SUMPRODUCT($K$69:$K$88,$N$69:$N$88)</f>
        <v>377.56513123011661</v>
      </c>
      <c r="D420" s="21">
        <f t="shared" si="384"/>
        <v>377.56513123011661</v>
      </c>
      <c r="E420" s="21">
        <f t="shared" si="384"/>
        <v>377.56513123011661</v>
      </c>
      <c r="F420" s="21">
        <f t="shared" si="384"/>
        <v>377.56513123011661</v>
      </c>
      <c r="G420" s="21">
        <f t="shared" si="384"/>
        <v>377.56513123011661</v>
      </c>
      <c r="H420" s="21">
        <f t="shared" si="384"/>
        <v>377.56513123011661</v>
      </c>
      <c r="I420" s="21">
        <f t="shared" si="384"/>
        <v>377.56513123011661</v>
      </c>
      <c r="J420" s="21">
        <f t="shared" ref="J420" si="385">SUMPRODUCT($L$45:$L$66,AF$45:AF$66)</f>
        <v>0</v>
      </c>
      <c r="K420" s="21">
        <f t="shared" ref="K420" si="386">SUMPRODUCT($L$45:$L$66,AG$45:AG$66)</f>
        <v>0</v>
      </c>
      <c r="L420" s="21">
        <f t="shared" ref="L420" si="387">SUMPRODUCT($L$45:$L$66,AH$45:AH$66)</f>
        <v>0</v>
      </c>
      <c r="M420" s="255">
        <f t="shared" si="342"/>
        <v>4.2021717443529951</v>
      </c>
      <c r="N420" s="247">
        <f t="shared" si="343"/>
        <v>4.2021717443529951</v>
      </c>
      <c r="O420" s="247">
        <f t="shared" si="344"/>
        <v>4.2021717443529951</v>
      </c>
      <c r="P420" s="247">
        <f t="shared" si="345"/>
        <v>4.2021717443529951</v>
      </c>
      <c r="Q420" s="247">
        <f t="shared" si="346"/>
        <v>4.2021717443529951</v>
      </c>
      <c r="R420" s="247">
        <f t="shared" si="347"/>
        <v>4.2021717443529951</v>
      </c>
      <c r="S420" s="247">
        <f t="shared" si="348"/>
        <v>4.2021717443529951</v>
      </c>
      <c r="T420" s="247">
        <f t="shared" si="349"/>
        <v>0</v>
      </c>
      <c r="U420" s="247">
        <f t="shared" si="350"/>
        <v>0</v>
      </c>
      <c r="V420" s="247">
        <f t="shared" si="351"/>
        <v>0</v>
      </c>
    </row>
    <row r="421" spans="1:22" s="67" customFormat="1" outlineLevel="2" x14ac:dyDescent="0.3">
      <c r="A421" s="448"/>
      <c r="B421" s="231" t="s">
        <v>79</v>
      </c>
      <c r="C421" s="21">
        <f t="shared" ref="C421:J421" si="388">SUMPRODUCT($K$45:$K$66,Y45:Y66)+SUMPRODUCT($K$45:$K$66,$N$45:$N$66)+SUMPRODUCT($K$69:$K$88,$N$69:$N$88)</f>
        <v>377.56513123011661</v>
      </c>
      <c r="D421" s="21">
        <f t="shared" si="388"/>
        <v>377.56513123011661</v>
      </c>
      <c r="E421" s="21">
        <f t="shared" si="388"/>
        <v>377.56513123011661</v>
      </c>
      <c r="F421" s="21">
        <f t="shared" si="388"/>
        <v>377.56513123011661</v>
      </c>
      <c r="G421" s="21">
        <f t="shared" si="388"/>
        <v>377.56513123011661</v>
      </c>
      <c r="H421" s="21">
        <f t="shared" si="388"/>
        <v>377.56513123011661</v>
      </c>
      <c r="I421" s="21">
        <f t="shared" si="388"/>
        <v>377.56513123011661</v>
      </c>
      <c r="J421" s="21">
        <f t="shared" si="388"/>
        <v>377.56513123011661</v>
      </c>
      <c r="K421" s="21">
        <f t="shared" ref="K421" si="389">SUMPRODUCT($L$45:$L$66,AG$45:AG$66)</f>
        <v>0</v>
      </c>
      <c r="L421" s="21">
        <f t="shared" ref="L421:L422" si="390">SUMPRODUCT($L$45:$L$66,AH$45:AH$66)</f>
        <v>0</v>
      </c>
      <c r="M421" s="255">
        <f t="shared" si="342"/>
        <v>4.2021717443529951</v>
      </c>
      <c r="N421" s="247">
        <f t="shared" si="343"/>
        <v>4.2021717443529951</v>
      </c>
      <c r="O421" s="247">
        <f t="shared" si="344"/>
        <v>4.2021717443529951</v>
      </c>
      <c r="P421" s="247">
        <f t="shared" si="345"/>
        <v>4.2021717443529951</v>
      </c>
      <c r="Q421" s="247">
        <f t="shared" si="346"/>
        <v>4.2021717443529951</v>
      </c>
      <c r="R421" s="247">
        <f t="shared" si="347"/>
        <v>4.2021717443529951</v>
      </c>
      <c r="S421" s="247">
        <f t="shared" si="348"/>
        <v>4.2021717443529951</v>
      </c>
      <c r="T421" s="247">
        <f t="shared" si="349"/>
        <v>4.2021717443529951</v>
      </c>
      <c r="U421" s="247">
        <f t="shared" si="350"/>
        <v>0</v>
      </c>
      <c r="V421" s="247">
        <f t="shared" si="351"/>
        <v>0</v>
      </c>
    </row>
    <row r="422" spans="1:22" s="67" customFormat="1" outlineLevel="2" x14ac:dyDescent="0.3">
      <c r="A422" s="448"/>
      <c r="B422" s="231" t="s">
        <v>80</v>
      </c>
      <c r="C422" s="21">
        <f t="shared" ref="C422:K422" si="391">SUMPRODUCT($K$45:$K$66,Y45:Y66)+SUMPRODUCT($K$45:$K$66,$N$45:$N$66)+SUMPRODUCT($K$69:$K$88,$N$69:$N$88)</f>
        <v>377.56513123011661</v>
      </c>
      <c r="D422" s="21">
        <f t="shared" si="391"/>
        <v>377.56513123011661</v>
      </c>
      <c r="E422" s="21">
        <f t="shared" si="391"/>
        <v>377.56513123011661</v>
      </c>
      <c r="F422" s="21">
        <f t="shared" si="391"/>
        <v>377.56513123011661</v>
      </c>
      <c r="G422" s="21">
        <f t="shared" si="391"/>
        <v>377.56513123011661</v>
      </c>
      <c r="H422" s="21">
        <f t="shared" si="391"/>
        <v>377.56513123011661</v>
      </c>
      <c r="I422" s="21">
        <f t="shared" si="391"/>
        <v>377.56513123011661</v>
      </c>
      <c r="J422" s="21">
        <f t="shared" si="391"/>
        <v>377.56513123011661</v>
      </c>
      <c r="K422" s="21">
        <f t="shared" si="391"/>
        <v>377.56513123011661</v>
      </c>
      <c r="L422" s="21">
        <f t="shared" si="390"/>
        <v>0</v>
      </c>
      <c r="M422" s="255">
        <f t="shared" si="342"/>
        <v>4.2021717443529951</v>
      </c>
      <c r="N422" s="247">
        <f t="shared" si="343"/>
        <v>4.2021717443529951</v>
      </c>
      <c r="O422" s="247">
        <f t="shared" si="344"/>
        <v>4.2021717443529951</v>
      </c>
      <c r="P422" s="247">
        <f t="shared" si="345"/>
        <v>4.2021717443529951</v>
      </c>
      <c r="Q422" s="247">
        <f t="shared" si="346"/>
        <v>4.2021717443529951</v>
      </c>
      <c r="R422" s="247">
        <f t="shared" si="347"/>
        <v>4.2021717443529951</v>
      </c>
      <c r="S422" s="247">
        <f t="shared" si="348"/>
        <v>4.2021717443529951</v>
      </c>
      <c r="T422" s="247">
        <f t="shared" si="349"/>
        <v>4.2021717443529951</v>
      </c>
      <c r="U422" s="247">
        <f t="shared" si="350"/>
        <v>4.2021717443529951</v>
      </c>
      <c r="V422" s="247">
        <f t="shared" si="351"/>
        <v>0</v>
      </c>
    </row>
    <row r="423" spans="1:22" s="67" customFormat="1" outlineLevel="2" x14ac:dyDescent="0.3">
      <c r="A423" s="449"/>
      <c r="B423" s="182" t="s">
        <v>134</v>
      </c>
      <c r="C423" s="239">
        <f t="shared" ref="C423:L423" si="392">SUMPRODUCT($K$45:$K$66,Y45:Y66)+SUMPRODUCT($K$45:$K$66,$N$45:$N$66)+SUMPRODUCT($K$69:$K$88,$N$69:$N$88)</f>
        <v>377.56513123011661</v>
      </c>
      <c r="D423" s="239">
        <f t="shared" si="392"/>
        <v>377.56513123011661</v>
      </c>
      <c r="E423" s="239">
        <f t="shared" si="392"/>
        <v>377.56513123011661</v>
      </c>
      <c r="F423" s="239">
        <f t="shared" si="392"/>
        <v>377.56513123011661</v>
      </c>
      <c r="G423" s="239">
        <f t="shared" si="392"/>
        <v>377.56513123011661</v>
      </c>
      <c r="H423" s="239">
        <f t="shared" si="392"/>
        <v>377.56513123011661</v>
      </c>
      <c r="I423" s="239">
        <f t="shared" si="392"/>
        <v>377.56513123011661</v>
      </c>
      <c r="J423" s="239">
        <f t="shared" si="392"/>
        <v>377.56513123011661</v>
      </c>
      <c r="K423" s="239">
        <f t="shared" si="392"/>
        <v>377.56513123011661</v>
      </c>
      <c r="L423" s="239">
        <f t="shared" si="392"/>
        <v>377.56513123011661</v>
      </c>
      <c r="M423" s="255">
        <f t="shared" si="342"/>
        <v>4.2021717443529951</v>
      </c>
      <c r="N423" s="247">
        <f t="shared" si="343"/>
        <v>4.2021717443529951</v>
      </c>
      <c r="O423" s="247">
        <f t="shared" si="344"/>
        <v>4.2021717443529951</v>
      </c>
      <c r="P423" s="247">
        <f t="shared" si="345"/>
        <v>4.2021717443529951</v>
      </c>
      <c r="Q423" s="247">
        <f t="shared" si="346"/>
        <v>4.2021717443529951</v>
      </c>
      <c r="R423" s="247">
        <f t="shared" si="347"/>
        <v>4.2021717443529951</v>
      </c>
      <c r="S423" s="247">
        <f t="shared" si="348"/>
        <v>4.2021717443529951</v>
      </c>
      <c r="T423" s="247">
        <f t="shared" si="349"/>
        <v>4.2021717443529951</v>
      </c>
      <c r="U423" s="247">
        <f t="shared" si="350"/>
        <v>4.2021717443529951</v>
      </c>
      <c r="V423" s="247">
        <f t="shared" si="351"/>
        <v>4.2021717443529951</v>
      </c>
    </row>
    <row r="424" spans="1:22" s="67" customFormat="1" outlineLevel="2" x14ac:dyDescent="0.3">
      <c r="A424" s="455" t="s">
        <v>244</v>
      </c>
      <c r="B424" s="231" t="s">
        <v>72</v>
      </c>
      <c r="C424" s="21">
        <f>$K$67*$N$67+$K$68*$N$68</f>
        <v>3995.0116025980906</v>
      </c>
      <c r="D424" s="21">
        <f t="shared" ref="D424:L424" si="393">$I$67*$N$67+$I$68*$N$68</f>
        <v>0</v>
      </c>
      <c r="E424" s="21">
        <f t="shared" si="393"/>
        <v>0</v>
      </c>
      <c r="F424" s="21">
        <f t="shared" si="393"/>
        <v>0</v>
      </c>
      <c r="G424" s="21">
        <f t="shared" si="393"/>
        <v>0</v>
      </c>
      <c r="H424" s="21">
        <f t="shared" si="393"/>
        <v>0</v>
      </c>
      <c r="I424" s="21">
        <f t="shared" si="393"/>
        <v>0</v>
      </c>
      <c r="J424" s="21">
        <f t="shared" si="393"/>
        <v>0</v>
      </c>
      <c r="K424" s="21">
        <f t="shared" si="393"/>
        <v>0</v>
      </c>
      <c r="L424" s="21">
        <f t="shared" si="393"/>
        <v>0</v>
      </c>
      <c r="M424" s="255">
        <f t="shared" si="342"/>
        <v>44.463123011664898</v>
      </c>
      <c r="N424" s="247">
        <f t="shared" si="343"/>
        <v>0</v>
      </c>
      <c r="O424" s="247">
        <f t="shared" si="344"/>
        <v>0</v>
      </c>
      <c r="P424" s="247">
        <f t="shared" si="345"/>
        <v>0</v>
      </c>
      <c r="Q424" s="247">
        <f t="shared" si="346"/>
        <v>0</v>
      </c>
      <c r="R424" s="247">
        <f t="shared" si="347"/>
        <v>0</v>
      </c>
      <c r="S424" s="247">
        <f t="shared" si="348"/>
        <v>0</v>
      </c>
      <c r="T424" s="247">
        <f t="shared" si="349"/>
        <v>0</v>
      </c>
      <c r="U424" s="247">
        <f t="shared" si="350"/>
        <v>0</v>
      </c>
      <c r="V424" s="247">
        <f t="shared" si="351"/>
        <v>0</v>
      </c>
    </row>
    <row r="425" spans="1:22" s="67" customFormat="1" outlineLevel="2" x14ac:dyDescent="0.3">
      <c r="A425" s="448"/>
      <c r="B425" s="231" t="s">
        <v>73</v>
      </c>
      <c r="C425" s="21">
        <f t="shared" ref="C425:L433" si="394">$K$67*$N$67+$K$68*$N$68</f>
        <v>3995.0116025980906</v>
      </c>
      <c r="D425" s="21">
        <f t="shared" si="394"/>
        <v>3995.0116025980906</v>
      </c>
      <c r="E425" s="21">
        <f t="shared" ref="E425:L432" si="395">$I$67*$N$67+$I$68*$N$68</f>
        <v>0</v>
      </c>
      <c r="F425" s="21">
        <f t="shared" si="395"/>
        <v>0</v>
      </c>
      <c r="G425" s="21">
        <f t="shared" si="395"/>
        <v>0</v>
      </c>
      <c r="H425" s="21">
        <f t="shared" si="395"/>
        <v>0</v>
      </c>
      <c r="I425" s="21">
        <f t="shared" si="395"/>
        <v>0</v>
      </c>
      <c r="J425" s="21">
        <f t="shared" si="395"/>
        <v>0</v>
      </c>
      <c r="K425" s="21">
        <f t="shared" si="395"/>
        <v>0</v>
      </c>
      <c r="L425" s="21">
        <f t="shared" si="395"/>
        <v>0</v>
      </c>
      <c r="M425" s="255">
        <f t="shared" si="342"/>
        <v>44.463123011664898</v>
      </c>
      <c r="N425" s="247">
        <f t="shared" si="343"/>
        <v>44.463123011664898</v>
      </c>
      <c r="O425" s="247">
        <f t="shared" si="344"/>
        <v>0</v>
      </c>
      <c r="P425" s="247">
        <f t="shared" si="345"/>
        <v>0</v>
      </c>
      <c r="Q425" s="247">
        <f t="shared" si="346"/>
        <v>0</v>
      </c>
      <c r="R425" s="247">
        <f t="shared" si="347"/>
        <v>0</v>
      </c>
      <c r="S425" s="247">
        <f t="shared" si="348"/>
        <v>0</v>
      </c>
      <c r="T425" s="247">
        <f t="shared" si="349"/>
        <v>0</v>
      </c>
      <c r="U425" s="247">
        <f t="shared" si="350"/>
        <v>0</v>
      </c>
      <c r="V425" s="247">
        <f t="shared" si="351"/>
        <v>0</v>
      </c>
    </row>
    <row r="426" spans="1:22" s="67" customFormat="1" outlineLevel="2" x14ac:dyDescent="0.3">
      <c r="A426" s="448"/>
      <c r="B426" s="231" t="s">
        <v>74</v>
      </c>
      <c r="C426" s="21">
        <f t="shared" si="394"/>
        <v>3995.0116025980906</v>
      </c>
      <c r="D426" s="21">
        <f t="shared" si="394"/>
        <v>3995.0116025980906</v>
      </c>
      <c r="E426" s="21">
        <f t="shared" si="394"/>
        <v>3995.0116025980906</v>
      </c>
      <c r="F426" s="21">
        <f t="shared" si="395"/>
        <v>0</v>
      </c>
      <c r="G426" s="21">
        <f t="shared" si="395"/>
        <v>0</v>
      </c>
      <c r="H426" s="21">
        <f t="shared" si="395"/>
        <v>0</v>
      </c>
      <c r="I426" s="21">
        <f t="shared" si="395"/>
        <v>0</v>
      </c>
      <c r="J426" s="21">
        <f t="shared" si="395"/>
        <v>0</v>
      </c>
      <c r="K426" s="21">
        <f t="shared" si="395"/>
        <v>0</v>
      </c>
      <c r="L426" s="21">
        <f t="shared" si="395"/>
        <v>0</v>
      </c>
      <c r="M426" s="255">
        <f t="shared" si="342"/>
        <v>44.463123011664898</v>
      </c>
      <c r="N426" s="247">
        <f t="shared" si="343"/>
        <v>44.463123011664898</v>
      </c>
      <c r="O426" s="247">
        <f t="shared" si="344"/>
        <v>44.463123011664898</v>
      </c>
      <c r="P426" s="247">
        <f t="shared" si="345"/>
        <v>0</v>
      </c>
      <c r="Q426" s="247">
        <f t="shared" si="346"/>
        <v>0</v>
      </c>
      <c r="R426" s="247">
        <f t="shared" si="347"/>
        <v>0</v>
      </c>
      <c r="S426" s="247">
        <f t="shared" si="348"/>
        <v>0</v>
      </c>
      <c r="T426" s="247">
        <f t="shared" si="349"/>
        <v>0</v>
      </c>
      <c r="U426" s="247">
        <f t="shared" si="350"/>
        <v>0</v>
      </c>
      <c r="V426" s="247">
        <f t="shared" si="351"/>
        <v>0</v>
      </c>
    </row>
    <row r="427" spans="1:22" s="67" customFormat="1" outlineLevel="2" x14ac:dyDescent="0.3">
      <c r="A427" s="448"/>
      <c r="B427" s="231" t="s">
        <v>75</v>
      </c>
      <c r="C427" s="21">
        <f t="shared" si="394"/>
        <v>3995.0116025980906</v>
      </c>
      <c r="D427" s="21">
        <f t="shared" si="394"/>
        <v>3995.0116025980906</v>
      </c>
      <c r="E427" s="21">
        <f t="shared" si="394"/>
        <v>3995.0116025980906</v>
      </c>
      <c r="F427" s="21">
        <f t="shared" si="394"/>
        <v>3995.0116025980906</v>
      </c>
      <c r="G427" s="21">
        <f t="shared" si="395"/>
        <v>0</v>
      </c>
      <c r="H427" s="21">
        <f t="shared" si="395"/>
        <v>0</v>
      </c>
      <c r="I427" s="21">
        <f t="shared" si="395"/>
        <v>0</v>
      </c>
      <c r="J427" s="21">
        <f t="shared" si="395"/>
        <v>0</v>
      </c>
      <c r="K427" s="21">
        <f t="shared" si="395"/>
        <v>0</v>
      </c>
      <c r="L427" s="21">
        <f t="shared" si="395"/>
        <v>0</v>
      </c>
      <c r="M427" s="255">
        <f t="shared" si="342"/>
        <v>44.463123011664898</v>
      </c>
      <c r="N427" s="247">
        <f t="shared" si="343"/>
        <v>44.463123011664898</v>
      </c>
      <c r="O427" s="247">
        <f t="shared" si="344"/>
        <v>44.463123011664898</v>
      </c>
      <c r="P427" s="247">
        <f t="shared" si="345"/>
        <v>44.463123011664898</v>
      </c>
      <c r="Q427" s="247">
        <f t="shared" si="346"/>
        <v>0</v>
      </c>
      <c r="R427" s="247">
        <f t="shared" si="347"/>
        <v>0</v>
      </c>
      <c r="S427" s="247">
        <f t="shared" si="348"/>
        <v>0</v>
      </c>
      <c r="T427" s="247">
        <f t="shared" si="349"/>
        <v>0</v>
      </c>
      <c r="U427" s="247">
        <f t="shared" si="350"/>
        <v>0</v>
      </c>
      <c r="V427" s="247">
        <f t="shared" si="351"/>
        <v>0</v>
      </c>
    </row>
    <row r="428" spans="1:22" s="67" customFormat="1" outlineLevel="2" x14ac:dyDescent="0.3">
      <c r="A428" s="448"/>
      <c r="B428" s="231" t="s">
        <v>76</v>
      </c>
      <c r="C428" s="21">
        <f t="shared" si="394"/>
        <v>3995.0116025980906</v>
      </c>
      <c r="D428" s="21">
        <f t="shared" si="394"/>
        <v>3995.0116025980906</v>
      </c>
      <c r="E428" s="21">
        <f t="shared" si="394"/>
        <v>3995.0116025980906</v>
      </c>
      <c r="F428" s="21">
        <f t="shared" si="394"/>
        <v>3995.0116025980906</v>
      </c>
      <c r="G428" s="21">
        <f t="shared" si="394"/>
        <v>3995.0116025980906</v>
      </c>
      <c r="H428" s="21">
        <f t="shared" si="395"/>
        <v>0</v>
      </c>
      <c r="I428" s="21">
        <f t="shared" si="395"/>
        <v>0</v>
      </c>
      <c r="J428" s="21">
        <f t="shared" si="395"/>
        <v>0</v>
      </c>
      <c r="K428" s="21">
        <f t="shared" si="395"/>
        <v>0</v>
      </c>
      <c r="L428" s="21">
        <f t="shared" si="395"/>
        <v>0</v>
      </c>
      <c r="M428" s="255">
        <f t="shared" si="342"/>
        <v>44.463123011664898</v>
      </c>
      <c r="N428" s="247">
        <f t="shared" si="343"/>
        <v>44.463123011664898</v>
      </c>
      <c r="O428" s="247">
        <f t="shared" si="344"/>
        <v>44.463123011664898</v>
      </c>
      <c r="P428" s="247">
        <f t="shared" si="345"/>
        <v>44.463123011664898</v>
      </c>
      <c r="Q428" s="247">
        <f t="shared" si="346"/>
        <v>44.463123011664898</v>
      </c>
      <c r="R428" s="247">
        <f t="shared" si="347"/>
        <v>0</v>
      </c>
      <c r="S428" s="247">
        <f t="shared" si="348"/>
        <v>0</v>
      </c>
      <c r="T428" s="247">
        <f t="shared" si="349"/>
        <v>0</v>
      </c>
      <c r="U428" s="247">
        <f t="shared" si="350"/>
        <v>0</v>
      </c>
      <c r="V428" s="247">
        <f t="shared" si="351"/>
        <v>0</v>
      </c>
    </row>
    <row r="429" spans="1:22" s="67" customFormat="1" outlineLevel="2" x14ac:dyDescent="0.3">
      <c r="A429" s="448"/>
      <c r="B429" s="231" t="s">
        <v>77</v>
      </c>
      <c r="C429" s="21">
        <f t="shared" si="394"/>
        <v>3995.0116025980906</v>
      </c>
      <c r="D429" s="21">
        <f t="shared" si="394"/>
        <v>3995.0116025980906</v>
      </c>
      <c r="E429" s="21">
        <f t="shared" si="394"/>
        <v>3995.0116025980906</v>
      </c>
      <c r="F429" s="21">
        <f t="shared" si="394"/>
        <v>3995.0116025980906</v>
      </c>
      <c r="G429" s="21">
        <f t="shared" si="394"/>
        <v>3995.0116025980906</v>
      </c>
      <c r="H429" s="21">
        <f t="shared" si="394"/>
        <v>3995.0116025980906</v>
      </c>
      <c r="I429" s="21">
        <f t="shared" si="395"/>
        <v>0</v>
      </c>
      <c r="J429" s="21">
        <f t="shared" si="395"/>
        <v>0</v>
      </c>
      <c r="K429" s="21">
        <f t="shared" si="395"/>
        <v>0</v>
      </c>
      <c r="L429" s="21">
        <f t="shared" si="395"/>
        <v>0</v>
      </c>
      <c r="M429" s="255">
        <f t="shared" si="342"/>
        <v>44.463123011664898</v>
      </c>
      <c r="N429" s="247">
        <f t="shared" si="343"/>
        <v>44.463123011664898</v>
      </c>
      <c r="O429" s="247">
        <f t="shared" si="344"/>
        <v>44.463123011664898</v>
      </c>
      <c r="P429" s="247">
        <f t="shared" si="345"/>
        <v>44.463123011664898</v>
      </c>
      <c r="Q429" s="247">
        <f t="shared" si="346"/>
        <v>44.463123011664898</v>
      </c>
      <c r="R429" s="247">
        <f t="shared" si="347"/>
        <v>44.463123011664898</v>
      </c>
      <c r="S429" s="247">
        <f t="shared" si="348"/>
        <v>0</v>
      </c>
      <c r="T429" s="247">
        <f t="shared" si="349"/>
        <v>0</v>
      </c>
      <c r="U429" s="247">
        <f t="shared" si="350"/>
        <v>0</v>
      </c>
      <c r="V429" s="247">
        <f t="shared" si="351"/>
        <v>0</v>
      </c>
    </row>
    <row r="430" spans="1:22" s="67" customFormat="1" outlineLevel="2" x14ac:dyDescent="0.3">
      <c r="A430" s="448"/>
      <c r="B430" s="231" t="s">
        <v>78</v>
      </c>
      <c r="C430" s="21">
        <f t="shared" si="394"/>
        <v>3995.0116025980906</v>
      </c>
      <c r="D430" s="21">
        <f t="shared" si="394"/>
        <v>3995.0116025980906</v>
      </c>
      <c r="E430" s="21">
        <f t="shared" si="394"/>
        <v>3995.0116025980906</v>
      </c>
      <c r="F430" s="21">
        <f t="shared" si="394"/>
        <v>3995.0116025980906</v>
      </c>
      <c r="G430" s="21">
        <f t="shared" si="394"/>
        <v>3995.0116025980906</v>
      </c>
      <c r="H430" s="21">
        <f t="shared" si="394"/>
        <v>3995.0116025980906</v>
      </c>
      <c r="I430" s="21">
        <f t="shared" si="394"/>
        <v>3995.0116025980906</v>
      </c>
      <c r="J430" s="21">
        <f t="shared" si="395"/>
        <v>0</v>
      </c>
      <c r="K430" s="21">
        <f t="shared" si="395"/>
        <v>0</v>
      </c>
      <c r="L430" s="21">
        <f t="shared" si="395"/>
        <v>0</v>
      </c>
      <c r="M430" s="255">
        <f t="shared" si="342"/>
        <v>44.463123011664898</v>
      </c>
      <c r="N430" s="247">
        <f t="shared" si="343"/>
        <v>44.463123011664898</v>
      </c>
      <c r="O430" s="247">
        <f t="shared" si="344"/>
        <v>44.463123011664898</v>
      </c>
      <c r="P430" s="247">
        <f t="shared" si="345"/>
        <v>44.463123011664898</v>
      </c>
      <c r="Q430" s="247">
        <f t="shared" si="346"/>
        <v>44.463123011664898</v>
      </c>
      <c r="R430" s="247">
        <f t="shared" si="347"/>
        <v>44.463123011664898</v>
      </c>
      <c r="S430" s="247">
        <f t="shared" si="348"/>
        <v>44.463123011664898</v>
      </c>
      <c r="T430" s="247">
        <f t="shared" si="349"/>
        <v>0</v>
      </c>
      <c r="U430" s="247">
        <f t="shared" si="350"/>
        <v>0</v>
      </c>
      <c r="V430" s="247">
        <f t="shared" si="351"/>
        <v>0</v>
      </c>
    </row>
    <row r="431" spans="1:22" s="67" customFormat="1" outlineLevel="2" x14ac:dyDescent="0.3">
      <c r="A431" s="448"/>
      <c r="B431" s="231" t="s">
        <v>79</v>
      </c>
      <c r="C431" s="21">
        <f t="shared" si="394"/>
        <v>3995.0116025980906</v>
      </c>
      <c r="D431" s="21">
        <f t="shared" si="394"/>
        <v>3995.0116025980906</v>
      </c>
      <c r="E431" s="21">
        <f t="shared" si="394"/>
        <v>3995.0116025980906</v>
      </c>
      <c r="F431" s="21">
        <f t="shared" si="394"/>
        <v>3995.0116025980906</v>
      </c>
      <c r="G431" s="21">
        <f t="shared" si="394"/>
        <v>3995.0116025980906</v>
      </c>
      <c r="H431" s="21">
        <f t="shared" si="394"/>
        <v>3995.0116025980906</v>
      </c>
      <c r="I431" s="21">
        <f t="shared" si="394"/>
        <v>3995.0116025980906</v>
      </c>
      <c r="J431" s="21">
        <f t="shared" si="394"/>
        <v>3995.0116025980906</v>
      </c>
      <c r="K431" s="21">
        <f t="shared" si="395"/>
        <v>0</v>
      </c>
      <c r="L431" s="21">
        <f t="shared" si="395"/>
        <v>0</v>
      </c>
      <c r="M431" s="255">
        <f t="shared" si="342"/>
        <v>44.463123011664898</v>
      </c>
      <c r="N431" s="247">
        <f t="shared" si="343"/>
        <v>44.463123011664898</v>
      </c>
      <c r="O431" s="247">
        <f t="shared" si="344"/>
        <v>44.463123011664898</v>
      </c>
      <c r="P431" s="247">
        <f t="shared" si="345"/>
        <v>44.463123011664898</v>
      </c>
      <c r="Q431" s="247">
        <f t="shared" si="346"/>
        <v>44.463123011664898</v>
      </c>
      <c r="R431" s="247">
        <f t="shared" si="347"/>
        <v>44.463123011664898</v>
      </c>
      <c r="S431" s="247">
        <f t="shared" si="348"/>
        <v>44.463123011664898</v>
      </c>
      <c r="T431" s="247">
        <f t="shared" si="349"/>
        <v>44.463123011664898</v>
      </c>
      <c r="U431" s="247">
        <f t="shared" si="350"/>
        <v>0</v>
      </c>
      <c r="V431" s="247">
        <f t="shared" si="351"/>
        <v>0</v>
      </c>
    </row>
    <row r="432" spans="1:22" s="67" customFormat="1" outlineLevel="2" x14ac:dyDescent="0.3">
      <c r="A432" s="448"/>
      <c r="B432" s="231" t="s">
        <v>80</v>
      </c>
      <c r="C432" s="21">
        <f t="shared" si="394"/>
        <v>3995.0116025980906</v>
      </c>
      <c r="D432" s="21">
        <f t="shared" si="394"/>
        <v>3995.0116025980906</v>
      </c>
      <c r="E432" s="21">
        <f t="shared" si="394"/>
        <v>3995.0116025980906</v>
      </c>
      <c r="F432" s="21">
        <f t="shared" si="394"/>
        <v>3995.0116025980906</v>
      </c>
      <c r="G432" s="21">
        <f t="shared" si="394"/>
        <v>3995.0116025980906</v>
      </c>
      <c r="H432" s="21">
        <f t="shared" si="394"/>
        <v>3995.0116025980906</v>
      </c>
      <c r="I432" s="21">
        <f t="shared" si="394"/>
        <v>3995.0116025980906</v>
      </c>
      <c r="J432" s="21">
        <f t="shared" si="394"/>
        <v>3995.0116025980906</v>
      </c>
      <c r="K432" s="21">
        <f t="shared" si="394"/>
        <v>3995.0116025980906</v>
      </c>
      <c r="L432" s="21">
        <f t="shared" si="395"/>
        <v>0</v>
      </c>
      <c r="M432" s="255">
        <f t="shared" si="342"/>
        <v>44.463123011664898</v>
      </c>
      <c r="N432" s="247">
        <f t="shared" si="343"/>
        <v>44.463123011664898</v>
      </c>
      <c r="O432" s="247">
        <f t="shared" si="344"/>
        <v>44.463123011664898</v>
      </c>
      <c r="P432" s="247">
        <f t="shared" si="345"/>
        <v>44.463123011664898</v>
      </c>
      <c r="Q432" s="247">
        <f t="shared" si="346"/>
        <v>44.463123011664898</v>
      </c>
      <c r="R432" s="247">
        <f t="shared" si="347"/>
        <v>44.463123011664898</v>
      </c>
      <c r="S432" s="247">
        <f t="shared" si="348"/>
        <v>44.463123011664898</v>
      </c>
      <c r="T432" s="247">
        <f t="shared" si="349"/>
        <v>44.463123011664898</v>
      </c>
      <c r="U432" s="247">
        <f t="shared" si="350"/>
        <v>44.463123011664898</v>
      </c>
      <c r="V432" s="247">
        <f t="shared" si="351"/>
        <v>0</v>
      </c>
    </row>
    <row r="433" spans="1:22" s="67" customFormat="1" outlineLevel="2" x14ac:dyDescent="0.3">
      <c r="A433" s="449"/>
      <c r="B433" s="182" t="s">
        <v>134</v>
      </c>
      <c r="C433" s="239">
        <f t="shared" si="394"/>
        <v>3995.0116025980906</v>
      </c>
      <c r="D433" s="239">
        <f t="shared" si="394"/>
        <v>3995.0116025980906</v>
      </c>
      <c r="E433" s="239">
        <f t="shared" si="394"/>
        <v>3995.0116025980906</v>
      </c>
      <c r="F433" s="239">
        <f t="shared" si="394"/>
        <v>3995.0116025980906</v>
      </c>
      <c r="G433" s="239">
        <f t="shared" si="394"/>
        <v>3995.0116025980906</v>
      </c>
      <c r="H433" s="239">
        <f t="shared" si="394"/>
        <v>3995.0116025980906</v>
      </c>
      <c r="I433" s="239">
        <f t="shared" si="394"/>
        <v>3995.0116025980906</v>
      </c>
      <c r="J433" s="239">
        <f t="shared" si="394"/>
        <v>3995.0116025980906</v>
      </c>
      <c r="K433" s="239">
        <f t="shared" si="394"/>
        <v>3995.0116025980906</v>
      </c>
      <c r="L433" s="239">
        <f t="shared" si="394"/>
        <v>3995.0116025980906</v>
      </c>
      <c r="M433" s="255">
        <f t="shared" si="342"/>
        <v>44.463123011664898</v>
      </c>
      <c r="N433" s="247">
        <f t="shared" si="343"/>
        <v>44.463123011664898</v>
      </c>
      <c r="O433" s="247">
        <f t="shared" si="344"/>
        <v>44.463123011664898</v>
      </c>
      <c r="P433" s="247">
        <f t="shared" si="345"/>
        <v>44.463123011664898</v>
      </c>
      <c r="Q433" s="247">
        <f t="shared" si="346"/>
        <v>44.463123011664898</v>
      </c>
      <c r="R433" s="247">
        <f t="shared" si="347"/>
        <v>44.463123011664898</v>
      </c>
      <c r="S433" s="247">
        <f t="shared" si="348"/>
        <v>44.463123011664898</v>
      </c>
      <c r="T433" s="247">
        <f t="shared" si="349"/>
        <v>44.463123011664898</v>
      </c>
      <c r="U433" s="247">
        <f t="shared" si="350"/>
        <v>44.463123011664898</v>
      </c>
      <c r="V433" s="247">
        <f t="shared" si="351"/>
        <v>44.463123011664898</v>
      </c>
    </row>
    <row r="434" spans="1:22" s="67" customFormat="1" outlineLevel="2" x14ac:dyDescent="0.3">
      <c r="A434" s="455" t="s">
        <v>245</v>
      </c>
      <c r="B434" s="231" t="s">
        <v>72</v>
      </c>
      <c r="C434" s="21">
        <f>C384-C394-C404-C414-C424</f>
        <v>-72.974758151013248</v>
      </c>
      <c r="D434" s="21">
        <f t="shared" ref="D434:L434" si="396">D384-D394-D404-D414-D424</f>
        <v>0</v>
      </c>
      <c r="E434" s="21">
        <f t="shared" si="396"/>
        <v>0</v>
      </c>
      <c r="F434" s="21">
        <f t="shared" si="396"/>
        <v>0</v>
      </c>
      <c r="G434" s="21">
        <f t="shared" si="396"/>
        <v>0</v>
      </c>
      <c r="H434" s="21">
        <f t="shared" si="396"/>
        <v>0</v>
      </c>
      <c r="I434" s="21">
        <f t="shared" si="396"/>
        <v>0</v>
      </c>
      <c r="J434" s="21">
        <f t="shared" si="396"/>
        <v>0</v>
      </c>
      <c r="K434" s="21">
        <f t="shared" si="396"/>
        <v>0</v>
      </c>
      <c r="L434" s="21">
        <f t="shared" si="396"/>
        <v>0</v>
      </c>
      <c r="M434" s="4"/>
      <c r="N434" s="7"/>
      <c r="O434" s="7"/>
      <c r="P434" s="7"/>
      <c r="Q434" s="7"/>
      <c r="R434" s="7"/>
      <c r="S434" s="7"/>
      <c r="T434" s="7"/>
      <c r="U434" s="7"/>
      <c r="V434" s="7"/>
    </row>
    <row r="435" spans="1:22" s="67" customFormat="1" outlineLevel="2" x14ac:dyDescent="0.3">
      <c r="A435" s="448"/>
      <c r="B435" s="231" t="s">
        <v>73</v>
      </c>
      <c r="C435" s="21">
        <f t="shared" ref="C435:L435" si="397">C385-C395-C405-C415-C425</f>
        <v>-72.974758151013248</v>
      </c>
      <c r="D435" s="21">
        <f t="shared" si="397"/>
        <v>1926.6035689963883</v>
      </c>
      <c r="E435" s="21">
        <f t="shared" si="397"/>
        <v>0</v>
      </c>
      <c r="F435" s="21">
        <f t="shared" si="397"/>
        <v>0</v>
      </c>
      <c r="G435" s="21">
        <f t="shared" si="397"/>
        <v>0</v>
      </c>
      <c r="H435" s="21">
        <f t="shared" si="397"/>
        <v>0</v>
      </c>
      <c r="I435" s="21">
        <f t="shared" si="397"/>
        <v>0</v>
      </c>
      <c r="J435" s="21">
        <f t="shared" si="397"/>
        <v>0</v>
      </c>
      <c r="K435" s="21">
        <f t="shared" si="397"/>
        <v>0</v>
      </c>
      <c r="L435" s="21">
        <f t="shared" si="397"/>
        <v>0</v>
      </c>
      <c r="M435" s="4"/>
      <c r="N435" s="7"/>
      <c r="O435" s="7"/>
      <c r="P435" s="7"/>
      <c r="Q435" s="7"/>
      <c r="R435" s="7"/>
      <c r="S435" s="7"/>
      <c r="T435" s="7"/>
      <c r="U435" s="7"/>
      <c r="V435" s="7"/>
    </row>
    <row r="436" spans="1:22" s="67" customFormat="1" outlineLevel="2" x14ac:dyDescent="0.3">
      <c r="A436" s="448"/>
      <c r="B436" s="231" t="s">
        <v>74</v>
      </c>
      <c r="C436" s="21">
        <f t="shared" ref="C436:L436" si="398">C386-C396-C406-C416-C426</f>
        <v>-72.974758151013248</v>
      </c>
      <c r="D436" s="21">
        <f t="shared" si="398"/>
        <v>1926.6035689963883</v>
      </c>
      <c r="E436" s="21">
        <f t="shared" si="398"/>
        <v>1926.6035689963883</v>
      </c>
      <c r="F436" s="21">
        <f t="shared" si="398"/>
        <v>0</v>
      </c>
      <c r="G436" s="21">
        <f t="shared" si="398"/>
        <v>0</v>
      </c>
      <c r="H436" s="21">
        <f t="shared" si="398"/>
        <v>0</v>
      </c>
      <c r="I436" s="21">
        <f t="shared" si="398"/>
        <v>0</v>
      </c>
      <c r="J436" s="21">
        <f t="shared" si="398"/>
        <v>0</v>
      </c>
      <c r="K436" s="21">
        <f t="shared" si="398"/>
        <v>0</v>
      </c>
      <c r="L436" s="21">
        <f t="shared" si="398"/>
        <v>0</v>
      </c>
      <c r="M436" s="4"/>
      <c r="N436" s="7"/>
      <c r="O436" s="7"/>
      <c r="P436" s="7"/>
      <c r="Q436" s="7"/>
      <c r="R436" s="7"/>
      <c r="S436" s="7"/>
      <c r="T436" s="7"/>
      <c r="U436" s="7"/>
      <c r="V436" s="7"/>
    </row>
    <row r="437" spans="1:22" s="67" customFormat="1" outlineLevel="2" x14ac:dyDescent="0.3">
      <c r="A437" s="448"/>
      <c r="B437" s="231" t="s">
        <v>75</v>
      </c>
      <c r="C437" s="21">
        <f t="shared" ref="C437:L437" si="399">C387-C397-C407-C417-C427</f>
        <v>-72.974758151013248</v>
      </c>
      <c r="D437" s="21">
        <f t="shared" si="399"/>
        <v>1926.6035689963883</v>
      </c>
      <c r="E437" s="21">
        <f t="shared" si="399"/>
        <v>1926.6035689963883</v>
      </c>
      <c r="F437" s="21">
        <f t="shared" si="399"/>
        <v>1926.6035689963883</v>
      </c>
      <c r="G437" s="21">
        <f t="shared" si="399"/>
        <v>0</v>
      </c>
      <c r="H437" s="21">
        <f t="shared" si="399"/>
        <v>0</v>
      </c>
      <c r="I437" s="21">
        <f t="shared" si="399"/>
        <v>0</v>
      </c>
      <c r="J437" s="21">
        <f t="shared" si="399"/>
        <v>0</v>
      </c>
      <c r="K437" s="21">
        <f t="shared" si="399"/>
        <v>0</v>
      </c>
      <c r="L437" s="21">
        <f t="shared" si="399"/>
        <v>0</v>
      </c>
      <c r="M437" s="4"/>
      <c r="N437" s="7"/>
      <c r="O437" s="7"/>
      <c r="P437" s="7"/>
      <c r="Q437" s="7"/>
      <c r="R437" s="7"/>
      <c r="S437" s="7"/>
      <c r="T437" s="7"/>
      <c r="U437" s="7"/>
      <c r="V437" s="7"/>
    </row>
    <row r="438" spans="1:22" s="67" customFormat="1" outlineLevel="2" x14ac:dyDescent="0.3">
      <c r="A438" s="448"/>
      <c r="B438" s="231" t="s">
        <v>76</v>
      </c>
      <c r="C438" s="21">
        <f t="shared" ref="C438:L438" si="400">C388-C398-C408-C418-C428</f>
        <v>-72.974758151013248</v>
      </c>
      <c r="D438" s="21">
        <f t="shared" si="400"/>
        <v>1926.6035689963883</v>
      </c>
      <c r="E438" s="21">
        <f t="shared" si="400"/>
        <v>1926.6035689963883</v>
      </c>
      <c r="F438" s="21">
        <f t="shared" si="400"/>
        <v>1926.6035689963883</v>
      </c>
      <c r="G438" s="21">
        <f t="shared" si="400"/>
        <v>1926.6035689963883</v>
      </c>
      <c r="H438" s="21">
        <f t="shared" si="400"/>
        <v>0</v>
      </c>
      <c r="I438" s="21">
        <f t="shared" si="400"/>
        <v>0</v>
      </c>
      <c r="J438" s="21">
        <f t="shared" si="400"/>
        <v>0</v>
      </c>
      <c r="K438" s="21">
        <f t="shared" si="400"/>
        <v>0</v>
      </c>
      <c r="L438" s="21">
        <f t="shared" si="400"/>
        <v>0</v>
      </c>
      <c r="M438" s="4"/>
      <c r="N438" s="7"/>
      <c r="O438" s="7"/>
      <c r="P438" s="7"/>
      <c r="Q438" s="7"/>
      <c r="R438" s="7"/>
      <c r="S438" s="7"/>
      <c r="T438" s="7"/>
      <c r="U438" s="7"/>
      <c r="V438" s="7"/>
    </row>
    <row r="439" spans="1:22" s="67" customFormat="1" outlineLevel="2" x14ac:dyDescent="0.3">
      <c r="A439" s="448"/>
      <c r="B439" s="231" t="s">
        <v>77</v>
      </c>
      <c r="C439" s="21">
        <f t="shared" ref="C439:L439" si="401">C389-C399-C409-C419-C429</f>
        <v>-72.974758151013248</v>
      </c>
      <c r="D439" s="21">
        <f t="shared" si="401"/>
        <v>1926.6035689963883</v>
      </c>
      <c r="E439" s="21">
        <f t="shared" si="401"/>
        <v>1926.6035689963883</v>
      </c>
      <c r="F439" s="21">
        <f t="shared" si="401"/>
        <v>1926.6035689963883</v>
      </c>
      <c r="G439" s="21">
        <f t="shared" si="401"/>
        <v>1926.6035689963883</v>
      </c>
      <c r="H439" s="21">
        <f t="shared" si="401"/>
        <v>1926.6035689963883</v>
      </c>
      <c r="I439" s="21">
        <f t="shared" si="401"/>
        <v>0</v>
      </c>
      <c r="J439" s="21">
        <f t="shared" si="401"/>
        <v>0</v>
      </c>
      <c r="K439" s="21">
        <f t="shared" si="401"/>
        <v>0</v>
      </c>
      <c r="L439" s="21">
        <f t="shared" si="401"/>
        <v>0</v>
      </c>
      <c r="M439" s="4"/>
      <c r="N439" s="7"/>
      <c r="O439" s="7"/>
      <c r="P439" s="7"/>
      <c r="Q439" s="7"/>
      <c r="R439" s="7"/>
      <c r="S439" s="7"/>
      <c r="T439" s="7"/>
      <c r="U439" s="7"/>
      <c r="V439" s="7"/>
    </row>
    <row r="440" spans="1:22" s="67" customFormat="1" outlineLevel="2" x14ac:dyDescent="0.3">
      <c r="A440" s="448"/>
      <c r="B440" s="231" t="s">
        <v>78</v>
      </c>
      <c r="C440" s="21">
        <f t="shared" ref="C440:L440" si="402">C390-C400-C410-C420-C430</f>
        <v>-72.974758151013248</v>
      </c>
      <c r="D440" s="21">
        <f t="shared" si="402"/>
        <v>1926.6035689963883</v>
      </c>
      <c r="E440" s="21">
        <f t="shared" si="402"/>
        <v>1926.6035689963883</v>
      </c>
      <c r="F440" s="21">
        <f t="shared" si="402"/>
        <v>1926.6035689963883</v>
      </c>
      <c r="G440" s="21">
        <f t="shared" si="402"/>
        <v>1926.6035689963883</v>
      </c>
      <c r="H440" s="21">
        <f t="shared" si="402"/>
        <v>1926.6035689963883</v>
      </c>
      <c r="I440" s="21">
        <f t="shared" si="402"/>
        <v>1926.6035689963883</v>
      </c>
      <c r="J440" s="21">
        <f t="shared" si="402"/>
        <v>0</v>
      </c>
      <c r="K440" s="21">
        <f t="shared" si="402"/>
        <v>0</v>
      </c>
      <c r="L440" s="21">
        <f t="shared" si="402"/>
        <v>0</v>
      </c>
      <c r="M440" s="4"/>
      <c r="N440" s="7"/>
      <c r="O440" s="7"/>
      <c r="P440" s="7"/>
      <c r="Q440" s="7"/>
      <c r="R440" s="7"/>
      <c r="S440" s="7"/>
      <c r="T440" s="7"/>
      <c r="U440" s="7"/>
      <c r="V440" s="7"/>
    </row>
    <row r="441" spans="1:22" s="67" customFormat="1" outlineLevel="2" x14ac:dyDescent="0.3">
      <c r="A441" s="448"/>
      <c r="B441" s="231" t="s">
        <v>79</v>
      </c>
      <c r="C441" s="21">
        <f t="shared" ref="C441:L441" si="403">C391-C401-C411-C421-C431</f>
        <v>-72.974758151013248</v>
      </c>
      <c r="D441" s="21">
        <f t="shared" si="403"/>
        <v>1926.6035689963883</v>
      </c>
      <c r="E441" s="21">
        <f t="shared" si="403"/>
        <v>1926.6035689963883</v>
      </c>
      <c r="F441" s="21">
        <f t="shared" si="403"/>
        <v>1926.6035689963883</v>
      </c>
      <c r="G441" s="21">
        <f t="shared" si="403"/>
        <v>1926.6035689963883</v>
      </c>
      <c r="H441" s="21">
        <f t="shared" si="403"/>
        <v>1926.6035689963883</v>
      </c>
      <c r="I441" s="21">
        <f t="shared" si="403"/>
        <v>1926.6035689963883</v>
      </c>
      <c r="J441" s="21">
        <f t="shared" si="403"/>
        <v>1926.6035689963883</v>
      </c>
      <c r="K441" s="21">
        <f t="shared" si="403"/>
        <v>0</v>
      </c>
      <c r="L441" s="21">
        <f t="shared" si="403"/>
        <v>0</v>
      </c>
      <c r="M441" s="4"/>
      <c r="N441" s="7"/>
      <c r="O441" s="7"/>
      <c r="P441" s="7"/>
      <c r="Q441" s="7"/>
      <c r="R441" s="7"/>
      <c r="S441" s="7"/>
      <c r="T441" s="7"/>
      <c r="U441" s="7"/>
      <c r="V441" s="7"/>
    </row>
    <row r="442" spans="1:22" s="67" customFormat="1" outlineLevel="2" x14ac:dyDescent="0.3">
      <c r="A442" s="448"/>
      <c r="B442" s="231" t="s">
        <v>80</v>
      </c>
      <c r="C442" s="21">
        <f t="shared" ref="C442:L442" si="404">C392-C402-C412-C422-C432</f>
        <v>-72.974758151013248</v>
      </c>
      <c r="D442" s="21">
        <f t="shared" si="404"/>
        <v>1926.6035689963883</v>
      </c>
      <c r="E442" s="21">
        <f t="shared" si="404"/>
        <v>1926.6035689963883</v>
      </c>
      <c r="F442" s="21">
        <f t="shared" si="404"/>
        <v>1926.6035689963883</v>
      </c>
      <c r="G442" s="21">
        <f t="shared" si="404"/>
        <v>1926.6035689963883</v>
      </c>
      <c r="H442" s="21">
        <f t="shared" si="404"/>
        <v>1926.6035689963883</v>
      </c>
      <c r="I442" s="21">
        <f t="shared" si="404"/>
        <v>1926.6035689963883</v>
      </c>
      <c r="J442" s="21">
        <f t="shared" si="404"/>
        <v>1926.6035689963883</v>
      </c>
      <c r="K442" s="21">
        <f t="shared" si="404"/>
        <v>1926.6035689963883</v>
      </c>
      <c r="L442" s="21">
        <f t="shared" si="404"/>
        <v>0</v>
      </c>
      <c r="M442" s="4"/>
      <c r="N442" s="7"/>
      <c r="O442" s="7"/>
      <c r="P442" s="7"/>
      <c r="Q442" s="7"/>
      <c r="R442" s="7"/>
      <c r="S442" s="7"/>
      <c r="T442" s="7"/>
      <c r="U442" s="7"/>
      <c r="V442" s="7"/>
    </row>
    <row r="443" spans="1:22" s="67" customFormat="1" outlineLevel="2" x14ac:dyDescent="0.3">
      <c r="A443" s="449"/>
      <c r="B443" s="182" t="s">
        <v>134</v>
      </c>
      <c r="C443" s="239">
        <f t="shared" ref="C443:L443" si="405">C393-C403-C413-C423-C433</f>
        <v>-72.974758151013248</v>
      </c>
      <c r="D443" s="239">
        <f t="shared" si="405"/>
        <v>1926.6035689963883</v>
      </c>
      <c r="E443" s="239">
        <f t="shared" si="405"/>
        <v>1926.6035689963883</v>
      </c>
      <c r="F443" s="239">
        <f t="shared" si="405"/>
        <v>1926.6035689963883</v>
      </c>
      <c r="G443" s="239">
        <f t="shared" si="405"/>
        <v>1926.6035689963883</v>
      </c>
      <c r="H443" s="239">
        <f t="shared" si="405"/>
        <v>1926.6035689963883</v>
      </c>
      <c r="I443" s="239">
        <f t="shared" si="405"/>
        <v>1926.6035689963883</v>
      </c>
      <c r="J443" s="239">
        <f t="shared" si="405"/>
        <v>1926.6035689963883</v>
      </c>
      <c r="K443" s="239">
        <f t="shared" si="405"/>
        <v>1926.6035689963883</v>
      </c>
      <c r="L443" s="239">
        <f t="shared" si="405"/>
        <v>1926.6035689963883</v>
      </c>
      <c r="M443" s="4"/>
      <c r="N443" s="7"/>
      <c r="O443" s="7"/>
      <c r="P443" s="7"/>
      <c r="Q443" s="7"/>
      <c r="R443" s="7"/>
      <c r="S443" s="7"/>
      <c r="T443" s="7"/>
      <c r="U443" s="7"/>
      <c r="V443" s="7"/>
    </row>
    <row r="444" spans="1:22" s="231" customFormat="1" outlineLevel="2" x14ac:dyDescent="0.3">
      <c r="A444" s="455" t="s">
        <v>246</v>
      </c>
      <c r="B444" s="231" t="s">
        <v>72</v>
      </c>
      <c r="C444" s="21">
        <f t="shared" ref="C444:C453" si="406">C434</f>
        <v>-72.974758151013248</v>
      </c>
      <c r="D444" s="21">
        <f t="shared" ref="D444:L444" si="407">C444+D434</f>
        <v>-72.974758151013248</v>
      </c>
      <c r="E444" s="21">
        <f t="shared" si="407"/>
        <v>-72.974758151013248</v>
      </c>
      <c r="F444" s="21">
        <f t="shared" si="407"/>
        <v>-72.974758151013248</v>
      </c>
      <c r="G444" s="21">
        <f t="shared" si="407"/>
        <v>-72.974758151013248</v>
      </c>
      <c r="H444" s="21">
        <f t="shared" si="407"/>
        <v>-72.974758151013248</v>
      </c>
      <c r="I444" s="21">
        <f t="shared" si="407"/>
        <v>-72.974758151013248</v>
      </c>
      <c r="J444" s="21">
        <f t="shared" si="407"/>
        <v>-72.974758151013248</v>
      </c>
      <c r="K444" s="21">
        <f t="shared" si="407"/>
        <v>-72.974758151013248</v>
      </c>
      <c r="L444" s="21">
        <f t="shared" si="407"/>
        <v>-72.974758151013248</v>
      </c>
      <c r="M444" s="4"/>
      <c r="N444" s="7"/>
      <c r="O444" s="7"/>
      <c r="P444" s="7"/>
      <c r="Q444" s="7"/>
      <c r="R444" s="7"/>
      <c r="S444" s="7"/>
      <c r="T444" s="7"/>
      <c r="U444" s="7"/>
      <c r="V444" s="7"/>
    </row>
    <row r="445" spans="1:22" s="231" customFormat="1" outlineLevel="2" x14ac:dyDescent="0.3">
      <c r="A445" s="448"/>
      <c r="B445" s="231" t="s">
        <v>73</v>
      </c>
      <c r="C445" s="21">
        <f t="shared" si="406"/>
        <v>-72.974758151013248</v>
      </c>
      <c r="D445" s="21">
        <f t="shared" ref="D445:L445" si="408">C445+D435</f>
        <v>1853.628810845375</v>
      </c>
      <c r="E445" s="21">
        <f t="shared" si="408"/>
        <v>1853.628810845375</v>
      </c>
      <c r="F445" s="21">
        <f t="shared" si="408"/>
        <v>1853.628810845375</v>
      </c>
      <c r="G445" s="21">
        <f t="shared" si="408"/>
        <v>1853.628810845375</v>
      </c>
      <c r="H445" s="21">
        <f t="shared" si="408"/>
        <v>1853.628810845375</v>
      </c>
      <c r="I445" s="21">
        <f t="shared" si="408"/>
        <v>1853.628810845375</v>
      </c>
      <c r="J445" s="21">
        <f t="shared" si="408"/>
        <v>1853.628810845375</v>
      </c>
      <c r="K445" s="21">
        <f t="shared" si="408"/>
        <v>1853.628810845375</v>
      </c>
      <c r="L445" s="21">
        <f t="shared" si="408"/>
        <v>1853.628810845375</v>
      </c>
      <c r="M445" s="4"/>
      <c r="N445" s="7"/>
      <c r="O445" s="7"/>
      <c r="P445" s="7"/>
      <c r="Q445" s="7"/>
      <c r="R445" s="7"/>
      <c r="S445" s="7"/>
      <c r="T445" s="7"/>
      <c r="U445" s="7"/>
      <c r="V445" s="7"/>
    </row>
    <row r="446" spans="1:22" s="231" customFormat="1" outlineLevel="2" x14ac:dyDescent="0.3">
      <c r="A446" s="448"/>
      <c r="B446" s="231" t="s">
        <v>74</v>
      </c>
      <c r="C446" s="21">
        <f t="shared" si="406"/>
        <v>-72.974758151013248</v>
      </c>
      <c r="D446" s="21">
        <f t="shared" ref="D446:L446" si="409">C446+D436</f>
        <v>1853.628810845375</v>
      </c>
      <c r="E446" s="21">
        <f t="shared" si="409"/>
        <v>3780.2323798417633</v>
      </c>
      <c r="F446" s="21">
        <f t="shared" si="409"/>
        <v>3780.2323798417633</v>
      </c>
      <c r="G446" s="21">
        <f t="shared" si="409"/>
        <v>3780.2323798417633</v>
      </c>
      <c r="H446" s="21">
        <f t="shared" si="409"/>
        <v>3780.2323798417633</v>
      </c>
      <c r="I446" s="21">
        <f t="shared" si="409"/>
        <v>3780.2323798417633</v>
      </c>
      <c r="J446" s="21">
        <f t="shared" si="409"/>
        <v>3780.2323798417633</v>
      </c>
      <c r="K446" s="21">
        <f t="shared" si="409"/>
        <v>3780.2323798417633</v>
      </c>
      <c r="L446" s="21">
        <f t="shared" si="409"/>
        <v>3780.2323798417633</v>
      </c>
      <c r="M446" s="4"/>
      <c r="N446" s="7"/>
      <c r="O446" s="7"/>
      <c r="P446" s="7"/>
      <c r="Q446" s="7"/>
      <c r="R446" s="7"/>
      <c r="S446" s="7"/>
      <c r="T446" s="7"/>
      <c r="U446" s="7"/>
      <c r="V446" s="7"/>
    </row>
    <row r="447" spans="1:22" s="231" customFormat="1" outlineLevel="2" x14ac:dyDescent="0.3">
      <c r="A447" s="448"/>
      <c r="B447" s="231" t="s">
        <v>75</v>
      </c>
      <c r="C447" s="21">
        <f t="shared" si="406"/>
        <v>-72.974758151013248</v>
      </c>
      <c r="D447" s="21">
        <f t="shared" ref="D447:L447" si="410">C447+D437</f>
        <v>1853.628810845375</v>
      </c>
      <c r="E447" s="21">
        <f t="shared" si="410"/>
        <v>3780.2323798417633</v>
      </c>
      <c r="F447" s="21">
        <f t="shared" si="410"/>
        <v>5706.835948838152</v>
      </c>
      <c r="G447" s="21">
        <f t="shared" si="410"/>
        <v>5706.835948838152</v>
      </c>
      <c r="H447" s="21">
        <f t="shared" si="410"/>
        <v>5706.835948838152</v>
      </c>
      <c r="I447" s="21">
        <f t="shared" si="410"/>
        <v>5706.835948838152</v>
      </c>
      <c r="J447" s="21">
        <f t="shared" si="410"/>
        <v>5706.835948838152</v>
      </c>
      <c r="K447" s="21">
        <f t="shared" si="410"/>
        <v>5706.835948838152</v>
      </c>
      <c r="L447" s="21">
        <f t="shared" si="410"/>
        <v>5706.835948838152</v>
      </c>
      <c r="M447" s="4"/>
      <c r="N447" s="7"/>
      <c r="O447" s="7"/>
      <c r="P447" s="7"/>
      <c r="Q447" s="7"/>
      <c r="R447" s="7"/>
      <c r="S447" s="7"/>
      <c r="T447" s="7"/>
      <c r="U447" s="7"/>
      <c r="V447" s="7"/>
    </row>
    <row r="448" spans="1:22" s="231" customFormat="1" outlineLevel="2" x14ac:dyDescent="0.3">
      <c r="A448" s="448"/>
      <c r="B448" s="231" t="s">
        <v>76</v>
      </c>
      <c r="C448" s="21">
        <f t="shared" si="406"/>
        <v>-72.974758151013248</v>
      </c>
      <c r="D448" s="21">
        <f t="shared" ref="D448:L448" si="411">C448+D438</f>
        <v>1853.628810845375</v>
      </c>
      <c r="E448" s="21">
        <f t="shared" si="411"/>
        <v>3780.2323798417633</v>
      </c>
      <c r="F448" s="21">
        <f t="shared" si="411"/>
        <v>5706.835948838152</v>
      </c>
      <c r="G448" s="21">
        <f t="shared" si="411"/>
        <v>7633.4395178345403</v>
      </c>
      <c r="H448" s="21">
        <f t="shared" si="411"/>
        <v>7633.4395178345403</v>
      </c>
      <c r="I448" s="21">
        <f t="shared" si="411"/>
        <v>7633.4395178345403</v>
      </c>
      <c r="J448" s="21">
        <f t="shared" si="411"/>
        <v>7633.4395178345403</v>
      </c>
      <c r="K448" s="21">
        <f t="shared" si="411"/>
        <v>7633.4395178345403</v>
      </c>
      <c r="L448" s="21">
        <f t="shared" si="411"/>
        <v>7633.4395178345403</v>
      </c>
      <c r="M448" s="4"/>
      <c r="N448" s="7"/>
      <c r="O448" s="7"/>
      <c r="P448" s="7"/>
      <c r="Q448" s="7"/>
      <c r="R448" s="7"/>
      <c r="S448" s="7"/>
      <c r="T448" s="7"/>
      <c r="U448" s="7"/>
      <c r="V448" s="7"/>
    </row>
    <row r="449" spans="1:22" s="231" customFormat="1" outlineLevel="2" x14ac:dyDescent="0.3">
      <c r="A449" s="448"/>
      <c r="B449" s="231" t="s">
        <v>77</v>
      </c>
      <c r="C449" s="21">
        <f t="shared" si="406"/>
        <v>-72.974758151013248</v>
      </c>
      <c r="D449" s="21">
        <f t="shared" ref="D449:L449" si="412">C449+D439</f>
        <v>1853.628810845375</v>
      </c>
      <c r="E449" s="21">
        <f t="shared" si="412"/>
        <v>3780.2323798417633</v>
      </c>
      <c r="F449" s="21">
        <f t="shared" si="412"/>
        <v>5706.835948838152</v>
      </c>
      <c r="G449" s="21">
        <f t="shared" si="412"/>
        <v>7633.4395178345403</v>
      </c>
      <c r="H449" s="21">
        <f t="shared" si="412"/>
        <v>9560.0430868309286</v>
      </c>
      <c r="I449" s="21">
        <f t="shared" si="412"/>
        <v>9560.0430868309286</v>
      </c>
      <c r="J449" s="21">
        <f t="shared" si="412"/>
        <v>9560.0430868309286</v>
      </c>
      <c r="K449" s="21">
        <f t="shared" si="412"/>
        <v>9560.0430868309286</v>
      </c>
      <c r="L449" s="21">
        <f t="shared" si="412"/>
        <v>9560.0430868309286</v>
      </c>
      <c r="M449" s="4"/>
      <c r="N449" s="7"/>
      <c r="O449" s="7"/>
      <c r="P449" s="7"/>
      <c r="Q449" s="7"/>
      <c r="R449" s="7"/>
      <c r="S449" s="7"/>
      <c r="T449" s="7"/>
      <c r="U449" s="7"/>
      <c r="V449" s="7"/>
    </row>
    <row r="450" spans="1:22" s="231" customFormat="1" outlineLevel="2" x14ac:dyDescent="0.3">
      <c r="A450" s="448"/>
      <c r="B450" s="231" t="s">
        <v>78</v>
      </c>
      <c r="C450" s="21">
        <f t="shared" si="406"/>
        <v>-72.974758151013248</v>
      </c>
      <c r="D450" s="21">
        <f t="shared" ref="D450:L450" si="413">C450+D440</f>
        <v>1853.628810845375</v>
      </c>
      <c r="E450" s="21">
        <f t="shared" si="413"/>
        <v>3780.2323798417633</v>
      </c>
      <c r="F450" s="21">
        <f t="shared" si="413"/>
        <v>5706.835948838152</v>
      </c>
      <c r="G450" s="21">
        <f t="shared" si="413"/>
        <v>7633.4395178345403</v>
      </c>
      <c r="H450" s="21">
        <f t="shared" si="413"/>
        <v>9560.0430868309286</v>
      </c>
      <c r="I450" s="21">
        <f t="shared" si="413"/>
        <v>11486.646655827317</v>
      </c>
      <c r="J450" s="21">
        <f t="shared" si="413"/>
        <v>11486.646655827317</v>
      </c>
      <c r="K450" s="21">
        <f t="shared" si="413"/>
        <v>11486.646655827317</v>
      </c>
      <c r="L450" s="21">
        <f t="shared" si="413"/>
        <v>11486.646655827317</v>
      </c>
      <c r="M450" s="4"/>
      <c r="N450" s="7"/>
      <c r="O450" s="7"/>
      <c r="P450" s="7"/>
      <c r="Q450" s="7"/>
      <c r="R450" s="7"/>
      <c r="S450" s="7"/>
      <c r="T450" s="7"/>
      <c r="U450" s="7"/>
      <c r="V450" s="7"/>
    </row>
    <row r="451" spans="1:22" s="231" customFormat="1" outlineLevel="2" x14ac:dyDescent="0.3">
      <c r="A451" s="448"/>
      <c r="B451" s="231" t="s">
        <v>79</v>
      </c>
      <c r="C451" s="21">
        <f t="shared" si="406"/>
        <v>-72.974758151013248</v>
      </c>
      <c r="D451" s="21">
        <f t="shared" ref="D451:L451" si="414">C451+D441</f>
        <v>1853.628810845375</v>
      </c>
      <c r="E451" s="21">
        <f t="shared" si="414"/>
        <v>3780.2323798417633</v>
      </c>
      <c r="F451" s="21">
        <f t="shared" si="414"/>
        <v>5706.835948838152</v>
      </c>
      <c r="G451" s="21">
        <f t="shared" si="414"/>
        <v>7633.4395178345403</v>
      </c>
      <c r="H451" s="21">
        <f t="shared" si="414"/>
        <v>9560.0430868309286</v>
      </c>
      <c r="I451" s="21">
        <f t="shared" si="414"/>
        <v>11486.646655827317</v>
      </c>
      <c r="J451" s="21">
        <f t="shared" si="414"/>
        <v>13413.250224823705</v>
      </c>
      <c r="K451" s="21">
        <f t="shared" si="414"/>
        <v>13413.250224823705</v>
      </c>
      <c r="L451" s="21">
        <f t="shared" si="414"/>
        <v>13413.250224823705</v>
      </c>
      <c r="M451" s="4"/>
      <c r="N451" s="7"/>
      <c r="O451" s="7"/>
      <c r="P451" s="7"/>
      <c r="Q451" s="7"/>
      <c r="R451" s="7"/>
      <c r="S451" s="7"/>
      <c r="T451" s="7"/>
      <c r="U451" s="7"/>
      <c r="V451" s="7"/>
    </row>
    <row r="452" spans="1:22" s="231" customFormat="1" outlineLevel="2" x14ac:dyDescent="0.3">
      <c r="A452" s="448"/>
      <c r="B452" s="231" t="s">
        <v>80</v>
      </c>
      <c r="C452" s="21">
        <f t="shared" si="406"/>
        <v>-72.974758151013248</v>
      </c>
      <c r="D452" s="21">
        <f t="shared" ref="D452:L452" si="415">C452+D442</f>
        <v>1853.628810845375</v>
      </c>
      <c r="E452" s="21">
        <f t="shared" si="415"/>
        <v>3780.2323798417633</v>
      </c>
      <c r="F452" s="21">
        <f t="shared" si="415"/>
        <v>5706.835948838152</v>
      </c>
      <c r="G452" s="21">
        <f t="shared" si="415"/>
        <v>7633.4395178345403</v>
      </c>
      <c r="H452" s="21">
        <f t="shared" si="415"/>
        <v>9560.0430868309286</v>
      </c>
      <c r="I452" s="21">
        <f t="shared" si="415"/>
        <v>11486.646655827317</v>
      </c>
      <c r="J452" s="21">
        <f t="shared" si="415"/>
        <v>13413.250224823705</v>
      </c>
      <c r="K452" s="21">
        <f t="shared" si="415"/>
        <v>15339.853793820093</v>
      </c>
      <c r="L452" s="21">
        <f t="shared" si="415"/>
        <v>15339.853793820093</v>
      </c>
      <c r="M452" s="4"/>
      <c r="N452" s="7"/>
      <c r="O452" s="7"/>
      <c r="P452" s="7"/>
      <c r="Q452" s="7"/>
      <c r="R452" s="7"/>
      <c r="S452" s="7"/>
      <c r="T452" s="7"/>
      <c r="U452" s="7"/>
      <c r="V452" s="7"/>
    </row>
    <row r="453" spans="1:22" s="231" customFormat="1" outlineLevel="2" x14ac:dyDescent="0.3">
      <c r="A453" s="449"/>
      <c r="B453" s="182" t="s">
        <v>134</v>
      </c>
      <c r="C453" s="239">
        <f t="shared" si="406"/>
        <v>-72.974758151013248</v>
      </c>
      <c r="D453" s="239">
        <f t="shared" ref="D453:L453" si="416">C453+D443</f>
        <v>1853.628810845375</v>
      </c>
      <c r="E453" s="239">
        <f t="shared" si="416"/>
        <v>3780.2323798417633</v>
      </c>
      <c r="F453" s="239">
        <f t="shared" si="416"/>
        <v>5706.835948838152</v>
      </c>
      <c r="G453" s="239">
        <f t="shared" si="416"/>
        <v>7633.4395178345403</v>
      </c>
      <c r="H453" s="239">
        <f t="shared" si="416"/>
        <v>9560.0430868309286</v>
      </c>
      <c r="I453" s="239">
        <f t="shared" si="416"/>
        <v>11486.646655827317</v>
      </c>
      <c r="J453" s="239">
        <f t="shared" si="416"/>
        <v>13413.250224823705</v>
      </c>
      <c r="K453" s="239">
        <f t="shared" si="416"/>
        <v>15339.853793820093</v>
      </c>
      <c r="L453" s="186">
        <f t="shared" si="416"/>
        <v>17266.45736281648</v>
      </c>
      <c r="M453" s="4"/>
      <c r="N453" s="7"/>
      <c r="O453" s="7"/>
      <c r="P453" s="7"/>
      <c r="Q453" s="7"/>
      <c r="R453" s="7"/>
      <c r="S453" s="7"/>
      <c r="T453" s="7"/>
      <c r="U453" s="7"/>
      <c r="V453" s="7"/>
    </row>
    <row r="454" spans="1:22" s="231" customFormat="1" outlineLevel="2" x14ac:dyDescent="0.3">
      <c r="A454" s="455" t="s">
        <v>247</v>
      </c>
      <c r="B454" s="231" t="s">
        <v>72</v>
      </c>
      <c r="C454" s="21">
        <f t="shared" ref="C454:L454" si="417">C444/$B$15</f>
        <v>-0.81218428660003616</v>
      </c>
      <c r="D454" s="21">
        <f t="shared" si="417"/>
        <v>-0.81218428660003616</v>
      </c>
      <c r="E454" s="21">
        <f t="shared" si="417"/>
        <v>-0.81218428660003616</v>
      </c>
      <c r="F454" s="21">
        <f t="shared" si="417"/>
        <v>-0.81218428660003616</v>
      </c>
      <c r="G454" s="21">
        <f t="shared" si="417"/>
        <v>-0.81218428660003616</v>
      </c>
      <c r="H454" s="21">
        <f t="shared" si="417"/>
        <v>-0.81218428660003616</v>
      </c>
      <c r="I454" s="21">
        <f t="shared" si="417"/>
        <v>-0.81218428660003616</v>
      </c>
      <c r="J454" s="21">
        <f t="shared" si="417"/>
        <v>-0.81218428660003616</v>
      </c>
      <c r="K454" s="21">
        <f t="shared" si="417"/>
        <v>-0.81218428660003616</v>
      </c>
      <c r="L454" s="21">
        <f t="shared" si="417"/>
        <v>-0.81218428660003616</v>
      </c>
      <c r="M454" s="4"/>
      <c r="N454" s="7"/>
      <c r="O454" s="7"/>
      <c r="P454" s="7"/>
      <c r="Q454" s="7"/>
      <c r="R454" s="7"/>
      <c r="S454" s="7"/>
      <c r="T454" s="7"/>
      <c r="U454" s="7"/>
      <c r="V454" s="7"/>
    </row>
    <row r="455" spans="1:22" s="231" customFormat="1" outlineLevel="2" x14ac:dyDescent="0.3">
      <c r="A455" s="448"/>
      <c r="B455" s="231" t="s">
        <v>73</v>
      </c>
      <c r="C455" s="21">
        <f t="shared" ref="C455:L455" si="418">C445/$B$15</f>
        <v>-0.81218428660003616</v>
      </c>
      <c r="D455" s="21">
        <f t="shared" si="418"/>
        <v>20.630259441796049</v>
      </c>
      <c r="E455" s="21">
        <f t="shared" si="418"/>
        <v>20.630259441796049</v>
      </c>
      <c r="F455" s="21">
        <f t="shared" si="418"/>
        <v>20.630259441796049</v>
      </c>
      <c r="G455" s="21">
        <f t="shared" si="418"/>
        <v>20.630259441796049</v>
      </c>
      <c r="H455" s="21">
        <f t="shared" si="418"/>
        <v>20.630259441796049</v>
      </c>
      <c r="I455" s="21">
        <f t="shared" si="418"/>
        <v>20.630259441796049</v>
      </c>
      <c r="J455" s="21">
        <f t="shared" si="418"/>
        <v>20.630259441796049</v>
      </c>
      <c r="K455" s="21">
        <f t="shared" si="418"/>
        <v>20.630259441796049</v>
      </c>
      <c r="L455" s="21">
        <f t="shared" si="418"/>
        <v>20.630259441796049</v>
      </c>
      <c r="M455" s="4"/>
      <c r="N455" s="7"/>
      <c r="O455" s="7"/>
      <c r="P455" s="7"/>
      <c r="Q455" s="7"/>
      <c r="R455" s="7"/>
      <c r="S455" s="7"/>
      <c r="T455" s="7"/>
      <c r="U455" s="7"/>
      <c r="V455" s="7"/>
    </row>
    <row r="456" spans="1:22" s="231" customFormat="1" outlineLevel="2" x14ac:dyDescent="0.3">
      <c r="A456" s="448"/>
      <c r="B456" s="231" t="s">
        <v>74</v>
      </c>
      <c r="C456" s="21">
        <f t="shared" ref="C456:L456" si="419">C446/$B$15</f>
        <v>-0.81218428660003616</v>
      </c>
      <c r="D456" s="21">
        <f t="shared" si="419"/>
        <v>20.630259441796049</v>
      </c>
      <c r="E456" s="21">
        <f t="shared" si="419"/>
        <v>42.072703170192135</v>
      </c>
      <c r="F456" s="21">
        <f t="shared" si="419"/>
        <v>42.072703170192135</v>
      </c>
      <c r="G456" s="21">
        <f t="shared" si="419"/>
        <v>42.072703170192135</v>
      </c>
      <c r="H456" s="21">
        <f t="shared" si="419"/>
        <v>42.072703170192135</v>
      </c>
      <c r="I456" s="21">
        <f t="shared" si="419"/>
        <v>42.072703170192135</v>
      </c>
      <c r="J456" s="21">
        <f t="shared" si="419"/>
        <v>42.072703170192135</v>
      </c>
      <c r="K456" s="21">
        <f t="shared" si="419"/>
        <v>42.072703170192135</v>
      </c>
      <c r="L456" s="21">
        <f t="shared" si="419"/>
        <v>42.072703170192135</v>
      </c>
      <c r="M456" s="4"/>
      <c r="N456" s="7"/>
      <c r="O456" s="7"/>
      <c r="P456" s="7"/>
      <c r="Q456" s="7"/>
      <c r="R456" s="7"/>
      <c r="S456" s="7"/>
      <c r="T456" s="7"/>
      <c r="U456" s="7"/>
      <c r="V456" s="7"/>
    </row>
    <row r="457" spans="1:22" s="231" customFormat="1" outlineLevel="2" x14ac:dyDescent="0.3">
      <c r="A457" s="448"/>
      <c r="B457" s="231" t="s">
        <v>75</v>
      </c>
      <c r="C457" s="21">
        <f t="shared" ref="C457:L457" si="420">C447/$B$15</f>
        <v>-0.81218428660003616</v>
      </c>
      <c r="D457" s="21">
        <f t="shared" si="420"/>
        <v>20.630259441796049</v>
      </c>
      <c r="E457" s="21">
        <f t="shared" si="420"/>
        <v>42.072703170192135</v>
      </c>
      <c r="F457" s="21">
        <f t="shared" si="420"/>
        <v>63.515146898588227</v>
      </c>
      <c r="G457" s="21">
        <f t="shared" si="420"/>
        <v>63.515146898588227</v>
      </c>
      <c r="H457" s="21">
        <f t="shared" si="420"/>
        <v>63.515146898588227</v>
      </c>
      <c r="I457" s="21">
        <f t="shared" si="420"/>
        <v>63.515146898588227</v>
      </c>
      <c r="J457" s="21">
        <f t="shared" si="420"/>
        <v>63.515146898588227</v>
      </c>
      <c r="K457" s="21">
        <f t="shared" si="420"/>
        <v>63.515146898588227</v>
      </c>
      <c r="L457" s="21">
        <f t="shared" si="420"/>
        <v>63.515146898588227</v>
      </c>
      <c r="M457" s="4"/>
      <c r="N457" s="7"/>
      <c r="O457" s="7"/>
      <c r="P457" s="7"/>
      <c r="Q457" s="7"/>
      <c r="R457" s="7"/>
      <c r="S457" s="7"/>
      <c r="T457" s="7"/>
      <c r="U457" s="7"/>
      <c r="V457" s="7"/>
    </row>
    <row r="458" spans="1:22" s="231" customFormat="1" outlineLevel="2" x14ac:dyDescent="0.3">
      <c r="A458" s="448"/>
      <c r="B458" s="231" t="s">
        <v>76</v>
      </c>
      <c r="C458" s="21">
        <f t="shared" ref="C458:L458" si="421">C448/$B$15</f>
        <v>-0.81218428660003616</v>
      </c>
      <c r="D458" s="21">
        <f t="shared" si="421"/>
        <v>20.630259441796049</v>
      </c>
      <c r="E458" s="21">
        <f t="shared" si="421"/>
        <v>42.072703170192135</v>
      </c>
      <c r="F458" s="21">
        <f t="shared" si="421"/>
        <v>63.515146898588227</v>
      </c>
      <c r="G458" s="21">
        <f t="shared" si="421"/>
        <v>84.957590626984313</v>
      </c>
      <c r="H458" s="21">
        <f t="shared" si="421"/>
        <v>84.957590626984313</v>
      </c>
      <c r="I458" s="21">
        <f t="shared" si="421"/>
        <v>84.957590626984313</v>
      </c>
      <c r="J458" s="21">
        <f t="shared" si="421"/>
        <v>84.957590626984313</v>
      </c>
      <c r="K458" s="21">
        <f t="shared" si="421"/>
        <v>84.957590626984313</v>
      </c>
      <c r="L458" s="21">
        <f t="shared" si="421"/>
        <v>84.957590626984313</v>
      </c>
      <c r="M458" s="4"/>
      <c r="N458" s="7"/>
      <c r="O458" s="7"/>
      <c r="P458" s="7"/>
      <c r="Q458" s="7"/>
      <c r="R458" s="7"/>
      <c r="S458" s="7"/>
      <c r="T458" s="7"/>
      <c r="U458" s="7"/>
      <c r="V458" s="7"/>
    </row>
    <row r="459" spans="1:22" s="231" customFormat="1" outlineLevel="2" x14ac:dyDescent="0.3">
      <c r="A459" s="448"/>
      <c r="B459" s="231" t="s">
        <v>77</v>
      </c>
      <c r="C459" s="21">
        <f t="shared" ref="C459:L459" si="422">C449/$B$15</f>
        <v>-0.81218428660003616</v>
      </c>
      <c r="D459" s="21">
        <f t="shared" si="422"/>
        <v>20.630259441796049</v>
      </c>
      <c r="E459" s="21">
        <f t="shared" si="422"/>
        <v>42.072703170192135</v>
      </c>
      <c r="F459" s="21">
        <f t="shared" si="422"/>
        <v>63.515146898588227</v>
      </c>
      <c r="G459" s="21">
        <f t="shared" si="422"/>
        <v>84.957590626984313</v>
      </c>
      <c r="H459" s="21">
        <f t="shared" si="422"/>
        <v>106.4000343553804</v>
      </c>
      <c r="I459" s="21">
        <f t="shared" si="422"/>
        <v>106.4000343553804</v>
      </c>
      <c r="J459" s="21">
        <f t="shared" si="422"/>
        <v>106.4000343553804</v>
      </c>
      <c r="K459" s="21">
        <f t="shared" si="422"/>
        <v>106.4000343553804</v>
      </c>
      <c r="L459" s="21">
        <f t="shared" si="422"/>
        <v>106.4000343553804</v>
      </c>
      <c r="M459" s="4"/>
      <c r="N459" s="7"/>
      <c r="O459" s="7"/>
      <c r="P459" s="7"/>
      <c r="Q459" s="7"/>
      <c r="R459" s="7"/>
      <c r="S459" s="7"/>
      <c r="T459" s="7"/>
      <c r="U459" s="7"/>
      <c r="V459" s="7"/>
    </row>
    <row r="460" spans="1:22" s="231" customFormat="1" outlineLevel="2" x14ac:dyDescent="0.3">
      <c r="A460" s="448"/>
      <c r="B460" s="231" t="s">
        <v>78</v>
      </c>
      <c r="C460" s="21">
        <f t="shared" ref="C460:L460" si="423">C450/$B$15</f>
        <v>-0.81218428660003616</v>
      </c>
      <c r="D460" s="21">
        <f t="shared" si="423"/>
        <v>20.630259441796049</v>
      </c>
      <c r="E460" s="21">
        <f t="shared" si="423"/>
        <v>42.072703170192135</v>
      </c>
      <c r="F460" s="21">
        <f t="shared" si="423"/>
        <v>63.515146898588227</v>
      </c>
      <c r="G460" s="21">
        <f t="shared" si="423"/>
        <v>84.957590626984313</v>
      </c>
      <c r="H460" s="21">
        <f t="shared" si="423"/>
        <v>106.4000343553804</v>
      </c>
      <c r="I460" s="21">
        <f t="shared" si="423"/>
        <v>127.84247808377648</v>
      </c>
      <c r="J460" s="21">
        <f t="shared" si="423"/>
        <v>127.84247808377648</v>
      </c>
      <c r="K460" s="21">
        <f t="shared" si="423"/>
        <v>127.84247808377648</v>
      </c>
      <c r="L460" s="21">
        <f t="shared" si="423"/>
        <v>127.84247808377648</v>
      </c>
      <c r="M460" s="4"/>
      <c r="N460" s="7"/>
      <c r="O460" s="7"/>
      <c r="P460" s="7"/>
      <c r="Q460" s="7"/>
      <c r="R460" s="7"/>
      <c r="S460" s="7"/>
      <c r="T460" s="7"/>
      <c r="U460" s="7"/>
      <c r="V460" s="7"/>
    </row>
    <row r="461" spans="1:22" s="231" customFormat="1" outlineLevel="2" x14ac:dyDescent="0.3">
      <c r="A461" s="448"/>
      <c r="B461" s="231" t="s">
        <v>79</v>
      </c>
      <c r="C461" s="21">
        <f t="shared" ref="C461:L461" si="424">C451/$B$15</f>
        <v>-0.81218428660003616</v>
      </c>
      <c r="D461" s="21">
        <f t="shared" si="424"/>
        <v>20.630259441796049</v>
      </c>
      <c r="E461" s="21">
        <f t="shared" si="424"/>
        <v>42.072703170192135</v>
      </c>
      <c r="F461" s="21">
        <f t="shared" si="424"/>
        <v>63.515146898588227</v>
      </c>
      <c r="G461" s="21">
        <f t="shared" si="424"/>
        <v>84.957590626984313</v>
      </c>
      <c r="H461" s="21">
        <f t="shared" si="424"/>
        <v>106.4000343553804</v>
      </c>
      <c r="I461" s="21">
        <f t="shared" si="424"/>
        <v>127.84247808377648</v>
      </c>
      <c r="J461" s="21">
        <f t="shared" si="424"/>
        <v>149.28492181217257</v>
      </c>
      <c r="K461" s="21">
        <f t="shared" si="424"/>
        <v>149.28492181217257</v>
      </c>
      <c r="L461" s="21">
        <f t="shared" si="424"/>
        <v>149.28492181217257</v>
      </c>
      <c r="M461" s="4"/>
      <c r="N461" s="7"/>
      <c r="O461" s="7"/>
      <c r="P461" s="7"/>
      <c r="Q461" s="7"/>
      <c r="R461" s="7"/>
      <c r="S461" s="7"/>
      <c r="T461" s="7"/>
      <c r="U461" s="7"/>
      <c r="V461" s="7"/>
    </row>
    <row r="462" spans="1:22" s="231" customFormat="1" outlineLevel="2" x14ac:dyDescent="0.3">
      <c r="A462" s="448"/>
      <c r="B462" s="231" t="s">
        <v>80</v>
      </c>
      <c r="C462" s="21">
        <f t="shared" ref="C462:L462" si="425">C452/$B$15</f>
        <v>-0.81218428660003616</v>
      </c>
      <c r="D462" s="21">
        <f t="shared" si="425"/>
        <v>20.630259441796049</v>
      </c>
      <c r="E462" s="21">
        <f t="shared" si="425"/>
        <v>42.072703170192135</v>
      </c>
      <c r="F462" s="21">
        <f t="shared" si="425"/>
        <v>63.515146898588227</v>
      </c>
      <c r="G462" s="21">
        <f t="shared" si="425"/>
        <v>84.957590626984313</v>
      </c>
      <c r="H462" s="21">
        <f t="shared" si="425"/>
        <v>106.4000343553804</v>
      </c>
      <c r="I462" s="21">
        <f t="shared" si="425"/>
        <v>127.84247808377648</v>
      </c>
      <c r="J462" s="21">
        <f t="shared" si="425"/>
        <v>149.28492181217257</v>
      </c>
      <c r="K462" s="21">
        <f t="shared" si="425"/>
        <v>170.72736554056866</v>
      </c>
      <c r="L462" s="21">
        <f t="shared" si="425"/>
        <v>170.72736554056866</v>
      </c>
      <c r="M462" s="4"/>
      <c r="N462" s="7"/>
      <c r="O462" s="7"/>
      <c r="P462" s="7"/>
      <c r="Q462" s="7"/>
      <c r="R462" s="7"/>
      <c r="S462" s="7"/>
      <c r="T462" s="7"/>
      <c r="U462" s="7"/>
      <c r="V462" s="7"/>
    </row>
    <row r="463" spans="1:22" s="231" customFormat="1" outlineLevel="2" x14ac:dyDescent="0.3">
      <c r="A463" s="449"/>
      <c r="B463" s="182" t="s">
        <v>134</v>
      </c>
      <c r="C463" s="239">
        <f t="shared" ref="C463:L463" si="426">C453/$B$15</f>
        <v>-0.81218428660003616</v>
      </c>
      <c r="D463" s="239">
        <f t="shared" si="426"/>
        <v>20.630259441796049</v>
      </c>
      <c r="E463" s="239">
        <f t="shared" si="426"/>
        <v>42.072703170192135</v>
      </c>
      <c r="F463" s="239">
        <f t="shared" si="426"/>
        <v>63.515146898588227</v>
      </c>
      <c r="G463" s="239">
        <f t="shared" si="426"/>
        <v>84.957590626984313</v>
      </c>
      <c r="H463" s="239">
        <f t="shared" si="426"/>
        <v>106.4000343553804</v>
      </c>
      <c r="I463" s="239">
        <f t="shared" si="426"/>
        <v>127.84247808377648</v>
      </c>
      <c r="J463" s="239">
        <f t="shared" si="426"/>
        <v>149.28492181217257</v>
      </c>
      <c r="K463" s="239">
        <f t="shared" si="426"/>
        <v>170.72736554056866</v>
      </c>
      <c r="L463" s="239">
        <f t="shared" si="426"/>
        <v>192.16980926896474</v>
      </c>
      <c r="M463" s="4"/>
      <c r="N463" s="7"/>
      <c r="O463" s="7"/>
      <c r="P463" s="7"/>
      <c r="Q463" s="7"/>
      <c r="R463" s="7"/>
      <c r="S463" s="7"/>
      <c r="T463" s="7"/>
      <c r="U463" s="7"/>
      <c r="V463" s="7"/>
    </row>
    <row r="464" spans="1:22" s="231" customFormat="1" x14ac:dyDescent="0.3">
      <c r="A464" s="241"/>
      <c r="B464" s="227"/>
      <c r="C464" s="144"/>
      <c r="D464" s="144"/>
      <c r="E464" s="144"/>
      <c r="F464" s="144"/>
      <c r="G464" s="144"/>
      <c r="H464" s="144"/>
      <c r="I464" s="144"/>
      <c r="J464" s="144"/>
      <c r="K464" s="144"/>
      <c r="L464" s="144"/>
    </row>
    <row r="465" spans="1:22" s="306" customFormat="1" ht="18" x14ac:dyDescent="0.35">
      <c r="A465" s="303" t="s">
        <v>257</v>
      </c>
      <c r="B465" s="304"/>
      <c r="C465" s="305"/>
      <c r="D465" s="305"/>
      <c r="E465" s="305"/>
      <c r="F465" s="305"/>
      <c r="G465" s="305"/>
      <c r="H465" s="305"/>
      <c r="I465" s="305"/>
      <c r="J465" s="305"/>
      <c r="K465" s="305"/>
      <c r="L465" s="305"/>
    </row>
    <row r="466" spans="1:22" s="231" customFormat="1" x14ac:dyDescent="0.3">
      <c r="C466" s="456" t="s">
        <v>374</v>
      </c>
      <c r="D466" s="456"/>
      <c r="E466" s="456"/>
      <c r="F466" s="456"/>
      <c r="G466" s="456"/>
      <c r="H466" s="456"/>
      <c r="I466" s="456"/>
      <c r="J466" s="456"/>
      <c r="K466" s="456"/>
      <c r="L466" s="456"/>
      <c r="M466" s="500"/>
      <c r="N466" s="500"/>
      <c r="O466" s="500"/>
      <c r="P466" s="500"/>
      <c r="Q466" s="500"/>
      <c r="R466" s="500"/>
      <c r="S466" s="500"/>
      <c r="T466" s="500"/>
      <c r="U466" s="500"/>
      <c r="V466" s="500"/>
    </row>
    <row r="467" spans="1:22" s="67" customFormat="1" x14ac:dyDescent="0.3">
      <c r="C467" s="451" t="s">
        <v>71</v>
      </c>
      <c r="D467" s="451"/>
      <c r="E467" s="451"/>
      <c r="F467" s="451"/>
      <c r="G467" s="451"/>
      <c r="H467" s="451"/>
      <c r="I467" s="451"/>
      <c r="J467" s="451"/>
      <c r="K467" s="451"/>
      <c r="L467" s="451"/>
      <c r="M467" s="501"/>
      <c r="N467" s="501"/>
      <c r="O467" s="501"/>
      <c r="P467" s="501"/>
      <c r="Q467" s="501"/>
      <c r="R467" s="501"/>
      <c r="S467" s="501"/>
      <c r="T467" s="501"/>
      <c r="U467" s="501"/>
      <c r="V467" s="501"/>
    </row>
    <row r="468" spans="1:22" s="67" customFormat="1" x14ac:dyDescent="0.3">
      <c r="C468" s="158">
        <v>1</v>
      </c>
      <c r="D468" s="158">
        <v>2</v>
      </c>
      <c r="E468" s="158">
        <v>3</v>
      </c>
      <c r="F468" s="158">
        <v>4</v>
      </c>
      <c r="G468" s="158">
        <v>5</v>
      </c>
      <c r="H468" s="158">
        <v>6</v>
      </c>
      <c r="I468" s="158">
        <v>7</v>
      </c>
      <c r="J468" s="158">
        <v>8</v>
      </c>
      <c r="K468" s="158">
        <v>9</v>
      </c>
      <c r="L468" s="158">
        <v>10</v>
      </c>
      <c r="M468" s="354"/>
      <c r="N468" s="354"/>
      <c r="O468" s="354"/>
      <c r="P468" s="354"/>
      <c r="Q468" s="354"/>
      <c r="R468" s="354"/>
      <c r="S468" s="354"/>
      <c r="T468" s="354"/>
      <c r="U468" s="354"/>
      <c r="V468" s="354"/>
    </row>
    <row r="469" spans="1:22" s="67" customFormat="1" x14ac:dyDescent="0.3">
      <c r="B469" s="175" t="s">
        <v>81</v>
      </c>
      <c r="C469" s="242">
        <f t="shared" ref="C469:L469" si="427">C202</f>
        <v>-373.45622506643957</v>
      </c>
      <c r="D469" s="242">
        <f t="shared" si="427"/>
        <v>-373.45622506643957</v>
      </c>
      <c r="E469" s="242">
        <f t="shared" si="427"/>
        <v>-373.45622506643957</v>
      </c>
      <c r="F469" s="242">
        <f t="shared" si="427"/>
        <v>-373.45622506643957</v>
      </c>
      <c r="G469" s="242">
        <f t="shared" si="427"/>
        <v>-373.45622506643957</v>
      </c>
      <c r="H469" s="242">
        <f t="shared" si="427"/>
        <v>-373.45622506643957</v>
      </c>
      <c r="I469" s="242">
        <f t="shared" si="427"/>
        <v>-373.45622506643957</v>
      </c>
      <c r="J469" s="242">
        <f t="shared" si="427"/>
        <v>-373.45622506643957</v>
      </c>
      <c r="K469" s="242">
        <f t="shared" si="427"/>
        <v>-373.45622506643957</v>
      </c>
      <c r="L469" s="242">
        <f t="shared" si="427"/>
        <v>-373.45622506643957</v>
      </c>
      <c r="M469" s="373"/>
      <c r="N469" s="373"/>
      <c r="O469" s="373"/>
      <c r="P469" s="373"/>
      <c r="Q469" s="373"/>
      <c r="R469" s="373"/>
      <c r="S469" s="373"/>
      <c r="T469" s="373"/>
      <c r="U469" s="373"/>
      <c r="V469" s="373"/>
    </row>
    <row r="470" spans="1:22" s="67" customFormat="1" x14ac:dyDescent="0.3">
      <c r="B470" s="175" t="s">
        <v>82</v>
      </c>
      <c r="C470" s="242">
        <f t="shared" ref="C470:L470" si="428">C203</f>
        <v>-223.11929907868213</v>
      </c>
      <c r="D470" s="242">
        <f t="shared" si="428"/>
        <v>-630.59175942079514</v>
      </c>
      <c r="E470" s="242">
        <f t="shared" si="428"/>
        <v>-630.59175942079514</v>
      </c>
      <c r="F470" s="242">
        <f t="shared" si="428"/>
        <v>-630.59175942079514</v>
      </c>
      <c r="G470" s="242">
        <f t="shared" si="428"/>
        <v>-630.59175942079514</v>
      </c>
      <c r="H470" s="242">
        <f t="shared" si="428"/>
        <v>-630.59175942079514</v>
      </c>
      <c r="I470" s="242">
        <f t="shared" si="428"/>
        <v>-630.59175942079514</v>
      </c>
      <c r="J470" s="242">
        <f t="shared" si="428"/>
        <v>-630.59175942079514</v>
      </c>
      <c r="K470" s="242">
        <f t="shared" si="428"/>
        <v>-630.59175942079514</v>
      </c>
      <c r="L470" s="242">
        <f t="shared" si="428"/>
        <v>-630.59175942079514</v>
      </c>
      <c r="M470" s="373"/>
      <c r="N470" s="373"/>
      <c r="O470" s="373"/>
      <c r="P470" s="373"/>
      <c r="Q470" s="373"/>
      <c r="R470" s="373"/>
      <c r="S470" s="373"/>
      <c r="T470" s="373"/>
      <c r="U470" s="373"/>
      <c r="V470" s="373"/>
    </row>
    <row r="471" spans="1:22" s="67" customFormat="1" x14ac:dyDescent="0.3">
      <c r="B471" s="175" t="s">
        <v>83</v>
      </c>
      <c r="C471" s="242">
        <f t="shared" ref="C471:L471" si="429">C204</f>
        <v>-223.11929907868213</v>
      </c>
      <c r="D471" s="242">
        <f t="shared" si="429"/>
        <v>-480.25483343303773</v>
      </c>
      <c r="E471" s="242">
        <f t="shared" si="429"/>
        <v>-823.48742080167654</v>
      </c>
      <c r="F471" s="242">
        <f t="shared" si="429"/>
        <v>-823.48742080167654</v>
      </c>
      <c r="G471" s="242">
        <f t="shared" si="429"/>
        <v>-823.48742080167654</v>
      </c>
      <c r="H471" s="242">
        <f t="shared" si="429"/>
        <v>-823.48742080167654</v>
      </c>
      <c r="I471" s="242">
        <f t="shared" si="429"/>
        <v>-823.48742080167654</v>
      </c>
      <c r="J471" s="242">
        <f t="shared" si="429"/>
        <v>-823.48742080167654</v>
      </c>
      <c r="K471" s="242">
        <f t="shared" si="429"/>
        <v>-823.48742080167654</v>
      </c>
      <c r="L471" s="242">
        <f t="shared" si="429"/>
        <v>-823.48742080167654</v>
      </c>
      <c r="M471" s="373"/>
      <c r="N471" s="373"/>
      <c r="O471" s="373"/>
      <c r="P471" s="373"/>
      <c r="Q471" s="373"/>
      <c r="R471" s="373"/>
      <c r="S471" s="373"/>
      <c r="T471" s="373"/>
      <c r="U471" s="373"/>
      <c r="V471" s="373"/>
    </row>
    <row r="472" spans="1:22" s="67" customFormat="1" x14ac:dyDescent="0.3">
      <c r="B472" s="175" t="s">
        <v>84</v>
      </c>
      <c r="C472" s="242">
        <f t="shared" ref="C472:L472" si="430">C205</f>
        <v>-223.11929907868213</v>
      </c>
      <c r="D472" s="242">
        <f t="shared" si="430"/>
        <v>-480.25483343303773</v>
      </c>
      <c r="E472" s="242">
        <f t="shared" si="430"/>
        <v>-673.15049481391907</v>
      </c>
      <c r="F472" s="242">
        <f t="shared" si="430"/>
        <v>-964.99118380377831</v>
      </c>
      <c r="G472" s="242">
        <f t="shared" si="430"/>
        <v>-964.99118380377831</v>
      </c>
      <c r="H472" s="242">
        <f t="shared" si="430"/>
        <v>-964.99118380377831</v>
      </c>
      <c r="I472" s="242">
        <f t="shared" si="430"/>
        <v>-964.99118380377831</v>
      </c>
      <c r="J472" s="242">
        <f t="shared" si="430"/>
        <v>-964.99118380377831</v>
      </c>
      <c r="K472" s="242">
        <f t="shared" si="430"/>
        <v>-964.99118380377831</v>
      </c>
      <c r="L472" s="242">
        <f t="shared" si="430"/>
        <v>-964.99118380377831</v>
      </c>
      <c r="M472" s="373"/>
      <c r="N472" s="373"/>
      <c r="O472" s="373"/>
      <c r="P472" s="373"/>
      <c r="Q472" s="373"/>
      <c r="R472" s="373"/>
      <c r="S472" s="373"/>
      <c r="T472" s="373"/>
      <c r="U472" s="373"/>
      <c r="V472" s="373"/>
    </row>
    <row r="473" spans="1:22" s="67" customFormat="1" x14ac:dyDescent="0.3">
      <c r="B473" s="175" t="s">
        <v>85</v>
      </c>
      <c r="C473" s="242">
        <f t="shared" ref="C473:L473" si="431">C206</f>
        <v>-223.11929907868213</v>
      </c>
      <c r="D473" s="242">
        <f t="shared" si="431"/>
        <v>-480.25483343303773</v>
      </c>
      <c r="E473" s="242">
        <f t="shared" si="431"/>
        <v>-673.15049481391907</v>
      </c>
      <c r="F473" s="242">
        <f t="shared" si="431"/>
        <v>-814.65425781602096</v>
      </c>
      <c r="G473" s="242">
        <f t="shared" si="431"/>
        <v>-1065.3814281028567</v>
      </c>
      <c r="H473" s="242">
        <f t="shared" si="431"/>
        <v>-1065.3814281028567</v>
      </c>
      <c r="I473" s="242">
        <f t="shared" si="431"/>
        <v>-1065.3814281028567</v>
      </c>
      <c r="J473" s="242">
        <f t="shared" si="431"/>
        <v>-1065.3814281028567</v>
      </c>
      <c r="K473" s="242">
        <f t="shared" si="431"/>
        <v>-1065.3814281028567</v>
      </c>
      <c r="L473" s="242">
        <f t="shared" si="431"/>
        <v>-1065.3814281028567</v>
      </c>
      <c r="M473" s="373"/>
      <c r="N473" s="373"/>
      <c r="O473" s="373"/>
      <c r="P473" s="373"/>
      <c r="Q473" s="373"/>
      <c r="R473" s="373"/>
      <c r="S473" s="373"/>
      <c r="T473" s="373"/>
      <c r="U473" s="373"/>
      <c r="V473" s="373"/>
    </row>
    <row r="474" spans="1:22" s="67" customFormat="1" x14ac:dyDescent="0.3">
      <c r="B474" s="175" t="s">
        <v>86</v>
      </c>
      <c r="C474" s="242">
        <f t="shared" ref="C474:L474" si="432">C207</f>
        <v>-223.11929907868213</v>
      </c>
      <c r="D474" s="242">
        <f t="shared" si="432"/>
        <v>-480.25483343303773</v>
      </c>
      <c r="E474" s="242">
        <f t="shared" si="432"/>
        <v>-673.15049481391907</v>
      </c>
      <c r="F474" s="242">
        <f t="shared" si="432"/>
        <v>-814.65425781602096</v>
      </c>
      <c r="G474" s="242">
        <f t="shared" si="432"/>
        <v>-915.04450211509925</v>
      </c>
      <c r="H474" s="242">
        <f t="shared" si="432"/>
        <v>-1132.8808574395161</v>
      </c>
      <c r="I474" s="242">
        <f t="shared" si="432"/>
        <v>-1132.8808574395161</v>
      </c>
      <c r="J474" s="242">
        <f t="shared" si="432"/>
        <v>-1132.8808574395161</v>
      </c>
      <c r="K474" s="242">
        <f t="shared" si="432"/>
        <v>-1132.8808574395161</v>
      </c>
      <c r="L474" s="242">
        <f t="shared" si="432"/>
        <v>-1132.8808574395161</v>
      </c>
      <c r="M474" s="373"/>
      <c r="N474" s="373"/>
      <c r="O474" s="373"/>
      <c r="P474" s="373"/>
      <c r="Q474" s="373"/>
      <c r="R474" s="373"/>
      <c r="S474" s="373"/>
      <c r="T474" s="373"/>
      <c r="U474" s="373"/>
      <c r="V474" s="373"/>
    </row>
    <row r="475" spans="1:22" s="67" customFormat="1" x14ac:dyDescent="0.3">
      <c r="B475" s="175" t="s">
        <v>87</v>
      </c>
      <c r="C475" s="242">
        <f t="shared" ref="C475:L475" si="433">C208</f>
        <v>-223.11929907868213</v>
      </c>
      <c r="D475" s="242">
        <f t="shared" si="433"/>
        <v>-480.25483343303773</v>
      </c>
      <c r="E475" s="242">
        <f t="shared" si="433"/>
        <v>-673.15049481391907</v>
      </c>
      <c r="F475" s="242">
        <f t="shared" si="433"/>
        <v>-814.65425781602096</v>
      </c>
      <c r="G475" s="242">
        <f t="shared" si="433"/>
        <v>-915.04450211509925</v>
      </c>
      <c r="H475" s="242">
        <f t="shared" si="433"/>
        <v>-982.54393145175868</v>
      </c>
      <c r="I475" s="242">
        <f t="shared" si="433"/>
        <v>-1174.0676348062404</v>
      </c>
      <c r="J475" s="242">
        <f t="shared" si="433"/>
        <v>-1174.0676348062404</v>
      </c>
      <c r="K475" s="242">
        <f t="shared" si="433"/>
        <v>-1174.0676348062404</v>
      </c>
      <c r="L475" s="242">
        <f t="shared" si="433"/>
        <v>-1174.0676348062404</v>
      </c>
      <c r="M475" s="373"/>
      <c r="N475" s="373"/>
      <c r="O475" s="373"/>
      <c r="P475" s="373"/>
      <c r="Q475" s="373"/>
      <c r="R475" s="373"/>
      <c r="S475" s="373"/>
      <c r="T475" s="373"/>
      <c r="U475" s="373"/>
      <c r="V475" s="373"/>
    </row>
    <row r="476" spans="1:22" s="67" customFormat="1" x14ac:dyDescent="0.3">
      <c r="B476" s="175" t="s">
        <v>88</v>
      </c>
      <c r="C476" s="242">
        <f t="shared" ref="C476:L476" si="434">C209</f>
        <v>-223.11929907868213</v>
      </c>
      <c r="D476" s="242">
        <f t="shared" si="434"/>
        <v>-480.25483343303773</v>
      </c>
      <c r="E476" s="242">
        <f t="shared" si="434"/>
        <v>-673.15049481391907</v>
      </c>
      <c r="F476" s="242">
        <f t="shared" si="434"/>
        <v>-814.65425781602096</v>
      </c>
      <c r="G476" s="242">
        <f t="shared" si="434"/>
        <v>-915.04450211509925</v>
      </c>
      <c r="H476" s="242">
        <f t="shared" si="434"/>
        <v>-982.54393145175868</v>
      </c>
      <c r="I476" s="242">
        <f t="shared" si="434"/>
        <v>-1023.7307088184831</v>
      </c>
      <c r="J476" s="242">
        <f t="shared" si="434"/>
        <v>-1194.2042905970168</v>
      </c>
      <c r="K476" s="242">
        <f t="shared" si="434"/>
        <v>-1194.2042905970168</v>
      </c>
      <c r="L476" s="242">
        <f t="shared" si="434"/>
        <v>-1194.2042905970168</v>
      </c>
      <c r="M476" s="373"/>
      <c r="N476" s="373"/>
      <c r="O476" s="373"/>
      <c r="P476" s="373"/>
      <c r="Q476" s="373"/>
      <c r="R476" s="373"/>
      <c r="S476" s="373"/>
      <c r="T476" s="373"/>
      <c r="U476" s="373"/>
      <c r="V476" s="373"/>
    </row>
    <row r="477" spans="1:22" s="67" customFormat="1" x14ac:dyDescent="0.3">
      <c r="B477" s="175" t="s">
        <v>89</v>
      </c>
      <c r="C477" s="242">
        <f t="shared" ref="C477:L477" si="435">C210</f>
        <v>-223.11929907868213</v>
      </c>
      <c r="D477" s="242">
        <f t="shared" si="435"/>
        <v>-480.25483343303773</v>
      </c>
      <c r="E477" s="242">
        <f t="shared" si="435"/>
        <v>-673.15049481391907</v>
      </c>
      <c r="F477" s="242">
        <f t="shared" si="435"/>
        <v>-814.65425781602096</v>
      </c>
      <c r="G477" s="242">
        <f t="shared" si="435"/>
        <v>-915.04450211509925</v>
      </c>
      <c r="H477" s="242">
        <f t="shared" si="435"/>
        <v>-982.54393145175868</v>
      </c>
      <c r="I477" s="242">
        <f t="shared" si="435"/>
        <v>-1023.7307088184831</v>
      </c>
      <c r="J477" s="242">
        <f t="shared" si="435"/>
        <v>-1043.8673646092593</v>
      </c>
      <c r="K477" s="242">
        <f t="shared" si="435"/>
        <v>-1197.5008491270348</v>
      </c>
      <c r="L477" s="242">
        <f t="shared" si="435"/>
        <v>-1197.5008491270348</v>
      </c>
      <c r="M477" s="373"/>
      <c r="N477" s="373"/>
      <c r="O477" s="373"/>
      <c r="P477" s="373"/>
      <c r="Q477" s="373"/>
      <c r="R477" s="373"/>
      <c r="S477" s="373"/>
      <c r="T477" s="373"/>
      <c r="U477" s="373"/>
      <c r="V477" s="373"/>
    </row>
    <row r="478" spans="1:22" s="67" customFormat="1" x14ac:dyDescent="0.3">
      <c r="A478" s="12"/>
      <c r="B478" s="433" t="s">
        <v>90</v>
      </c>
      <c r="C478" s="438">
        <f t="shared" ref="C478:L478" si="436">C211</f>
        <v>-223.11929907868213</v>
      </c>
      <c r="D478" s="438">
        <f t="shared" si="436"/>
        <v>-480.25483343303773</v>
      </c>
      <c r="E478" s="438">
        <f t="shared" si="436"/>
        <v>-673.15049481391907</v>
      </c>
      <c r="F478" s="438">
        <f t="shared" si="436"/>
        <v>-814.65425781602096</v>
      </c>
      <c r="G478" s="438">
        <f t="shared" si="436"/>
        <v>-915.04450211509925</v>
      </c>
      <c r="H478" s="438">
        <f t="shared" si="436"/>
        <v>-982.54393145175868</v>
      </c>
      <c r="I478" s="438">
        <f t="shared" si="436"/>
        <v>-1023.7307088184831</v>
      </c>
      <c r="J478" s="438">
        <f t="shared" si="436"/>
        <v>-1043.8673646092593</v>
      </c>
      <c r="K478" s="438">
        <f t="shared" si="436"/>
        <v>-1047.1639231392774</v>
      </c>
      <c r="L478" s="438">
        <f t="shared" si="436"/>
        <v>-1036.9884038606885</v>
      </c>
      <c r="M478" s="373"/>
      <c r="N478" s="373"/>
      <c r="O478" s="373"/>
      <c r="P478" s="373"/>
      <c r="Q478" s="373"/>
      <c r="R478" s="373"/>
      <c r="S478" s="373"/>
      <c r="T478" s="373"/>
      <c r="U478" s="373"/>
      <c r="V478" s="373"/>
    </row>
    <row r="479" spans="1:22" s="67" customFormat="1" x14ac:dyDescent="0.3">
      <c r="B479" s="176" t="s">
        <v>91</v>
      </c>
      <c r="C479" s="242">
        <f t="shared" ref="C479:L479" si="437">C286</f>
        <v>-116.48767841461236</v>
      </c>
      <c r="D479" s="242">
        <f t="shared" si="437"/>
        <v>-125.69413361772868</v>
      </c>
      <c r="E479" s="242">
        <f t="shared" si="437"/>
        <v>-133.05929778022173</v>
      </c>
      <c r="F479" s="242">
        <f t="shared" si="437"/>
        <v>-138.95142911021617</v>
      </c>
      <c r="G479" s="242">
        <f t="shared" si="437"/>
        <v>-143.66513417421172</v>
      </c>
      <c r="H479" s="242">
        <f t="shared" si="437"/>
        <v>-147.43609822540816</v>
      </c>
      <c r="I479" s="242">
        <f t="shared" si="437"/>
        <v>-150.45286946636531</v>
      </c>
      <c r="J479" s="242">
        <f t="shared" si="437"/>
        <v>-152.86628645913103</v>
      </c>
      <c r="K479" s="242">
        <f t="shared" si="437"/>
        <v>-154.7970200533436</v>
      </c>
      <c r="L479" s="242">
        <f t="shared" si="437"/>
        <v>-156.34160692871367</v>
      </c>
      <c r="M479" s="68"/>
      <c r="N479" s="68"/>
      <c r="O479" s="68"/>
      <c r="P479" s="68"/>
      <c r="Q479" s="68"/>
      <c r="R479" s="68"/>
      <c r="S479" s="68"/>
      <c r="T479" s="68"/>
      <c r="U479" s="68"/>
      <c r="V479" s="68"/>
    </row>
    <row r="480" spans="1:22" s="67" customFormat="1" x14ac:dyDescent="0.3">
      <c r="B480" s="176" t="s">
        <v>92</v>
      </c>
      <c r="C480" s="242">
        <f t="shared" ref="C480:L480" si="438">C287</f>
        <v>-107.63403345078376</v>
      </c>
      <c r="D480" s="242">
        <f t="shared" si="438"/>
        <v>-154.64826415090084</v>
      </c>
      <c r="E480" s="242">
        <f t="shared" si="438"/>
        <v>-162.01342831339392</v>
      </c>
      <c r="F480" s="242">
        <f t="shared" si="438"/>
        <v>-167.90555964338833</v>
      </c>
      <c r="G480" s="242">
        <f t="shared" si="438"/>
        <v>-172.61926470738388</v>
      </c>
      <c r="H480" s="242">
        <f t="shared" si="438"/>
        <v>-176.39022875858032</v>
      </c>
      <c r="I480" s="242">
        <f t="shared" si="438"/>
        <v>-179.40699999953748</v>
      </c>
      <c r="J480" s="242">
        <f t="shared" si="438"/>
        <v>-181.82041699230319</v>
      </c>
      <c r="K480" s="242">
        <f t="shared" si="438"/>
        <v>-183.75115058651576</v>
      </c>
      <c r="L480" s="242">
        <f t="shared" si="438"/>
        <v>-185.29573746188584</v>
      </c>
      <c r="M480" s="68"/>
      <c r="N480" s="68"/>
      <c r="O480" s="68"/>
      <c r="P480" s="68"/>
      <c r="Q480" s="68"/>
      <c r="R480" s="68"/>
      <c r="S480" s="68"/>
      <c r="T480" s="68"/>
      <c r="U480" s="68"/>
      <c r="V480" s="68"/>
    </row>
    <row r="481" spans="1:22" s="67" customFormat="1" x14ac:dyDescent="0.3">
      <c r="B481" s="176" t="s">
        <v>93</v>
      </c>
      <c r="C481" s="242">
        <f t="shared" ref="C481:L481" si="439">C288</f>
        <v>-107.63403345078376</v>
      </c>
      <c r="D481" s="242">
        <f t="shared" si="439"/>
        <v>-145.79461918707224</v>
      </c>
      <c r="E481" s="242">
        <f t="shared" si="439"/>
        <v>-172.36396663732847</v>
      </c>
      <c r="F481" s="242">
        <f t="shared" si="439"/>
        <v>-178.25609796732289</v>
      </c>
      <c r="G481" s="242">
        <f t="shared" si="439"/>
        <v>-182.96980303131843</v>
      </c>
      <c r="H481" s="242">
        <f t="shared" si="439"/>
        <v>-186.74076708251488</v>
      </c>
      <c r="I481" s="242">
        <f t="shared" si="439"/>
        <v>-189.75753832347201</v>
      </c>
      <c r="J481" s="242">
        <f t="shared" si="439"/>
        <v>-192.17095531623772</v>
      </c>
      <c r="K481" s="242">
        <f t="shared" si="439"/>
        <v>-194.10168891045029</v>
      </c>
      <c r="L481" s="242">
        <f t="shared" si="439"/>
        <v>-195.64627578582034</v>
      </c>
      <c r="M481" s="68"/>
      <c r="N481" s="68"/>
      <c r="O481" s="68"/>
      <c r="P481" s="68"/>
      <c r="Q481" s="68"/>
      <c r="R481" s="68"/>
      <c r="S481" s="68"/>
      <c r="T481" s="68"/>
      <c r="U481" s="68"/>
      <c r="V481" s="68"/>
    </row>
    <row r="482" spans="1:22" s="67" customFormat="1" x14ac:dyDescent="0.3">
      <c r="B482" s="176" t="s">
        <v>94</v>
      </c>
      <c r="C482" s="242">
        <f t="shared" ref="C482:L482" si="440">C289</f>
        <v>-107.63403345078376</v>
      </c>
      <c r="D482" s="242">
        <f t="shared" si="440"/>
        <v>-145.79461918707224</v>
      </c>
      <c r="E482" s="242">
        <f t="shared" si="440"/>
        <v>-163.51032167349985</v>
      </c>
      <c r="F482" s="242">
        <f t="shared" si="440"/>
        <v>-173.72376252386738</v>
      </c>
      <c r="G482" s="242">
        <f t="shared" si="440"/>
        <v>-178.43746758786293</v>
      </c>
      <c r="H482" s="242">
        <f t="shared" si="440"/>
        <v>-182.20843163905937</v>
      </c>
      <c r="I482" s="242">
        <f t="shared" si="440"/>
        <v>-185.2252028800165</v>
      </c>
      <c r="J482" s="242">
        <f t="shared" si="440"/>
        <v>-187.63861987278221</v>
      </c>
      <c r="K482" s="242">
        <f t="shared" si="440"/>
        <v>-189.56935346699478</v>
      </c>
      <c r="L482" s="242">
        <f t="shared" si="440"/>
        <v>-191.11394034236486</v>
      </c>
      <c r="M482" s="68"/>
      <c r="N482" s="68"/>
      <c r="O482" s="68"/>
      <c r="P482" s="68"/>
      <c r="Q482" s="68"/>
      <c r="R482" s="68"/>
      <c r="S482" s="68"/>
      <c r="T482" s="68"/>
      <c r="U482" s="68"/>
      <c r="V482" s="68"/>
    </row>
    <row r="483" spans="1:22" s="67" customFormat="1" x14ac:dyDescent="0.3">
      <c r="B483" s="176" t="s">
        <v>95</v>
      </c>
      <c r="C483" s="242">
        <f t="shared" ref="C483:L483" si="441">C290</f>
        <v>-107.63403345078376</v>
      </c>
      <c r="D483" s="242">
        <f t="shared" si="441"/>
        <v>-145.79461918707224</v>
      </c>
      <c r="E483" s="242">
        <f t="shared" si="441"/>
        <v>-163.51032167349985</v>
      </c>
      <c r="F483" s="242">
        <f t="shared" si="441"/>
        <v>-164.87011756003878</v>
      </c>
      <c r="G483" s="242">
        <f t="shared" si="441"/>
        <v>-161.99883313049531</v>
      </c>
      <c r="H483" s="242">
        <f t="shared" si="441"/>
        <v>-165.76979718169176</v>
      </c>
      <c r="I483" s="242">
        <f t="shared" si="441"/>
        <v>-168.78656842264891</v>
      </c>
      <c r="J483" s="242">
        <f t="shared" si="441"/>
        <v>-171.19998541541463</v>
      </c>
      <c r="K483" s="242">
        <f t="shared" si="441"/>
        <v>-173.1307190096272</v>
      </c>
      <c r="L483" s="242">
        <f t="shared" si="441"/>
        <v>-174.67530588499727</v>
      </c>
      <c r="M483" s="68"/>
      <c r="N483" s="68"/>
      <c r="O483" s="68"/>
      <c r="P483" s="68"/>
      <c r="Q483" s="68"/>
      <c r="R483" s="68"/>
      <c r="S483" s="68"/>
      <c r="T483" s="68"/>
      <c r="U483" s="68"/>
      <c r="V483" s="68"/>
    </row>
    <row r="484" spans="1:22" s="67" customFormat="1" x14ac:dyDescent="0.3">
      <c r="B484" s="176" t="s">
        <v>96</v>
      </c>
      <c r="C484" s="242">
        <f t="shared" ref="C484:L484" si="442">C291</f>
        <v>-107.63403345078376</v>
      </c>
      <c r="D484" s="242">
        <f t="shared" si="442"/>
        <v>-145.79461918707224</v>
      </c>
      <c r="E484" s="242">
        <f t="shared" si="442"/>
        <v>-163.51032167349985</v>
      </c>
      <c r="F484" s="242">
        <f t="shared" si="442"/>
        <v>-164.87011756003878</v>
      </c>
      <c r="G484" s="242">
        <f t="shared" si="442"/>
        <v>-153.14518816666671</v>
      </c>
      <c r="H484" s="242">
        <f t="shared" si="442"/>
        <v>-139.80612351319451</v>
      </c>
      <c r="I484" s="242">
        <f t="shared" si="442"/>
        <v>-142.82289475415166</v>
      </c>
      <c r="J484" s="242">
        <f t="shared" si="442"/>
        <v>-145.23631174691738</v>
      </c>
      <c r="K484" s="242">
        <f t="shared" si="442"/>
        <v>-147.16704534112995</v>
      </c>
      <c r="L484" s="242">
        <f t="shared" si="442"/>
        <v>-148.71163221650002</v>
      </c>
      <c r="M484" s="68"/>
      <c r="N484" s="68"/>
      <c r="O484" s="68"/>
      <c r="P484" s="68"/>
      <c r="Q484" s="68"/>
      <c r="R484" s="68"/>
      <c r="S484" s="68"/>
      <c r="T484" s="68"/>
      <c r="U484" s="68"/>
      <c r="V484" s="68"/>
    </row>
    <row r="485" spans="1:22" s="67" customFormat="1" x14ac:dyDescent="0.3">
      <c r="B485" s="176" t="s">
        <v>97</v>
      </c>
      <c r="C485" s="242">
        <f t="shared" ref="C485:L485" si="443">C292</f>
        <v>-107.63403345078376</v>
      </c>
      <c r="D485" s="242">
        <f t="shared" si="443"/>
        <v>-145.79461918707224</v>
      </c>
      <c r="E485" s="242">
        <f t="shared" si="443"/>
        <v>-163.51032167349985</v>
      </c>
      <c r="F485" s="242">
        <f t="shared" si="443"/>
        <v>-164.87011756003878</v>
      </c>
      <c r="G485" s="242">
        <f t="shared" si="443"/>
        <v>-153.14518816666671</v>
      </c>
      <c r="H485" s="242">
        <f t="shared" si="443"/>
        <v>-130.95247854936591</v>
      </c>
      <c r="I485" s="242">
        <f t="shared" si="443"/>
        <v>-109.23918971675064</v>
      </c>
      <c r="J485" s="242">
        <f t="shared" si="443"/>
        <v>-111.65260670951636</v>
      </c>
      <c r="K485" s="242">
        <f t="shared" si="443"/>
        <v>-113.58334030372893</v>
      </c>
      <c r="L485" s="242">
        <f t="shared" si="443"/>
        <v>-115.127927179099</v>
      </c>
      <c r="M485" s="68"/>
      <c r="N485" s="68"/>
      <c r="O485" s="68"/>
      <c r="P485" s="68"/>
      <c r="Q485" s="68"/>
      <c r="R485" s="68"/>
      <c r="S485" s="68"/>
      <c r="T485" s="68"/>
      <c r="U485" s="68"/>
      <c r="V485" s="68"/>
    </row>
    <row r="486" spans="1:22" s="67" customFormat="1" x14ac:dyDescent="0.3">
      <c r="B486" s="176" t="s">
        <v>98</v>
      </c>
      <c r="C486" s="242">
        <f t="shared" ref="C486:L486" si="444">C293</f>
        <v>-107.63403345078376</v>
      </c>
      <c r="D486" s="242">
        <f t="shared" si="444"/>
        <v>-145.79461918707224</v>
      </c>
      <c r="E486" s="242">
        <f t="shared" si="444"/>
        <v>-163.51032167349985</v>
      </c>
      <c r="F486" s="242">
        <f t="shared" si="444"/>
        <v>-164.87011756003878</v>
      </c>
      <c r="G486" s="242">
        <f t="shared" si="444"/>
        <v>-153.14518816666671</v>
      </c>
      <c r="H486" s="242">
        <f t="shared" si="444"/>
        <v>-130.95247854936591</v>
      </c>
      <c r="I486" s="242">
        <f t="shared" si="444"/>
        <v>-100.38554475292204</v>
      </c>
      <c r="J486" s="242">
        <f t="shared" si="444"/>
        <v>-71.972876576992391</v>
      </c>
      <c r="K486" s="242">
        <f t="shared" si="444"/>
        <v>-73.903610171204974</v>
      </c>
      <c r="L486" s="242">
        <f t="shared" si="444"/>
        <v>-75.448197046575018</v>
      </c>
      <c r="M486" s="68"/>
      <c r="N486" s="68"/>
      <c r="O486" s="68"/>
      <c r="P486" s="68"/>
      <c r="Q486" s="68"/>
      <c r="R486" s="68"/>
      <c r="S486" s="68"/>
      <c r="T486" s="68"/>
      <c r="U486" s="68"/>
      <c r="V486" s="68"/>
    </row>
    <row r="487" spans="1:22" s="67" customFormat="1" x14ac:dyDescent="0.3">
      <c r="B487" s="176" t="s">
        <v>99</v>
      </c>
      <c r="C487" s="242">
        <f t="shared" ref="C487:L487" si="445">C294</f>
        <v>-107.63403345078376</v>
      </c>
      <c r="D487" s="242">
        <f t="shared" si="445"/>
        <v>-145.79461918707224</v>
      </c>
      <c r="E487" s="242">
        <f t="shared" si="445"/>
        <v>-163.51032167349985</v>
      </c>
      <c r="F487" s="242">
        <f t="shared" si="445"/>
        <v>-164.87011756003878</v>
      </c>
      <c r="G487" s="242">
        <f t="shared" si="445"/>
        <v>-153.14518816666671</v>
      </c>
      <c r="H487" s="242">
        <f t="shared" si="445"/>
        <v>-130.95247854936591</v>
      </c>
      <c r="I487" s="242">
        <f t="shared" si="445"/>
        <v>-100.38554475292204</v>
      </c>
      <c r="J487" s="242">
        <f t="shared" si="445"/>
        <v>-63.119231613163784</v>
      </c>
      <c r="K487" s="242">
        <f t="shared" si="445"/>
        <v>-29.347059962582605</v>
      </c>
      <c r="L487" s="242">
        <f t="shared" si="445"/>
        <v>-30.891646837952667</v>
      </c>
      <c r="M487" s="68"/>
      <c r="N487" s="68"/>
      <c r="O487" s="68"/>
      <c r="P487" s="68"/>
      <c r="Q487" s="68"/>
      <c r="R487" s="68"/>
      <c r="S487" s="68"/>
      <c r="T487" s="68"/>
      <c r="U487" s="68"/>
      <c r="V487" s="68"/>
    </row>
    <row r="488" spans="1:22" s="67" customFormat="1" x14ac:dyDescent="0.3">
      <c r="A488" s="12"/>
      <c r="B488" s="434" t="s">
        <v>100</v>
      </c>
      <c r="C488" s="438">
        <f t="shared" ref="C488:L488" si="446">C295</f>
        <v>-107.63403345078376</v>
      </c>
      <c r="D488" s="438">
        <f t="shared" si="446"/>
        <v>-145.79461918707224</v>
      </c>
      <c r="E488" s="438">
        <f t="shared" si="446"/>
        <v>-163.51032167349985</v>
      </c>
      <c r="F488" s="438">
        <f t="shared" si="446"/>
        <v>-164.87011756003878</v>
      </c>
      <c r="G488" s="438">
        <f t="shared" si="446"/>
        <v>-153.14518816666671</v>
      </c>
      <c r="H488" s="438">
        <f t="shared" si="446"/>
        <v>-130.95247854936591</v>
      </c>
      <c r="I488" s="438">
        <f t="shared" si="446"/>
        <v>-100.38554475292204</v>
      </c>
      <c r="J488" s="438">
        <f t="shared" si="446"/>
        <v>-63.119231613163784</v>
      </c>
      <c r="K488" s="438">
        <f t="shared" si="446"/>
        <v>-20.493414998754002</v>
      </c>
      <c r="L488" s="438">
        <f t="shared" si="446"/>
        <v>26.420004395376999</v>
      </c>
      <c r="M488" s="374"/>
      <c r="N488" s="68"/>
      <c r="O488" s="68"/>
      <c r="P488" s="68"/>
      <c r="Q488" s="68"/>
      <c r="R488" s="68"/>
      <c r="S488" s="68"/>
      <c r="T488" s="68"/>
      <c r="U488" s="68"/>
      <c r="V488" s="68"/>
    </row>
    <row r="489" spans="1:22" s="67" customFormat="1" x14ac:dyDescent="0.3">
      <c r="B489" s="176" t="s">
        <v>101</v>
      </c>
      <c r="C489" s="242">
        <f t="shared" ref="C489:L489" si="447">C370</f>
        <v>-46.104314067195993</v>
      </c>
      <c r="D489" s="242">
        <f t="shared" si="447"/>
        <v>-49.808594534641735</v>
      </c>
      <c r="E489" s="242">
        <f t="shared" si="447"/>
        <v>-52.772018908598334</v>
      </c>
      <c r="F489" s="242">
        <f t="shared" si="447"/>
        <v>-55.142758407763601</v>
      </c>
      <c r="G489" s="242">
        <f t="shared" si="447"/>
        <v>-57.039350007095827</v>
      </c>
      <c r="H489" s="242">
        <f t="shared" si="447"/>
        <v>-58.556623286561596</v>
      </c>
      <c r="I489" s="242">
        <f t="shared" si="447"/>
        <v>-59.770441910134224</v>
      </c>
      <c r="J489" s="242">
        <f t="shared" si="447"/>
        <v>-60.741496808992324</v>
      </c>
      <c r="K489" s="242">
        <f t="shared" si="447"/>
        <v>-61.518340728078797</v>
      </c>
      <c r="L489" s="242">
        <f t="shared" si="447"/>
        <v>-62.139815863347977</v>
      </c>
      <c r="M489" s="68"/>
      <c r="N489" s="68"/>
      <c r="O489" s="68"/>
      <c r="P489" s="68"/>
      <c r="Q489" s="68"/>
      <c r="R489" s="68"/>
      <c r="S489" s="68"/>
      <c r="T489" s="68"/>
      <c r="U489" s="68"/>
      <c r="V489" s="68"/>
    </row>
    <row r="490" spans="1:22" s="67" customFormat="1" x14ac:dyDescent="0.3">
      <c r="B490" s="176" t="s">
        <v>102</v>
      </c>
      <c r="C490" s="242">
        <f t="shared" ref="C490:L490" si="448">C371</f>
        <v>-45.147163260295606</v>
      </c>
      <c r="D490" s="242">
        <f t="shared" si="448"/>
        <v>-46.781797559573945</v>
      </c>
      <c r="E490" s="242">
        <f t="shared" si="448"/>
        <v>-49.745221933530537</v>
      </c>
      <c r="F490" s="242">
        <f t="shared" si="448"/>
        <v>-52.115961432695812</v>
      </c>
      <c r="G490" s="242">
        <f t="shared" si="448"/>
        <v>-54.01255303202803</v>
      </c>
      <c r="H490" s="242">
        <f t="shared" si="448"/>
        <v>-55.529826311493807</v>
      </c>
      <c r="I490" s="242">
        <f t="shared" si="448"/>
        <v>-56.743644935066428</v>
      </c>
      <c r="J490" s="242">
        <f t="shared" si="448"/>
        <v>-57.714699833924527</v>
      </c>
      <c r="K490" s="242">
        <f t="shared" si="448"/>
        <v>-58.491543753011008</v>
      </c>
      <c r="L490" s="242">
        <f t="shared" si="448"/>
        <v>-59.113018888280187</v>
      </c>
      <c r="M490" s="68"/>
      <c r="N490" s="68"/>
      <c r="O490" s="68"/>
      <c r="P490" s="68"/>
      <c r="Q490" s="68"/>
      <c r="R490" s="68"/>
      <c r="S490" s="68"/>
      <c r="T490" s="68"/>
      <c r="U490" s="68"/>
      <c r="V490" s="68"/>
    </row>
    <row r="491" spans="1:22" s="67" customFormat="1" x14ac:dyDescent="0.3">
      <c r="B491" s="176" t="s">
        <v>103</v>
      </c>
      <c r="C491" s="242">
        <f t="shared" ref="C491:L491" si="449">C372</f>
        <v>-45.147163260295606</v>
      </c>
      <c r="D491" s="242">
        <f t="shared" si="449"/>
        <v>-45.824646752673551</v>
      </c>
      <c r="E491" s="242">
        <f t="shared" si="449"/>
        <v>-38.785915220009755</v>
      </c>
      <c r="F491" s="242">
        <f t="shared" si="449"/>
        <v>-41.15665471917503</v>
      </c>
      <c r="G491" s="242">
        <f t="shared" si="449"/>
        <v>-43.053246318507256</v>
      </c>
      <c r="H491" s="242">
        <f t="shared" si="449"/>
        <v>-44.570519597973032</v>
      </c>
      <c r="I491" s="242">
        <f t="shared" si="449"/>
        <v>-45.784338221545646</v>
      </c>
      <c r="J491" s="242">
        <f t="shared" si="449"/>
        <v>-46.755393120403745</v>
      </c>
      <c r="K491" s="242">
        <f t="shared" si="449"/>
        <v>-47.532237039490226</v>
      </c>
      <c r="L491" s="242">
        <f t="shared" si="449"/>
        <v>-48.153712174759406</v>
      </c>
      <c r="M491" s="68"/>
      <c r="N491" s="68"/>
      <c r="O491" s="68"/>
      <c r="P491" s="68"/>
      <c r="Q491" s="68"/>
      <c r="R491" s="68"/>
      <c r="S491" s="68"/>
      <c r="T491" s="68"/>
      <c r="U491" s="68"/>
      <c r="V491" s="68"/>
    </row>
    <row r="492" spans="1:22" s="67" customFormat="1" x14ac:dyDescent="0.3">
      <c r="B492" s="176" t="s">
        <v>104</v>
      </c>
      <c r="C492" s="242">
        <f t="shared" ref="C492:L492" si="450">C373</f>
        <v>-45.147163260295606</v>
      </c>
      <c r="D492" s="242">
        <f t="shared" si="450"/>
        <v>-45.824646752673551</v>
      </c>
      <c r="E492" s="242">
        <f t="shared" si="450"/>
        <v>-37.828764413109369</v>
      </c>
      <c r="F492" s="242">
        <f t="shared" si="450"/>
        <v>-23.851340214891874</v>
      </c>
      <c r="G492" s="242">
        <f t="shared" si="450"/>
        <v>-25.747931814224092</v>
      </c>
      <c r="H492" s="242">
        <f t="shared" si="450"/>
        <v>-27.265205093689868</v>
      </c>
      <c r="I492" s="242">
        <f t="shared" si="450"/>
        <v>-28.479023717262489</v>
      </c>
      <c r="J492" s="242">
        <f t="shared" si="450"/>
        <v>-29.450078616120589</v>
      </c>
      <c r="K492" s="242">
        <f t="shared" si="450"/>
        <v>-30.226922535207066</v>
      </c>
      <c r="L492" s="242">
        <f t="shared" si="450"/>
        <v>-30.848397670476245</v>
      </c>
      <c r="M492" s="68"/>
      <c r="N492" s="68"/>
      <c r="O492" s="68"/>
      <c r="P492" s="68"/>
      <c r="Q492" s="68"/>
      <c r="R492" s="68"/>
      <c r="S492" s="68"/>
      <c r="T492" s="68"/>
      <c r="U492" s="68"/>
      <c r="V492" s="68"/>
    </row>
    <row r="493" spans="1:22" s="67" customFormat="1" x14ac:dyDescent="0.3">
      <c r="B493" s="176" t="s">
        <v>105</v>
      </c>
      <c r="C493" s="242">
        <f t="shared" ref="C493:L493" si="451">C374</f>
        <v>-45.147163260295606</v>
      </c>
      <c r="D493" s="242">
        <f t="shared" si="451"/>
        <v>-45.824646752673551</v>
      </c>
      <c r="E493" s="242">
        <f t="shared" si="451"/>
        <v>-37.828764413109369</v>
      </c>
      <c r="F493" s="242">
        <f t="shared" si="451"/>
        <v>-22.894189407991483</v>
      </c>
      <c r="G493" s="242">
        <f t="shared" si="451"/>
        <v>-3.3658110773310295</v>
      </c>
      <c r="H493" s="242">
        <f t="shared" si="451"/>
        <v>-4.8830843567968056</v>
      </c>
      <c r="I493" s="242">
        <f t="shared" si="451"/>
        <v>-6.0969029803694275</v>
      </c>
      <c r="J493" s="242">
        <f t="shared" si="451"/>
        <v>-7.0679578792275244</v>
      </c>
      <c r="K493" s="242">
        <f t="shared" si="451"/>
        <v>-7.8448017983140019</v>
      </c>
      <c r="L493" s="242">
        <f t="shared" si="451"/>
        <v>-8.4662769335831847</v>
      </c>
      <c r="M493" s="68"/>
      <c r="N493" s="68"/>
      <c r="O493" s="68"/>
      <c r="P493" s="68"/>
      <c r="Q493" s="68"/>
      <c r="R493" s="68"/>
      <c r="S493" s="68"/>
      <c r="T493" s="68"/>
      <c r="U493" s="68"/>
      <c r="V493" s="68"/>
    </row>
    <row r="494" spans="1:22" s="67" customFormat="1" x14ac:dyDescent="0.3">
      <c r="B494" s="176" t="s">
        <v>106</v>
      </c>
      <c r="C494" s="242">
        <f t="shared" ref="C494:L494" si="452">C375</f>
        <v>-45.147163260295606</v>
      </c>
      <c r="D494" s="242">
        <f t="shared" si="452"/>
        <v>-45.824646752673551</v>
      </c>
      <c r="E494" s="242">
        <f t="shared" si="452"/>
        <v>-37.828764413109369</v>
      </c>
      <c r="F494" s="242">
        <f t="shared" si="452"/>
        <v>-22.894189407991483</v>
      </c>
      <c r="G494" s="242">
        <f t="shared" si="452"/>
        <v>-2.4086602704306399</v>
      </c>
      <c r="H494" s="242">
        <f t="shared" si="452"/>
        <v>21.560481366184181</v>
      </c>
      <c r="I494" s="242">
        <f t="shared" si="452"/>
        <v>20.34666274261156</v>
      </c>
      <c r="J494" s="242">
        <f t="shared" si="452"/>
        <v>19.375607843753464</v>
      </c>
      <c r="K494" s="242">
        <f t="shared" si="452"/>
        <v>18.598763924666986</v>
      </c>
      <c r="L494" s="242">
        <f t="shared" si="452"/>
        <v>17.977288789397804</v>
      </c>
      <c r="M494" s="68"/>
      <c r="N494" s="68"/>
      <c r="O494" s="68"/>
      <c r="P494" s="68"/>
      <c r="Q494" s="68"/>
      <c r="R494" s="68"/>
      <c r="S494" s="68"/>
      <c r="T494" s="68"/>
      <c r="U494" s="68"/>
      <c r="V494" s="68"/>
    </row>
    <row r="495" spans="1:22" s="67" customFormat="1" x14ac:dyDescent="0.3">
      <c r="B495" s="176" t="s">
        <v>107</v>
      </c>
      <c r="C495" s="242">
        <f t="shared" ref="C495:L495" si="453">C376</f>
        <v>-45.147163260295606</v>
      </c>
      <c r="D495" s="242">
        <f t="shared" si="453"/>
        <v>-45.824646752673551</v>
      </c>
      <c r="E495" s="242">
        <f t="shared" si="453"/>
        <v>-37.828764413109369</v>
      </c>
      <c r="F495" s="242">
        <f t="shared" si="453"/>
        <v>-22.894189407991483</v>
      </c>
      <c r="G495" s="242">
        <f t="shared" si="453"/>
        <v>-2.4086602704306399</v>
      </c>
      <c r="H495" s="242">
        <f t="shared" si="453"/>
        <v>22.517632173084571</v>
      </c>
      <c r="I495" s="242">
        <f t="shared" si="453"/>
        <v>50.039384454462883</v>
      </c>
      <c r="J495" s="242">
        <f t="shared" si="453"/>
        <v>49.068329555604784</v>
      </c>
      <c r="K495" s="242">
        <f t="shared" si="453"/>
        <v>48.291485636518303</v>
      </c>
      <c r="L495" s="242">
        <f t="shared" si="453"/>
        <v>47.670010501249124</v>
      </c>
      <c r="M495" s="68"/>
      <c r="N495" s="68"/>
      <c r="O495" s="68"/>
      <c r="P495" s="68"/>
      <c r="Q495" s="68"/>
      <c r="R495" s="68"/>
      <c r="S495" s="68"/>
      <c r="T495" s="68"/>
      <c r="U495" s="68"/>
      <c r="V495" s="68"/>
    </row>
    <row r="496" spans="1:22" s="67" customFormat="1" x14ac:dyDescent="0.3">
      <c r="B496" s="176" t="s">
        <v>108</v>
      </c>
      <c r="C496" s="242">
        <f t="shared" ref="C496:L496" si="454">C377</f>
        <v>-45.147163260295606</v>
      </c>
      <c r="D496" s="242">
        <f t="shared" si="454"/>
        <v>-45.824646752673551</v>
      </c>
      <c r="E496" s="242">
        <f t="shared" si="454"/>
        <v>-37.828764413109369</v>
      </c>
      <c r="F496" s="242">
        <f t="shared" si="454"/>
        <v>-22.894189407991483</v>
      </c>
      <c r="G496" s="242">
        <f t="shared" si="454"/>
        <v>-2.4086602704306399</v>
      </c>
      <c r="H496" s="242">
        <f t="shared" si="454"/>
        <v>22.517632173084571</v>
      </c>
      <c r="I496" s="242">
        <f t="shared" si="454"/>
        <v>50.99653526136327</v>
      </c>
      <c r="J496" s="242">
        <f t="shared" si="454"/>
        <v>81.360376058552376</v>
      </c>
      <c r="K496" s="242">
        <f t="shared" si="454"/>
        <v>80.583532139465902</v>
      </c>
      <c r="L496" s="242">
        <f t="shared" si="454"/>
        <v>79.962057004196723</v>
      </c>
      <c r="M496" s="68"/>
      <c r="N496" s="68"/>
      <c r="O496" s="68"/>
      <c r="P496" s="68"/>
      <c r="Q496" s="68"/>
      <c r="R496" s="68"/>
      <c r="S496" s="68"/>
      <c r="T496" s="68"/>
      <c r="U496" s="68"/>
      <c r="V496" s="68"/>
    </row>
    <row r="497" spans="1:22" s="67" customFormat="1" x14ac:dyDescent="0.3">
      <c r="B497" s="176" t="s">
        <v>109</v>
      </c>
      <c r="C497" s="242">
        <f t="shared" ref="C497:L497" si="455">C378</f>
        <v>-45.147163260295606</v>
      </c>
      <c r="D497" s="242">
        <f t="shared" si="455"/>
        <v>-45.824646752673551</v>
      </c>
      <c r="E497" s="242">
        <f t="shared" si="455"/>
        <v>-37.828764413109369</v>
      </c>
      <c r="F497" s="242">
        <f t="shared" si="455"/>
        <v>-22.894189407991483</v>
      </c>
      <c r="G497" s="242">
        <f t="shared" si="455"/>
        <v>-2.4086602704306399</v>
      </c>
      <c r="H497" s="242">
        <f t="shared" si="455"/>
        <v>22.517632173084571</v>
      </c>
      <c r="I497" s="242">
        <f t="shared" si="455"/>
        <v>50.99653526136327</v>
      </c>
      <c r="J497" s="242">
        <f t="shared" si="455"/>
        <v>82.317526865452777</v>
      </c>
      <c r="K497" s="242">
        <f t="shared" si="455"/>
        <v>114.95503847529052</v>
      </c>
      <c r="L497" s="242">
        <f t="shared" si="455"/>
        <v>114.33356334002134</v>
      </c>
      <c r="M497" s="68"/>
      <c r="N497" s="68"/>
      <c r="O497" s="68"/>
      <c r="P497" s="68"/>
      <c r="Q497" s="68"/>
      <c r="R497" s="68"/>
      <c r="S497" s="68"/>
      <c r="T497" s="68"/>
      <c r="U497" s="68"/>
      <c r="V497" s="68"/>
    </row>
    <row r="498" spans="1:22" s="67" customFormat="1" x14ac:dyDescent="0.3">
      <c r="A498" s="12"/>
      <c r="B498" s="434" t="s">
        <v>110</v>
      </c>
      <c r="C498" s="438">
        <f t="shared" ref="C498:L498" si="456">C379</f>
        <v>-45.147163260295606</v>
      </c>
      <c r="D498" s="438">
        <f t="shared" si="456"/>
        <v>-45.824646752673551</v>
      </c>
      <c r="E498" s="438">
        <f t="shared" si="456"/>
        <v>-37.828764413109369</v>
      </c>
      <c r="F498" s="438">
        <f t="shared" si="456"/>
        <v>-22.894189407991483</v>
      </c>
      <c r="G498" s="438">
        <f t="shared" si="456"/>
        <v>-2.4086602704306399</v>
      </c>
      <c r="H498" s="438">
        <f t="shared" si="456"/>
        <v>22.517632173084571</v>
      </c>
      <c r="I498" s="438">
        <f t="shared" si="456"/>
        <v>50.99653526136327</v>
      </c>
      <c r="J498" s="438">
        <f t="shared" si="456"/>
        <v>82.317526865452777</v>
      </c>
      <c r="K498" s="438">
        <f t="shared" si="456"/>
        <v>115.91218928219092</v>
      </c>
      <c r="L498" s="438">
        <f t="shared" si="456"/>
        <v>151.32578834904794</v>
      </c>
      <c r="M498" s="68"/>
      <c r="N498" s="68"/>
      <c r="O498" s="68"/>
      <c r="P498" s="68"/>
      <c r="Q498" s="68"/>
      <c r="R498" s="68"/>
      <c r="S498" s="68"/>
      <c r="T498" s="68"/>
      <c r="U498" s="68"/>
      <c r="V498" s="68"/>
    </row>
    <row r="499" spans="1:22" s="67" customFormat="1" x14ac:dyDescent="0.3">
      <c r="B499" s="176" t="s">
        <v>111</v>
      </c>
      <c r="C499" s="242">
        <f t="shared" ref="C499:L499" si="457">C454</f>
        <v>-0.81218428660003616</v>
      </c>
      <c r="D499" s="242">
        <f t="shared" si="457"/>
        <v>-0.81218428660003616</v>
      </c>
      <c r="E499" s="242">
        <f t="shared" si="457"/>
        <v>-0.81218428660003616</v>
      </c>
      <c r="F499" s="242">
        <f t="shared" si="457"/>
        <v>-0.81218428660003616</v>
      </c>
      <c r="G499" s="242">
        <f t="shared" si="457"/>
        <v>-0.81218428660003616</v>
      </c>
      <c r="H499" s="242">
        <f t="shared" si="457"/>
        <v>-0.81218428660003616</v>
      </c>
      <c r="I499" s="242">
        <f t="shared" si="457"/>
        <v>-0.81218428660003616</v>
      </c>
      <c r="J499" s="242">
        <f t="shared" si="457"/>
        <v>-0.81218428660003616</v>
      </c>
      <c r="K499" s="242">
        <f t="shared" si="457"/>
        <v>-0.81218428660003616</v>
      </c>
      <c r="L499" s="242">
        <f t="shared" si="457"/>
        <v>-0.81218428660003616</v>
      </c>
      <c r="M499" s="68"/>
      <c r="N499" s="68"/>
      <c r="O499" s="68"/>
      <c r="P499" s="68"/>
      <c r="Q499" s="68"/>
      <c r="R499" s="68"/>
      <c r="S499" s="68"/>
      <c r="T499" s="68"/>
      <c r="U499" s="68"/>
      <c r="V499" s="68"/>
    </row>
    <row r="500" spans="1:22" s="67" customFormat="1" x14ac:dyDescent="0.3">
      <c r="B500" s="176" t="s">
        <v>112</v>
      </c>
      <c r="C500" s="242">
        <f t="shared" ref="C500:L500" si="458">C455</f>
        <v>-0.81218428660003616</v>
      </c>
      <c r="D500" s="242">
        <f t="shared" si="458"/>
        <v>20.630259441796049</v>
      </c>
      <c r="E500" s="242">
        <f t="shared" si="458"/>
        <v>20.630259441796049</v>
      </c>
      <c r="F500" s="242">
        <f t="shared" si="458"/>
        <v>20.630259441796049</v>
      </c>
      <c r="G500" s="242">
        <f t="shared" si="458"/>
        <v>20.630259441796049</v>
      </c>
      <c r="H500" s="242">
        <f t="shared" si="458"/>
        <v>20.630259441796049</v>
      </c>
      <c r="I500" s="242">
        <f t="shared" si="458"/>
        <v>20.630259441796049</v>
      </c>
      <c r="J500" s="242">
        <f t="shared" si="458"/>
        <v>20.630259441796049</v>
      </c>
      <c r="K500" s="242">
        <f t="shared" si="458"/>
        <v>20.630259441796049</v>
      </c>
      <c r="L500" s="242">
        <f t="shared" si="458"/>
        <v>20.630259441796049</v>
      </c>
      <c r="M500" s="68"/>
      <c r="N500" s="68"/>
      <c r="O500" s="68"/>
      <c r="P500" s="68"/>
      <c r="Q500" s="68"/>
      <c r="R500" s="68"/>
      <c r="S500" s="68"/>
      <c r="T500" s="68"/>
      <c r="U500" s="68"/>
      <c r="V500" s="68"/>
    </row>
    <row r="501" spans="1:22" s="67" customFormat="1" x14ac:dyDescent="0.3">
      <c r="B501" s="176" t="s">
        <v>113</v>
      </c>
      <c r="C501" s="242">
        <f t="shared" ref="C501:L501" si="459">C456</f>
        <v>-0.81218428660003616</v>
      </c>
      <c r="D501" s="242">
        <f t="shared" si="459"/>
        <v>20.630259441796049</v>
      </c>
      <c r="E501" s="242">
        <f t="shared" si="459"/>
        <v>42.072703170192135</v>
      </c>
      <c r="F501" s="242">
        <f t="shared" si="459"/>
        <v>42.072703170192135</v>
      </c>
      <c r="G501" s="242">
        <f t="shared" si="459"/>
        <v>42.072703170192135</v>
      </c>
      <c r="H501" s="242">
        <f t="shared" si="459"/>
        <v>42.072703170192135</v>
      </c>
      <c r="I501" s="242">
        <f t="shared" si="459"/>
        <v>42.072703170192135</v>
      </c>
      <c r="J501" s="242">
        <f t="shared" si="459"/>
        <v>42.072703170192135</v>
      </c>
      <c r="K501" s="242">
        <f t="shared" si="459"/>
        <v>42.072703170192135</v>
      </c>
      <c r="L501" s="242">
        <f t="shared" si="459"/>
        <v>42.072703170192135</v>
      </c>
      <c r="M501" s="68"/>
      <c r="N501" s="68"/>
      <c r="O501" s="68"/>
      <c r="P501" s="68"/>
      <c r="Q501" s="68"/>
      <c r="R501" s="68"/>
      <c r="S501" s="68"/>
      <c r="T501" s="68"/>
      <c r="U501" s="68"/>
      <c r="V501" s="68"/>
    </row>
    <row r="502" spans="1:22" s="67" customFormat="1" x14ac:dyDescent="0.3">
      <c r="B502" s="176" t="s">
        <v>114</v>
      </c>
      <c r="C502" s="242">
        <f t="shared" ref="C502:L502" si="460">C457</f>
        <v>-0.81218428660003616</v>
      </c>
      <c r="D502" s="242">
        <f t="shared" si="460"/>
        <v>20.630259441796049</v>
      </c>
      <c r="E502" s="242">
        <f t="shared" si="460"/>
        <v>42.072703170192135</v>
      </c>
      <c r="F502" s="242">
        <f t="shared" si="460"/>
        <v>63.515146898588227</v>
      </c>
      <c r="G502" s="242">
        <f t="shared" si="460"/>
        <v>63.515146898588227</v>
      </c>
      <c r="H502" s="242">
        <f t="shared" si="460"/>
        <v>63.515146898588227</v>
      </c>
      <c r="I502" s="242">
        <f t="shared" si="460"/>
        <v>63.515146898588227</v>
      </c>
      <c r="J502" s="242">
        <f t="shared" si="460"/>
        <v>63.515146898588227</v>
      </c>
      <c r="K502" s="242">
        <f t="shared" si="460"/>
        <v>63.515146898588227</v>
      </c>
      <c r="L502" s="242">
        <f t="shared" si="460"/>
        <v>63.515146898588227</v>
      </c>
      <c r="M502" s="68"/>
      <c r="N502" s="68"/>
      <c r="O502" s="68"/>
      <c r="P502" s="68"/>
      <c r="Q502" s="68"/>
      <c r="R502" s="68"/>
      <c r="S502" s="68"/>
      <c r="T502" s="68"/>
      <c r="U502" s="68"/>
      <c r="V502" s="68"/>
    </row>
    <row r="503" spans="1:22" s="67" customFormat="1" x14ac:dyDescent="0.3">
      <c r="B503" s="176" t="s">
        <v>115</v>
      </c>
      <c r="C503" s="242">
        <f t="shared" ref="C503:L503" si="461">C458</f>
        <v>-0.81218428660003616</v>
      </c>
      <c r="D503" s="242">
        <f t="shared" si="461"/>
        <v>20.630259441796049</v>
      </c>
      <c r="E503" s="242">
        <f t="shared" si="461"/>
        <v>42.072703170192135</v>
      </c>
      <c r="F503" s="242">
        <f t="shared" si="461"/>
        <v>63.515146898588227</v>
      </c>
      <c r="G503" s="242">
        <f t="shared" si="461"/>
        <v>84.957590626984313</v>
      </c>
      <c r="H503" s="242">
        <f t="shared" si="461"/>
        <v>84.957590626984313</v>
      </c>
      <c r="I503" s="242">
        <f t="shared" si="461"/>
        <v>84.957590626984313</v>
      </c>
      <c r="J503" s="242">
        <f t="shared" si="461"/>
        <v>84.957590626984313</v>
      </c>
      <c r="K503" s="242">
        <f t="shared" si="461"/>
        <v>84.957590626984313</v>
      </c>
      <c r="L503" s="242">
        <f t="shared" si="461"/>
        <v>84.957590626984313</v>
      </c>
      <c r="M503" s="68"/>
      <c r="N503" s="68"/>
      <c r="O503" s="68"/>
      <c r="P503" s="68"/>
      <c r="Q503" s="68"/>
      <c r="R503" s="68"/>
      <c r="S503" s="68"/>
      <c r="T503" s="68"/>
      <c r="U503" s="68"/>
      <c r="V503" s="68"/>
    </row>
    <row r="504" spans="1:22" s="67" customFormat="1" x14ac:dyDescent="0.3">
      <c r="B504" s="176" t="s">
        <v>116</v>
      </c>
      <c r="C504" s="242">
        <f t="shared" ref="C504:L504" si="462">C459</f>
        <v>-0.81218428660003616</v>
      </c>
      <c r="D504" s="242">
        <f t="shared" si="462"/>
        <v>20.630259441796049</v>
      </c>
      <c r="E504" s="242">
        <f t="shared" si="462"/>
        <v>42.072703170192135</v>
      </c>
      <c r="F504" s="242">
        <f t="shared" si="462"/>
        <v>63.515146898588227</v>
      </c>
      <c r="G504" s="242">
        <f t="shared" si="462"/>
        <v>84.957590626984313</v>
      </c>
      <c r="H504" s="242">
        <f t="shared" si="462"/>
        <v>106.4000343553804</v>
      </c>
      <c r="I504" s="242">
        <f t="shared" si="462"/>
        <v>106.4000343553804</v>
      </c>
      <c r="J504" s="242">
        <f t="shared" si="462"/>
        <v>106.4000343553804</v>
      </c>
      <c r="K504" s="242">
        <f t="shared" si="462"/>
        <v>106.4000343553804</v>
      </c>
      <c r="L504" s="242">
        <f t="shared" si="462"/>
        <v>106.4000343553804</v>
      </c>
      <c r="M504" s="68"/>
      <c r="N504" s="68"/>
      <c r="O504" s="68"/>
      <c r="P504" s="68"/>
      <c r="Q504" s="68"/>
      <c r="R504" s="68"/>
      <c r="S504" s="68"/>
      <c r="T504" s="68"/>
      <c r="U504" s="68"/>
      <c r="V504" s="68"/>
    </row>
    <row r="505" spans="1:22" s="67" customFormat="1" x14ac:dyDescent="0.3">
      <c r="B505" s="176" t="s">
        <v>117</v>
      </c>
      <c r="C505" s="242">
        <f t="shared" ref="C505:L505" si="463">C460</f>
        <v>-0.81218428660003616</v>
      </c>
      <c r="D505" s="242">
        <f t="shared" si="463"/>
        <v>20.630259441796049</v>
      </c>
      <c r="E505" s="242">
        <f t="shared" si="463"/>
        <v>42.072703170192135</v>
      </c>
      <c r="F505" s="242">
        <f t="shared" si="463"/>
        <v>63.515146898588227</v>
      </c>
      <c r="G505" s="242">
        <f t="shared" si="463"/>
        <v>84.957590626984313</v>
      </c>
      <c r="H505" s="242">
        <f t="shared" si="463"/>
        <v>106.4000343553804</v>
      </c>
      <c r="I505" s="242">
        <f t="shared" si="463"/>
        <v>127.84247808377648</v>
      </c>
      <c r="J505" s="242">
        <f t="shared" si="463"/>
        <v>127.84247808377648</v>
      </c>
      <c r="K505" s="242">
        <f t="shared" si="463"/>
        <v>127.84247808377648</v>
      </c>
      <c r="L505" s="242">
        <f t="shared" si="463"/>
        <v>127.84247808377648</v>
      </c>
      <c r="M505" s="68"/>
      <c r="N505" s="68"/>
      <c r="O505" s="68"/>
      <c r="P505" s="68"/>
      <c r="Q505" s="68"/>
      <c r="R505" s="68"/>
      <c r="S505" s="68"/>
      <c r="T505" s="68"/>
      <c r="U505" s="68"/>
      <c r="V505" s="68"/>
    </row>
    <row r="506" spans="1:22" s="67" customFormat="1" x14ac:dyDescent="0.3">
      <c r="B506" s="176" t="s">
        <v>118</v>
      </c>
      <c r="C506" s="242">
        <f t="shared" ref="C506:L506" si="464">C461</f>
        <v>-0.81218428660003616</v>
      </c>
      <c r="D506" s="242">
        <f t="shared" si="464"/>
        <v>20.630259441796049</v>
      </c>
      <c r="E506" s="242">
        <f t="shared" si="464"/>
        <v>42.072703170192135</v>
      </c>
      <c r="F506" s="242">
        <f t="shared" si="464"/>
        <v>63.515146898588227</v>
      </c>
      <c r="G506" s="242">
        <f t="shared" si="464"/>
        <v>84.957590626984313</v>
      </c>
      <c r="H506" s="242">
        <f t="shared" si="464"/>
        <v>106.4000343553804</v>
      </c>
      <c r="I506" s="242">
        <f t="shared" si="464"/>
        <v>127.84247808377648</v>
      </c>
      <c r="J506" s="242">
        <f t="shared" si="464"/>
        <v>149.28492181217257</v>
      </c>
      <c r="K506" s="242">
        <f t="shared" si="464"/>
        <v>149.28492181217257</v>
      </c>
      <c r="L506" s="242">
        <f t="shared" si="464"/>
        <v>149.28492181217257</v>
      </c>
      <c r="M506" s="68"/>
      <c r="N506" s="68"/>
      <c r="O506" s="68"/>
      <c r="P506" s="68"/>
      <c r="Q506" s="68"/>
      <c r="R506" s="68"/>
      <c r="S506" s="68"/>
      <c r="T506" s="68"/>
      <c r="U506" s="68"/>
      <c r="V506" s="68"/>
    </row>
    <row r="507" spans="1:22" s="67" customFormat="1" x14ac:dyDescent="0.3">
      <c r="B507" s="176" t="s">
        <v>119</v>
      </c>
      <c r="C507" s="242">
        <f t="shared" ref="C507:L507" si="465">C462</f>
        <v>-0.81218428660003616</v>
      </c>
      <c r="D507" s="242">
        <f t="shared" si="465"/>
        <v>20.630259441796049</v>
      </c>
      <c r="E507" s="242">
        <f t="shared" si="465"/>
        <v>42.072703170192135</v>
      </c>
      <c r="F507" s="242">
        <f t="shared" si="465"/>
        <v>63.515146898588227</v>
      </c>
      <c r="G507" s="242">
        <f t="shared" si="465"/>
        <v>84.957590626984313</v>
      </c>
      <c r="H507" s="242">
        <f t="shared" si="465"/>
        <v>106.4000343553804</v>
      </c>
      <c r="I507" s="242">
        <f t="shared" si="465"/>
        <v>127.84247808377648</v>
      </c>
      <c r="J507" s="242">
        <f t="shared" si="465"/>
        <v>149.28492181217257</v>
      </c>
      <c r="K507" s="242">
        <f t="shared" si="465"/>
        <v>170.72736554056866</v>
      </c>
      <c r="L507" s="242">
        <f t="shared" si="465"/>
        <v>170.72736554056866</v>
      </c>
      <c r="M507" s="68"/>
      <c r="N507" s="68"/>
      <c r="O507" s="68"/>
      <c r="P507" s="68"/>
      <c r="Q507" s="68"/>
      <c r="R507" s="68"/>
      <c r="S507" s="68"/>
      <c r="T507" s="68"/>
      <c r="U507" s="68"/>
      <c r="V507" s="68"/>
    </row>
    <row r="508" spans="1:22" s="67" customFormat="1" x14ac:dyDescent="0.3">
      <c r="B508" s="176" t="s">
        <v>120</v>
      </c>
      <c r="C508" s="242">
        <f t="shared" ref="C508:L508" si="466">C463</f>
        <v>-0.81218428660003616</v>
      </c>
      <c r="D508" s="242">
        <f t="shared" si="466"/>
        <v>20.630259441796049</v>
      </c>
      <c r="E508" s="242">
        <f t="shared" si="466"/>
        <v>42.072703170192135</v>
      </c>
      <c r="F508" s="242">
        <f t="shared" si="466"/>
        <v>63.515146898588227</v>
      </c>
      <c r="G508" s="242">
        <f t="shared" si="466"/>
        <v>84.957590626984313</v>
      </c>
      <c r="H508" s="242">
        <f t="shared" si="466"/>
        <v>106.4000343553804</v>
      </c>
      <c r="I508" s="242">
        <f t="shared" si="466"/>
        <v>127.84247808377648</v>
      </c>
      <c r="J508" s="242">
        <f t="shared" si="466"/>
        <v>149.28492181217257</v>
      </c>
      <c r="K508" s="242">
        <f t="shared" si="466"/>
        <v>170.72736554056866</v>
      </c>
      <c r="L508" s="242">
        <f t="shared" si="466"/>
        <v>192.16980926896474</v>
      </c>
      <c r="M508" s="68"/>
      <c r="N508" s="68"/>
      <c r="O508" s="68"/>
      <c r="P508" s="68"/>
      <c r="Q508" s="68"/>
      <c r="R508" s="68"/>
      <c r="S508" s="68"/>
      <c r="T508" s="68"/>
      <c r="U508" s="68"/>
      <c r="V508" s="68"/>
    </row>
    <row r="509" spans="1:22" s="231" customFormat="1" x14ac:dyDescent="0.3">
      <c r="B509" s="176"/>
      <c r="C509" s="242"/>
      <c r="D509" s="242"/>
      <c r="E509" s="242"/>
      <c r="F509" s="242"/>
      <c r="G509" s="242"/>
      <c r="H509" s="242"/>
      <c r="I509" s="242"/>
      <c r="J509" s="242"/>
      <c r="K509" s="242"/>
      <c r="L509" s="242"/>
    </row>
    <row r="510" spans="1:22" s="302" customFormat="1" ht="18" x14ac:dyDescent="0.35">
      <c r="A510" s="302" t="s">
        <v>258</v>
      </c>
      <c r="B510" s="307"/>
      <c r="C510" s="308"/>
      <c r="D510" s="308"/>
      <c r="E510" s="308"/>
      <c r="F510" s="308"/>
      <c r="G510" s="308"/>
      <c r="H510" s="308"/>
      <c r="I510" s="308"/>
      <c r="J510" s="308"/>
      <c r="K510" s="308"/>
      <c r="L510" s="308"/>
    </row>
    <row r="511" spans="1:22" s="67" customFormat="1" x14ac:dyDescent="0.3">
      <c r="C511" s="451" t="s">
        <v>71</v>
      </c>
      <c r="D511" s="451"/>
      <c r="E511" s="451"/>
      <c r="F511" s="451"/>
      <c r="G511" s="451"/>
      <c r="H511" s="451"/>
      <c r="I511" s="451"/>
      <c r="J511" s="451"/>
      <c r="K511" s="451"/>
      <c r="L511" s="451"/>
    </row>
    <row r="512" spans="1:22" s="67" customFormat="1" x14ac:dyDescent="0.3">
      <c r="C512" s="158">
        <v>1</v>
      </c>
      <c r="D512" s="158">
        <v>2</v>
      </c>
      <c r="E512" s="158">
        <v>3</v>
      </c>
      <c r="F512" s="158">
        <v>4</v>
      </c>
      <c r="G512" s="158">
        <v>5</v>
      </c>
      <c r="H512" s="158">
        <v>6</v>
      </c>
      <c r="I512" s="158">
        <v>7</v>
      </c>
      <c r="J512" s="158">
        <v>8</v>
      </c>
      <c r="K512" s="158">
        <v>9</v>
      </c>
      <c r="L512" s="158">
        <v>10</v>
      </c>
    </row>
    <row r="513" spans="1:12" s="67" customFormat="1" x14ac:dyDescent="0.3">
      <c r="B513" s="175" t="s">
        <v>81</v>
      </c>
      <c r="C513" s="20">
        <f>C469*$B$15</f>
        <v>-33555.041822219595</v>
      </c>
      <c r="D513" s="20">
        <f t="shared" ref="D513:L513" si="467">D469*$B$15</f>
        <v>-33555.041822219595</v>
      </c>
      <c r="E513" s="20">
        <f t="shared" si="467"/>
        <v>-33555.041822219595</v>
      </c>
      <c r="F513" s="20">
        <f t="shared" si="467"/>
        <v>-33555.041822219595</v>
      </c>
      <c r="G513" s="20">
        <f t="shared" si="467"/>
        <v>-33555.041822219595</v>
      </c>
      <c r="H513" s="20">
        <f t="shared" si="467"/>
        <v>-33555.041822219595</v>
      </c>
      <c r="I513" s="20">
        <f t="shared" si="467"/>
        <v>-33555.041822219595</v>
      </c>
      <c r="J513" s="20">
        <f t="shared" si="467"/>
        <v>-33555.041822219595</v>
      </c>
      <c r="K513" s="20">
        <f t="shared" si="467"/>
        <v>-33555.041822219595</v>
      </c>
      <c r="L513" s="20">
        <f t="shared" si="467"/>
        <v>-33555.041822219595</v>
      </c>
    </row>
    <row r="514" spans="1:12" s="67" customFormat="1" x14ac:dyDescent="0.3">
      <c r="B514" s="175" t="s">
        <v>82</v>
      </c>
      <c r="C514" s="20">
        <f t="shared" ref="C514:L514" si="468">C470*$B$15</f>
        <v>-20047.269022219589</v>
      </c>
      <c r="D514" s="20">
        <f t="shared" si="468"/>
        <v>-56658.669583958443</v>
      </c>
      <c r="E514" s="20">
        <f t="shared" si="468"/>
        <v>-56658.669583958443</v>
      </c>
      <c r="F514" s="20">
        <f t="shared" si="468"/>
        <v>-56658.669583958443</v>
      </c>
      <c r="G514" s="20">
        <f t="shared" si="468"/>
        <v>-56658.669583958443</v>
      </c>
      <c r="H514" s="20">
        <f t="shared" si="468"/>
        <v>-56658.669583958443</v>
      </c>
      <c r="I514" s="20">
        <f t="shared" si="468"/>
        <v>-56658.669583958443</v>
      </c>
      <c r="J514" s="20">
        <f t="shared" si="468"/>
        <v>-56658.669583958443</v>
      </c>
      <c r="K514" s="20">
        <f t="shared" si="468"/>
        <v>-56658.669583958443</v>
      </c>
      <c r="L514" s="20">
        <f t="shared" si="468"/>
        <v>-56658.669583958443</v>
      </c>
    </row>
    <row r="515" spans="1:12" s="67" customFormat="1" x14ac:dyDescent="0.3">
      <c r="B515" s="175" t="s">
        <v>83</v>
      </c>
      <c r="C515" s="20">
        <f t="shared" ref="C515:L515" si="469">C471*$B$15</f>
        <v>-20047.269022219589</v>
      </c>
      <c r="D515" s="20">
        <f t="shared" si="469"/>
        <v>-43150.896783958437</v>
      </c>
      <c r="E515" s="20">
        <f t="shared" si="469"/>
        <v>-73990.344759030631</v>
      </c>
      <c r="F515" s="20">
        <f t="shared" si="469"/>
        <v>-73990.344759030631</v>
      </c>
      <c r="G515" s="20">
        <f t="shared" si="469"/>
        <v>-73990.344759030631</v>
      </c>
      <c r="H515" s="20">
        <f t="shared" si="469"/>
        <v>-73990.344759030631</v>
      </c>
      <c r="I515" s="20">
        <f t="shared" si="469"/>
        <v>-73990.344759030631</v>
      </c>
      <c r="J515" s="20">
        <f t="shared" si="469"/>
        <v>-73990.344759030631</v>
      </c>
      <c r="K515" s="20">
        <f t="shared" si="469"/>
        <v>-73990.344759030631</v>
      </c>
      <c r="L515" s="20">
        <f t="shared" si="469"/>
        <v>-73990.344759030631</v>
      </c>
    </row>
    <row r="516" spans="1:12" s="67" customFormat="1" x14ac:dyDescent="0.3">
      <c r="B516" s="175" t="s">
        <v>84</v>
      </c>
      <c r="C516" s="20">
        <f t="shared" ref="C516:L516" si="470">C472*$B$15</f>
        <v>-20047.269022219589</v>
      </c>
      <c r="D516" s="20">
        <f t="shared" si="470"/>
        <v>-43150.896783958437</v>
      </c>
      <c r="E516" s="20">
        <f t="shared" si="470"/>
        <v>-60482.571959030625</v>
      </c>
      <c r="F516" s="20">
        <f t="shared" si="470"/>
        <v>-86704.457864769473</v>
      </c>
      <c r="G516" s="20">
        <f t="shared" si="470"/>
        <v>-86704.457864769473</v>
      </c>
      <c r="H516" s="20">
        <f t="shared" si="470"/>
        <v>-86704.457864769473</v>
      </c>
      <c r="I516" s="20">
        <f t="shared" si="470"/>
        <v>-86704.457864769473</v>
      </c>
      <c r="J516" s="20">
        <f t="shared" si="470"/>
        <v>-86704.457864769473</v>
      </c>
      <c r="K516" s="20">
        <f t="shared" si="470"/>
        <v>-86704.457864769473</v>
      </c>
      <c r="L516" s="20">
        <f t="shared" si="470"/>
        <v>-86704.457864769473</v>
      </c>
    </row>
    <row r="517" spans="1:12" s="67" customFormat="1" x14ac:dyDescent="0.3">
      <c r="B517" s="175" t="s">
        <v>85</v>
      </c>
      <c r="C517" s="20">
        <f t="shared" ref="C517:L517" si="471">C473*$B$15</f>
        <v>-20047.269022219589</v>
      </c>
      <c r="D517" s="20">
        <f t="shared" si="471"/>
        <v>-43150.896783958437</v>
      </c>
      <c r="E517" s="20">
        <f t="shared" si="471"/>
        <v>-60482.571959030625</v>
      </c>
      <c r="F517" s="20">
        <f t="shared" si="471"/>
        <v>-73196.685064769481</v>
      </c>
      <c r="G517" s="20">
        <f t="shared" si="471"/>
        <v>-95724.521315041668</v>
      </c>
      <c r="H517" s="20">
        <f t="shared" si="471"/>
        <v>-95724.521315041668</v>
      </c>
      <c r="I517" s="20">
        <f t="shared" si="471"/>
        <v>-95724.521315041668</v>
      </c>
      <c r="J517" s="20">
        <f t="shared" si="471"/>
        <v>-95724.521315041668</v>
      </c>
      <c r="K517" s="20">
        <f t="shared" si="471"/>
        <v>-95724.521315041668</v>
      </c>
      <c r="L517" s="20">
        <f t="shared" si="471"/>
        <v>-95724.521315041668</v>
      </c>
    </row>
    <row r="518" spans="1:12" s="67" customFormat="1" x14ac:dyDescent="0.3">
      <c r="B518" s="175" t="s">
        <v>86</v>
      </c>
      <c r="C518" s="20">
        <f t="shared" ref="C518:L518" si="472">C474*$B$15</f>
        <v>-20047.269022219589</v>
      </c>
      <c r="D518" s="20">
        <f t="shared" si="472"/>
        <v>-43150.896783958437</v>
      </c>
      <c r="E518" s="20">
        <f t="shared" si="472"/>
        <v>-60482.571959030625</v>
      </c>
      <c r="F518" s="20">
        <f t="shared" si="472"/>
        <v>-73196.685064769481</v>
      </c>
      <c r="G518" s="20">
        <f t="shared" si="472"/>
        <v>-82216.748515041661</v>
      </c>
      <c r="H518" s="20">
        <f t="shared" si="472"/>
        <v>-101789.34504094052</v>
      </c>
      <c r="I518" s="20">
        <f t="shared" si="472"/>
        <v>-101789.34504094052</v>
      </c>
      <c r="J518" s="20">
        <f t="shared" si="472"/>
        <v>-101789.34504094052</v>
      </c>
      <c r="K518" s="20">
        <f t="shared" si="472"/>
        <v>-101789.34504094052</v>
      </c>
      <c r="L518" s="20">
        <f t="shared" si="472"/>
        <v>-101789.34504094052</v>
      </c>
    </row>
    <row r="519" spans="1:12" s="67" customFormat="1" x14ac:dyDescent="0.3">
      <c r="B519" s="175" t="s">
        <v>87</v>
      </c>
      <c r="C519" s="20">
        <f t="shared" ref="C519:L519" si="473">C475*$B$15</f>
        <v>-20047.269022219589</v>
      </c>
      <c r="D519" s="20">
        <f t="shared" si="473"/>
        <v>-43150.896783958437</v>
      </c>
      <c r="E519" s="20">
        <f t="shared" si="473"/>
        <v>-60482.571959030625</v>
      </c>
      <c r="F519" s="20">
        <f t="shared" si="473"/>
        <v>-73196.685064769481</v>
      </c>
      <c r="G519" s="20">
        <f t="shared" si="473"/>
        <v>-82216.748515041661</v>
      </c>
      <c r="H519" s="20">
        <f t="shared" si="473"/>
        <v>-88281.572240940513</v>
      </c>
      <c r="I519" s="20">
        <f t="shared" si="473"/>
        <v>-105489.97698734069</v>
      </c>
      <c r="J519" s="20">
        <f t="shared" si="473"/>
        <v>-105489.97698734069</v>
      </c>
      <c r="K519" s="20">
        <f t="shared" si="473"/>
        <v>-105489.97698734069</v>
      </c>
      <c r="L519" s="20">
        <f t="shared" si="473"/>
        <v>-105489.97698734069</v>
      </c>
    </row>
    <row r="520" spans="1:12" s="67" customFormat="1" x14ac:dyDescent="0.3">
      <c r="B520" s="175" t="s">
        <v>88</v>
      </c>
      <c r="C520" s="20">
        <f t="shared" ref="C520:L520" si="474">C476*$B$15</f>
        <v>-20047.269022219589</v>
      </c>
      <c r="D520" s="20">
        <f t="shared" si="474"/>
        <v>-43150.896783958437</v>
      </c>
      <c r="E520" s="20">
        <f t="shared" si="474"/>
        <v>-60482.571959030625</v>
      </c>
      <c r="F520" s="20">
        <f t="shared" si="474"/>
        <v>-73196.685064769481</v>
      </c>
      <c r="G520" s="20">
        <f t="shared" si="474"/>
        <v>-82216.748515041661</v>
      </c>
      <c r="H520" s="20">
        <f t="shared" si="474"/>
        <v>-88281.572240940513</v>
      </c>
      <c r="I520" s="20">
        <f t="shared" si="474"/>
        <v>-91982.2041873407</v>
      </c>
      <c r="J520" s="20">
        <f t="shared" si="474"/>
        <v>-107299.25551014196</v>
      </c>
      <c r="K520" s="20">
        <f t="shared" si="474"/>
        <v>-107299.25551014196</v>
      </c>
      <c r="L520" s="20">
        <f t="shared" si="474"/>
        <v>-107299.25551014196</v>
      </c>
    </row>
    <row r="521" spans="1:12" s="67" customFormat="1" x14ac:dyDescent="0.3">
      <c r="B521" s="175" t="s">
        <v>89</v>
      </c>
      <c r="C521" s="20">
        <f t="shared" ref="C521:L521" si="475">C477*$B$15</f>
        <v>-20047.269022219589</v>
      </c>
      <c r="D521" s="20">
        <f t="shared" si="475"/>
        <v>-43150.896783958437</v>
      </c>
      <c r="E521" s="20">
        <f t="shared" si="475"/>
        <v>-60482.571959030625</v>
      </c>
      <c r="F521" s="20">
        <f t="shared" si="475"/>
        <v>-73196.685064769481</v>
      </c>
      <c r="G521" s="20">
        <f t="shared" si="475"/>
        <v>-82216.748515041661</v>
      </c>
      <c r="H521" s="20">
        <f t="shared" si="475"/>
        <v>-88281.572240940513</v>
      </c>
      <c r="I521" s="20">
        <f t="shared" si="475"/>
        <v>-91982.2041873407</v>
      </c>
      <c r="J521" s="20">
        <f t="shared" si="475"/>
        <v>-93791.482710141936</v>
      </c>
      <c r="K521" s="20">
        <f t="shared" si="475"/>
        <v>-107595.45129406407</v>
      </c>
      <c r="L521" s="20">
        <f t="shared" si="475"/>
        <v>-107595.45129406407</v>
      </c>
    </row>
    <row r="522" spans="1:12" s="67" customFormat="1" x14ac:dyDescent="0.3">
      <c r="A522" s="12"/>
      <c r="B522" s="433" t="s">
        <v>90</v>
      </c>
      <c r="C522" s="186">
        <f>C478*$B$15</f>
        <v>-20047.269022219589</v>
      </c>
      <c r="D522" s="186">
        <f t="shared" ref="D522:L522" si="476">D478*$B$15</f>
        <v>-43150.896783958437</v>
      </c>
      <c r="E522" s="186">
        <f t="shared" si="476"/>
        <v>-60482.571959030625</v>
      </c>
      <c r="F522" s="186">
        <f t="shared" si="476"/>
        <v>-73196.685064769481</v>
      </c>
      <c r="G522" s="186">
        <f t="shared" si="476"/>
        <v>-82216.748515041661</v>
      </c>
      <c r="H522" s="186">
        <f t="shared" si="476"/>
        <v>-88281.572240940513</v>
      </c>
      <c r="I522" s="186">
        <f t="shared" si="476"/>
        <v>-91982.2041873407</v>
      </c>
      <c r="J522" s="186">
        <f t="shared" si="476"/>
        <v>-93791.482710141936</v>
      </c>
      <c r="K522" s="186">
        <f t="shared" si="476"/>
        <v>-94087.678494064065</v>
      </c>
      <c r="L522" s="186">
        <f t="shared" si="476"/>
        <v>-93173.408086882861</v>
      </c>
    </row>
    <row r="523" spans="1:12" s="67" customFormat="1" x14ac:dyDescent="0.3">
      <c r="B523" s="176" t="s">
        <v>91</v>
      </c>
      <c r="C523" s="20">
        <f t="shared" ref="C523:L523" si="477">C479*$B$15</f>
        <v>-10466.41790555292</v>
      </c>
      <c r="D523" s="20">
        <f t="shared" si="477"/>
        <v>-11293.617905552921</v>
      </c>
      <c r="E523" s="20">
        <f t="shared" si="477"/>
        <v>-11955.377905552921</v>
      </c>
      <c r="F523" s="20">
        <f t="shared" si="477"/>
        <v>-12484.785905552922</v>
      </c>
      <c r="G523" s="20">
        <f t="shared" si="477"/>
        <v>-12908.312305552921</v>
      </c>
      <c r="H523" s="20">
        <f t="shared" si="477"/>
        <v>-13247.133425552922</v>
      </c>
      <c r="I523" s="20">
        <f t="shared" si="477"/>
        <v>-13518.190321552922</v>
      </c>
      <c r="J523" s="20">
        <f t="shared" si="477"/>
        <v>-13735.035838352922</v>
      </c>
      <c r="K523" s="20">
        <f t="shared" si="477"/>
        <v>-13908.512251792921</v>
      </c>
      <c r="L523" s="20">
        <f t="shared" si="477"/>
        <v>-14047.293382544924</v>
      </c>
    </row>
    <row r="524" spans="1:12" s="67" customFormat="1" x14ac:dyDescent="0.3">
      <c r="B524" s="176" t="s">
        <v>92</v>
      </c>
      <c r="C524" s="20">
        <f t="shared" ref="C524:L524" si="478">C480*$B$15</f>
        <v>-9670.9179055529203</v>
      </c>
      <c r="D524" s="20">
        <f t="shared" si="478"/>
        <v>-13895.146533958439</v>
      </c>
      <c r="E524" s="20">
        <f t="shared" si="478"/>
        <v>-14556.906533958443</v>
      </c>
      <c r="F524" s="20">
        <f t="shared" si="478"/>
        <v>-15086.314533958441</v>
      </c>
      <c r="G524" s="20">
        <f t="shared" si="478"/>
        <v>-15509.84093395844</v>
      </c>
      <c r="H524" s="20">
        <f t="shared" si="478"/>
        <v>-15848.66205395844</v>
      </c>
      <c r="I524" s="20">
        <f t="shared" si="478"/>
        <v>-16119.718949958442</v>
      </c>
      <c r="J524" s="20">
        <f t="shared" si="478"/>
        <v>-16336.56446675844</v>
      </c>
      <c r="K524" s="20">
        <f t="shared" si="478"/>
        <v>-16510.040880198441</v>
      </c>
      <c r="L524" s="20">
        <f t="shared" si="478"/>
        <v>-16648.82201095044</v>
      </c>
    </row>
    <row r="525" spans="1:12" s="67" customFormat="1" x14ac:dyDescent="0.3">
      <c r="B525" s="176" t="s">
        <v>93</v>
      </c>
      <c r="C525" s="20">
        <f t="shared" ref="C525:L525" si="479">C481*$B$15</f>
        <v>-9670.9179055529203</v>
      </c>
      <c r="D525" s="20">
        <f t="shared" si="479"/>
        <v>-13099.646533958441</v>
      </c>
      <c r="E525" s="20">
        <f t="shared" si="479"/>
        <v>-15486.902402363963</v>
      </c>
      <c r="F525" s="20">
        <f t="shared" si="479"/>
        <v>-16016.310402363961</v>
      </c>
      <c r="G525" s="20">
        <f t="shared" si="479"/>
        <v>-16439.83680236396</v>
      </c>
      <c r="H525" s="20">
        <f t="shared" si="479"/>
        <v>-16778.65792236396</v>
      </c>
      <c r="I525" s="20">
        <f t="shared" si="479"/>
        <v>-17049.714818363958</v>
      </c>
      <c r="J525" s="20">
        <f t="shared" si="479"/>
        <v>-17266.560335163958</v>
      </c>
      <c r="K525" s="20">
        <f t="shared" si="479"/>
        <v>-17440.036748603958</v>
      </c>
      <c r="L525" s="20">
        <f t="shared" si="479"/>
        <v>-17578.817879355956</v>
      </c>
    </row>
    <row r="526" spans="1:12" s="67" customFormat="1" x14ac:dyDescent="0.3">
      <c r="B526" s="176" t="s">
        <v>94</v>
      </c>
      <c r="C526" s="20">
        <f t="shared" ref="C526:L526" si="480">C482*$B$15</f>
        <v>-9670.9179055529203</v>
      </c>
      <c r="D526" s="20">
        <f t="shared" si="480"/>
        <v>-13099.646533958441</v>
      </c>
      <c r="E526" s="20">
        <f t="shared" si="480"/>
        <v>-14691.402402363959</v>
      </c>
      <c r="F526" s="20">
        <f t="shared" si="480"/>
        <v>-15609.080062769483</v>
      </c>
      <c r="G526" s="20">
        <f t="shared" si="480"/>
        <v>-16032.606462769483</v>
      </c>
      <c r="H526" s="20">
        <f t="shared" si="480"/>
        <v>-16371.427582769484</v>
      </c>
      <c r="I526" s="20">
        <f t="shared" si="480"/>
        <v>-16642.484478769482</v>
      </c>
      <c r="J526" s="20">
        <f t="shared" si="480"/>
        <v>-16859.329995569482</v>
      </c>
      <c r="K526" s="20">
        <f t="shared" si="480"/>
        <v>-17032.806409009481</v>
      </c>
      <c r="L526" s="20">
        <f t="shared" si="480"/>
        <v>-17171.58753976148</v>
      </c>
    </row>
    <row r="527" spans="1:12" s="67" customFormat="1" x14ac:dyDescent="0.3">
      <c r="B527" s="176" t="s">
        <v>95</v>
      </c>
      <c r="C527" s="20">
        <f t="shared" ref="C527:L527" si="481">C483*$B$15</f>
        <v>-9670.9179055529203</v>
      </c>
      <c r="D527" s="20">
        <f t="shared" si="481"/>
        <v>-13099.646533958441</v>
      </c>
      <c r="E527" s="20">
        <f t="shared" si="481"/>
        <v>-14691.402402363959</v>
      </c>
      <c r="F527" s="20">
        <f t="shared" si="481"/>
        <v>-14813.580062769483</v>
      </c>
      <c r="G527" s="20">
        <f t="shared" si="481"/>
        <v>-14555.595156775003</v>
      </c>
      <c r="H527" s="20">
        <f t="shared" si="481"/>
        <v>-14894.416276775004</v>
      </c>
      <c r="I527" s="20">
        <f t="shared" si="481"/>
        <v>-15165.473172775004</v>
      </c>
      <c r="J527" s="20">
        <f t="shared" si="481"/>
        <v>-15382.318689575004</v>
      </c>
      <c r="K527" s="20">
        <f t="shared" si="481"/>
        <v>-15555.795103015003</v>
      </c>
      <c r="L527" s="20">
        <f t="shared" si="481"/>
        <v>-15694.576233767004</v>
      </c>
    </row>
    <row r="528" spans="1:12" s="67" customFormat="1" x14ac:dyDescent="0.3">
      <c r="B528" s="176" t="s">
        <v>96</v>
      </c>
      <c r="C528" s="20">
        <f>C484*$B$15</f>
        <v>-9670.9179055529203</v>
      </c>
      <c r="D528" s="20">
        <f t="shared" ref="D528:L528" si="482">D484*$B$15</f>
        <v>-13099.646533958441</v>
      </c>
      <c r="E528" s="20">
        <f t="shared" si="482"/>
        <v>-14691.402402363959</v>
      </c>
      <c r="F528" s="20">
        <f t="shared" si="482"/>
        <v>-14813.580062769483</v>
      </c>
      <c r="G528" s="20">
        <f t="shared" si="482"/>
        <v>-13760.095156775003</v>
      </c>
      <c r="H528" s="20">
        <f t="shared" si="482"/>
        <v>-12561.580197660525</v>
      </c>
      <c r="I528" s="20">
        <f t="shared" si="482"/>
        <v>-12832.637093660525</v>
      </c>
      <c r="J528" s="20">
        <f t="shared" si="482"/>
        <v>-13049.482610460525</v>
      </c>
      <c r="K528" s="20">
        <f t="shared" si="482"/>
        <v>-13222.959023900525</v>
      </c>
      <c r="L528" s="20">
        <f t="shared" si="482"/>
        <v>-13361.740154652525</v>
      </c>
    </row>
    <row r="529" spans="1:12" s="67" customFormat="1" x14ac:dyDescent="0.3">
      <c r="B529" s="176" t="s">
        <v>97</v>
      </c>
      <c r="C529" s="20">
        <f t="shared" ref="C529:L529" si="483">C485*$B$15</f>
        <v>-9670.9179055529203</v>
      </c>
      <c r="D529" s="20">
        <f t="shared" si="483"/>
        <v>-13099.646533958441</v>
      </c>
      <c r="E529" s="20">
        <f t="shared" si="483"/>
        <v>-14691.402402363959</v>
      </c>
      <c r="F529" s="20">
        <f t="shared" si="483"/>
        <v>-14813.580062769483</v>
      </c>
      <c r="G529" s="20">
        <f t="shared" si="483"/>
        <v>-13760.095156775003</v>
      </c>
      <c r="H529" s="20">
        <f t="shared" si="483"/>
        <v>-11766.080197660525</v>
      </c>
      <c r="I529" s="20">
        <f t="shared" si="483"/>
        <v>-9815.1411960500445</v>
      </c>
      <c r="J529" s="20">
        <f t="shared" si="483"/>
        <v>-10031.986712850045</v>
      </c>
      <c r="K529" s="20">
        <f t="shared" si="483"/>
        <v>-10205.463126290044</v>
      </c>
      <c r="L529" s="20">
        <f t="shared" si="483"/>
        <v>-10344.244257042044</v>
      </c>
    </row>
    <row r="530" spans="1:12" s="67" customFormat="1" x14ac:dyDescent="0.3">
      <c r="B530" s="176" t="s">
        <v>98</v>
      </c>
      <c r="C530" s="20">
        <f t="shared" ref="C530:L530" si="484">C486*$B$15</f>
        <v>-9670.9179055529203</v>
      </c>
      <c r="D530" s="20">
        <f t="shared" si="484"/>
        <v>-13099.646533958441</v>
      </c>
      <c r="E530" s="20">
        <f t="shared" si="484"/>
        <v>-14691.402402363959</v>
      </c>
      <c r="F530" s="20">
        <f t="shared" si="484"/>
        <v>-14813.580062769483</v>
      </c>
      <c r="G530" s="20">
        <f t="shared" si="484"/>
        <v>-13760.095156775003</v>
      </c>
      <c r="H530" s="20">
        <f t="shared" si="484"/>
        <v>-11766.080197660525</v>
      </c>
      <c r="I530" s="20">
        <f t="shared" si="484"/>
        <v>-9019.6411960500445</v>
      </c>
      <c r="J530" s="20">
        <f t="shared" si="484"/>
        <v>-6466.7629604427657</v>
      </c>
      <c r="K530" s="20">
        <f t="shared" si="484"/>
        <v>-6640.2393738827668</v>
      </c>
      <c r="L530" s="20">
        <f t="shared" si="484"/>
        <v>-6779.0205046347646</v>
      </c>
    </row>
    <row r="531" spans="1:12" s="67" customFormat="1" x14ac:dyDescent="0.3">
      <c r="B531" s="176" t="s">
        <v>99</v>
      </c>
      <c r="C531" s="20">
        <f>C487*$B$15</f>
        <v>-9670.9179055529203</v>
      </c>
      <c r="D531" s="20">
        <f t="shared" ref="D531:L531" si="485">D487*$B$15</f>
        <v>-13099.646533958441</v>
      </c>
      <c r="E531" s="20">
        <f t="shared" si="485"/>
        <v>-14691.402402363959</v>
      </c>
      <c r="F531" s="20">
        <f t="shared" si="485"/>
        <v>-14813.580062769483</v>
      </c>
      <c r="G531" s="20">
        <f t="shared" si="485"/>
        <v>-13760.095156775003</v>
      </c>
      <c r="H531" s="20">
        <f t="shared" si="485"/>
        <v>-11766.080197660525</v>
      </c>
      <c r="I531" s="20">
        <f t="shared" si="485"/>
        <v>-9019.6411960500445</v>
      </c>
      <c r="J531" s="20">
        <f t="shared" si="485"/>
        <v>-5671.2629604427657</v>
      </c>
      <c r="K531" s="20">
        <f t="shared" si="485"/>
        <v>-2636.8333376380469</v>
      </c>
      <c r="L531" s="20">
        <f t="shared" si="485"/>
        <v>-2775.614468390047</v>
      </c>
    </row>
    <row r="532" spans="1:12" s="67" customFormat="1" x14ac:dyDescent="0.3">
      <c r="A532" s="12"/>
      <c r="B532" s="434" t="s">
        <v>100</v>
      </c>
      <c r="C532" s="186">
        <f t="shared" ref="C532:K532" si="486">C488*$B$15</f>
        <v>-9670.9179055529203</v>
      </c>
      <c r="D532" s="186">
        <f t="shared" si="486"/>
        <v>-13099.646533958441</v>
      </c>
      <c r="E532" s="186">
        <f t="shared" si="486"/>
        <v>-14691.402402363959</v>
      </c>
      <c r="F532" s="186">
        <f t="shared" si="486"/>
        <v>-14813.580062769483</v>
      </c>
      <c r="G532" s="186">
        <f t="shared" si="486"/>
        <v>-13760.095156775003</v>
      </c>
      <c r="H532" s="186">
        <f t="shared" si="486"/>
        <v>-11766.080197660525</v>
      </c>
      <c r="I532" s="186">
        <f t="shared" si="486"/>
        <v>-9019.6411960500445</v>
      </c>
      <c r="J532" s="186">
        <f t="shared" si="486"/>
        <v>-5671.2629604427657</v>
      </c>
      <c r="K532" s="186">
        <f t="shared" si="486"/>
        <v>-1841.3333376380469</v>
      </c>
      <c r="L532" s="186">
        <f>L488*$B$15</f>
        <v>2373.8373949246234</v>
      </c>
    </row>
    <row r="533" spans="1:12" s="67" customFormat="1" x14ac:dyDescent="0.3">
      <c r="B533" s="176" t="s">
        <v>101</v>
      </c>
      <c r="C533" s="20">
        <f t="shared" ref="C533:L533" si="487">C489*$B$15</f>
        <v>-4142.4726189375597</v>
      </c>
      <c r="D533" s="20">
        <f t="shared" si="487"/>
        <v>-4475.3022189375597</v>
      </c>
      <c r="E533" s="20">
        <f t="shared" si="487"/>
        <v>-4741.5658989375597</v>
      </c>
      <c r="F533" s="20">
        <f t="shared" si="487"/>
        <v>-4954.5768429375594</v>
      </c>
      <c r="G533" s="20">
        <f t="shared" si="487"/>
        <v>-5124.9855981375595</v>
      </c>
      <c r="H533" s="20">
        <f t="shared" si="487"/>
        <v>-5261.3126022975594</v>
      </c>
      <c r="I533" s="20">
        <f t="shared" si="487"/>
        <v>-5370.3742056255596</v>
      </c>
      <c r="J533" s="20">
        <f t="shared" si="487"/>
        <v>-5457.6234882879598</v>
      </c>
      <c r="K533" s="20">
        <f t="shared" si="487"/>
        <v>-5527.4229144178798</v>
      </c>
      <c r="L533" s="20">
        <f t="shared" si="487"/>
        <v>-5583.2624553218157</v>
      </c>
    </row>
    <row r="534" spans="1:12" s="67" customFormat="1" x14ac:dyDescent="0.3">
      <c r="B534" s="176" t="s">
        <v>102</v>
      </c>
      <c r="C534" s="20">
        <f t="shared" ref="C534:L534" si="488">C490*$B$15</f>
        <v>-4056.4726189375601</v>
      </c>
      <c r="D534" s="20">
        <f t="shared" si="488"/>
        <v>-4203.3445107277184</v>
      </c>
      <c r="E534" s="20">
        <f t="shared" si="488"/>
        <v>-4469.6081907277185</v>
      </c>
      <c r="F534" s="20">
        <f t="shared" si="488"/>
        <v>-4682.6191347277181</v>
      </c>
      <c r="G534" s="20">
        <f t="shared" si="488"/>
        <v>-4853.0278899277182</v>
      </c>
      <c r="H534" s="20">
        <f t="shared" si="488"/>
        <v>-4989.3548940877181</v>
      </c>
      <c r="I534" s="20">
        <f t="shared" si="488"/>
        <v>-5098.4164974157184</v>
      </c>
      <c r="J534" s="20">
        <f t="shared" si="488"/>
        <v>-5185.6657800781186</v>
      </c>
      <c r="K534" s="20">
        <f t="shared" si="488"/>
        <v>-5255.4652062080386</v>
      </c>
      <c r="L534" s="20">
        <f t="shared" si="488"/>
        <v>-5311.3047471119744</v>
      </c>
    </row>
    <row r="535" spans="1:12" s="67" customFormat="1" x14ac:dyDescent="0.3">
      <c r="B535" s="176" t="s">
        <v>103</v>
      </c>
      <c r="C535" s="20">
        <f t="shared" ref="C535:L535" si="489">C491*$B$15</f>
        <v>-4056.4726189375601</v>
      </c>
      <c r="D535" s="20">
        <f t="shared" si="489"/>
        <v>-4117.3445107277184</v>
      </c>
      <c r="E535" s="20">
        <f t="shared" si="489"/>
        <v>-3484.9144825178764</v>
      </c>
      <c r="F535" s="20">
        <f t="shared" si="489"/>
        <v>-3697.9254265178761</v>
      </c>
      <c r="G535" s="20">
        <f t="shared" si="489"/>
        <v>-3868.3341817178766</v>
      </c>
      <c r="H535" s="20">
        <f t="shared" si="489"/>
        <v>-4004.6611858778765</v>
      </c>
      <c r="I535" s="20">
        <f t="shared" si="489"/>
        <v>-4113.7227892058763</v>
      </c>
      <c r="J535" s="20">
        <f t="shared" si="489"/>
        <v>-4200.9720718682765</v>
      </c>
      <c r="K535" s="20">
        <f t="shared" si="489"/>
        <v>-4270.7714979981965</v>
      </c>
      <c r="L535" s="20">
        <f t="shared" si="489"/>
        <v>-4326.6110389021323</v>
      </c>
    </row>
    <row r="536" spans="1:12" s="67" customFormat="1" x14ac:dyDescent="0.3">
      <c r="B536" s="176" t="s">
        <v>104</v>
      </c>
      <c r="C536" s="20">
        <f>C492*$B$15</f>
        <v>-4056.4726189375601</v>
      </c>
      <c r="D536" s="20">
        <f t="shared" ref="D536:L536" si="490">D492*$B$15</f>
        <v>-4117.3445107277184</v>
      </c>
      <c r="E536" s="20">
        <f t="shared" si="490"/>
        <v>-3398.9144825178764</v>
      </c>
      <c r="F536" s="20">
        <f t="shared" si="490"/>
        <v>-2143.0429183080346</v>
      </c>
      <c r="G536" s="20">
        <f t="shared" si="490"/>
        <v>-2313.4516735080347</v>
      </c>
      <c r="H536" s="20">
        <f t="shared" si="490"/>
        <v>-2449.7786776680346</v>
      </c>
      <c r="I536" s="20">
        <f t="shared" si="490"/>
        <v>-2558.8402809960344</v>
      </c>
      <c r="J536" s="20">
        <f t="shared" si="490"/>
        <v>-2646.0895636584346</v>
      </c>
      <c r="K536" s="20">
        <f t="shared" si="490"/>
        <v>-2715.8889897883546</v>
      </c>
      <c r="L536" s="20">
        <f t="shared" si="490"/>
        <v>-2771.7285306922904</v>
      </c>
    </row>
    <row r="537" spans="1:12" s="67" customFormat="1" x14ac:dyDescent="0.3">
      <c r="B537" s="176" t="s">
        <v>105</v>
      </c>
      <c r="C537" s="20">
        <f t="shared" ref="C537:L537" si="491">C493*$B$15</f>
        <v>-4056.4726189375601</v>
      </c>
      <c r="D537" s="20">
        <f t="shared" si="491"/>
        <v>-4117.3445107277184</v>
      </c>
      <c r="E537" s="20">
        <f t="shared" si="491"/>
        <v>-3398.9144825178764</v>
      </c>
      <c r="F537" s="20">
        <f t="shared" si="491"/>
        <v>-2057.0429183080346</v>
      </c>
      <c r="G537" s="20">
        <f t="shared" si="491"/>
        <v>-302.41812529819299</v>
      </c>
      <c r="H537" s="20">
        <f t="shared" si="491"/>
        <v>-438.74512945819293</v>
      </c>
      <c r="I537" s="20">
        <f t="shared" si="491"/>
        <v>-547.80673278619304</v>
      </c>
      <c r="J537" s="20">
        <f t="shared" si="491"/>
        <v>-635.05601544859303</v>
      </c>
      <c r="K537" s="20">
        <f t="shared" si="491"/>
        <v>-704.85544157851302</v>
      </c>
      <c r="L537" s="20">
        <f t="shared" si="491"/>
        <v>-760.69498248244906</v>
      </c>
    </row>
    <row r="538" spans="1:12" s="67" customFormat="1" x14ac:dyDescent="0.3">
      <c r="B538" s="176" t="s">
        <v>106</v>
      </c>
      <c r="C538" s="20">
        <f t="shared" ref="C538:L538" si="492">C494*$B$15</f>
        <v>-4056.4726189375601</v>
      </c>
      <c r="D538" s="20">
        <f t="shared" si="492"/>
        <v>-4117.3445107277184</v>
      </c>
      <c r="E538" s="20">
        <f t="shared" si="492"/>
        <v>-3398.9144825178764</v>
      </c>
      <c r="F538" s="20">
        <f t="shared" si="492"/>
        <v>-2057.0429183080346</v>
      </c>
      <c r="G538" s="20">
        <f t="shared" si="492"/>
        <v>-216.41812529819299</v>
      </c>
      <c r="H538" s="20">
        <f t="shared" si="492"/>
        <v>1937.2092507516486</v>
      </c>
      <c r="I538" s="20">
        <f t="shared" si="492"/>
        <v>1828.1476474236486</v>
      </c>
      <c r="J538" s="20">
        <f t="shared" si="492"/>
        <v>1740.8983647612486</v>
      </c>
      <c r="K538" s="20">
        <f t="shared" si="492"/>
        <v>1671.0989386313286</v>
      </c>
      <c r="L538" s="20">
        <f t="shared" si="492"/>
        <v>1615.2593977273925</v>
      </c>
    </row>
    <row r="539" spans="1:12" s="67" customFormat="1" x14ac:dyDescent="0.3">
      <c r="B539" s="176" t="s">
        <v>107</v>
      </c>
      <c r="C539" s="20">
        <f t="shared" ref="C539:L539" si="493">C495*$B$15</f>
        <v>-4056.4726189375601</v>
      </c>
      <c r="D539" s="20">
        <f t="shared" si="493"/>
        <v>-4117.3445107277184</v>
      </c>
      <c r="E539" s="20">
        <f t="shared" si="493"/>
        <v>-3398.9144825178764</v>
      </c>
      <c r="F539" s="20">
        <f t="shared" si="493"/>
        <v>-2057.0429183080346</v>
      </c>
      <c r="G539" s="20">
        <f t="shared" si="493"/>
        <v>-216.41812529819299</v>
      </c>
      <c r="H539" s="20">
        <f t="shared" si="493"/>
        <v>2023.2092507516486</v>
      </c>
      <c r="I539" s="20">
        <f t="shared" si="493"/>
        <v>4496.0386932334895</v>
      </c>
      <c r="J539" s="20">
        <f t="shared" si="493"/>
        <v>4408.7894105710893</v>
      </c>
      <c r="K539" s="20">
        <f t="shared" si="493"/>
        <v>4338.9899844411693</v>
      </c>
      <c r="L539" s="20">
        <f t="shared" si="493"/>
        <v>4283.1504435372335</v>
      </c>
    </row>
    <row r="540" spans="1:12" s="67" customFormat="1" x14ac:dyDescent="0.3">
      <c r="B540" s="176" t="s">
        <v>108</v>
      </c>
      <c r="C540" s="20">
        <f t="shared" ref="C540:L540" si="494">C496*$B$15</f>
        <v>-4056.4726189375601</v>
      </c>
      <c r="D540" s="20">
        <f t="shared" si="494"/>
        <v>-4117.3445107277184</v>
      </c>
      <c r="E540" s="20">
        <f t="shared" si="494"/>
        <v>-3398.9144825178764</v>
      </c>
      <c r="F540" s="20">
        <f t="shared" si="494"/>
        <v>-2057.0429183080346</v>
      </c>
      <c r="G540" s="20">
        <f t="shared" si="494"/>
        <v>-216.41812529819299</v>
      </c>
      <c r="H540" s="20">
        <f t="shared" si="494"/>
        <v>2023.2092507516486</v>
      </c>
      <c r="I540" s="20">
        <f t="shared" si="494"/>
        <v>4582.0386932334895</v>
      </c>
      <c r="J540" s="20">
        <f t="shared" si="494"/>
        <v>7310.2297888609301</v>
      </c>
      <c r="K540" s="20">
        <f t="shared" si="494"/>
        <v>7240.430362731011</v>
      </c>
      <c r="L540" s="20">
        <f t="shared" si="494"/>
        <v>7184.5908218270752</v>
      </c>
    </row>
    <row r="541" spans="1:12" s="67" customFormat="1" x14ac:dyDescent="0.3">
      <c r="B541" s="176" t="s">
        <v>109</v>
      </c>
      <c r="C541" s="20">
        <f t="shared" ref="C541:L541" si="495">C497*$B$15</f>
        <v>-4056.4726189375601</v>
      </c>
      <c r="D541" s="20">
        <f t="shared" si="495"/>
        <v>-4117.3445107277184</v>
      </c>
      <c r="E541" s="20">
        <f t="shared" si="495"/>
        <v>-3398.9144825178764</v>
      </c>
      <c r="F541" s="20">
        <f t="shared" si="495"/>
        <v>-2057.0429183080346</v>
      </c>
      <c r="G541" s="20">
        <f t="shared" si="495"/>
        <v>-216.41812529819299</v>
      </c>
      <c r="H541" s="20">
        <f t="shared" si="495"/>
        <v>2023.2092507516486</v>
      </c>
      <c r="I541" s="20">
        <f t="shared" si="495"/>
        <v>4582.0386932334895</v>
      </c>
      <c r="J541" s="20">
        <f t="shared" si="495"/>
        <v>7396.2297888609319</v>
      </c>
      <c r="K541" s="20">
        <f t="shared" si="495"/>
        <v>10328.710207004853</v>
      </c>
      <c r="L541" s="20">
        <f t="shared" si="495"/>
        <v>10272.870666100916</v>
      </c>
    </row>
    <row r="542" spans="1:12" s="67" customFormat="1" x14ac:dyDescent="0.3">
      <c r="A542" s="12"/>
      <c r="B542" s="434" t="s">
        <v>110</v>
      </c>
      <c r="C542" s="186">
        <f t="shared" ref="C542:L542" si="496">C498*$B$15</f>
        <v>-4056.4726189375601</v>
      </c>
      <c r="D542" s="186">
        <f t="shared" si="496"/>
        <v>-4117.3445107277184</v>
      </c>
      <c r="E542" s="186">
        <f t="shared" si="496"/>
        <v>-3398.9144825178764</v>
      </c>
      <c r="F542" s="186">
        <f t="shared" si="496"/>
        <v>-2057.0429183080346</v>
      </c>
      <c r="G542" s="186">
        <f t="shared" si="496"/>
        <v>-216.41812529819299</v>
      </c>
      <c r="H542" s="186">
        <f t="shared" si="496"/>
        <v>2023.2092507516486</v>
      </c>
      <c r="I542" s="186">
        <f t="shared" si="496"/>
        <v>4582.0386932334895</v>
      </c>
      <c r="J542" s="186">
        <f t="shared" si="496"/>
        <v>7396.2297888609319</v>
      </c>
      <c r="K542" s="186">
        <f t="shared" si="496"/>
        <v>10414.710207004853</v>
      </c>
      <c r="L542" s="186">
        <f t="shared" si="496"/>
        <v>13596.622083161956</v>
      </c>
    </row>
    <row r="543" spans="1:12" s="67" customFormat="1" x14ac:dyDescent="0.3">
      <c r="B543" s="176" t="s">
        <v>111</v>
      </c>
      <c r="C543" s="20">
        <f t="shared" ref="C543:L543" si="497">C499*$B$15</f>
        <v>-72.974758151013248</v>
      </c>
      <c r="D543" s="20">
        <f t="shared" si="497"/>
        <v>-72.974758151013248</v>
      </c>
      <c r="E543" s="20">
        <f t="shared" si="497"/>
        <v>-72.974758151013248</v>
      </c>
      <c r="F543" s="20">
        <f t="shared" si="497"/>
        <v>-72.974758151013248</v>
      </c>
      <c r="G543" s="20">
        <f t="shared" si="497"/>
        <v>-72.974758151013248</v>
      </c>
      <c r="H543" s="20">
        <f t="shared" si="497"/>
        <v>-72.974758151013248</v>
      </c>
      <c r="I543" s="20">
        <f t="shared" si="497"/>
        <v>-72.974758151013248</v>
      </c>
      <c r="J543" s="20">
        <f t="shared" si="497"/>
        <v>-72.974758151013248</v>
      </c>
      <c r="K543" s="20">
        <f t="shared" si="497"/>
        <v>-72.974758151013248</v>
      </c>
      <c r="L543" s="20">
        <f t="shared" si="497"/>
        <v>-72.974758151013248</v>
      </c>
    </row>
    <row r="544" spans="1:12" s="67" customFormat="1" x14ac:dyDescent="0.3">
      <c r="B544" s="176" t="s">
        <v>112</v>
      </c>
      <c r="C544" s="20">
        <f t="shared" ref="C544:L544" si="498">C500*$B$15</f>
        <v>-72.974758151013248</v>
      </c>
      <c r="D544" s="20">
        <f t="shared" si="498"/>
        <v>1853.6288108453748</v>
      </c>
      <c r="E544" s="20">
        <f t="shared" si="498"/>
        <v>1853.6288108453748</v>
      </c>
      <c r="F544" s="20">
        <f t="shared" si="498"/>
        <v>1853.6288108453748</v>
      </c>
      <c r="G544" s="20">
        <f t="shared" si="498"/>
        <v>1853.6288108453748</v>
      </c>
      <c r="H544" s="20">
        <f t="shared" si="498"/>
        <v>1853.6288108453748</v>
      </c>
      <c r="I544" s="20">
        <f t="shared" si="498"/>
        <v>1853.6288108453748</v>
      </c>
      <c r="J544" s="20">
        <f t="shared" si="498"/>
        <v>1853.6288108453748</v>
      </c>
      <c r="K544" s="20">
        <f t="shared" si="498"/>
        <v>1853.6288108453748</v>
      </c>
      <c r="L544" s="20">
        <f t="shared" si="498"/>
        <v>1853.6288108453748</v>
      </c>
    </row>
    <row r="545" spans="1:16" s="67" customFormat="1" x14ac:dyDescent="0.3">
      <c r="B545" s="176" t="s">
        <v>113</v>
      </c>
      <c r="C545" s="20">
        <f t="shared" ref="C545:L545" si="499">C501*$B$15</f>
        <v>-72.974758151013248</v>
      </c>
      <c r="D545" s="20">
        <f t="shared" si="499"/>
        <v>1853.6288108453748</v>
      </c>
      <c r="E545" s="20">
        <f t="shared" si="499"/>
        <v>3780.2323798417628</v>
      </c>
      <c r="F545" s="20">
        <f t="shared" si="499"/>
        <v>3780.2323798417628</v>
      </c>
      <c r="G545" s="20">
        <f t="shared" si="499"/>
        <v>3780.2323798417628</v>
      </c>
      <c r="H545" s="20">
        <f t="shared" si="499"/>
        <v>3780.2323798417628</v>
      </c>
      <c r="I545" s="20">
        <f t="shared" si="499"/>
        <v>3780.2323798417628</v>
      </c>
      <c r="J545" s="20">
        <f t="shared" si="499"/>
        <v>3780.2323798417628</v>
      </c>
      <c r="K545" s="20">
        <f t="shared" si="499"/>
        <v>3780.2323798417628</v>
      </c>
      <c r="L545" s="20">
        <f t="shared" si="499"/>
        <v>3780.2323798417628</v>
      </c>
    </row>
    <row r="546" spans="1:16" s="67" customFormat="1" x14ac:dyDescent="0.3">
      <c r="B546" s="176" t="s">
        <v>114</v>
      </c>
      <c r="C546" s="20">
        <f t="shared" ref="C546:L546" si="500">C502*$B$15</f>
        <v>-72.974758151013248</v>
      </c>
      <c r="D546" s="20">
        <f t="shared" si="500"/>
        <v>1853.6288108453748</v>
      </c>
      <c r="E546" s="20">
        <f t="shared" si="500"/>
        <v>3780.2323798417628</v>
      </c>
      <c r="F546" s="20">
        <f t="shared" si="500"/>
        <v>5706.835948838152</v>
      </c>
      <c r="G546" s="20">
        <f t="shared" si="500"/>
        <v>5706.835948838152</v>
      </c>
      <c r="H546" s="20">
        <f t="shared" si="500"/>
        <v>5706.835948838152</v>
      </c>
      <c r="I546" s="20">
        <f t="shared" si="500"/>
        <v>5706.835948838152</v>
      </c>
      <c r="J546" s="20">
        <f t="shared" si="500"/>
        <v>5706.835948838152</v>
      </c>
      <c r="K546" s="20">
        <f t="shared" si="500"/>
        <v>5706.835948838152</v>
      </c>
      <c r="L546" s="20">
        <f t="shared" si="500"/>
        <v>5706.835948838152</v>
      </c>
    </row>
    <row r="547" spans="1:16" s="67" customFormat="1" x14ac:dyDescent="0.3">
      <c r="B547" s="176" t="s">
        <v>115</v>
      </c>
      <c r="C547" s="20">
        <f t="shared" ref="C547:L547" si="501">C503*$B$15</f>
        <v>-72.974758151013248</v>
      </c>
      <c r="D547" s="20">
        <f t="shared" si="501"/>
        <v>1853.6288108453748</v>
      </c>
      <c r="E547" s="20">
        <f t="shared" si="501"/>
        <v>3780.2323798417628</v>
      </c>
      <c r="F547" s="20">
        <f t="shared" si="501"/>
        <v>5706.835948838152</v>
      </c>
      <c r="G547" s="20">
        <f t="shared" si="501"/>
        <v>7633.4395178345403</v>
      </c>
      <c r="H547" s="20">
        <f t="shared" si="501"/>
        <v>7633.4395178345403</v>
      </c>
      <c r="I547" s="20">
        <f t="shared" si="501"/>
        <v>7633.4395178345403</v>
      </c>
      <c r="J547" s="20">
        <f t="shared" si="501"/>
        <v>7633.4395178345403</v>
      </c>
      <c r="K547" s="20">
        <f t="shared" si="501"/>
        <v>7633.4395178345403</v>
      </c>
      <c r="L547" s="20">
        <f t="shared" si="501"/>
        <v>7633.4395178345403</v>
      </c>
    </row>
    <row r="548" spans="1:16" s="67" customFormat="1" x14ac:dyDescent="0.3">
      <c r="B548" s="176" t="s">
        <v>116</v>
      </c>
      <c r="C548" s="20">
        <f t="shared" ref="C548:L548" si="502">C504*$B$15</f>
        <v>-72.974758151013248</v>
      </c>
      <c r="D548" s="20">
        <f t="shared" si="502"/>
        <v>1853.6288108453748</v>
      </c>
      <c r="E548" s="20">
        <f t="shared" si="502"/>
        <v>3780.2323798417628</v>
      </c>
      <c r="F548" s="20">
        <f t="shared" si="502"/>
        <v>5706.835948838152</v>
      </c>
      <c r="G548" s="20">
        <f t="shared" si="502"/>
        <v>7633.4395178345403</v>
      </c>
      <c r="H548" s="20">
        <f t="shared" si="502"/>
        <v>9560.0430868309286</v>
      </c>
      <c r="I548" s="20">
        <f t="shared" si="502"/>
        <v>9560.0430868309286</v>
      </c>
      <c r="J548" s="20">
        <f t="shared" si="502"/>
        <v>9560.0430868309286</v>
      </c>
      <c r="K548" s="20">
        <f t="shared" si="502"/>
        <v>9560.0430868309286</v>
      </c>
      <c r="L548" s="20">
        <f t="shared" si="502"/>
        <v>9560.0430868309286</v>
      </c>
    </row>
    <row r="549" spans="1:16" s="67" customFormat="1" x14ac:dyDescent="0.3">
      <c r="B549" s="176" t="s">
        <v>117</v>
      </c>
      <c r="C549" s="20">
        <f t="shared" ref="C549:L549" si="503">C505*$B$15</f>
        <v>-72.974758151013248</v>
      </c>
      <c r="D549" s="20">
        <f t="shared" si="503"/>
        <v>1853.6288108453748</v>
      </c>
      <c r="E549" s="20">
        <f t="shared" si="503"/>
        <v>3780.2323798417628</v>
      </c>
      <c r="F549" s="20">
        <f t="shared" si="503"/>
        <v>5706.835948838152</v>
      </c>
      <c r="G549" s="20">
        <f t="shared" si="503"/>
        <v>7633.4395178345403</v>
      </c>
      <c r="H549" s="20">
        <f t="shared" si="503"/>
        <v>9560.0430868309286</v>
      </c>
      <c r="I549" s="20">
        <f t="shared" si="503"/>
        <v>11486.646655827317</v>
      </c>
      <c r="J549" s="20">
        <f t="shared" si="503"/>
        <v>11486.646655827317</v>
      </c>
      <c r="K549" s="20">
        <f t="shared" si="503"/>
        <v>11486.646655827317</v>
      </c>
      <c r="L549" s="20">
        <f t="shared" si="503"/>
        <v>11486.646655827317</v>
      </c>
    </row>
    <row r="550" spans="1:16" s="67" customFormat="1" x14ac:dyDescent="0.3">
      <c r="B550" s="176" t="s">
        <v>118</v>
      </c>
      <c r="C550" s="20">
        <f t="shared" ref="C550:L550" si="504">C506*$B$15</f>
        <v>-72.974758151013248</v>
      </c>
      <c r="D550" s="20">
        <f t="shared" si="504"/>
        <v>1853.6288108453748</v>
      </c>
      <c r="E550" s="20">
        <f t="shared" si="504"/>
        <v>3780.2323798417628</v>
      </c>
      <c r="F550" s="20">
        <f t="shared" si="504"/>
        <v>5706.835948838152</v>
      </c>
      <c r="G550" s="20">
        <f t="shared" si="504"/>
        <v>7633.4395178345403</v>
      </c>
      <c r="H550" s="20">
        <f t="shared" si="504"/>
        <v>9560.0430868309286</v>
      </c>
      <c r="I550" s="20">
        <f t="shared" si="504"/>
        <v>11486.646655827317</v>
      </c>
      <c r="J550" s="20">
        <f t="shared" si="504"/>
        <v>13413.250224823705</v>
      </c>
      <c r="K550" s="20">
        <f t="shared" si="504"/>
        <v>13413.250224823705</v>
      </c>
      <c r="L550" s="20">
        <f t="shared" si="504"/>
        <v>13413.250224823705</v>
      </c>
    </row>
    <row r="551" spans="1:16" s="67" customFormat="1" x14ac:dyDescent="0.3">
      <c r="B551" s="176" t="s">
        <v>119</v>
      </c>
      <c r="C551" s="20">
        <f t="shared" ref="C551:L551" si="505">C507*$B$15</f>
        <v>-72.974758151013248</v>
      </c>
      <c r="D551" s="20">
        <f t="shared" si="505"/>
        <v>1853.6288108453748</v>
      </c>
      <c r="E551" s="20">
        <f t="shared" si="505"/>
        <v>3780.2323798417628</v>
      </c>
      <c r="F551" s="20">
        <f t="shared" si="505"/>
        <v>5706.835948838152</v>
      </c>
      <c r="G551" s="20">
        <f t="shared" si="505"/>
        <v>7633.4395178345403</v>
      </c>
      <c r="H551" s="20">
        <f t="shared" si="505"/>
        <v>9560.0430868309286</v>
      </c>
      <c r="I551" s="20">
        <f t="shared" si="505"/>
        <v>11486.646655827317</v>
      </c>
      <c r="J551" s="20">
        <f t="shared" si="505"/>
        <v>13413.250224823705</v>
      </c>
      <c r="K551" s="20">
        <f t="shared" si="505"/>
        <v>15339.853793820093</v>
      </c>
      <c r="L551" s="20">
        <f t="shared" si="505"/>
        <v>15339.853793820093</v>
      </c>
    </row>
    <row r="552" spans="1:16" s="67" customFormat="1" x14ac:dyDescent="0.3">
      <c r="B552" s="176" t="s">
        <v>120</v>
      </c>
      <c r="C552" s="20">
        <f t="shared" ref="C552:L552" si="506">C508*$B$15</f>
        <v>-72.974758151013248</v>
      </c>
      <c r="D552" s="20">
        <f t="shared" si="506"/>
        <v>1853.6288108453748</v>
      </c>
      <c r="E552" s="20">
        <f t="shared" si="506"/>
        <v>3780.2323798417628</v>
      </c>
      <c r="F552" s="20">
        <f t="shared" si="506"/>
        <v>5706.835948838152</v>
      </c>
      <c r="G552" s="20">
        <f t="shared" si="506"/>
        <v>7633.4395178345403</v>
      </c>
      <c r="H552" s="20">
        <f t="shared" si="506"/>
        <v>9560.0430868309286</v>
      </c>
      <c r="I552" s="20">
        <f t="shared" si="506"/>
        <v>11486.646655827317</v>
      </c>
      <c r="J552" s="20">
        <f t="shared" si="506"/>
        <v>13413.250224823705</v>
      </c>
      <c r="K552" s="20">
        <f t="shared" si="506"/>
        <v>15339.853793820093</v>
      </c>
      <c r="L552" s="20">
        <f t="shared" si="506"/>
        <v>17266.45736281648</v>
      </c>
    </row>
    <row r="553" spans="1:16" s="67" customFormat="1" x14ac:dyDescent="0.3">
      <c r="B553" s="176"/>
      <c r="C553" s="20"/>
      <c r="D553" s="20"/>
      <c r="E553" s="20"/>
      <c r="F553" s="20"/>
      <c r="G553" s="20"/>
      <c r="H553" s="20"/>
      <c r="I553" s="20"/>
      <c r="J553" s="20"/>
      <c r="K553" s="20"/>
      <c r="L553" s="20"/>
    </row>
    <row r="554" spans="1:16" s="309" customFormat="1" ht="18" x14ac:dyDescent="0.35">
      <c r="A554" s="309" t="s">
        <v>259</v>
      </c>
    </row>
    <row r="555" spans="1:16" s="67" customFormat="1" x14ac:dyDescent="0.3">
      <c r="A555" s="184" t="s">
        <v>144</v>
      </c>
      <c r="B555" s="184"/>
      <c r="C555" s="184"/>
      <c r="D555" s="184"/>
      <c r="E555" s="184"/>
      <c r="F555" s="184"/>
      <c r="G555" s="184"/>
      <c r="H555" s="184"/>
      <c r="I555" s="184"/>
      <c r="J555" s="184"/>
      <c r="K555" s="184"/>
      <c r="L555" s="184"/>
      <c r="M555" s="4"/>
      <c r="N555" s="7"/>
      <c r="O555" s="7"/>
      <c r="P555" s="7"/>
    </row>
    <row r="556" spans="1:16" s="67" customFormat="1" x14ac:dyDescent="0.3">
      <c r="C556" s="456" t="s">
        <v>71</v>
      </c>
      <c r="D556" s="456"/>
      <c r="E556" s="456"/>
      <c r="F556" s="456"/>
      <c r="G556" s="456"/>
      <c r="H556" s="456"/>
      <c r="I556" s="456"/>
      <c r="J556" s="456"/>
      <c r="K556" s="456"/>
      <c r="L556" s="456"/>
      <c r="M556" s="503" t="s">
        <v>261</v>
      </c>
      <c r="N556" s="504"/>
      <c r="O556" s="504"/>
      <c r="P556" s="504"/>
    </row>
    <row r="557" spans="1:16" s="67" customFormat="1" x14ac:dyDescent="0.3">
      <c r="C557" s="180">
        <v>1</v>
      </c>
      <c r="D557" s="180">
        <v>2</v>
      </c>
      <c r="E557" s="180">
        <v>3</v>
      </c>
      <c r="F557" s="180">
        <v>4</v>
      </c>
      <c r="G557" s="180">
        <v>5</v>
      </c>
      <c r="H557" s="180">
        <v>6</v>
      </c>
      <c r="I557" s="180">
        <v>7</v>
      </c>
      <c r="J557" s="180">
        <v>8</v>
      </c>
      <c r="K557" s="180">
        <v>9</v>
      </c>
      <c r="L557" s="180">
        <v>10</v>
      </c>
      <c r="M557" s="380" t="s">
        <v>143</v>
      </c>
      <c r="N557" s="317"/>
      <c r="O557" s="317"/>
      <c r="P557" s="35" t="s">
        <v>148</v>
      </c>
    </row>
    <row r="558" spans="1:16" s="67" customFormat="1" x14ac:dyDescent="0.3">
      <c r="B558" s="1" t="s">
        <v>135</v>
      </c>
      <c r="C558" s="20">
        <f>C$112</f>
        <v>-20047.269022219589</v>
      </c>
      <c r="D558" s="20">
        <f>D$112</f>
        <v>-43150.896783958444</v>
      </c>
      <c r="E558" s="430">
        <f>_xlfn.FORECAST.LINEAR(E$557,$C$558:$D$558,$C$557:$D$557)</f>
        <v>-66254.524545697292</v>
      </c>
      <c r="F558" s="430">
        <f t="shared" ref="F558:L558" si="507">_xlfn.FORECAST.LINEAR(F$557,$C$558:$D$558,$C$557:$D$557)</f>
        <v>-89358.152307436161</v>
      </c>
      <c r="G558" s="430">
        <f t="shared" si="507"/>
        <v>-112461.780069175</v>
      </c>
      <c r="H558" s="430">
        <f t="shared" si="507"/>
        <v>-135565.40783091387</v>
      </c>
      <c r="I558" s="430">
        <f t="shared" si="507"/>
        <v>-158669.03559265274</v>
      </c>
      <c r="J558" s="430">
        <f t="shared" si="507"/>
        <v>-181772.66335439158</v>
      </c>
      <c r="K558" s="430">
        <f t="shared" si="507"/>
        <v>-204876.29111613042</v>
      </c>
      <c r="L558" s="430">
        <f t="shared" si="507"/>
        <v>-227979.91887786929</v>
      </c>
      <c r="M558" s="431" t="s">
        <v>424</v>
      </c>
      <c r="N558" s="317"/>
      <c r="O558" s="317"/>
      <c r="P558" s="432">
        <v>1</v>
      </c>
    </row>
    <row r="559" spans="1:16" s="67" customFormat="1" x14ac:dyDescent="0.3">
      <c r="B559" s="1" t="s">
        <v>136</v>
      </c>
      <c r="C559" s="20">
        <f t="shared" ref="C559:L566" si="508">C$112</f>
        <v>-20047.269022219589</v>
      </c>
      <c r="D559" s="20">
        <f t="shared" si="508"/>
        <v>-43150.896783958444</v>
      </c>
      <c r="E559" s="20">
        <f t="shared" si="508"/>
        <v>-60482.571959030625</v>
      </c>
      <c r="F559" s="430">
        <f>2886*F557^2-31762*F557+8828.3</f>
        <v>-72043.7</v>
      </c>
      <c r="G559" s="430">
        <f t="shared" ref="G559:L559" si="509">2886*G557^2-31762*G557+8828.3</f>
        <v>-77831.7</v>
      </c>
      <c r="H559" s="430">
        <f t="shared" si="509"/>
        <v>-77847.7</v>
      </c>
      <c r="I559" s="430">
        <f t="shared" si="509"/>
        <v>-72091.7</v>
      </c>
      <c r="J559" s="430">
        <f t="shared" si="509"/>
        <v>-60563.7</v>
      </c>
      <c r="K559" s="430">
        <f t="shared" si="509"/>
        <v>-43263.7</v>
      </c>
      <c r="L559" s="430">
        <f t="shared" si="509"/>
        <v>-20191.7</v>
      </c>
      <c r="M559" s="380" t="s">
        <v>426</v>
      </c>
      <c r="N559" s="317"/>
      <c r="O559" s="317"/>
      <c r="P559" s="432">
        <v>1</v>
      </c>
    </row>
    <row r="560" spans="1:16" s="67" customFormat="1" x14ac:dyDescent="0.3">
      <c r="B560" s="1" t="s">
        <v>137</v>
      </c>
      <c r="C560" s="20">
        <f t="shared" si="508"/>
        <v>-20047.269022219589</v>
      </c>
      <c r="D560" s="20">
        <f t="shared" si="508"/>
        <v>-43150.896783958444</v>
      </c>
      <c r="E560" s="20">
        <f t="shared" si="508"/>
        <v>-60482.571959030625</v>
      </c>
      <c r="F560" s="20">
        <f t="shared" si="508"/>
        <v>-73196.685064769481</v>
      </c>
      <c r="G560" s="430">
        <f>2597.4*G557^2-30665*G557+7962.5</f>
        <v>-80427.5</v>
      </c>
      <c r="H560" s="430">
        <f t="shared" ref="H560:L560" si="510">2597.4*H557^2-30665*H557+7962.5</f>
        <v>-82521.099999999991</v>
      </c>
      <c r="I560" s="430">
        <f t="shared" si="510"/>
        <v>-79419.899999999994</v>
      </c>
      <c r="J560" s="430">
        <f t="shared" si="510"/>
        <v>-71123.899999999994</v>
      </c>
      <c r="K560" s="430">
        <f t="shared" si="510"/>
        <v>-57633.100000000006</v>
      </c>
      <c r="L560" s="430">
        <f t="shared" si="510"/>
        <v>-38947.5</v>
      </c>
      <c r="M560" s="380" t="s">
        <v>427</v>
      </c>
      <c r="N560" s="317"/>
      <c r="O560" s="317"/>
      <c r="P560" s="432">
        <v>1</v>
      </c>
    </row>
    <row r="561" spans="1:16" s="67" customFormat="1" x14ac:dyDescent="0.3">
      <c r="B561" s="1" t="s">
        <v>138</v>
      </c>
      <c r="C561" s="20">
        <f>C$112</f>
        <v>-20047.269022219589</v>
      </c>
      <c r="D561" s="20">
        <f t="shared" si="508"/>
        <v>-43150.896783958444</v>
      </c>
      <c r="E561" s="20">
        <f t="shared" si="508"/>
        <v>-60482.571959030625</v>
      </c>
      <c r="F561" s="20">
        <f t="shared" si="508"/>
        <v>-73196.685064769481</v>
      </c>
      <c r="G561" s="20">
        <f t="shared" si="508"/>
        <v>-82216.748515041661</v>
      </c>
      <c r="H561" s="430">
        <f>2341.8*H557^2-29489*H557+6888.9</f>
        <v>-85740.3</v>
      </c>
      <c r="I561" s="430">
        <f t="shared" ref="I561:L561" si="511">2341.8*I557^2-29489*I557+6888.9</f>
        <v>-84785.9</v>
      </c>
      <c r="J561" s="430">
        <f t="shared" si="511"/>
        <v>-79147.899999999994</v>
      </c>
      <c r="K561" s="430">
        <f t="shared" si="511"/>
        <v>-68826.299999999988</v>
      </c>
      <c r="L561" s="430">
        <f t="shared" si="511"/>
        <v>-53821.099999999969</v>
      </c>
      <c r="M561" s="380" t="s">
        <v>428</v>
      </c>
      <c r="N561" s="317"/>
      <c r="O561" s="317"/>
      <c r="P561" s="317">
        <v>0.99980000000000002</v>
      </c>
    </row>
    <row r="562" spans="1:16" s="67" customFormat="1" x14ac:dyDescent="0.3">
      <c r="B562" s="1" t="s">
        <v>139</v>
      </c>
      <c r="C562" s="20">
        <f t="shared" si="508"/>
        <v>-20047.269022219589</v>
      </c>
      <c r="D562" s="20">
        <f t="shared" si="508"/>
        <v>-43150.896783958444</v>
      </c>
      <c r="E562" s="20">
        <f t="shared" si="508"/>
        <v>-60482.571959030625</v>
      </c>
      <c r="F562" s="20">
        <f t="shared" si="508"/>
        <v>-73196.685064769481</v>
      </c>
      <c r="G562" s="20">
        <f t="shared" si="508"/>
        <v>-82216.748515041661</v>
      </c>
      <c r="H562" s="20">
        <f t="shared" si="508"/>
        <v>-88281.572240940499</v>
      </c>
      <c r="I562" s="430">
        <f>2115*I557^2-28265*I557+5619.1</f>
        <v>-88600.9</v>
      </c>
      <c r="J562" s="430">
        <f t="shared" ref="J562:L562" si="512">2115*J557^2-28265*J557+5619.1</f>
        <v>-85140.9</v>
      </c>
      <c r="K562" s="430">
        <f t="shared" si="512"/>
        <v>-77450.899999999994</v>
      </c>
      <c r="L562" s="430">
        <f t="shared" si="512"/>
        <v>-65530.9</v>
      </c>
      <c r="M562" s="380" t="s">
        <v>429</v>
      </c>
      <c r="N562" s="317"/>
      <c r="O562" s="317"/>
      <c r="P562" s="317">
        <v>0.99950000000000006</v>
      </c>
    </row>
    <row r="563" spans="1:16" s="67" customFormat="1" x14ac:dyDescent="0.3">
      <c r="B563" s="1" t="s">
        <v>140</v>
      </c>
      <c r="C563" s="20">
        <f t="shared" si="508"/>
        <v>-20047.269022219589</v>
      </c>
      <c r="D563" s="20">
        <f t="shared" si="508"/>
        <v>-43150.896783958444</v>
      </c>
      <c r="E563" s="20">
        <f t="shared" si="508"/>
        <v>-60482.571959030625</v>
      </c>
      <c r="F563" s="20">
        <f t="shared" si="508"/>
        <v>-73196.685064769481</v>
      </c>
      <c r="G563" s="20">
        <f t="shared" si="508"/>
        <v>-82216.748515041661</v>
      </c>
      <c r="H563" s="20">
        <f t="shared" si="508"/>
        <v>-88281.572240940499</v>
      </c>
      <c r="I563" s="20">
        <f t="shared" si="508"/>
        <v>-91982.204187340685</v>
      </c>
      <c r="J563" s="430">
        <f>1913.5*J557^2-27015*J557+4168.5</f>
        <v>-89487.5</v>
      </c>
      <c r="K563" s="430">
        <f t="shared" ref="K563:L563" si="513">1913.5*K557^2-27015*K557+4168.5</f>
        <v>-83973</v>
      </c>
      <c r="L563" s="430">
        <f t="shared" si="513"/>
        <v>-74631.5</v>
      </c>
      <c r="M563" s="380" t="s">
        <v>430</v>
      </c>
      <c r="N563" s="317"/>
      <c r="O563" s="317"/>
      <c r="P563" s="317">
        <v>0.999</v>
      </c>
    </row>
    <row r="564" spans="1:16" s="67" customFormat="1" x14ac:dyDescent="0.3">
      <c r="B564" s="1" t="s">
        <v>141</v>
      </c>
      <c r="C564" s="20">
        <f t="shared" si="508"/>
        <v>-20047.269022219589</v>
      </c>
      <c r="D564" s="20">
        <f t="shared" si="508"/>
        <v>-43150.896783958444</v>
      </c>
      <c r="E564" s="20">
        <f t="shared" si="508"/>
        <v>-60482.571959030625</v>
      </c>
      <c r="F564" s="20">
        <f t="shared" si="508"/>
        <v>-73196.685064769481</v>
      </c>
      <c r="G564" s="20">
        <f t="shared" si="508"/>
        <v>-82216.748515041661</v>
      </c>
      <c r="H564" s="20">
        <f t="shared" si="508"/>
        <v>-88281.572240940499</v>
      </c>
      <c r="I564" s="20">
        <f t="shared" si="508"/>
        <v>-91982.204187340685</v>
      </c>
      <c r="J564" s="20">
        <f t="shared" si="508"/>
        <v>-93791.482710141951</v>
      </c>
      <c r="K564" s="430">
        <f>1734.3*K557^2-25760*K557+2555</f>
        <v>-88806.700000000012</v>
      </c>
      <c r="L564" s="430">
        <f>1734.3*L557^2-25760*L557+2555</f>
        <v>-81615</v>
      </c>
      <c r="M564" s="380" t="s">
        <v>425</v>
      </c>
      <c r="N564" s="317"/>
      <c r="O564" s="317"/>
      <c r="P564" s="317">
        <v>0.998</v>
      </c>
    </row>
    <row r="565" spans="1:16" s="67" customFormat="1" x14ac:dyDescent="0.3">
      <c r="B565" s="1" t="s">
        <v>142</v>
      </c>
      <c r="C565" s="20">
        <f t="shared" si="508"/>
        <v>-20047.269022219589</v>
      </c>
      <c r="D565" s="20">
        <f t="shared" si="508"/>
        <v>-43150.896783958444</v>
      </c>
      <c r="E565" s="20">
        <f t="shared" si="508"/>
        <v>-60482.571959030625</v>
      </c>
      <c r="F565" s="20">
        <f t="shared" si="508"/>
        <v>-73196.685064769481</v>
      </c>
      <c r="G565" s="20">
        <f t="shared" si="508"/>
        <v>-82216.748515041661</v>
      </c>
      <c r="H565" s="20">
        <f t="shared" si="508"/>
        <v>-88281.572240940499</v>
      </c>
      <c r="I565" s="20">
        <f t="shared" si="508"/>
        <v>-91982.204187340685</v>
      </c>
      <c r="J565" s="20">
        <f t="shared" si="508"/>
        <v>-93791.482710141951</v>
      </c>
      <c r="K565" s="20">
        <f t="shared" si="508"/>
        <v>-94087.67849406405</v>
      </c>
      <c r="L565" s="430">
        <f>1574.5*L557^2-24514*L557+ 797.31</f>
        <v>-86892.69</v>
      </c>
      <c r="M565" s="380" t="s">
        <v>447</v>
      </c>
      <c r="N565" s="317"/>
      <c r="O565" s="317"/>
      <c r="P565" s="317">
        <v>0.99650000000000005</v>
      </c>
    </row>
    <row r="566" spans="1:16" s="67" customFormat="1" x14ac:dyDescent="0.3">
      <c r="B566" s="1" t="s">
        <v>121</v>
      </c>
      <c r="C566" s="186">
        <f t="shared" si="508"/>
        <v>-20047.269022219589</v>
      </c>
      <c r="D566" s="186">
        <f t="shared" si="508"/>
        <v>-43150.896783958444</v>
      </c>
      <c r="E566" s="186">
        <f t="shared" si="508"/>
        <v>-60482.571959030625</v>
      </c>
      <c r="F566" s="186">
        <f t="shared" si="508"/>
        <v>-73196.685064769481</v>
      </c>
      <c r="G566" s="186">
        <f t="shared" si="508"/>
        <v>-82216.748515041661</v>
      </c>
      <c r="H566" s="186">
        <f t="shared" si="508"/>
        <v>-88281.572240940499</v>
      </c>
      <c r="I566" s="186">
        <f t="shared" si="508"/>
        <v>-91982.204187340685</v>
      </c>
      <c r="J566" s="186">
        <f t="shared" si="508"/>
        <v>-93791.482710141951</v>
      </c>
      <c r="K566" s="186">
        <f t="shared" si="508"/>
        <v>-94087.67849406405</v>
      </c>
      <c r="L566" s="186">
        <f t="shared" si="508"/>
        <v>-93173.408086882846</v>
      </c>
      <c r="M566" s="380"/>
      <c r="N566" s="317"/>
      <c r="O566" s="317"/>
      <c r="P566" s="317"/>
    </row>
    <row r="567" spans="1:16" s="67" customFormat="1" x14ac:dyDescent="0.3">
      <c r="B567" s="1" t="s">
        <v>122</v>
      </c>
      <c r="C567" s="180" t="s">
        <v>149</v>
      </c>
      <c r="D567" s="180" t="s">
        <v>149</v>
      </c>
      <c r="E567" s="20">
        <f>L558-L566</f>
        <v>-134806.51079098645</v>
      </c>
      <c r="F567" s="20">
        <f>L559-L566</f>
        <v>72981.708086882849</v>
      </c>
      <c r="G567" s="20">
        <f>L560-L566</f>
        <v>54225.908086882846</v>
      </c>
      <c r="H567" s="20">
        <f>L561-L566</f>
        <v>39352.308086882877</v>
      </c>
      <c r="I567" s="20">
        <f>L562-L566</f>
        <v>27642.508086882845</v>
      </c>
      <c r="J567" s="20">
        <f>L563-L566</f>
        <v>18541.908086882846</v>
      </c>
      <c r="K567" s="20">
        <f>L564-L566</f>
        <v>11558.408086882846</v>
      </c>
      <c r="L567" s="20">
        <f>L565-L566</f>
        <v>6280.7180868828436</v>
      </c>
      <c r="M567" s="380"/>
      <c r="N567" s="317"/>
      <c r="O567" s="317"/>
      <c r="P567" s="317"/>
    </row>
    <row r="568" spans="1:16" s="67" customFormat="1" x14ac:dyDescent="0.3">
      <c r="A568" s="184" t="s">
        <v>145</v>
      </c>
      <c r="B568" s="185"/>
      <c r="C568" s="184"/>
      <c r="D568" s="184"/>
      <c r="E568" s="184"/>
      <c r="F568" s="184"/>
      <c r="G568" s="184"/>
      <c r="H568" s="184"/>
      <c r="I568" s="184"/>
      <c r="J568" s="184"/>
      <c r="K568" s="184"/>
      <c r="L568" s="184"/>
      <c r="M568" s="380"/>
      <c r="N568" s="317"/>
      <c r="O568" s="317"/>
      <c r="P568" s="317"/>
    </row>
    <row r="569" spans="1:16" s="67" customFormat="1" x14ac:dyDescent="0.3">
      <c r="C569" s="456" t="s">
        <v>71</v>
      </c>
      <c r="D569" s="456"/>
      <c r="E569" s="456"/>
      <c r="F569" s="456"/>
      <c r="G569" s="456"/>
      <c r="H569" s="456"/>
      <c r="I569" s="456"/>
      <c r="J569" s="456"/>
      <c r="K569" s="456"/>
      <c r="L569" s="456"/>
      <c r="M569" s="380"/>
      <c r="N569" s="317"/>
      <c r="O569" s="317"/>
      <c r="P569" s="317"/>
    </row>
    <row r="570" spans="1:16" s="67" customFormat="1" x14ac:dyDescent="0.3">
      <c r="C570" s="180">
        <v>1</v>
      </c>
      <c r="D570" s="180">
        <v>2</v>
      </c>
      <c r="E570" s="180">
        <v>3</v>
      </c>
      <c r="F570" s="180">
        <v>4</v>
      </c>
      <c r="G570" s="180">
        <v>5</v>
      </c>
      <c r="H570" s="180">
        <v>6</v>
      </c>
      <c r="I570" s="180">
        <v>7</v>
      </c>
      <c r="J570" s="180">
        <v>8</v>
      </c>
      <c r="K570" s="180">
        <v>9</v>
      </c>
      <c r="L570" s="180">
        <v>10</v>
      </c>
      <c r="M570" s="380"/>
      <c r="N570" s="317"/>
      <c r="O570" s="317"/>
      <c r="P570" s="317"/>
    </row>
    <row r="571" spans="1:16" s="67" customFormat="1" x14ac:dyDescent="0.3">
      <c r="B571" s="1" t="s">
        <v>135</v>
      </c>
      <c r="C571" s="20">
        <f>C$113</f>
        <v>-9670.9179055529221</v>
      </c>
      <c r="D571" s="20">
        <f>D$113</f>
        <v>-13099.646533958439</v>
      </c>
      <c r="E571" s="430">
        <f>_xlfn.FORECAST.LINEAR(E$570,$C$571:$D$571,$C$570:$D$570)</f>
        <v>-16528.375162363958</v>
      </c>
      <c r="F571" s="430">
        <f t="shared" ref="F571:L571" si="514">_xlfn.FORECAST.LINEAR(F$570,$C$571:$D$571,$C$570:$D$570)</f>
        <v>-19957.103790769474</v>
      </c>
      <c r="G571" s="430">
        <f t="shared" si="514"/>
        <v>-23385.832419174989</v>
      </c>
      <c r="H571" s="430">
        <f t="shared" si="514"/>
        <v>-26814.561047580508</v>
      </c>
      <c r="I571" s="430">
        <f t="shared" si="514"/>
        <v>-30243.289675986027</v>
      </c>
      <c r="J571" s="430">
        <f t="shared" si="514"/>
        <v>-33672.018304391546</v>
      </c>
      <c r="K571" s="430">
        <f t="shared" si="514"/>
        <v>-37100.746932797061</v>
      </c>
      <c r="L571" s="430">
        <f t="shared" si="514"/>
        <v>-40529.475561202577</v>
      </c>
      <c r="M571" s="380" t="s">
        <v>431</v>
      </c>
      <c r="N571" s="317"/>
      <c r="O571" s="317"/>
      <c r="P571" s="317">
        <v>1</v>
      </c>
    </row>
    <row r="572" spans="1:16" s="67" customFormat="1" x14ac:dyDescent="0.3">
      <c r="B572" s="1" t="s">
        <v>136</v>
      </c>
      <c r="C572" s="20">
        <f>C$113</f>
        <v>-9670.9179055529221</v>
      </c>
      <c r="D572" s="20">
        <f t="shared" ref="C572:L579" si="515">D$113</f>
        <v>-13099.646533958439</v>
      </c>
      <c r="E572" s="20">
        <f t="shared" si="515"/>
        <v>-14691.402402363961</v>
      </c>
      <c r="F572" s="430">
        <f>918.49*F570^2 - 6184.2*F570 - 4405.2</f>
        <v>-14446.16</v>
      </c>
      <c r="G572" s="430">
        <f t="shared" ref="G572:L572" si="516">918.49*G570^2 - 6184.2*G570 - 4405.2</f>
        <v>-12363.95</v>
      </c>
      <c r="H572" s="430">
        <f t="shared" si="516"/>
        <v>-8444.7599999999984</v>
      </c>
      <c r="I572" s="430">
        <f t="shared" si="516"/>
        <v>-2688.5899999999992</v>
      </c>
      <c r="J572" s="430">
        <f t="shared" si="516"/>
        <v>4904.5600000000022</v>
      </c>
      <c r="K572" s="430">
        <f t="shared" si="516"/>
        <v>14334.690000000006</v>
      </c>
      <c r="L572" s="430">
        <f t="shared" si="516"/>
        <v>25601.8</v>
      </c>
      <c r="M572" s="380" t="s">
        <v>432</v>
      </c>
      <c r="N572" s="317"/>
      <c r="O572" s="317"/>
      <c r="P572" s="317">
        <v>1</v>
      </c>
    </row>
    <row r="573" spans="1:16" s="67" customFormat="1" x14ac:dyDescent="0.3">
      <c r="B573" s="1" t="s">
        <v>137</v>
      </c>
      <c r="C573" s="20">
        <f t="shared" si="515"/>
        <v>-9670.9179055529221</v>
      </c>
      <c r="D573" s="20">
        <f t="shared" si="515"/>
        <v>-13099.646533958439</v>
      </c>
      <c r="E573" s="20">
        <f t="shared" si="515"/>
        <v>-14691.402402363961</v>
      </c>
      <c r="F573" s="20">
        <f t="shared" si="515"/>
        <v>-14813.580062769484</v>
      </c>
      <c r="G573" s="430">
        <f>826.64*G570^2-5835.2*G570-4680.8</f>
        <v>-13190.8</v>
      </c>
      <c r="H573" s="430">
        <f t="shared" ref="H573:L573" si="517">826.64*H570^2-5835.2*H570-4680.8</f>
        <v>-9932.9599999999955</v>
      </c>
      <c r="I573" s="430">
        <f t="shared" si="517"/>
        <v>-5021.8400000000011</v>
      </c>
      <c r="J573" s="430">
        <f t="shared" si="517"/>
        <v>1542.5600000000004</v>
      </c>
      <c r="K573" s="430">
        <f t="shared" si="517"/>
        <v>9760.2400000000016</v>
      </c>
      <c r="L573" s="430">
        <f t="shared" si="517"/>
        <v>19631.2</v>
      </c>
      <c r="M573" s="380" t="s">
        <v>433</v>
      </c>
      <c r="N573" s="317"/>
      <c r="O573" s="317"/>
      <c r="P573" s="317">
        <v>0.99960000000000004</v>
      </c>
    </row>
    <row r="574" spans="1:16" s="67" customFormat="1" x14ac:dyDescent="0.3">
      <c r="B574" s="1" t="s">
        <v>138</v>
      </c>
      <c r="C574" s="20">
        <f t="shared" si="515"/>
        <v>-9670.9179055529221</v>
      </c>
      <c r="D574" s="20">
        <f t="shared" si="515"/>
        <v>-13099.646533958439</v>
      </c>
      <c r="E574" s="20">
        <f t="shared" si="515"/>
        <v>-14691.402402363961</v>
      </c>
      <c r="F574" s="20">
        <f t="shared" si="515"/>
        <v>-14813.580062769484</v>
      </c>
      <c r="G574" s="20">
        <f t="shared" si="515"/>
        <v>-13760.095156775005</v>
      </c>
      <c r="H574" s="430">
        <f>745.29*H570^2-5460.9*H570-5022.4</f>
        <v>-10957.359999999999</v>
      </c>
      <c r="I574" s="430">
        <f t="shared" ref="I574:L574" si="518">745.29*I570^2-5460.9*I570-5022.4</f>
        <v>-6729.4899999999961</v>
      </c>
      <c r="J574" s="430">
        <f t="shared" si="518"/>
        <v>-1011.0399999999991</v>
      </c>
      <c r="K574" s="430">
        <f t="shared" si="518"/>
        <v>6197.99</v>
      </c>
      <c r="L574" s="430">
        <f t="shared" si="518"/>
        <v>14897.6</v>
      </c>
      <c r="M574" s="380" t="s">
        <v>434</v>
      </c>
      <c r="N574" s="317"/>
      <c r="O574" s="317"/>
      <c r="P574" s="317">
        <v>0.99990000000000001</v>
      </c>
    </row>
    <row r="575" spans="1:16" s="67" customFormat="1" x14ac:dyDescent="0.3">
      <c r="B575" s="1" t="s">
        <v>139</v>
      </c>
      <c r="C575" s="20">
        <f>C$113</f>
        <v>-9670.9179055529221</v>
      </c>
      <c r="D575" s="20">
        <f t="shared" si="515"/>
        <v>-13099.646533958439</v>
      </c>
      <c r="E575" s="20">
        <f t="shared" si="515"/>
        <v>-14691.402402363961</v>
      </c>
      <c r="F575" s="20">
        <f t="shared" si="515"/>
        <v>-14813.580062769484</v>
      </c>
      <c r="G575" s="20">
        <f t="shared" si="515"/>
        <v>-13760.095156775005</v>
      </c>
      <c r="H575" s="20">
        <f t="shared" si="515"/>
        <v>-11766.080197660529</v>
      </c>
      <c r="I575" s="430">
        <f>673.12*I570^2-5071.2*I570-5426.6</f>
        <v>-7942.1200000000044</v>
      </c>
      <c r="J575" s="430">
        <f t="shared" ref="J575:L575" si="519">673.12*J570^2-5071.2*J570-5426.6</f>
        <v>-2916.5199999999986</v>
      </c>
      <c r="K575" s="430">
        <f t="shared" si="519"/>
        <v>3455.3200000000052</v>
      </c>
      <c r="L575" s="430">
        <f t="shared" si="519"/>
        <v>11173.4</v>
      </c>
      <c r="M575" s="380" t="s">
        <v>435</v>
      </c>
      <c r="N575" s="317"/>
      <c r="O575" s="317"/>
      <c r="P575" s="317">
        <v>0.99170000000000003</v>
      </c>
    </row>
    <row r="576" spans="1:16" s="67" customFormat="1" x14ac:dyDescent="0.3">
      <c r="B576" s="1" t="s">
        <v>140</v>
      </c>
      <c r="C576" s="20">
        <f t="shared" si="515"/>
        <v>-9670.9179055529221</v>
      </c>
      <c r="D576" s="20">
        <f t="shared" si="515"/>
        <v>-13099.646533958439</v>
      </c>
      <c r="E576" s="20">
        <f t="shared" si="515"/>
        <v>-14691.402402363961</v>
      </c>
      <c r="F576" s="20">
        <f t="shared" si="515"/>
        <v>-14813.580062769484</v>
      </c>
      <c r="G576" s="20">
        <f t="shared" si="515"/>
        <v>-13760.095156775005</v>
      </c>
      <c r="H576" s="20">
        <f t="shared" si="515"/>
        <v>-11766.080197660529</v>
      </c>
      <c r="I576" s="20">
        <f t="shared" si="515"/>
        <v>-9019.6411960500482</v>
      </c>
      <c r="J576" s="430">
        <f>609*J570^2-4673.7*J570-5888.2</f>
        <v>-4301.7999999999984</v>
      </c>
      <c r="K576" s="430">
        <f t="shared" ref="K576:L576" si="520">609*K570^2-4673.7*K570-5888.2</f>
        <v>1377.5000000000045</v>
      </c>
      <c r="L576" s="430">
        <f t="shared" si="520"/>
        <v>8274.7999999999993</v>
      </c>
      <c r="M576" s="380" t="s">
        <v>436</v>
      </c>
      <c r="N576" s="317"/>
      <c r="O576" s="317"/>
      <c r="P576" s="317">
        <v>0.98660000000000003</v>
      </c>
    </row>
    <row r="577" spans="1:16" s="67" customFormat="1" x14ac:dyDescent="0.3">
      <c r="B577" s="1" t="s">
        <v>141</v>
      </c>
      <c r="C577" s="20">
        <f t="shared" si="515"/>
        <v>-9670.9179055529221</v>
      </c>
      <c r="D577" s="20">
        <f t="shared" si="515"/>
        <v>-13099.646533958439</v>
      </c>
      <c r="E577" s="20">
        <f t="shared" si="515"/>
        <v>-14691.402402363961</v>
      </c>
      <c r="F577" s="20">
        <f t="shared" si="515"/>
        <v>-14813.580062769484</v>
      </c>
      <c r="G577" s="20">
        <f t="shared" si="515"/>
        <v>-13760.095156775005</v>
      </c>
      <c r="H577" s="20">
        <f t="shared" si="515"/>
        <v>-11766.080197660529</v>
      </c>
      <c r="I577" s="20">
        <f t="shared" si="515"/>
        <v>-9019.6411960500482</v>
      </c>
      <c r="J577" s="20">
        <f t="shared" si="515"/>
        <v>-5671.2629604427711</v>
      </c>
      <c r="K577" s="430">
        <f>551.94*K570^2-4274.3*K570-6401.8</f>
        <v>-163.35999999999785</v>
      </c>
      <c r="L577" s="430">
        <f>551.94*L570^2-4274.3*L570-6401.8</f>
        <v>6049.2000000000071</v>
      </c>
      <c r="M577" s="380" t="s">
        <v>437</v>
      </c>
      <c r="N577" s="317"/>
      <c r="O577" s="317"/>
      <c r="P577" s="317">
        <v>0.99409999999999998</v>
      </c>
    </row>
    <row r="578" spans="1:16" s="67" customFormat="1" x14ac:dyDescent="0.3">
      <c r="B578" s="1" t="s">
        <v>142</v>
      </c>
      <c r="C578" s="20">
        <f t="shared" si="515"/>
        <v>-9670.9179055529221</v>
      </c>
      <c r="D578" s="20">
        <f t="shared" si="515"/>
        <v>-13099.646533958439</v>
      </c>
      <c r="E578" s="20">
        <f t="shared" si="515"/>
        <v>-14691.402402363961</v>
      </c>
      <c r="F578" s="20">
        <f t="shared" si="515"/>
        <v>-14813.580062769484</v>
      </c>
      <c r="G578" s="20">
        <f t="shared" si="515"/>
        <v>-13760.095156775005</v>
      </c>
      <c r="H578" s="20">
        <f t="shared" si="515"/>
        <v>-11766.080197660529</v>
      </c>
      <c r="I578" s="20">
        <f t="shared" si="515"/>
        <v>-9019.6411960500482</v>
      </c>
      <c r="J578" s="20">
        <f t="shared" si="515"/>
        <v>-5671.2629604427711</v>
      </c>
      <c r="K578" s="20">
        <f t="shared" si="515"/>
        <v>-1841.3333376380542</v>
      </c>
      <c r="L578" s="430">
        <f>501.09*L570^2 - 3877.6*L570 - 6961.2</f>
        <v>4371.8</v>
      </c>
      <c r="M578" s="380" t="s">
        <v>438</v>
      </c>
      <c r="N578" s="317"/>
      <c r="O578" s="317"/>
      <c r="P578" s="317">
        <v>0.98760000000000003</v>
      </c>
    </row>
    <row r="579" spans="1:16" s="67" customFormat="1" x14ac:dyDescent="0.3">
      <c r="B579" s="1" t="s">
        <v>121</v>
      </c>
      <c r="C579" s="186">
        <f t="shared" si="515"/>
        <v>-9670.9179055529221</v>
      </c>
      <c r="D579" s="186">
        <f t="shared" si="515"/>
        <v>-13099.646533958439</v>
      </c>
      <c r="E579" s="186">
        <f t="shared" si="515"/>
        <v>-14691.402402363961</v>
      </c>
      <c r="F579" s="186">
        <f t="shared" si="515"/>
        <v>-14813.580062769484</v>
      </c>
      <c r="G579" s="186">
        <f t="shared" si="515"/>
        <v>-13760.095156775005</v>
      </c>
      <c r="H579" s="186">
        <f t="shared" si="515"/>
        <v>-11766.080197660529</v>
      </c>
      <c r="I579" s="186">
        <f t="shared" si="515"/>
        <v>-9019.6411960500482</v>
      </c>
      <c r="J579" s="186">
        <f t="shared" si="515"/>
        <v>-5671.2629604427711</v>
      </c>
      <c r="K579" s="186">
        <f t="shared" si="515"/>
        <v>-1841.3333376380542</v>
      </c>
      <c r="L579" s="186">
        <f t="shared" si="515"/>
        <v>2373.8373949246161</v>
      </c>
      <c r="M579" s="380"/>
      <c r="N579" s="317"/>
      <c r="O579" s="317"/>
      <c r="P579" s="317"/>
    </row>
    <row r="580" spans="1:16" s="67" customFormat="1" x14ac:dyDescent="0.3">
      <c r="B580" s="1" t="s">
        <v>122</v>
      </c>
      <c r="C580" s="180" t="s">
        <v>149</v>
      </c>
      <c r="D580" s="180" t="s">
        <v>149</v>
      </c>
      <c r="E580" s="20">
        <f>L571-L579</f>
        <v>-42903.312956127193</v>
      </c>
      <c r="F580" s="20">
        <f>L572-L579</f>
        <v>23227.962605075383</v>
      </c>
      <c r="G580" s="20">
        <f>L573-L579</f>
        <v>17257.362605075385</v>
      </c>
      <c r="H580" s="20">
        <f>L574-L579</f>
        <v>12523.762605075384</v>
      </c>
      <c r="I580" s="20">
        <f>L575-L579</f>
        <v>8799.5626050753835</v>
      </c>
      <c r="J580" s="20">
        <f>L576-L579</f>
        <v>5900.9626050753832</v>
      </c>
      <c r="K580" s="20">
        <f>L577-L579</f>
        <v>3675.362605075391</v>
      </c>
      <c r="L580" s="20">
        <f>L578-L579</f>
        <v>1997.9626050753841</v>
      </c>
      <c r="M580" s="328"/>
      <c r="N580" s="86"/>
      <c r="O580" s="86"/>
      <c r="P580" s="86"/>
    </row>
    <row r="581" spans="1:16" s="67" customFormat="1" x14ac:dyDescent="0.3">
      <c r="A581" s="184" t="s">
        <v>146</v>
      </c>
      <c r="B581" s="185"/>
      <c r="C581" s="184"/>
      <c r="D581" s="184"/>
      <c r="E581" s="184"/>
      <c r="F581" s="184"/>
      <c r="G581" s="184"/>
      <c r="H581" s="184"/>
      <c r="I581" s="184"/>
      <c r="J581" s="184"/>
      <c r="K581" s="184"/>
      <c r="L581" s="184"/>
      <c r="M581" s="328"/>
      <c r="N581" s="86"/>
      <c r="O581" s="86"/>
      <c r="P581" s="86"/>
    </row>
    <row r="582" spans="1:16" s="67" customFormat="1" x14ac:dyDescent="0.3">
      <c r="C582" s="456" t="s">
        <v>71</v>
      </c>
      <c r="D582" s="456"/>
      <c r="E582" s="456"/>
      <c r="F582" s="456"/>
      <c r="G582" s="456"/>
      <c r="H582" s="456"/>
      <c r="I582" s="456"/>
      <c r="J582" s="456"/>
      <c r="K582" s="456"/>
      <c r="L582" s="456"/>
      <c r="M582" s="328"/>
      <c r="N582" s="86"/>
      <c r="O582" s="86"/>
      <c r="P582" s="86"/>
    </row>
    <row r="583" spans="1:16" s="67" customFormat="1" x14ac:dyDescent="0.3">
      <c r="C583" s="180">
        <v>1</v>
      </c>
      <c r="D583" s="180">
        <v>2</v>
      </c>
      <c r="E583" s="180">
        <v>3</v>
      </c>
      <c r="F583" s="180">
        <v>4</v>
      </c>
      <c r="G583" s="180">
        <v>5</v>
      </c>
      <c r="H583" s="180">
        <v>6</v>
      </c>
      <c r="I583" s="180">
        <v>7</v>
      </c>
      <c r="J583" s="180">
        <v>8</v>
      </c>
      <c r="K583" s="180">
        <v>9</v>
      </c>
      <c r="L583" s="180">
        <v>10</v>
      </c>
      <c r="M583" s="328"/>
      <c r="N583" s="86"/>
      <c r="O583" s="86"/>
      <c r="P583" s="86"/>
    </row>
    <row r="584" spans="1:16" s="67" customFormat="1" x14ac:dyDescent="0.3">
      <c r="B584" s="1" t="s">
        <v>135</v>
      </c>
      <c r="C584" s="20">
        <f>C$114</f>
        <v>-4056.4726189375579</v>
      </c>
      <c r="D584" s="20">
        <f>D$114</f>
        <v>-4117.3445107277166</v>
      </c>
      <c r="E584" s="430">
        <f>_xlfn.FORECAST.LINEAR(E$583,$C$584:$D$584,$C$583:$D$583)</f>
        <v>-4178.2164025178754</v>
      </c>
      <c r="F584" s="430">
        <f>_xlfn.FORECAST.LINEAR(F$583,$C$584:$D$584,$C$583:$D$583)</f>
        <v>-4239.0882943080342</v>
      </c>
      <c r="G584" s="430">
        <f t="shared" ref="G584:L584" si="521">_xlfn.FORECAST.LINEAR(G$583,$C$584:$D$584,$C$583:$D$583)</f>
        <v>-4299.9601860981929</v>
      </c>
      <c r="H584" s="430">
        <f t="shared" si="521"/>
        <v>-4360.8320778883517</v>
      </c>
      <c r="I584" s="430">
        <f t="shared" si="521"/>
        <v>-4421.7039696785105</v>
      </c>
      <c r="J584" s="430">
        <f t="shared" si="521"/>
        <v>-4482.5758614686692</v>
      </c>
      <c r="K584" s="430">
        <f t="shared" si="521"/>
        <v>-4543.447753258828</v>
      </c>
      <c r="L584" s="430">
        <f t="shared" si="521"/>
        <v>-4604.3196450489868</v>
      </c>
      <c r="M584" s="380" t="s">
        <v>439</v>
      </c>
      <c r="N584" s="317"/>
      <c r="O584" s="317"/>
      <c r="P584" s="317">
        <v>1</v>
      </c>
    </row>
    <row r="585" spans="1:16" s="67" customFormat="1" x14ac:dyDescent="0.3">
      <c r="B585" s="1" t="s">
        <v>136</v>
      </c>
      <c r="C585" s="20">
        <f t="shared" ref="C585:L592" si="522">C$114</f>
        <v>-4056.4726189375579</v>
      </c>
      <c r="D585" s="20">
        <f t="shared" si="522"/>
        <v>-4117.3445107277166</v>
      </c>
      <c r="E585" s="20">
        <f t="shared" si="522"/>
        <v>-3398.9144825178755</v>
      </c>
      <c r="F585" s="430">
        <f>389.65*F583^2 - 1229.8*F583 - 3216.3</f>
        <v>-1901.1000000000004</v>
      </c>
      <c r="G585" s="430">
        <f>389.65*G583^2 - 1229.8*G583 - 3216.3</f>
        <v>375.94999999999982</v>
      </c>
      <c r="H585" s="430">
        <f t="shared" ref="H585:L585" si="523">389.65*H583^2 - 1229.8*H583 - 3216.3</f>
        <v>3432.3</v>
      </c>
      <c r="I585" s="430">
        <f t="shared" si="523"/>
        <v>7267.949999999998</v>
      </c>
      <c r="J585" s="430">
        <f t="shared" si="523"/>
        <v>11882.899999999998</v>
      </c>
      <c r="K585" s="430">
        <f t="shared" si="523"/>
        <v>17277.149999999998</v>
      </c>
      <c r="L585" s="430">
        <f t="shared" si="523"/>
        <v>23450.7</v>
      </c>
      <c r="M585" s="380" t="s">
        <v>440</v>
      </c>
      <c r="N585" s="317"/>
      <c r="O585" s="317"/>
      <c r="P585" s="317">
        <v>1</v>
      </c>
    </row>
    <row r="586" spans="1:16" s="67" customFormat="1" x14ac:dyDescent="0.3">
      <c r="B586" s="437" t="s">
        <v>137</v>
      </c>
      <c r="C586" s="20">
        <f t="shared" si="522"/>
        <v>-4056.4726189375579</v>
      </c>
      <c r="D586" s="20">
        <f t="shared" si="522"/>
        <v>-4117.3445107277166</v>
      </c>
      <c r="E586" s="20">
        <f t="shared" si="522"/>
        <v>-3398.9144825178755</v>
      </c>
      <c r="F586" s="20">
        <f t="shared" si="522"/>
        <v>-2057.0429183080341</v>
      </c>
      <c r="G586" s="436">
        <f>350.69*G583^2 - 1081.8*G583 - 3333.2</f>
        <v>25.050000000000182</v>
      </c>
      <c r="H586" s="436">
        <f t="shared" ref="H586:L586" si="524">350.69*H583^2 - 1081.8*H583 - 3333.2</f>
        <v>2800.8400000000011</v>
      </c>
      <c r="I586" s="436">
        <f t="shared" si="524"/>
        <v>6278.0100000000029</v>
      </c>
      <c r="J586" s="436">
        <f t="shared" si="524"/>
        <v>10456.560000000001</v>
      </c>
      <c r="K586" s="436">
        <f t="shared" si="524"/>
        <v>15336.490000000002</v>
      </c>
      <c r="L586" s="436">
        <f t="shared" si="524"/>
        <v>20917.8</v>
      </c>
      <c r="M586" s="380" t="s">
        <v>441</v>
      </c>
      <c r="N586" s="317"/>
      <c r="O586" s="317"/>
      <c r="P586" s="317">
        <v>0.99960000000000004</v>
      </c>
    </row>
    <row r="587" spans="1:16" s="67" customFormat="1" x14ac:dyDescent="0.3">
      <c r="B587" s="1" t="s">
        <v>138</v>
      </c>
      <c r="C587" s="20">
        <f t="shared" si="522"/>
        <v>-4056.4726189375579</v>
      </c>
      <c r="D587" s="20">
        <f t="shared" si="522"/>
        <v>-4117.3445107277166</v>
      </c>
      <c r="E587" s="20">
        <f t="shared" si="522"/>
        <v>-3398.9144825178755</v>
      </c>
      <c r="F587" s="20">
        <f t="shared" si="522"/>
        <v>-2057.0429183080341</v>
      </c>
      <c r="G587" s="20">
        <f t="shared" si="522"/>
        <v>-216.41812529819435</v>
      </c>
      <c r="H587" s="430">
        <f>316.17*H583^2 - 923*H583 - 3478.1</f>
        <v>2366.0200000000009</v>
      </c>
      <c r="I587" s="430">
        <f>316.17*I583^2 - 923*I583 - 3478.1</f>
        <v>5553.23</v>
      </c>
      <c r="J587" s="430">
        <f t="shared" ref="J587:L587" si="525">316.17*J583^2 - 923*J583 - 3478.1</f>
        <v>9372.7800000000007</v>
      </c>
      <c r="K587" s="430">
        <f t="shared" si="525"/>
        <v>13824.67</v>
      </c>
      <c r="L587" s="430">
        <f t="shared" si="525"/>
        <v>18908.900000000001</v>
      </c>
      <c r="M587" s="380" t="s">
        <v>442</v>
      </c>
      <c r="N587" s="317"/>
      <c r="O587" s="317"/>
      <c r="P587" s="317">
        <v>0.99929999999999997</v>
      </c>
    </row>
    <row r="588" spans="1:16" s="67" customFormat="1" x14ac:dyDescent="0.3">
      <c r="B588" s="1" t="s">
        <v>139</v>
      </c>
      <c r="C588" s="20">
        <f t="shared" si="522"/>
        <v>-4056.4726189375579</v>
      </c>
      <c r="D588" s="20">
        <f t="shared" si="522"/>
        <v>-4117.3445107277166</v>
      </c>
      <c r="E588" s="20">
        <f t="shared" si="522"/>
        <v>-3398.9144825178755</v>
      </c>
      <c r="F588" s="20">
        <f t="shared" si="522"/>
        <v>-2057.0429183080341</v>
      </c>
      <c r="G588" s="20">
        <f t="shared" si="522"/>
        <v>-216.41812529819435</v>
      </c>
      <c r="H588" s="20">
        <f t="shared" si="522"/>
        <v>2023.2092507516463</v>
      </c>
      <c r="I588" s="430">
        <f>285.56*I583^2 - 757.68*I583 - 3649.6</f>
        <v>5039.08</v>
      </c>
      <c r="J588" s="430">
        <f>285.56*J583^2 - 757.68*J583 - 3649.6</f>
        <v>8564.8000000000011</v>
      </c>
      <c r="K588" s="430">
        <f t="shared" ref="K588:L588" si="526">285.56*K583^2 - 757.68*K583 - 3649.6</f>
        <v>12661.640000000001</v>
      </c>
      <c r="L588" s="430">
        <f t="shared" si="526"/>
        <v>17329.600000000002</v>
      </c>
      <c r="M588" s="380" t="s">
        <v>443</v>
      </c>
      <c r="N588" s="317"/>
      <c r="O588" s="317"/>
      <c r="P588" s="317">
        <v>0.999</v>
      </c>
    </row>
    <row r="589" spans="1:16" s="67" customFormat="1" x14ac:dyDescent="0.3">
      <c r="B589" s="1" t="s">
        <v>140</v>
      </c>
      <c r="C589" s="20">
        <f t="shared" si="522"/>
        <v>-4056.4726189375579</v>
      </c>
      <c r="D589" s="20">
        <f t="shared" si="522"/>
        <v>-4117.3445107277166</v>
      </c>
      <c r="E589" s="20">
        <f t="shared" si="522"/>
        <v>-3398.9144825178755</v>
      </c>
      <c r="F589" s="20">
        <f t="shared" si="522"/>
        <v>-2057.0429183080341</v>
      </c>
      <c r="G589" s="20">
        <f t="shared" si="522"/>
        <v>-216.41812529819435</v>
      </c>
      <c r="H589" s="20">
        <f t="shared" si="522"/>
        <v>2023.2092507516463</v>
      </c>
      <c r="I589" s="20">
        <f t="shared" si="522"/>
        <v>4582.0386932334877</v>
      </c>
      <c r="J589" s="430">
        <f>258.36*J583^2 - 589.03*J583 - 3845.4</f>
        <v>7977.4000000000015</v>
      </c>
      <c r="K589" s="430">
        <f>258.36*K583^2 - 589.03*K583 - 3845.4</f>
        <v>11780.49</v>
      </c>
      <c r="L589" s="430">
        <f t="shared" ref="L589" si="527">258.36*L583^2 - 589.03*L583 - 3845.4</f>
        <v>16100.300000000001</v>
      </c>
      <c r="M589" s="380" t="s">
        <v>444</v>
      </c>
      <c r="N589" s="317"/>
      <c r="O589" s="317"/>
      <c r="P589" s="317">
        <v>0.99880000000000002</v>
      </c>
    </row>
    <row r="590" spans="1:16" s="67" customFormat="1" x14ac:dyDescent="0.3">
      <c r="B590" s="1" t="s">
        <v>141</v>
      </c>
      <c r="C590" s="20">
        <f>C$114</f>
        <v>-4056.4726189375579</v>
      </c>
      <c r="D590" s="20">
        <f t="shared" si="522"/>
        <v>-4117.3445107277166</v>
      </c>
      <c r="E590" s="20">
        <f t="shared" si="522"/>
        <v>-3398.9144825178755</v>
      </c>
      <c r="F590" s="20">
        <f t="shared" si="522"/>
        <v>-2057.0429183080341</v>
      </c>
      <c r="G590" s="20">
        <f t="shared" si="522"/>
        <v>-216.41812529819435</v>
      </c>
      <c r="H590" s="20">
        <f t="shared" si="522"/>
        <v>2023.2092507516463</v>
      </c>
      <c r="I590" s="20">
        <f t="shared" si="522"/>
        <v>4582.0386932334877</v>
      </c>
      <c r="J590" s="20">
        <f t="shared" si="522"/>
        <v>7396.2297888609282</v>
      </c>
      <c r="K590" s="430">
        <f>234.15*K583^2 - 419.59*K583 - 4063.3</f>
        <v>11126.54</v>
      </c>
      <c r="L590" s="430">
        <f>234.15*L583^2 - 419.59*L583 - 4063.3</f>
        <v>15155.8</v>
      </c>
      <c r="M590" s="380" t="s">
        <v>445</v>
      </c>
      <c r="N590" s="317"/>
      <c r="O590" s="317"/>
      <c r="P590" s="317">
        <v>0.99860000000000004</v>
      </c>
    </row>
    <row r="591" spans="1:16" s="67" customFormat="1" x14ac:dyDescent="0.3">
      <c r="B591" s="1" t="s">
        <v>142</v>
      </c>
      <c r="C591" s="20">
        <f t="shared" si="522"/>
        <v>-4056.4726189375579</v>
      </c>
      <c r="D591" s="20">
        <f t="shared" si="522"/>
        <v>-4117.3445107277166</v>
      </c>
      <c r="E591" s="20">
        <f t="shared" si="522"/>
        <v>-3398.9144825178755</v>
      </c>
      <c r="F591" s="20">
        <f t="shared" si="522"/>
        <v>-2057.0429183080341</v>
      </c>
      <c r="G591" s="20">
        <f t="shared" si="522"/>
        <v>-216.41812529819435</v>
      </c>
      <c r="H591" s="20">
        <f t="shared" si="522"/>
        <v>2023.2092507516463</v>
      </c>
      <c r="I591" s="20">
        <f t="shared" si="522"/>
        <v>4582.0386932334877</v>
      </c>
      <c r="J591" s="20">
        <f t="shared" si="522"/>
        <v>7396.2297888609282</v>
      </c>
      <c r="K591" s="20">
        <f t="shared" si="522"/>
        <v>10414.71020700485</v>
      </c>
      <c r="L591" s="430">
        <f>212.58*L583^2 - 251.31*L583 - 4300.6</f>
        <v>14444.300000000001</v>
      </c>
      <c r="M591" s="380" t="s">
        <v>446</v>
      </c>
      <c r="N591" s="317"/>
      <c r="O591" s="317"/>
      <c r="P591" s="317">
        <v>0.99839999999999995</v>
      </c>
    </row>
    <row r="592" spans="1:16" s="67" customFormat="1" x14ac:dyDescent="0.3">
      <c r="B592" s="1" t="s">
        <v>121</v>
      </c>
      <c r="C592" s="186">
        <f t="shared" si="522"/>
        <v>-4056.4726189375579</v>
      </c>
      <c r="D592" s="186">
        <f t="shared" si="522"/>
        <v>-4117.3445107277166</v>
      </c>
      <c r="E592" s="186">
        <f t="shared" si="522"/>
        <v>-3398.9144825178755</v>
      </c>
      <c r="F592" s="186">
        <f t="shared" si="522"/>
        <v>-2057.0429183080341</v>
      </c>
      <c r="G592" s="186">
        <f t="shared" si="522"/>
        <v>-216.41812529819435</v>
      </c>
      <c r="H592" s="186">
        <f t="shared" si="522"/>
        <v>2023.2092507516463</v>
      </c>
      <c r="I592" s="186">
        <f t="shared" si="522"/>
        <v>4582.0386932334877</v>
      </c>
      <c r="J592" s="186">
        <f t="shared" si="522"/>
        <v>7396.2297888609282</v>
      </c>
      <c r="K592" s="186">
        <f t="shared" si="522"/>
        <v>10414.71020700485</v>
      </c>
      <c r="L592" s="186">
        <f t="shared" si="522"/>
        <v>13596.622083161954</v>
      </c>
      <c r="M592" s="4"/>
      <c r="N592" s="7"/>
      <c r="O592" s="7"/>
      <c r="P592" s="7"/>
    </row>
    <row r="593" spans="1:23" s="67" customFormat="1" x14ac:dyDescent="0.3">
      <c r="B593" s="1" t="s">
        <v>122</v>
      </c>
      <c r="C593" s="180" t="s">
        <v>149</v>
      </c>
      <c r="D593" s="180" t="s">
        <v>149</v>
      </c>
      <c r="E593" s="20">
        <f>L584-L592</f>
        <v>-18200.941728210943</v>
      </c>
      <c r="F593" s="20">
        <f>L585-L592</f>
        <v>9854.0779168380468</v>
      </c>
      <c r="G593" s="20">
        <f>L586-L592</f>
        <v>7321.1779168380453</v>
      </c>
      <c r="H593" s="20">
        <f>L587-L592</f>
        <v>5312.2779168380475</v>
      </c>
      <c r="I593" s="20">
        <f>L588-L592</f>
        <v>3732.9779168380483</v>
      </c>
      <c r="J593" s="20">
        <f>L589-L592</f>
        <v>2503.6779168380472</v>
      </c>
      <c r="K593" s="20">
        <f>L590-L592</f>
        <v>1559.1779168380453</v>
      </c>
      <c r="L593" s="20">
        <f>L591-L592</f>
        <v>847.67791683804717</v>
      </c>
      <c r="M593" s="4"/>
      <c r="N593" s="7"/>
      <c r="O593" s="7"/>
      <c r="P593" s="7"/>
    </row>
    <row r="594" spans="1:23" s="67" customFormat="1" x14ac:dyDescent="0.3">
      <c r="A594" s="184" t="s">
        <v>147</v>
      </c>
      <c r="B594" s="185"/>
      <c r="C594" s="184"/>
      <c r="D594" s="184"/>
      <c r="E594" s="184"/>
      <c r="F594" s="184"/>
      <c r="G594" s="184"/>
      <c r="H594" s="184"/>
      <c r="I594" s="184"/>
      <c r="J594" s="184"/>
      <c r="K594" s="184"/>
      <c r="L594" s="184"/>
      <c r="M594" s="4"/>
      <c r="N594" s="429"/>
      <c r="O594" s="429"/>
      <c r="P594" s="429"/>
      <c r="Q594" s="429"/>
      <c r="R594" s="429"/>
      <c r="S594" s="429"/>
      <c r="T594" s="429"/>
      <c r="U594" s="429"/>
      <c r="V594" s="429"/>
      <c r="W594" s="429"/>
    </row>
    <row r="595" spans="1:23" s="67" customFormat="1" x14ac:dyDescent="0.3">
      <c r="C595" s="456" t="s">
        <v>71</v>
      </c>
      <c r="D595" s="456"/>
      <c r="E595" s="456"/>
      <c r="F595" s="456"/>
      <c r="G595" s="456"/>
      <c r="H595" s="456"/>
      <c r="I595" s="456"/>
      <c r="J595" s="456"/>
      <c r="K595" s="456"/>
      <c r="L595" s="456"/>
      <c r="M595" s="4"/>
      <c r="N595" s="429"/>
      <c r="O595" s="429"/>
      <c r="P595" s="429"/>
      <c r="Q595" s="429"/>
      <c r="R595" s="429"/>
      <c r="S595" s="429"/>
      <c r="T595" s="429"/>
      <c r="U595" s="429"/>
      <c r="V595" s="429"/>
      <c r="W595" s="429"/>
    </row>
    <row r="596" spans="1:23" s="67" customFormat="1" x14ac:dyDescent="0.3">
      <c r="C596" s="180">
        <v>1</v>
      </c>
      <c r="D596" s="180">
        <v>2</v>
      </c>
      <c r="E596" s="180">
        <v>3</v>
      </c>
      <c r="F596" s="180">
        <v>4</v>
      </c>
      <c r="G596" s="180">
        <v>5</v>
      </c>
      <c r="H596" s="180">
        <v>6</v>
      </c>
      <c r="I596" s="180">
        <v>7</v>
      </c>
      <c r="J596" s="180">
        <v>8</v>
      </c>
      <c r="K596" s="180">
        <v>9</v>
      </c>
      <c r="L596" s="180">
        <v>10</v>
      </c>
      <c r="M596" s="1"/>
      <c r="N596" s="435"/>
      <c r="O596" s="435"/>
      <c r="P596" s="435"/>
      <c r="Q596" s="435"/>
      <c r="R596" s="435"/>
      <c r="S596" s="435"/>
      <c r="T596" s="435"/>
      <c r="U596" s="435"/>
      <c r="V596" s="435"/>
      <c r="W596" s="435"/>
    </row>
    <row r="597" spans="1:23" s="67" customFormat="1" x14ac:dyDescent="0.3">
      <c r="B597" s="1" t="s">
        <v>135</v>
      </c>
      <c r="C597" s="20">
        <f>C$115</f>
        <v>-72.974758151012793</v>
      </c>
      <c r="D597" s="20">
        <f>D$115</f>
        <v>1853.6288108453773</v>
      </c>
      <c r="E597" s="430">
        <f>_xlfn.FORECAST.LINEAR(E$596,$C$597:$D$597,$C$596:$D$596)</f>
        <v>3780.2323798417674</v>
      </c>
      <c r="F597" s="430">
        <f>_xlfn.FORECAST.LINEAR(F$596,$C$597:$D$597,$C$596:$D$596)</f>
        <v>5706.8359488381575</v>
      </c>
      <c r="G597" s="430">
        <f>_xlfn.FORECAST.LINEAR(G$596,$C$597:$D$597,$C$596:$D$596)</f>
        <v>7633.4395178345476</v>
      </c>
      <c r="H597" s="430">
        <f t="shared" ref="H597:L597" si="528">_xlfn.FORECAST.LINEAR(H$596,$C$597:$D$597,$C$596:$D$596)</f>
        <v>9560.0430868309377</v>
      </c>
      <c r="I597" s="430">
        <f t="shared" si="528"/>
        <v>11486.646655827328</v>
      </c>
      <c r="J597" s="430">
        <f t="shared" si="528"/>
        <v>13413.250224823718</v>
      </c>
      <c r="K597" s="430">
        <f t="shared" si="528"/>
        <v>15339.853793820108</v>
      </c>
      <c r="L597" s="430">
        <f t="shared" si="528"/>
        <v>17266.457362816498</v>
      </c>
      <c r="M597" s="4"/>
      <c r="N597" s="7"/>
      <c r="O597" s="7"/>
      <c r="P597" s="7"/>
    </row>
    <row r="598" spans="1:23" s="67" customFormat="1" x14ac:dyDescent="0.3">
      <c r="B598" s="1" t="s">
        <v>136</v>
      </c>
      <c r="C598" s="20">
        <f t="shared" ref="C598:L605" si="529">C$115</f>
        <v>-72.974758151012793</v>
      </c>
      <c r="D598" s="20">
        <f t="shared" si="529"/>
        <v>1853.6288108453773</v>
      </c>
      <c r="E598" s="20">
        <f t="shared" si="529"/>
        <v>3780.2323798417674</v>
      </c>
      <c r="F598" s="430">
        <f>_xlfn.FORECAST.LINEAR(F$596,$C$598:$E$598,$C$596:$E$596)</f>
        <v>5706.8359488381575</v>
      </c>
      <c r="G598" s="430">
        <f t="shared" ref="G598:L598" si="530">_xlfn.FORECAST.LINEAR(G$596,$C$598:$E$598,$C$596:$E$596)</f>
        <v>7633.4395178345476</v>
      </c>
      <c r="H598" s="430">
        <f t="shared" si="530"/>
        <v>9560.0430868309377</v>
      </c>
      <c r="I598" s="430">
        <f t="shared" si="530"/>
        <v>11486.646655827328</v>
      </c>
      <c r="J598" s="430">
        <f t="shared" si="530"/>
        <v>13413.250224823718</v>
      </c>
      <c r="K598" s="430">
        <f t="shared" si="530"/>
        <v>15339.853793820108</v>
      </c>
      <c r="L598" s="430">
        <f t="shared" si="530"/>
        <v>17266.457362816498</v>
      </c>
      <c r="M598" s="4"/>
      <c r="N598" s="7"/>
      <c r="O598" s="7"/>
      <c r="P598" s="7"/>
    </row>
    <row r="599" spans="1:23" s="67" customFormat="1" x14ac:dyDescent="0.3">
      <c r="B599" s="1" t="s">
        <v>137</v>
      </c>
      <c r="C599" s="20">
        <f t="shared" si="529"/>
        <v>-72.974758151012793</v>
      </c>
      <c r="D599" s="20">
        <f t="shared" si="529"/>
        <v>1853.6288108453773</v>
      </c>
      <c r="E599" s="20">
        <f t="shared" si="529"/>
        <v>3780.2323798417674</v>
      </c>
      <c r="F599" s="20">
        <f t="shared" si="529"/>
        <v>5706.8359488381575</v>
      </c>
      <c r="G599" s="430">
        <f>_xlfn.FORECAST.LINEAR(G$596,$C$599:$F$599,$C$596:$F$596)</f>
        <v>7633.4395178345476</v>
      </c>
      <c r="H599" s="430">
        <f t="shared" ref="H599:L599" si="531">_xlfn.FORECAST.LINEAR(H$596,$C$599:$F$599,$C$596:$F$596)</f>
        <v>9560.0430868309377</v>
      </c>
      <c r="I599" s="430">
        <f t="shared" si="531"/>
        <v>11486.646655827328</v>
      </c>
      <c r="J599" s="430">
        <f t="shared" si="531"/>
        <v>13413.250224823718</v>
      </c>
      <c r="K599" s="430">
        <f t="shared" si="531"/>
        <v>15339.853793820108</v>
      </c>
      <c r="L599" s="430">
        <f t="shared" si="531"/>
        <v>17266.457362816498</v>
      </c>
      <c r="M599" s="4"/>
      <c r="N599" s="7"/>
      <c r="O599" s="7"/>
      <c r="P599" s="7"/>
    </row>
    <row r="600" spans="1:23" s="67" customFormat="1" x14ac:dyDescent="0.3">
      <c r="B600" s="1" t="s">
        <v>138</v>
      </c>
      <c r="C600" s="20">
        <f t="shared" si="529"/>
        <v>-72.974758151012793</v>
      </c>
      <c r="D600" s="20">
        <f t="shared" si="529"/>
        <v>1853.6288108453773</v>
      </c>
      <c r="E600" s="20">
        <f t="shared" si="529"/>
        <v>3780.2323798417674</v>
      </c>
      <c r="F600" s="20">
        <f t="shared" si="529"/>
        <v>5706.8359488381575</v>
      </c>
      <c r="G600" s="20">
        <f t="shared" si="529"/>
        <v>7633.4395178345476</v>
      </c>
      <c r="H600" s="430">
        <f>_xlfn.FORECAST.LINEAR(H$596,$C$600:$G$600,$C$596:$G$596)</f>
        <v>9560.0430868309377</v>
      </c>
      <c r="I600" s="430">
        <f t="shared" ref="I600:L600" si="532">_xlfn.FORECAST.LINEAR(I$596,$C$600:$G$600,$C$596:$G$596)</f>
        <v>11486.646655827328</v>
      </c>
      <c r="J600" s="430">
        <f t="shared" si="532"/>
        <v>13413.250224823718</v>
      </c>
      <c r="K600" s="430">
        <f t="shared" si="532"/>
        <v>15339.853793820108</v>
      </c>
      <c r="L600" s="430">
        <f t="shared" si="532"/>
        <v>17266.457362816498</v>
      </c>
      <c r="M600" s="4"/>
      <c r="N600" s="7"/>
      <c r="O600" s="7"/>
      <c r="P600" s="7"/>
    </row>
    <row r="601" spans="1:23" s="67" customFormat="1" x14ac:dyDescent="0.3">
      <c r="B601" s="1" t="s">
        <v>139</v>
      </c>
      <c r="C601" s="20">
        <f t="shared" si="529"/>
        <v>-72.974758151012793</v>
      </c>
      <c r="D601" s="20">
        <f t="shared" si="529"/>
        <v>1853.6288108453773</v>
      </c>
      <c r="E601" s="20">
        <f t="shared" si="529"/>
        <v>3780.2323798417674</v>
      </c>
      <c r="F601" s="20">
        <f t="shared" si="529"/>
        <v>5706.8359488381575</v>
      </c>
      <c r="G601" s="20">
        <f t="shared" si="529"/>
        <v>7633.4395178345476</v>
      </c>
      <c r="H601" s="20">
        <f t="shared" si="529"/>
        <v>9560.0430868309377</v>
      </c>
      <c r="I601" s="430">
        <f>_xlfn.FORECAST.LINEAR(I$596,$C$601:$H$601,$C$596:$H$596)</f>
        <v>11486.646655827328</v>
      </c>
      <c r="J601" s="430">
        <f t="shared" ref="J601:L601" si="533">_xlfn.FORECAST.LINEAR(J$596,$C$601:$H$601,$C$596:$H$596)</f>
        <v>13413.250224823718</v>
      </c>
      <c r="K601" s="430">
        <f t="shared" si="533"/>
        <v>15339.853793820108</v>
      </c>
      <c r="L601" s="430">
        <f t="shared" si="533"/>
        <v>17266.457362816498</v>
      </c>
      <c r="M601" s="4"/>
      <c r="N601" s="7"/>
      <c r="O601" s="7"/>
      <c r="P601" s="7"/>
    </row>
    <row r="602" spans="1:23" s="67" customFormat="1" x14ac:dyDescent="0.3">
      <c r="B602" s="1" t="s">
        <v>140</v>
      </c>
      <c r="C602" s="20">
        <f t="shared" si="529"/>
        <v>-72.974758151012793</v>
      </c>
      <c r="D602" s="20">
        <f t="shared" si="529"/>
        <v>1853.6288108453773</v>
      </c>
      <c r="E602" s="20">
        <f t="shared" si="529"/>
        <v>3780.2323798417674</v>
      </c>
      <c r="F602" s="20">
        <f t="shared" si="529"/>
        <v>5706.8359488381575</v>
      </c>
      <c r="G602" s="20">
        <f t="shared" si="529"/>
        <v>7633.4395178345476</v>
      </c>
      <c r="H602" s="20">
        <f t="shared" si="529"/>
        <v>9560.0430868309377</v>
      </c>
      <c r="I602" s="20">
        <f t="shared" si="529"/>
        <v>11486.646655827331</v>
      </c>
      <c r="J602" s="430">
        <f>_xlfn.FORECAST.LINEAR(J$596,$C$602:$I$602,$C$596:$I$596)</f>
        <v>13413.250224823722</v>
      </c>
      <c r="K602" s="430">
        <f t="shared" ref="K602:L602" si="534">_xlfn.FORECAST.LINEAR(K$596,$C$602:$I$602,$C$596:$I$596)</f>
        <v>15339.853793820112</v>
      </c>
      <c r="L602" s="430">
        <f t="shared" si="534"/>
        <v>17266.457362816502</v>
      </c>
      <c r="M602" s="4"/>
      <c r="N602" s="7"/>
      <c r="O602" s="7"/>
      <c r="P602" s="7"/>
    </row>
    <row r="603" spans="1:23" s="67" customFormat="1" x14ac:dyDescent="0.3">
      <c r="B603" s="1" t="s">
        <v>141</v>
      </c>
      <c r="C603" s="20">
        <f t="shared" si="529"/>
        <v>-72.974758151012793</v>
      </c>
      <c r="D603" s="20">
        <f t="shared" si="529"/>
        <v>1853.6288108453773</v>
      </c>
      <c r="E603" s="20">
        <f t="shared" si="529"/>
        <v>3780.2323798417674</v>
      </c>
      <c r="F603" s="20">
        <f t="shared" si="529"/>
        <v>5706.8359488381575</v>
      </c>
      <c r="G603" s="20">
        <f t="shared" si="529"/>
        <v>7633.4395178345476</v>
      </c>
      <c r="H603" s="20">
        <f t="shared" si="529"/>
        <v>9560.0430868309377</v>
      </c>
      <c r="I603" s="20">
        <f t="shared" si="529"/>
        <v>11486.646655827331</v>
      </c>
      <c r="J603" s="20">
        <f t="shared" si="529"/>
        <v>13413.250224823714</v>
      </c>
      <c r="K603" s="430">
        <f>_xlfn.FORECAST.LINEAR(K$596,$C$603:$J$603,$C$596:$J$596)</f>
        <v>15339.853793820108</v>
      </c>
      <c r="L603" s="430">
        <f>_xlfn.FORECAST.LINEAR(L$596,$C$603:$J$603,$C$596:$J$596)</f>
        <v>17266.457362816498</v>
      </c>
      <c r="M603" s="4"/>
      <c r="N603" s="7"/>
      <c r="O603" s="7"/>
      <c r="P603" s="7"/>
    </row>
    <row r="604" spans="1:23" s="67" customFormat="1" x14ac:dyDescent="0.3">
      <c r="B604" s="1" t="s">
        <v>142</v>
      </c>
      <c r="C604" s="20">
        <f t="shared" si="529"/>
        <v>-72.974758151012793</v>
      </c>
      <c r="D604" s="20">
        <f t="shared" si="529"/>
        <v>1853.6288108453773</v>
      </c>
      <c r="E604" s="20">
        <f t="shared" si="529"/>
        <v>3780.2323798417674</v>
      </c>
      <c r="F604" s="20">
        <f t="shared" si="529"/>
        <v>5706.8359488381575</v>
      </c>
      <c r="G604" s="20">
        <f t="shared" si="529"/>
        <v>7633.4395178345476</v>
      </c>
      <c r="H604" s="20">
        <f t="shared" si="529"/>
        <v>9560.0430868309377</v>
      </c>
      <c r="I604" s="20">
        <f t="shared" si="529"/>
        <v>11486.646655827331</v>
      </c>
      <c r="J604" s="20">
        <f t="shared" si="529"/>
        <v>13413.250224823714</v>
      </c>
      <c r="K604" s="20">
        <f t="shared" si="529"/>
        <v>15339.853793820097</v>
      </c>
      <c r="L604" s="430">
        <f>_xlfn.FORECAST.LINEAR(L$596,$C$604:$K$604,$C$596:$K$596)</f>
        <v>17266.457362816494</v>
      </c>
      <c r="M604" s="4"/>
      <c r="N604" s="7"/>
      <c r="O604" s="7"/>
      <c r="P604" s="7"/>
    </row>
    <row r="605" spans="1:23" s="67" customFormat="1" x14ac:dyDescent="0.3">
      <c r="B605" s="1" t="s">
        <v>121</v>
      </c>
      <c r="C605" s="186">
        <f t="shared" si="529"/>
        <v>-72.974758151012793</v>
      </c>
      <c r="D605" s="186">
        <f t="shared" si="529"/>
        <v>1853.6288108453773</v>
      </c>
      <c r="E605" s="186">
        <f t="shared" si="529"/>
        <v>3780.2323798417674</v>
      </c>
      <c r="F605" s="186">
        <f t="shared" si="529"/>
        <v>5706.8359488381575</v>
      </c>
      <c r="G605" s="186">
        <f t="shared" si="529"/>
        <v>7633.4395178345476</v>
      </c>
      <c r="H605" s="186">
        <f t="shared" si="529"/>
        <v>9560.0430868309377</v>
      </c>
      <c r="I605" s="186">
        <f t="shared" si="529"/>
        <v>11486.646655827331</v>
      </c>
      <c r="J605" s="186">
        <f t="shared" si="529"/>
        <v>13413.250224823714</v>
      </c>
      <c r="K605" s="186">
        <f t="shared" si="529"/>
        <v>15339.853793820097</v>
      </c>
      <c r="L605" s="186">
        <f t="shared" si="529"/>
        <v>17266.45736281648</v>
      </c>
      <c r="M605" s="4"/>
      <c r="N605" s="7"/>
      <c r="O605" s="7"/>
      <c r="P605" s="7"/>
    </row>
    <row r="606" spans="1:23" s="67" customFormat="1" x14ac:dyDescent="0.3">
      <c r="B606" s="1" t="s">
        <v>122</v>
      </c>
      <c r="C606" s="180" t="s">
        <v>149</v>
      </c>
      <c r="D606" s="180" t="s">
        <v>149</v>
      </c>
      <c r="E606" s="20">
        <f>L597-L605</f>
        <v>0</v>
      </c>
      <c r="F606" s="20">
        <f>L598-L605</f>
        <v>0</v>
      </c>
      <c r="G606" s="20">
        <f>L599-L605</f>
        <v>0</v>
      </c>
      <c r="H606" s="20">
        <f>L600-L605</f>
        <v>0</v>
      </c>
      <c r="I606" s="20">
        <f>L601-L605</f>
        <v>0</v>
      </c>
      <c r="J606" s="20">
        <f>L602-L605</f>
        <v>0</v>
      </c>
      <c r="K606" s="20">
        <f>L603-L605</f>
        <v>0</v>
      </c>
      <c r="L606" s="20">
        <f>L604-L605</f>
        <v>0</v>
      </c>
      <c r="M606" s="4"/>
      <c r="N606" s="7"/>
      <c r="O606" s="7"/>
      <c r="P606" s="7"/>
    </row>
    <row r="607" spans="1:23" s="67" customFormat="1" x14ac:dyDescent="0.3">
      <c r="B607" s="1"/>
      <c r="C607" s="187"/>
      <c r="D607" s="187"/>
      <c r="E607" s="20"/>
      <c r="F607" s="20"/>
      <c r="G607" s="20"/>
      <c r="H607" s="20"/>
      <c r="I607" s="20"/>
      <c r="J607" s="20"/>
      <c r="K607" s="20"/>
      <c r="L607" s="20"/>
    </row>
    <row r="608" spans="1:23" s="306" customFormat="1" ht="18" x14ac:dyDescent="0.35">
      <c r="A608" s="306" t="s">
        <v>260</v>
      </c>
      <c r="B608" s="310"/>
      <c r="C608" s="311"/>
      <c r="D608" s="311"/>
      <c r="E608" s="312"/>
      <c r="F608" s="312"/>
      <c r="G608" s="312"/>
      <c r="H608" s="312"/>
      <c r="I608" s="312"/>
      <c r="J608" s="312"/>
      <c r="K608" s="312"/>
      <c r="L608" s="312"/>
    </row>
    <row r="609" spans="1:12" s="67" customFormat="1" x14ac:dyDescent="0.3">
      <c r="B609" s="1"/>
      <c r="C609" s="456" t="s">
        <v>71</v>
      </c>
      <c r="D609" s="456"/>
      <c r="E609" s="456"/>
      <c r="F609" s="456"/>
      <c r="G609" s="456"/>
      <c r="H609" s="456"/>
      <c r="I609" s="456"/>
      <c r="J609" s="456"/>
      <c r="K609" s="456"/>
      <c r="L609" s="456"/>
    </row>
    <row r="610" spans="1:12" s="67" customFormat="1" x14ac:dyDescent="0.3">
      <c r="A610" s="12"/>
      <c r="B610" s="177"/>
      <c r="C610" s="15">
        <v>1</v>
      </c>
      <c r="D610" s="15">
        <v>2</v>
      </c>
      <c r="E610" s="15">
        <v>3</v>
      </c>
      <c r="F610" s="15">
        <v>4</v>
      </c>
      <c r="G610" s="15">
        <v>5</v>
      </c>
      <c r="H610" s="15">
        <v>6</v>
      </c>
      <c r="I610" s="15">
        <v>7</v>
      </c>
      <c r="J610" s="15">
        <v>8</v>
      </c>
      <c r="K610" s="15">
        <v>9</v>
      </c>
      <c r="L610" s="15">
        <v>10</v>
      </c>
    </row>
    <row r="611" spans="1:12" s="67" customFormat="1" x14ac:dyDescent="0.3">
      <c r="A611" s="452" t="s">
        <v>0</v>
      </c>
      <c r="B611" s="1" t="s">
        <v>135</v>
      </c>
      <c r="C611" s="20">
        <f>C558/$B$15</f>
        <v>-223.11929907868213</v>
      </c>
      <c r="D611" s="20">
        <f t="shared" ref="D611:L611" si="535">D558/$B$15</f>
        <v>-480.25483343303779</v>
      </c>
      <c r="E611" s="20">
        <f t="shared" si="535"/>
        <v>-737.39036778739342</v>
      </c>
      <c r="F611" s="20">
        <f t="shared" si="535"/>
        <v>-994.52590214174927</v>
      </c>
      <c r="G611" s="20">
        <f t="shared" si="535"/>
        <v>-1251.6614364961047</v>
      </c>
      <c r="H611" s="20">
        <f t="shared" si="535"/>
        <v>-1508.7969708504606</v>
      </c>
      <c r="I611" s="20">
        <f t="shared" si="535"/>
        <v>-1765.9325052048164</v>
      </c>
      <c r="J611" s="20">
        <f t="shared" si="535"/>
        <v>-2023.0680395591719</v>
      </c>
      <c r="K611" s="20">
        <f t="shared" si="535"/>
        <v>-2280.2035739135272</v>
      </c>
      <c r="L611" s="20">
        <f t="shared" si="535"/>
        <v>-2537.3391082678831</v>
      </c>
    </row>
    <row r="612" spans="1:12" s="67" customFormat="1" x14ac:dyDescent="0.3">
      <c r="A612" s="452"/>
      <c r="B612" s="1" t="s">
        <v>136</v>
      </c>
      <c r="C612" s="20">
        <f t="shared" ref="C612:L612" si="536">C559/$B$15</f>
        <v>-223.11929907868213</v>
      </c>
      <c r="D612" s="20">
        <f t="shared" si="536"/>
        <v>-480.25483343303779</v>
      </c>
      <c r="E612" s="20">
        <f t="shared" si="536"/>
        <v>-673.15049481391907</v>
      </c>
      <c r="F612" s="20">
        <f t="shared" si="536"/>
        <v>-801.82192543127439</v>
      </c>
      <c r="G612" s="20">
        <f t="shared" si="536"/>
        <v>-866.24040066777968</v>
      </c>
      <c r="H612" s="20">
        <f t="shared" si="536"/>
        <v>-866.41847523650529</v>
      </c>
      <c r="I612" s="20">
        <f t="shared" si="536"/>
        <v>-802.35614913745133</v>
      </c>
      <c r="J612" s="20">
        <f t="shared" si="536"/>
        <v>-674.05342237061768</v>
      </c>
      <c r="K612" s="20">
        <f t="shared" si="536"/>
        <v>-481.51029493600447</v>
      </c>
      <c r="L612" s="20">
        <f t="shared" si="536"/>
        <v>-224.72676683361161</v>
      </c>
    </row>
    <row r="613" spans="1:12" s="67" customFormat="1" x14ac:dyDescent="0.3">
      <c r="A613" s="452"/>
      <c r="B613" s="1" t="s">
        <v>137</v>
      </c>
      <c r="C613" s="20">
        <f t="shared" ref="C613:L613" si="537">C560/$B$15</f>
        <v>-223.11929907868213</v>
      </c>
      <c r="D613" s="20">
        <f t="shared" si="537"/>
        <v>-480.25483343303779</v>
      </c>
      <c r="E613" s="20">
        <f t="shared" si="537"/>
        <v>-673.15049481391907</v>
      </c>
      <c r="F613" s="20">
        <f t="shared" si="537"/>
        <v>-814.65425781602096</v>
      </c>
      <c r="G613" s="20">
        <f t="shared" si="537"/>
        <v>-895.13077351140794</v>
      </c>
      <c r="H613" s="20">
        <f t="shared" si="537"/>
        <v>-918.43183082915971</v>
      </c>
      <c r="I613" s="20">
        <f t="shared" si="537"/>
        <v>-883.91652754590984</v>
      </c>
      <c r="J613" s="20">
        <f t="shared" si="537"/>
        <v>-791.58486366165835</v>
      </c>
      <c r="K613" s="20">
        <f t="shared" si="537"/>
        <v>-641.43683917640521</v>
      </c>
      <c r="L613" s="20">
        <f t="shared" si="537"/>
        <v>-433.47245409015028</v>
      </c>
    </row>
    <row r="614" spans="1:12" s="67" customFormat="1" x14ac:dyDescent="0.3">
      <c r="A614" s="452"/>
      <c r="B614" s="1" t="s">
        <v>138</v>
      </c>
      <c r="C614" s="20">
        <f t="shared" ref="C614:L614" si="538">C561/$B$15</f>
        <v>-223.11929907868213</v>
      </c>
      <c r="D614" s="20">
        <f t="shared" si="538"/>
        <v>-480.25483343303779</v>
      </c>
      <c r="E614" s="20">
        <f t="shared" si="538"/>
        <v>-673.15049481391907</v>
      </c>
      <c r="F614" s="20">
        <f t="shared" si="538"/>
        <v>-814.65425781602096</v>
      </c>
      <c r="G614" s="20">
        <f t="shared" si="538"/>
        <v>-915.04450211509925</v>
      </c>
      <c r="H614" s="20">
        <f t="shared" si="538"/>
        <v>-954.26043405676137</v>
      </c>
      <c r="I614" s="20">
        <f t="shared" si="538"/>
        <v>-943.63828603227603</v>
      </c>
      <c r="J614" s="20">
        <f t="shared" si="538"/>
        <v>-880.88925987757375</v>
      </c>
      <c r="K614" s="20">
        <f t="shared" si="538"/>
        <v>-766.01335559265431</v>
      </c>
      <c r="L614" s="20">
        <f t="shared" si="538"/>
        <v>-599.01057317751781</v>
      </c>
    </row>
    <row r="615" spans="1:12" s="67" customFormat="1" x14ac:dyDescent="0.3">
      <c r="A615" s="452"/>
      <c r="B615" s="1" t="s">
        <v>139</v>
      </c>
      <c r="C615" s="20">
        <f t="shared" ref="C615:L615" si="539">C562/$B$15</f>
        <v>-223.11929907868213</v>
      </c>
      <c r="D615" s="20">
        <f t="shared" si="539"/>
        <v>-480.25483343303779</v>
      </c>
      <c r="E615" s="20">
        <f t="shared" si="539"/>
        <v>-673.15049481391907</v>
      </c>
      <c r="F615" s="20">
        <f t="shared" si="539"/>
        <v>-814.65425781602096</v>
      </c>
      <c r="G615" s="20">
        <f t="shared" si="539"/>
        <v>-915.04450211509925</v>
      </c>
      <c r="H615" s="20">
        <f t="shared" si="539"/>
        <v>-982.54393145175857</v>
      </c>
      <c r="I615" s="20">
        <f t="shared" si="539"/>
        <v>-986.09794101279908</v>
      </c>
      <c r="J615" s="20">
        <f t="shared" si="539"/>
        <v>-947.58931552587649</v>
      </c>
      <c r="K615" s="20">
        <f t="shared" si="539"/>
        <v>-862.00222593210901</v>
      </c>
      <c r="L615" s="20">
        <f t="shared" si="539"/>
        <v>-729.336672231497</v>
      </c>
    </row>
    <row r="616" spans="1:12" s="67" customFormat="1" x14ac:dyDescent="0.3">
      <c r="A616" s="452"/>
      <c r="B616" s="1" t="s">
        <v>140</v>
      </c>
      <c r="C616" s="20">
        <f t="shared" ref="C616:L616" si="540">C563/$B$15</f>
        <v>-223.11929907868213</v>
      </c>
      <c r="D616" s="20">
        <f t="shared" si="540"/>
        <v>-480.25483343303779</v>
      </c>
      <c r="E616" s="20">
        <f t="shared" si="540"/>
        <v>-673.15049481391907</v>
      </c>
      <c r="F616" s="20">
        <f t="shared" si="540"/>
        <v>-814.65425781602096</v>
      </c>
      <c r="G616" s="20">
        <f t="shared" si="540"/>
        <v>-915.04450211509925</v>
      </c>
      <c r="H616" s="20">
        <f t="shared" si="540"/>
        <v>-982.54393145175857</v>
      </c>
      <c r="I616" s="20">
        <f t="shared" si="540"/>
        <v>-1023.730708818483</v>
      </c>
      <c r="J616" s="20">
        <f t="shared" si="540"/>
        <v>-995.9654980523095</v>
      </c>
      <c r="K616" s="20">
        <f t="shared" si="540"/>
        <v>-934.59098497495836</v>
      </c>
      <c r="L616" s="20">
        <f t="shared" si="540"/>
        <v>-830.62326099053985</v>
      </c>
    </row>
    <row r="617" spans="1:12" s="67" customFormat="1" x14ac:dyDescent="0.3">
      <c r="A617" s="452"/>
      <c r="B617" s="1" t="s">
        <v>141</v>
      </c>
      <c r="C617" s="20">
        <f t="shared" ref="C617:L617" si="541">C564/$B$15</f>
        <v>-223.11929907868213</v>
      </c>
      <c r="D617" s="20">
        <f t="shared" si="541"/>
        <v>-480.25483343303779</v>
      </c>
      <c r="E617" s="20">
        <f t="shared" si="541"/>
        <v>-673.15049481391907</v>
      </c>
      <c r="F617" s="20">
        <f t="shared" si="541"/>
        <v>-814.65425781602096</v>
      </c>
      <c r="G617" s="20">
        <f t="shared" si="541"/>
        <v>-915.04450211509925</v>
      </c>
      <c r="H617" s="20">
        <f t="shared" si="541"/>
        <v>-982.54393145175857</v>
      </c>
      <c r="I617" s="20">
        <f t="shared" si="541"/>
        <v>-1023.730708818483</v>
      </c>
      <c r="J617" s="20">
        <f t="shared" si="541"/>
        <v>-1043.8673646092593</v>
      </c>
      <c r="K617" s="20">
        <f t="shared" si="541"/>
        <v>-988.38842515303304</v>
      </c>
      <c r="L617" s="20">
        <f t="shared" si="541"/>
        <v>-908.34724540901504</v>
      </c>
    </row>
    <row r="618" spans="1:12" s="67" customFormat="1" x14ac:dyDescent="0.3">
      <c r="A618" s="452"/>
      <c r="B618" s="1" t="s">
        <v>142</v>
      </c>
      <c r="C618" s="20">
        <f t="shared" ref="C618:L618" si="542">C565/$B$15</f>
        <v>-223.11929907868213</v>
      </c>
      <c r="D618" s="20">
        <f t="shared" si="542"/>
        <v>-480.25483343303779</v>
      </c>
      <c r="E618" s="20">
        <f t="shared" si="542"/>
        <v>-673.15049481391907</v>
      </c>
      <c r="F618" s="20">
        <f t="shared" si="542"/>
        <v>-814.65425781602096</v>
      </c>
      <c r="G618" s="20">
        <f t="shared" si="542"/>
        <v>-915.04450211509925</v>
      </c>
      <c r="H618" s="20">
        <f t="shared" si="542"/>
        <v>-982.54393145175857</v>
      </c>
      <c r="I618" s="20">
        <f t="shared" si="542"/>
        <v>-1023.730708818483</v>
      </c>
      <c r="J618" s="20">
        <f t="shared" si="542"/>
        <v>-1043.8673646092593</v>
      </c>
      <c r="K618" s="20">
        <f t="shared" si="542"/>
        <v>-1047.1639231392771</v>
      </c>
      <c r="L618" s="20">
        <f t="shared" si="542"/>
        <v>-967.08614357262115</v>
      </c>
    </row>
    <row r="619" spans="1:12" s="67" customFormat="1" x14ac:dyDescent="0.3">
      <c r="A619" s="453"/>
      <c r="B619" s="177" t="s">
        <v>121</v>
      </c>
      <c r="C619" s="186">
        <f t="shared" ref="C619:L619" si="543">C566/$B$15</f>
        <v>-223.11929907868213</v>
      </c>
      <c r="D619" s="186">
        <f t="shared" si="543"/>
        <v>-480.25483343303779</v>
      </c>
      <c r="E619" s="186">
        <f t="shared" si="543"/>
        <v>-673.15049481391907</v>
      </c>
      <c r="F619" s="186">
        <f t="shared" si="543"/>
        <v>-814.65425781602096</v>
      </c>
      <c r="G619" s="186">
        <f t="shared" si="543"/>
        <v>-915.04450211509925</v>
      </c>
      <c r="H619" s="186">
        <f t="shared" si="543"/>
        <v>-982.54393145175857</v>
      </c>
      <c r="I619" s="186">
        <f t="shared" si="543"/>
        <v>-1023.730708818483</v>
      </c>
      <c r="J619" s="186">
        <f t="shared" si="543"/>
        <v>-1043.8673646092593</v>
      </c>
      <c r="K619" s="186">
        <f t="shared" si="543"/>
        <v>-1047.1639231392771</v>
      </c>
      <c r="L619" s="186">
        <f t="shared" si="543"/>
        <v>-1036.9884038606883</v>
      </c>
    </row>
    <row r="620" spans="1:12" s="67" customFormat="1" x14ac:dyDescent="0.3">
      <c r="A620" s="314"/>
      <c r="B620" s="177" t="s">
        <v>122</v>
      </c>
      <c r="C620" s="186" t="s">
        <v>149</v>
      </c>
      <c r="D620" s="186" t="s">
        <v>149</v>
      </c>
      <c r="E620" s="186">
        <f>E567/$B$15</f>
        <v>-1500.3507044071948</v>
      </c>
      <c r="F620" s="186">
        <f t="shared" ref="F620:L620" si="544">F567/$B$15</f>
        <v>812.26163702707686</v>
      </c>
      <c r="G620" s="186">
        <f t="shared" si="544"/>
        <v>603.5159497705381</v>
      </c>
      <c r="H620" s="186">
        <f t="shared" si="544"/>
        <v>437.97783068317062</v>
      </c>
      <c r="I620" s="186">
        <f t="shared" si="544"/>
        <v>307.65173162919137</v>
      </c>
      <c r="J620" s="186">
        <f t="shared" si="544"/>
        <v>206.36514287014856</v>
      </c>
      <c r="K620" s="186">
        <f t="shared" si="544"/>
        <v>128.64115845167331</v>
      </c>
      <c r="L620" s="186">
        <f t="shared" si="544"/>
        <v>69.902260288067268</v>
      </c>
    </row>
    <row r="621" spans="1:12" s="67" customFormat="1" x14ac:dyDescent="0.3">
      <c r="A621" s="452" t="s">
        <v>1</v>
      </c>
      <c r="B621" s="1" t="s">
        <v>135</v>
      </c>
      <c r="C621" s="20">
        <f>C571/$B$15</f>
        <v>-107.63403345078378</v>
      </c>
      <c r="D621" s="20">
        <f t="shared" ref="D621:L621" si="545">D571/$B$15</f>
        <v>-145.79461918707224</v>
      </c>
      <c r="E621" s="20">
        <f t="shared" si="545"/>
        <v>-183.9552049233607</v>
      </c>
      <c r="F621" s="20">
        <f t="shared" si="545"/>
        <v>-222.11579065964912</v>
      </c>
      <c r="G621" s="20">
        <f t="shared" si="545"/>
        <v>-260.27637639593758</v>
      </c>
      <c r="H621" s="20">
        <f t="shared" si="545"/>
        <v>-298.43696213222603</v>
      </c>
      <c r="I621" s="20">
        <f t="shared" si="545"/>
        <v>-336.59754786851448</v>
      </c>
      <c r="J621" s="20">
        <f t="shared" si="545"/>
        <v>-374.75813360480299</v>
      </c>
      <c r="K621" s="20">
        <f t="shared" si="545"/>
        <v>-412.91871934109139</v>
      </c>
      <c r="L621" s="20">
        <f t="shared" si="545"/>
        <v>-451.07930507737984</v>
      </c>
    </row>
    <row r="622" spans="1:12" s="67" customFormat="1" x14ac:dyDescent="0.3">
      <c r="A622" s="452"/>
      <c r="B622" s="1" t="s">
        <v>136</v>
      </c>
      <c r="C622" s="20">
        <f t="shared" ref="C622:L622" si="546">C572/$B$15</f>
        <v>-107.63403345078378</v>
      </c>
      <c r="D622" s="20">
        <f t="shared" si="546"/>
        <v>-145.79461918707224</v>
      </c>
      <c r="E622" s="20">
        <f t="shared" si="546"/>
        <v>-163.51032167349985</v>
      </c>
      <c r="F622" s="20">
        <f t="shared" si="546"/>
        <v>-160.78085698386201</v>
      </c>
      <c r="G622" s="20">
        <f t="shared" si="546"/>
        <v>-137.60656649972177</v>
      </c>
      <c r="H622" s="20">
        <f t="shared" si="546"/>
        <v>-93.987312186978286</v>
      </c>
      <c r="I622" s="20">
        <f t="shared" si="546"/>
        <v>-29.923094045631601</v>
      </c>
      <c r="J622" s="20">
        <f t="shared" si="546"/>
        <v>54.586087924318335</v>
      </c>
      <c r="K622" s="20">
        <f t="shared" si="546"/>
        <v>159.54023372287153</v>
      </c>
      <c r="L622" s="20">
        <f t="shared" si="546"/>
        <v>284.93934335002785</v>
      </c>
    </row>
    <row r="623" spans="1:12" s="67" customFormat="1" x14ac:dyDescent="0.3">
      <c r="A623" s="452"/>
      <c r="B623" s="1" t="s">
        <v>137</v>
      </c>
      <c r="C623" s="20">
        <f t="shared" ref="C623:L623" si="547">C573/$B$15</f>
        <v>-107.63403345078378</v>
      </c>
      <c r="D623" s="20">
        <f t="shared" si="547"/>
        <v>-145.79461918707224</v>
      </c>
      <c r="E623" s="20">
        <f t="shared" si="547"/>
        <v>-163.51032167349985</v>
      </c>
      <c r="F623" s="20">
        <f t="shared" si="547"/>
        <v>-164.87011756003878</v>
      </c>
      <c r="G623" s="20">
        <f t="shared" si="547"/>
        <v>-146.8091263216472</v>
      </c>
      <c r="H623" s="20">
        <f t="shared" si="547"/>
        <v>-110.55047301057313</v>
      </c>
      <c r="I623" s="20">
        <f t="shared" si="547"/>
        <v>-55.891374513077366</v>
      </c>
      <c r="J623" s="20">
        <f t="shared" si="547"/>
        <v>17.168169170840294</v>
      </c>
      <c r="K623" s="20">
        <f t="shared" si="547"/>
        <v>108.62815804117977</v>
      </c>
      <c r="L623" s="20">
        <f t="shared" si="547"/>
        <v>218.48859209794102</v>
      </c>
    </row>
    <row r="624" spans="1:12" s="67" customFormat="1" x14ac:dyDescent="0.3">
      <c r="A624" s="452"/>
      <c r="B624" s="1" t="s">
        <v>138</v>
      </c>
      <c r="C624" s="20">
        <f t="shared" ref="C624:L624" si="548">C574/$B$15</f>
        <v>-107.63403345078378</v>
      </c>
      <c r="D624" s="20">
        <f t="shared" si="548"/>
        <v>-145.79461918707224</v>
      </c>
      <c r="E624" s="20">
        <f t="shared" si="548"/>
        <v>-163.51032167349985</v>
      </c>
      <c r="F624" s="20">
        <f t="shared" si="548"/>
        <v>-164.87011756003878</v>
      </c>
      <c r="G624" s="20">
        <f t="shared" si="548"/>
        <v>-153.14518816666674</v>
      </c>
      <c r="H624" s="20">
        <f t="shared" si="548"/>
        <v>-121.95169727323317</v>
      </c>
      <c r="I624" s="20">
        <f t="shared" si="548"/>
        <v>-74.896939343349985</v>
      </c>
      <c r="J624" s="20">
        <f t="shared" si="548"/>
        <v>-11.252531997774058</v>
      </c>
      <c r="K624" s="20">
        <f t="shared" si="548"/>
        <v>68.981524763494718</v>
      </c>
      <c r="L624" s="20">
        <f t="shared" si="548"/>
        <v>165.80523094045634</v>
      </c>
    </row>
    <row r="625" spans="1:12" s="67" customFormat="1" x14ac:dyDescent="0.3">
      <c r="A625" s="452"/>
      <c r="B625" s="1" t="s">
        <v>139</v>
      </c>
      <c r="C625" s="20">
        <f t="shared" ref="C625:L625" si="549">C575/$B$15</f>
        <v>-107.63403345078378</v>
      </c>
      <c r="D625" s="20">
        <f t="shared" si="549"/>
        <v>-145.79461918707224</v>
      </c>
      <c r="E625" s="20">
        <f t="shared" si="549"/>
        <v>-163.51032167349985</v>
      </c>
      <c r="F625" s="20">
        <f t="shared" si="549"/>
        <v>-164.87011756003878</v>
      </c>
      <c r="G625" s="20">
        <f t="shared" si="549"/>
        <v>-153.14518816666674</v>
      </c>
      <c r="H625" s="20">
        <f t="shared" si="549"/>
        <v>-130.95247854936594</v>
      </c>
      <c r="I625" s="20">
        <f t="shared" si="549"/>
        <v>-88.393099610461931</v>
      </c>
      <c r="J625" s="20">
        <f t="shared" si="549"/>
        <v>-32.459877573733991</v>
      </c>
      <c r="K625" s="20">
        <f t="shared" si="549"/>
        <v>38.456538675570457</v>
      </c>
      <c r="L625" s="20">
        <f t="shared" si="549"/>
        <v>124.35614913745131</v>
      </c>
    </row>
    <row r="626" spans="1:12" s="67" customFormat="1" x14ac:dyDescent="0.3">
      <c r="A626" s="452"/>
      <c r="B626" s="1" t="s">
        <v>140</v>
      </c>
      <c r="C626" s="20">
        <f t="shared" ref="C626:L626" si="550">C576/$B$15</f>
        <v>-107.63403345078378</v>
      </c>
      <c r="D626" s="20">
        <f t="shared" si="550"/>
        <v>-145.79461918707224</v>
      </c>
      <c r="E626" s="20">
        <f t="shared" si="550"/>
        <v>-163.51032167349985</v>
      </c>
      <c r="F626" s="20">
        <f t="shared" si="550"/>
        <v>-164.87011756003878</v>
      </c>
      <c r="G626" s="20">
        <f t="shared" si="550"/>
        <v>-153.14518816666674</v>
      </c>
      <c r="H626" s="20">
        <f t="shared" si="550"/>
        <v>-130.95247854936594</v>
      </c>
      <c r="I626" s="20">
        <f t="shared" si="550"/>
        <v>-100.38554475292207</v>
      </c>
      <c r="J626" s="20">
        <f t="shared" si="550"/>
        <v>-47.877573734001096</v>
      </c>
      <c r="K626" s="20">
        <f t="shared" si="550"/>
        <v>15.331107401224314</v>
      </c>
      <c r="L626" s="20">
        <f t="shared" si="550"/>
        <v>92.095715080690042</v>
      </c>
    </row>
    <row r="627" spans="1:12" s="67" customFormat="1" x14ac:dyDescent="0.3">
      <c r="A627" s="452"/>
      <c r="B627" s="1" t="s">
        <v>141</v>
      </c>
      <c r="C627" s="20">
        <f t="shared" ref="C627:L627" si="551">C577/$B$15</f>
        <v>-107.63403345078378</v>
      </c>
      <c r="D627" s="20">
        <f t="shared" si="551"/>
        <v>-145.79461918707224</v>
      </c>
      <c r="E627" s="20">
        <f t="shared" si="551"/>
        <v>-163.51032167349985</v>
      </c>
      <c r="F627" s="20">
        <f t="shared" si="551"/>
        <v>-164.87011756003878</v>
      </c>
      <c r="G627" s="20">
        <f t="shared" si="551"/>
        <v>-153.14518816666674</v>
      </c>
      <c r="H627" s="20">
        <f t="shared" si="551"/>
        <v>-130.95247854936594</v>
      </c>
      <c r="I627" s="20">
        <f t="shared" si="551"/>
        <v>-100.38554475292207</v>
      </c>
      <c r="J627" s="20">
        <f t="shared" si="551"/>
        <v>-63.119231613163848</v>
      </c>
      <c r="K627" s="20">
        <f t="shared" si="551"/>
        <v>-1.8181413466889023</v>
      </c>
      <c r="L627" s="20">
        <f t="shared" si="551"/>
        <v>67.325542570951669</v>
      </c>
    </row>
    <row r="628" spans="1:12" s="67" customFormat="1" x14ac:dyDescent="0.3">
      <c r="A628" s="452"/>
      <c r="B628" s="1" t="s">
        <v>142</v>
      </c>
      <c r="C628" s="20">
        <f t="shared" ref="C628:L628" si="552">C578/$B$15</f>
        <v>-107.63403345078378</v>
      </c>
      <c r="D628" s="20">
        <f t="shared" si="552"/>
        <v>-145.79461918707224</v>
      </c>
      <c r="E628" s="20">
        <f t="shared" si="552"/>
        <v>-163.51032167349985</v>
      </c>
      <c r="F628" s="20">
        <f t="shared" si="552"/>
        <v>-164.87011756003878</v>
      </c>
      <c r="G628" s="20">
        <f t="shared" si="552"/>
        <v>-153.14518816666674</v>
      </c>
      <c r="H628" s="20">
        <f t="shared" si="552"/>
        <v>-130.95247854936594</v>
      </c>
      <c r="I628" s="20">
        <f t="shared" si="552"/>
        <v>-100.38554475292207</v>
      </c>
      <c r="J628" s="20">
        <f t="shared" si="552"/>
        <v>-63.119231613163848</v>
      </c>
      <c r="K628" s="20">
        <f t="shared" si="552"/>
        <v>-20.493414998754083</v>
      </c>
      <c r="L628" s="20">
        <f t="shared" si="552"/>
        <v>48.656649972175856</v>
      </c>
    </row>
    <row r="629" spans="1:12" s="67" customFormat="1" x14ac:dyDescent="0.3">
      <c r="A629" s="453"/>
      <c r="B629" s="177" t="s">
        <v>121</v>
      </c>
      <c r="C629" s="186">
        <f t="shared" ref="C629:E630" si="553">C579/$B$15</f>
        <v>-107.63403345078378</v>
      </c>
      <c r="D629" s="186">
        <f t="shared" si="553"/>
        <v>-145.79461918707224</v>
      </c>
      <c r="E629" s="186">
        <f t="shared" si="553"/>
        <v>-163.51032167349985</v>
      </c>
      <c r="F629" s="186">
        <f t="shared" ref="F629:L629" si="554">F579/$B$15</f>
        <v>-164.87011756003878</v>
      </c>
      <c r="G629" s="186">
        <f t="shared" si="554"/>
        <v>-153.14518816666674</v>
      </c>
      <c r="H629" s="186">
        <f t="shared" si="554"/>
        <v>-130.95247854936594</v>
      </c>
      <c r="I629" s="186">
        <f t="shared" si="554"/>
        <v>-100.38554475292207</v>
      </c>
      <c r="J629" s="186">
        <f t="shared" si="554"/>
        <v>-63.119231613163848</v>
      </c>
      <c r="K629" s="186">
        <f t="shared" si="554"/>
        <v>-20.493414998754083</v>
      </c>
      <c r="L629" s="186">
        <f t="shared" si="554"/>
        <v>26.420004395376921</v>
      </c>
    </row>
    <row r="630" spans="1:12" s="67" customFormat="1" x14ac:dyDescent="0.3">
      <c r="A630" s="314"/>
      <c r="B630" s="177" t="s">
        <v>122</v>
      </c>
      <c r="C630" s="186" t="s">
        <v>149</v>
      </c>
      <c r="D630" s="186" t="s">
        <v>149</v>
      </c>
      <c r="E630" s="186">
        <f t="shared" si="553"/>
        <v>-477.49930947275675</v>
      </c>
      <c r="F630" s="186">
        <f t="shared" ref="F630:L630" si="555">F580/$B$15</f>
        <v>258.51933895465089</v>
      </c>
      <c r="G630" s="186">
        <f t="shared" si="555"/>
        <v>192.06858770256412</v>
      </c>
      <c r="H630" s="186">
        <f t="shared" si="555"/>
        <v>139.38522654507941</v>
      </c>
      <c r="I630" s="186">
        <f t="shared" si="555"/>
        <v>97.93614474207439</v>
      </c>
      <c r="J630" s="186">
        <f t="shared" si="555"/>
        <v>65.675710685313121</v>
      </c>
      <c r="K630" s="186">
        <f t="shared" si="555"/>
        <v>40.905538175574748</v>
      </c>
      <c r="L630" s="186">
        <f t="shared" si="555"/>
        <v>22.236645576798935</v>
      </c>
    </row>
    <row r="631" spans="1:12" s="67" customFormat="1" x14ac:dyDescent="0.3">
      <c r="A631" s="452" t="s">
        <v>2</v>
      </c>
      <c r="B631" s="1" t="s">
        <v>135</v>
      </c>
      <c r="C631" s="20">
        <f>C584/$B$15</f>
        <v>-45.147163260295585</v>
      </c>
      <c r="D631" s="20">
        <f t="shared" ref="D631:L631" si="556">D584/$B$15</f>
        <v>-45.82464675267353</v>
      </c>
      <c r="E631" s="20">
        <f t="shared" si="556"/>
        <v>-46.502130245051482</v>
      </c>
      <c r="F631" s="20">
        <f t="shared" si="556"/>
        <v>-47.179613737429435</v>
      </c>
      <c r="G631" s="20">
        <f t="shared" si="556"/>
        <v>-47.85709722980738</v>
      </c>
      <c r="H631" s="20">
        <f t="shared" si="556"/>
        <v>-48.534580722185332</v>
      </c>
      <c r="I631" s="20">
        <f t="shared" si="556"/>
        <v>-49.212064214563277</v>
      </c>
      <c r="J631" s="20">
        <f t="shared" si="556"/>
        <v>-49.889547706941229</v>
      </c>
      <c r="K631" s="20">
        <f t="shared" si="556"/>
        <v>-50.567031199319182</v>
      </c>
      <c r="L631" s="20">
        <f t="shared" si="556"/>
        <v>-51.244514691697127</v>
      </c>
    </row>
    <row r="632" spans="1:12" s="67" customFormat="1" x14ac:dyDescent="0.3">
      <c r="A632" s="452"/>
      <c r="B632" s="1" t="s">
        <v>136</v>
      </c>
      <c r="C632" s="20">
        <f t="shared" ref="C632:L632" si="557">C585/$B$15</f>
        <v>-45.147163260295585</v>
      </c>
      <c r="D632" s="20">
        <f t="shared" si="557"/>
        <v>-45.82464675267353</v>
      </c>
      <c r="E632" s="20">
        <f t="shared" si="557"/>
        <v>-37.828764413109354</v>
      </c>
      <c r="F632" s="20">
        <f t="shared" si="557"/>
        <v>-21.158597662771292</v>
      </c>
      <c r="G632" s="20">
        <f t="shared" si="557"/>
        <v>4.1841958820255964</v>
      </c>
      <c r="H632" s="20">
        <f t="shared" si="557"/>
        <v>38.200333889816363</v>
      </c>
      <c r="I632" s="20">
        <f t="shared" si="557"/>
        <v>80.889816360600989</v>
      </c>
      <c r="J632" s="20">
        <f t="shared" si="557"/>
        <v>132.25264329437951</v>
      </c>
      <c r="K632" s="20">
        <f t="shared" si="557"/>
        <v>192.28881469115191</v>
      </c>
      <c r="L632" s="20">
        <f t="shared" si="557"/>
        <v>260.99833055091824</v>
      </c>
    </row>
    <row r="633" spans="1:12" s="67" customFormat="1" x14ac:dyDescent="0.3">
      <c r="A633" s="452"/>
      <c r="B633" s="1" t="s">
        <v>137</v>
      </c>
      <c r="C633" s="20">
        <f t="shared" ref="C633:L633" si="558">C586/$B$15</f>
        <v>-45.147163260295585</v>
      </c>
      <c r="D633" s="20">
        <f t="shared" si="558"/>
        <v>-45.82464675267353</v>
      </c>
      <c r="E633" s="20">
        <f t="shared" si="558"/>
        <v>-37.828764413109354</v>
      </c>
      <c r="F633" s="20">
        <f t="shared" si="558"/>
        <v>-22.894189407991476</v>
      </c>
      <c r="G633" s="20">
        <f t="shared" si="558"/>
        <v>0.27879799666110389</v>
      </c>
      <c r="H633" s="20">
        <f t="shared" si="558"/>
        <v>31.172398441847537</v>
      </c>
      <c r="I633" s="20">
        <f t="shared" si="558"/>
        <v>69.872120200333924</v>
      </c>
      <c r="J633" s="20">
        <f t="shared" si="558"/>
        <v>116.37796327212023</v>
      </c>
      <c r="K633" s="20">
        <f t="shared" si="558"/>
        <v>170.68992765720648</v>
      </c>
      <c r="L633" s="20">
        <f t="shared" si="558"/>
        <v>232.80801335559266</v>
      </c>
    </row>
    <row r="634" spans="1:12" s="67" customFormat="1" x14ac:dyDescent="0.3">
      <c r="A634" s="452"/>
      <c r="B634" s="1" t="s">
        <v>138</v>
      </c>
      <c r="C634" s="20">
        <f t="shared" ref="C634:L634" si="559">C587/$B$15</f>
        <v>-45.147163260295585</v>
      </c>
      <c r="D634" s="20">
        <f t="shared" si="559"/>
        <v>-45.82464675267353</v>
      </c>
      <c r="E634" s="20">
        <f t="shared" si="559"/>
        <v>-37.828764413109354</v>
      </c>
      <c r="F634" s="20">
        <f t="shared" si="559"/>
        <v>-22.894189407991476</v>
      </c>
      <c r="G634" s="20">
        <f t="shared" si="559"/>
        <v>-2.408660270430655</v>
      </c>
      <c r="H634" s="20">
        <f t="shared" si="559"/>
        <v>26.332999443516986</v>
      </c>
      <c r="I634" s="20">
        <f t="shared" si="559"/>
        <v>61.805564830272672</v>
      </c>
      <c r="J634" s="20">
        <f t="shared" si="559"/>
        <v>104.31585976627714</v>
      </c>
      <c r="K634" s="20">
        <f t="shared" si="559"/>
        <v>153.86388425153035</v>
      </c>
      <c r="L634" s="20">
        <f t="shared" si="559"/>
        <v>210.4496382860323</v>
      </c>
    </row>
    <row r="635" spans="1:12" s="67" customFormat="1" x14ac:dyDescent="0.3">
      <c r="A635" s="452"/>
      <c r="B635" s="1" t="s">
        <v>139</v>
      </c>
      <c r="C635" s="20">
        <f t="shared" ref="C635:L635" si="560">C588/$B$15</f>
        <v>-45.147163260295585</v>
      </c>
      <c r="D635" s="20">
        <f t="shared" si="560"/>
        <v>-45.82464675267353</v>
      </c>
      <c r="E635" s="20">
        <f t="shared" si="560"/>
        <v>-37.828764413109354</v>
      </c>
      <c r="F635" s="20">
        <f t="shared" si="560"/>
        <v>-22.894189407991476</v>
      </c>
      <c r="G635" s="20">
        <f t="shared" si="560"/>
        <v>-2.408660270430655</v>
      </c>
      <c r="H635" s="20">
        <f t="shared" si="560"/>
        <v>22.517632173084547</v>
      </c>
      <c r="I635" s="20">
        <f t="shared" si="560"/>
        <v>56.083249860879249</v>
      </c>
      <c r="J635" s="20">
        <f t="shared" si="560"/>
        <v>95.323316638842527</v>
      </c>
      <c r="K635" s="20">
        <f t="shared" si="560"/>
        <v>140.91975514746804</v>
      </c>
      <c r="L635" s="20">
        <f t="shared" si="560"/>
        <v>192.87256538675575</v>
      </c>
    </row>
    <row r="636" spans="1:12" s="67" customFormat="1" x14ac:dyDescent="0.3">
      <c r="A636" s="452"/>
      <c r="B636" s="1" t="s">
        <v>140</v>
      </c>
      <c r="C636" s="20">
        <f t="shared" ref="C636:L636" si="561">C589/$B$15</f>
        <v>-45.147163260295585</v>
      </c>
      <c r="D636" s="20">
        <f t="shared" si="561"/>
        <v>-45.82464675267353</v>
      </c>
      <c r="E636" s="20">
        <f t="shared" si="561"/>
        <v>-37.828764413109354</v>
      </c>
      <c r="F636" s="20">
        <f t="shared" si="561"/>
        <v>-22.894189407991476</v>
      </c>
      <c r="G636" s="20">
        <f t="shared" si="561"/>
        <v>-2.408660270430655</v>
      </c>
      <c r="H636" s="20">
        <f t="shared" si="561"/>
        <v>22.517632173084547</v>
      </c>
      <c r="I636" s="20">
        <f t="shared" si="561"/>
        <v>50.996535261363249</v>
      </c>
      <c r="J636" s="20">
        <f t="shared" si="561"/>
        <v>88.785754034501963</v>
      </c>
      <c r="K636" s="20">
        <f t="shared" si="561"/>
        <v>131.11285475792988</v>
      </c>
      <c r="L636" s="20">
        <f t="shared" si="561"/>
        <v>179.19087367835283</v>
      </c>
    </row>
    <row r="637" spans="1:12" s="67" customFormat="1" x14ac:dyDescent="0.3">
      <c r="A637" s="452"/>
      <c r="B637" s="1" t="s">
        <v>141</v>
      </c>
      <c r="C637" s="20">
        <f t="shared" ref="C637:L637" si="562">C590/$B$15</f>
        <v>-45.147163260295585</v>
      </c>
      <c r="D637" s="20">
        <f t="shared" si="562"/>
        <v>-45.82464675267353</v>
      </c>
      <c r="E637" s="20">
        <f t="shared" si="562"/>
        <v>-37.828764413109354</v>
      </c>
      <c r="F637" s="20">
        <f t="shared" si="562"/>
        <v>-22.894189407991476</v>
      </c>
      <c r="G637" s="20">
        <f t="shared" si="562"/>
        <v>-2.408660270430655</v>
      </c>
      <c r="H637" s="20">
        <f t="shared" si="562"/>
        <v>22.517632173084547</v>
      </c>
      <c r="I637" s="20">
        <f t="shared" si="562"/>
        <v>50.996535261363249</v>
      </c>
      <c r="J637" s="20">
        <f t="shared" si="562"/>
        <v>82.317526865452734</v>
      </c>
      <c r="K637" s="20">
        <f t="shared" si="562"/>
        <v>123.83461324429607</v>
      </c>
      <c r="L637" s="20">
        <f t="shared" si="562"/>
        <v>168.67890929326657</v>
      </c>
    </row>
    <row r="638" spans="1:12" s="67" customFormat="1" x14ac:dyDescent="0.3">
      <c r="A638" s="452"/>
      <c r="B638" s="1" t="s">
        <v>142</v>
      </c>
      <c r="C638" s="20">
        <f t="shared" ref="C638:L638" si="563">C591/$B$15</f>
        <v>-45.147163260295585</v>
      </c>
      <c r="D638" s="20">
        <f t="shared" si="563"/>
        <v>-45.82464675267353</v>
      </c>
      <c r="E638" s="20">
        <f t="shared" si="563"/>
        <v>-37.828764413109354</v>
      </c>
      <c r="F638" s="20">
        <f t="shared" si="563"/>
        <v>-22.894189407991476</v>
      </c>
      <c r="G638" s="20">
        <f t="shared" si="563"/>
        <v>-2.408660270430655</v>
      </c>
      <c r="H638" s="20">
        <f t="shared" si="563"/>
        <v>22.517632173084547</v>
      </c>
      <c r="I638" s="20">
        <f t="shared" si="563"/>
        <v>50.996535261363249</v>
      </c>
      <c r="J638" s="20">
        <f t="shared" si="563"/>
        <v>82.317526865452734</v>
      </c>
      <c r="K638" s="20">
        <f t="shared" si="563"/>
        <v>115.91218928219088</v>
      </c>
      <c r="L638" s="20">
        <f t="shared" si="563"/>
        <v>160.76015581524766</v>
      </c>
    </row>
    <row r="639" spans="1:12" s="67" customFormat="1" x14ac:dyDescent="0.3">
      <c r="A639" s="453"/>
      <c r="B639" s="177" t="s">
        <v>121</v>
      </c>
      <c r="C639" s="186">
        <f t="shared" ref="C639:E640" si="564">C592/$B$15</f>
        <v>-45.147163260295585</v>
      </c>
      <c r="D639" s="186">
        <f t="shared" si="564"/>
        <v>-45.82464675267353</v>
      </c>
      <c r="E639" s="186">
        <f t="shared" si="564"/>
        <v>-37.828764413109354</v>
      </c>
      <c r="F639" s="186">
        <f t="shared" ref="F639:L639" si="565">F592/$B$15</f>
        <v>-22.894189407991476</v>
      </c>
      <c r="G639" s="186">
        <f t="shared" si="565"/>
        <v>-2.408660270430655</v>
      </c>
      <c r="H639" s="186">
        <f t="shared" si="565"/>
        <v>22.517632173084547</v>
      </c>
      <c r="I639" s="186">
        <f t="shared" si="565"/>
        <v>50.996535261363249</v>
      </c>
      <c r="J639" s="186">
        <f t="shared" si="565"/>
        <v>82.317526865452734</v>
      </c>
      <c r="K639" s="186">
        <f t="shared" si="565"/>
        <v>115.91218928219088</v>
      </c>
      <c r="L639" s="186">
        <f t="shared" si="565"/>
        <v>151.32578834904791</v>
      </c>
    </row>
    <row r="640" spans="1:12" s="67" customFormat="1" x14ac:dyDescent="0.3">
      <c r="A640" s="314"/>
      <c r="B640" s="177" t="s">
        <v>122</v>
      </c>
      <c r="C640" s="313" t="s">
        <v>149</v>
      </c>
      <c r="D640" s="313" t="s">
        <v>149</v>
      </c>
      <c r="E640" s="186">
        <f t="shared" si="564"/>
        <v>-202.57030304074507</v>
      </c>
      <c r="F640" s="186">
        <f t="shared" ref="F640:L640" si="566">F593/$B$15</f>
        <v>109.67254220187031</v>
      </c>
      <c r="G640" s="186">
        <f t="shared" si="566"/>
        <v>81.482225006544752</v>
      </c>
      <c r="H640" s="186">
        <f t="shared" si="566"/>
        <v>59.123849936984392</v>
      </c>
      <c r="I640" s="186">
        <f t="shared" si="566"/>
        <v>41.546777037707827</v>
      </c>
      <c r="J640" s="186">
        <f t="shared" si="566"/>
        <v>27.865085329304922</v>
      </c>
      <c r="K640" s="186">
        <f t="shared" si="566"/>
        <v>17.353120944218649</v>
      </c>
      <c r="L640" s="186">
        <f t="shared" si="566"/>
        <v>9.4343674661997472</v>
      </c>
    </row>
    <row r="641" spans="1:12" s="67" customFormat="1" x14ac:dyDescent="0.3">
      <c r="A641" s="454" t="s">
        <v>3</v>
      </c>
      <c r="B641" s="1" t="s">
        <v>135</v>
      </c>
      <c r="C641" s="20">
        <f>C597/$B$15</f>
        <v>-0.81218428660003117</v>
      </c>
      <c r="D641" s="20">
        <f t="shared" ref="D641:L641" si="567">D597/$B$15</f>
        <v>20.630259441796078</v>
      </c>
      <c r="E641" s="20">
        <f t="shared" si="567"/>
        <v>42.072703170192185</v>
      </c>
      <c r="F641" s="20">
        <f t="shared" si="567"/>
        <v>63.515146898588291</v>
      </c>
      <c r="G641" s="20">
        <f t="shared" si="567"/>
        <v>84.957590626984398</v>
      </c>
      <c r="H641" s="20">
        <f t="shared" si="567"/>
        <v>106.4000343553805</v>
      </c>
      <c r="I641" s="20">
        <f t="shared" si="567"/>
        <v>127.84247808377661</v>
      </c>
      <c r="J641" s="20">
        <f t="shared" si="567"/>
        <v>149.28492181217271</v>
      </c>
      <c r="K641" s="20">
        <f t="shared" si="567"/>
        <v>170.72736554056883</v>
      </c>
      <c r="L641" s="20">
        <f t="shared" si="567"/>
        <v>192.16980926896494</v>
      </c>
    </row>
    <row r="642" spans="1:12" s="67" customFormat="1" x14ac:dyDescent="0.3">
      <c r="A642" s="452"/>
      <c r="B642" s="1" t="s">
        <v>136</v>
      </c>
      <c r="C642" s="20">
        <f t="shared" ref="C642:L642" si="568">C598/$B$15</f>
        <v>-0.81218428660003117</v>
      </c>
      <c r="D642" s="20">
        <f t="shared" si="568"/>
        <v>20.630259441796078</v>
      </c>
      <c r="E642" s="20">
        <f t="shared" si="568"/>
        <v>42.072703170192185</v>
      </c>
      <c r="F642" s="20">
        <f t="shared" si="568"/>
        <v>63.515146898588291</v>
      </c>
      <c r="G642" s="20">
        <f t="shared" si="568"/>
        <v>84.957590626984398</v>
      </c>
      <c r="H642" s="20">
        <f t="shared" si="568"/>
        <v>106.4000343553805</v>
      </c>
      <c r="I642" s="20">
        <f t="shared" si="568"/>
        <v>127.84247808377661</v>
      </c>
      <c r="J642" s="20">
        <f t="shared" si="568"/>
        <v>149.28492181217271</v>
      </c>
      <c r="K642" s="20">
        <f t="shared" si="568"/>
        <v>170.72736554056883</v>
      </c>
      <c r="L642" s="20">
        <f t="shared" si="568"/>
        <v>192.16980926896494</v>
      </c>
    </row>
    <row r="643" spans="1:12" s="67" customFormat="1" x14ac:dyDescent="0.3">
      <c r="A643" s="452"/>
      <c r="B643" s="1" t="s">
        <v>137</v>
      </c>
      <c r="C643" s="20">
        <f t="shared" ref="C643:L643" si="569">C599/$B$15</f>
        <v>-0.81218428660003117</v>
      </c>
      <c r="D643" s="20">
        <f t="shared" si="569"/>
        <v>20.630259441796078</v>
      </c>
      <c r="E643" s="20">
        <f t="shared" si="569"/>
        <v>42.072703170192185</v>
      </c>
      <c r="F643" s="20">
        <f t="shared" si="569"/>
        <v>63.515146898588291</v>
      </c>
      <c r="G643" s="20">
        <f t="shared" si="569"/>
        <v>84.957590626984398</v>
      </c>
      <c r="H643" s="20">
        <f t="shared" si="569"/>
        <v>106.4000343553805</v>
      </c>
      <c r="I643" s="20">
        <f t="shared" si="569"/>
        <v>127.84247808377661</v>
      </c>
      <c r="J643" s="20">
        <f t="shared" si="569"/>
        <v>149.28492181217271</v>
      </c>
      <c r="K643" s="20">
        <f t="shared" si="569"/>
        <v>170.72736554056883</v>
      </c>
      <c r="L643" s="20">
        <f t="shared" si="569"/>
        <v>192.16980926896494</v>
      </c>
    </row>
    <row r="644" spans="1:12" s="67" customFormat="1" x14ac:dyDescent="0.3">
      <c r="A644" s="452"/>
      <c r="B644" s="1" t="s">
        <v>138</v>
      </c>
      <c r="C644" s="20">
        <f t="shared" ref="C644:L644" si="570">C600/$B$15</f>
        <v>-0.81218428660003117</v>
      </c>
      <c r="D644" s="20">
        <f t="shared" si="570"/>
        <v>20.630259441796078</v>
      </c>
      <c r="E644" s="20">
        <f t="shared" si="570"/>
        <v>42.072703170192185</v>
      </c>
      <c r="F644" s="20">
        <f t="shared" si="570"/>
        <v>63.515146898588291</v>
      </c>
      <c r="G644" s="20">
        <f t="shared" si="570"/>
        <v>84.957590626984398</v>
      </c>
      <c r="H644" s="20">
        <f t="shared" si="570"/>
        <v>106.4000343553805</v>
      </c>
      <c r="I644" s="20">
        <f t="shared" si="570"/>
        <v>127.84247808377661</v>
      </c>
      <c r="J644" s="20">
        <f t="shared" si="570"/>
        <v>149.28492181217271</v>
      </c>
      <c r="K644" s="20">
        <f t="shared" si="570"/>
        <v>170.72736554056883</v>
      </c>
      <c r="L644" s="20">
        <f t="shared" si="570"/>
        <v>192.16980926896494</v>
      </c>
    </row>
    <row r="645" spans="1:12" s="67" customFormat="1" x14ac:dyDescent="0.3">
      <c r="A645" s="452"/>
      <c r="B645" s="1" t="s">
        <v>139</v>
      </c>
      <c r="C645" s="20">
        <f t="shared" ref="C645:L645" si="571">C601/$B$15</f>
        <v>-0.81218428660003117</v>
      </c>
      <c r="D645" s="20">
        <f t="shared" si="571"/>
        <v>20.630259441796078</v>
      </c>
      <c r="E645" s="20">
        <f t="shared" si="571"/>
        <v>42.072703170192185</v>
      </c>
      <c r="F645" s="20">
        <f t="shared" si="571"/>
        <v>63.515146898588291</v>
      </c>
      <c r="G645" s="20">
        <f t="shared" si="571"/>
        <v>84.957590626984398</v>
      </c>
      <c r="H645" s="20">
        <f t="shared" si="571"/>
        <v>106.4000343553805</v>
      </c>
      <c r="I645" s="20">
        <f t="shared" si="571"/>
        <v>127.84247808377661</v>
      </c>
      <c r="J645" s="20">
        <f t="shared" si="571"/>
        <v>149.28492181217271</v>
      </c>
      <c r="K645" s="20">
        <f t="shared" si="571"/>
        <v>170.72736554056883</v>
      </c>
      <c r="L645" s="20">
        <f t="shared" si="571"/>
        <v>192.16980926896494</v>
      </c>
    </row>
    <row r="646" spans="1:12" s="67" customFormat="1" x14ac:dyDescent="0.3">
      <c r="A646" s="452"/>
      <c r="B646" s="1" t="s">
        <v>140</v>
      </c>
      <c r="C646" s="20">
        <f t="shared" ref="C646:L646" si="572">C602/$B$15</f>
        <v>-0.81218428660003117</v>
      </c>
      <c r="D646" s="20">
        <f t="shared" si="572"/>
        <v>20.630259441796078</v>
      </c>
      <c r="E646" s="20">
        <f t="shared" si="572"/>
        <v>42.072703170192185</v>
      </c>
      <c r="F646" s="20">
        <f t="shared" si="572"/>
        <v>63.515146898588291</v>
      </c>
      <c r="G646" s="20">
        <f t="shared" si="572"/>
        <v>84.957590626984398</v>
      </c>
      <c r="H646" s="20">
        <f t="shared" si="572"/>
        <v>106.4000343553805</v>
      </c>
      <c r="I646" s="20">
        <f t="shared" si="572"/>
        <v>127.84247808377665</v>
      </c>
      <c r="J646" s="20">
        <f t="shared" si="572"/>
        <v>149.28492181217277</v>
      </c>
      <c r="K646" s="20">
        <f t="shared" si="572"/>
        <v>170.72736554056885</v>
      </c>
      <c r="L646" s="20">
        <f t="shared" si="572"/>
        <v>192.16980926896497</v>
      </c>
    </row>
    <row r="647" spans="1:12" s="67" customFormat="1" x14ac:dyDescent="0.3">
      <c r="A647" s="452"/>
      <c r="B647" s="1" t="s">
        <v>141</v>
      </c>
      <c r="C647" s="20">
        <f t="shared" ref="C647:L647" si="573">C603/$B$15</f>
        <v>-0.81218428660003117</v>
      </c>
      <c r="D647" s="20">
        <f t="shared" si="573"/>
        <v>20.630259441796078</v>
      </c>
      <c r="E647" s="20">
        <f t="shared" si="573"/>
        <v>42.072703170192185</v>
      </c>
      <c r="F647" s="20">
        <f t="shared" si="573"/>
        <v>63.515146898588291</v>
      </c>
      <c r="G647" s="20">
        <f t="shared" si="573"/>
        <v>84.957590626984398</v>
      </c>
      <c r="H647" s="20">
        <f t="shared" si="573"/>
        <v>106.4000343553805</v>
      </c>
      <c r="I647" s="20">
        <f t="shared" si="573"/>
        <v>127.84247808377665</v>
      </c>
      <c r="J647" s="20">
        <f t="shared" si="573"/>
        <v>149.28492181217268</v>
      </c>
      <c r="K647" s="20">
        <f t="shared" si="573"/>
        <v>170.72736554056883</v>
      </c>
      <c r="L647" s="20">
        <f t="shared" si="573"/>
        <v>192.16980926896494</v>
      </c>
    </row>
    <row r="648" spans="1:12" s="67" customFormat="1" x14ac:dyDescent="0.3">
      <c r="A648" s="452"/>
      <c r="B648" s="1" t="s">
        <v>142</v>
      </c>
      <c r="C648" s="20">
        <f t="shared" ref="C648:L648" si="574">C604/$B$15</f>
        <v>-0.81218428660003117</v>
      </c>
      <c r="D648" s="20">
        <f t="shared" si="574"/>
        <v>20.630259441796078</v>
      </c>
      <c r="E648" s="20">
        <f t="shared" si="574"/>
        <v>42.072703170192185</v>
      </c>
      <c r="F648" s="20">
        <f t="shared" si="574"/>
        <v>63.515146898588291</v>
      </c>
      <c r="G648" s="20">
        <f t="shared" si="574"/>
        <v>84.957590626984398</v>
      </c>
      <c r="H648" s="20">
        <f t="shared" si="574"/>
        <v>106.4000343553805</v>
      </c>
      <c r="I648" s="20">
        <f t="shared" si="574"/>
        <v>127.84247808377665</v>
      </c>
      <c r="J648" s="20">
        <f t="shared" si="574"/>
        <v>149.28492181217268</v>
      </c>
      <c r="K648" s="20">
        <f t="shared" si="574"/>
        <v>170.72736554056871</v>
      </c>
      <c r="L648" s="20">
        <f t="shared" si="574"/>
        <v>192.16980926896488</v>
      </c>
    </row>
    <row r="649" spans="1:12" s="67" customFormat="1" x14ac:dyDescent="0.3">
      <c r="A649" s="453"/>
      <c r="B649" s="177" t="s">
        <v>121</v>
      </c>
      <c r="C649" s="186">
        <f t="shared" ref="C649:E650" si="575">C605/$B$15</f>
        <v>-0.81218428660003117</v>
      </c>
      <c r="D649" s="186">
        <f t="shared" si="575"/>
        <v>20.630259441796078</v>
      </c>
      <c r="E649" s="186">
        <f t="shared" si="575"/>
        <v>42.072703170192185</v>
      </c>
      <c r="F649" s="186">
        <f t="shared" ref="F649:L649" si="576">F605/$B$15</f>
        <v>63.515146898588291</v>
      </c>
      <c r="G649" s="186">
        <f t="shared" si="576"/>
        <v>84.957590626984398</v>
      </c>
      <c r="H649" s="186">
        <f t="shared" si="576"/>
        <v>106.4000343553805</v>
      </c>
      <c r="I649" s="186">
        <f t="shared" si="576"/>
        <v>127.84247808377665</v>
      </c>
      <c r="J649" s="186">
        <f t="shared" si="576"/>
        <v>149.28492181217268</v>
      </c>
      <c r="K649" s="186">
        <f t="shared" si="576"/>
        <v>170.72736554056871</v>
      </c>
      <c r="L649" s="186">
        <f t="shared" si="576"/>
        <v>192.16980926896474</v>
      </c>
    </row>
    <row r="650" spans="1:12" s="67" customFormat="1" x14ac:dyDescent="0.3">
      <c r="A650" s="12"/>
      <c r="B650" s="177" t="s">
        <v>122</v>
      </c>
      <c r="C650" s="186" t="s">
        <v>149</v>
      </c>
      <c r="D650" s="186" t="s">
        <v>149</v>
      </c>
      <c r="E650" s="186">
        <f t="shared" si="575"/>
        <v>0</v>
      </c>
      <c r="F650" s="186">
        <f t="shared" ref="F650:L650" si="577">F606/$B$15</f>
        <v>0</v>
      </c>
      <c r="G650" s="186">
        <f t="shared" si="577"/>
        <v>0</v>
      </c>
      <c r="H650" s="186">
        <f t="shared" si="577"/>
        <v>0</v>
      </c>
      <c r="I650" s="186">
        <f t="shared" si="577"/>
        <v>0</v>
      </c>
      <c r="J650" s="186">
        <f t="shared" si="577"/>
        <v>0</v>
      </c>
      <c r="K650" s="186">
        <f t="shared" si="577"/>
        <v>0</v>
      </c>
      <c r="L650" s="186">
        <f t="shared" si="577"/>
        <v>0</v>
      </c>
    </row>
    <row r="651" spans="1:12" s="67" customFormat="1" x14ac:dyDescent="0.3">
      <c r="B651" s="1"/>
      <c r="C651" s="187"/>
      <c r="D651" s="187"/>
      <c r="E651" s="20"/>
      <c r="F651" s="20"/>
      <c r="G651" s="20"/>
      <c r="H651" s="20"/>
      <c r="I651" s="20"/>
      <c r="J651" s="20"/>
      <c r="K651" s="20"/>
      <c r="L651" s="20"/>
    </row>
    <row r="652" spans="1:12" s="67" customFormat="1" x14ac:dyDescent="0.3">
      <c r="B652" s="1"/>
      <c r="C652" s="187"/>
      <c r="D652" s="187"/>
      <c r="E652" s="20"/>
      <c r="F652" s="20"/>
      <c r="G652" s="20"/>
      <c r="H652" s="20"/>
      <c r="I652" s="20"/>
      <c r="J652" s="20"/>
      <c r="K652" s="20"/>
      <c r="L652" s="20"/>
    </row>
    <row r="653" spans="1:12" s="67" customFormat="1" x14ac:dyDescent="0.3">
      <c r="B653" s="1"/>
      <c r="C653" s="187"/>
      <c r="D653" s="187"/>
      <c r="E653" s="20"/>
      <c r="F653" s="20"/>
      <c r="G653" s="20"/>
      <c r="H653" s="20"/>
      <c r="I653" s="20"/>
      <c r="J653" s="20"/>
      <c r="K653" s="20"/>
      <c r="L653" s="20"/>
    </row>
    <row r="654" spans="1:12" s="67" customFormat="1" x14ac:dyDescent="0.3">
      <c r="B654" s="1"/>
      <c r="C654" s="187"/>
      <c r="D654" s="187"/>
      <c r="E654" s="20"/>
      <c r="F654" s="20"/>
      <c r="G654" s="20"/>
      <c r="H654" s="20"/>
      <c r="I654" s="20"/>
      <c r="J654" s="20"/>
      <c r="K654" s="20"/>
      <c r="L654" s="20"/>
    </row>
    <row r="655" spans="1:12" s="67" customFormat="1" x14ac:dyDescent="0.3">
      <c r="B655" s="1"/>
      <c r="C655" s="187"/>
      <c r="D655" s="187"/>
      <c r="E655" s="20"/>
      <c r="F655" s="20"/>
      <c r="G655" s="20"/>
      <c r="H655" s="20"/>
      <c r="I655" s="20"/>
      <c r="J655" s="20"/>
      <c r="K655" s="20"/>
      <c r="L655" s="20"/>
    </row>
    <row r="656" spans="1:12" s="67" customFormat="1" x14ac:dyDescent="0.3">
      <c r="B656" s="1"/>
      <c r="C656" s="187"/>
      <c r="D656" s="187"/>
      <c r="E656" s="20"/>
      <c r="F656" s="20"/>
      <c r="G656" s="20"/>
      <c r="H656" s="20"/>
      <c r="I656" s="20"/>
      <c r="J656" s="20"/>
      <c r="K656" s="20"/>
      <c r="L656" s="20"/>
    </row>
    <row r="657" spans="2:24" s="67" customFormat="1" x14ac:dyDescent="0.3">
      <c r="B657" s="1"/>
      <c r="C657" s="187"/>
      <c r="D657" s="187"/>
      <c r="E657" s="20"/>
      <c r="F657" s="20"/>
      <c r="G657" s="20"/>
      <c r="H657" s="20"/>
      <c r="I657" s="20"/>
      <c r="J657" s="20"/>
      <c r="K657" s="20"/>
      <c r="L657" s="20"/>
    </row>
    <row r="658" spans="2:24" s="67" customFormat="1" x14ac:dyDescent="0.3"/>
    <row r="660" spans="2:24" x14ac:dyDescent="0.3">
      <c r="B660" s="25"/>
      <c r="D660" s="21"/>
    </row>
    <row r="661" spans="2:24" x14ac:dyDescent="0.3">
      <c r="B661" s="25"/>
      <c r="E661" s="32"/>
    </row>
    <row r="662" spans="2:24" x14ac:dyDescent="0.3">
      <c r="B662" s="25"/>
      <c r="D662" s="67"/>
      <c r="E662" s="67"/>
      <c r="F662" s="32"/>
      <c r="G662" s="67"/>
      <c r="H662" s="67"/>
      <c r="I662" s="67"/>
      <c r="J662" s="67"/>
      <c r="K662" s="67"/>
      <c r="L662" s="67"/>
      <c r="M662" s="67"/>
      <c r="N662" s="67"/>
      <c r="O662" s="67"/>
      <c r="P662" s="67"/>
      <c r="Q662" s="67"/>
      <c r="R662" s="67"/>
      <c r="S662" s="67"/>
      <c r="T662" s="67"/>
      <c r="U662" s="67"/>
      <c r="V662" s="67"/>
      <c r="W662" s="67"/>
      <c r="X662" s="67"/>
    </row>
    <row r="663" spans="2:24" x14ac:dyDescent="0.3">
      <c r="B663" s="25"/>
      <c r="D663" s="67"/>
      <c r="E663" s="67"/>
      <c r="F663" s="67"/>
      <c r="G663" s="67"/>
      <c r="H663" s="67"/>
      <c r="I663" s="67"/>
      <c r="J663" s="67"/>
      <c r="K663" s="67"/>
      <c r="L663" s="67"/>
      <c r="M663" s="67"/>
      <c r="N663" s="67"/>
      <c r="O663" s="67"/>
      <c r="P663" s="67"/>
      <c r="Q663" s="67"/>
      <c r="R663" s="67"/>
      <c r="S663" s="67"/>
      <c r="T663" s="67"/>
      <c r="U663" s="67"/>
      <c r="V663" s="67"/>
      <c r="W663" s="67"/>
      <c r="X663" s="67"/>
    </row>
    <row r="664" spans="2:24" x14ac:dyDescent="0.3">
      <c r="B664" s="25"/>
      <c r="D664" s="67"/>
      <c r="E664" s="67"/>
      <c r="F664" s="67"/>
      <c r="G664" s="67"/>
      <c r="H664" s="67"/>
      <c r="I664" s="67"/>
      <c r="J664" s="67"/>
      <c r="K664" s="67"/>
      <c r="L664" s="67"/>
      <c r="M664" s="67"/>
      <c r="N664" s="67"/>
      <c r="O664" s="67"/>
      <c r="P664" s="67"/>
      <c r="Q664" s="67"/>
      <c r="R664" s="67"/>
      <c r="S664" s="67"/>
      <c r="T664" s="67"/>
      <c r="U664" s="67"/>
      <c r="V664" s="67"/>
      <c r="W664" s="67"/>
      <c r="X664" s="67"/>
    </row>
    <row r="665" spans="2:24" x14ac:dyDescent="0.3">
      <c r="B665" s="25"/>
      <c r="D665" s="67"/>
      <c r="E665" s="67"/>
      <c r="F665" s="67"/>
      <c r="G665" s="67"/>
      <c r="H665" s="67"/>
      <c r="I665" s="67"/>
      <c r="J665" s="67"/>
      <c r="K665" s="67"/>
      <c r="L665" s="67"/>
      <c r="M665" s="67"/>
      <c r="N665" s="67"/>
      <c r="O665" s="67"/>
      <c r="P665" s="67"/>
      <c r="Q665" s="67"/>
      <c r="R665" s="67"/>
      <c r="S665" s="67"/>
      <c r="T665" s="67"/>
      <c r="U665" s="67"/>
      <c r="V665" s="67"/>
      <c r="W665" s="67"/>
      <c r="X665" s="67"/>
    </row>
    <row r="666" spans="2:24" x14ac:dyDescent="0.3">
      <c r="B666" s="25"/>
      <c r="D666" s="67"/>
      <c r="E666" s="67"/>
      <c r="F666" s="67"/>
      <c r="G666" s="67"/>
      <c r="H666" s="67"/>
      <c r="I666" s="67"/>
      <c r="J666" s="67"/>
      <c r="K666" s="67"/>
      <c r="L666" s="67"/>
      <c r="M666" s="67"/>
      <c r="N666" s="67"/>
      <c r="O666" s="67"/>
      <c r="P666" s="67"/>
      <c r="Q666" s="67"/>
      <c r="R666" s="67"/>
      <c r="S666" s="67"/>
      <c r="T666" s="67"/>
      <c r="U666" s="67"/>
      <c r="V666" s="67"/>
      <c r="W666" s="67"/>
      <c r="X666" s="67"/>
    </row>
    <row r="667" spans="2:24" x14ac:dyDescent="0.3">
      <c r="B667" s="25"/>
      <c r="D667" s="67"/>
      <c r="E667" s="67"/>
      <c r="F667" s="67"/>
      <c r="G667" s="67"/>
      <c r="H667" s="67"/>
      <c r="I667" s="67"/>
      <c r="J667" s="67"/>
      <c r="K667" s="67"/>
      <c r="L667" s="67"/>
      <c r="M667" s="67"/>
      <c r="N667" s="67"/>
      <c r="O667" s="67"/>
      <c r="P667" s="67"/>
      <c r="Q667" s="67"/>
      <c r="R667" s="67"/>
      <c r="S667" s="67"/>
      <c r="T667" s="67"/>
      <c r="U667" s="67"/>
      <c r="V667" s="67"/>
      <c r="W667" s="67"/>
      <c r="X667" s="67"/>
    </row>
    <row r="668" spans="2:24" x14ac:dyDescent="0.3">
      <c r="B668" s="25"/>
      <c r="D668" s="67"/>
      <c r="E668" s="67"/>
      <c r="F668" s="67"/>
      <c r="G668" s="67"/>
      <c r="H668" s="67"/>
      <c r="I668" s="67"/>
      <c r="J668" s="67"/>
      <c r="K668" s="67"/>
      <c r="L668" s="67"/>
      <c r="M668" s="67"/>
      <c r="N668" s="67"/>
      <c r="O668" s="67"/>
      <c r="P668" s="67"/>
      <c r="Q668" s="67"/>
      <c r="R668" s="67"/>
      <c r="S668" s="67"/>
      <c r="T668" s="67"/>
      <c r="U668" s="67"/>
      <c r="V668" s="67"/>
      <c r="W668" s="67"/>
      <c r="X668" s="67"/>
    </row>
    <row r="669" spans="2:24" x14ac:dyDescent="0.3">
      <c r="B669" s="25"/>
      <c r="D669" s="67"/>
      <c r="E669" s="67"/>
      <c r="F669" s="67"/>
      <c r="G669" s="67"/>
      <c r="H669" s="67"/>
      <c r="I669" s="67"/>
      <c r="J669" s="67"/>
      <c r="K669" s="67"/>
      <c r="L669" s="67"/>
      <c r="M669" s="67"/>
      <c r="N669" s="67"/>
      <c r="O669" s="67"/>
      <c r="P669" s="67"/>
      <c r="Q669" s="67"/>
      <c r="R669" s="67"/>
      <c r="S669" s="67"/>
      <c r="T669" s="67"/>
      <c r="U669" s="67"/>
      <c r="V669" s="67"/>
      <c r="W669" s="67"/>
      <c r="X669" s="67"/>
    </row>
    <row r="670" spans="2:24" x14ac:dyDescent="0.3">
      <c r="D670" s="67"/>
      <c r="E670" s="67"/>
      <c r="F670" s="67"/>
      <c r="G670" s="67"/>
      <c r="H670" s="67"/>
      <c r="I670" s="67"/>
      <c r="J670" s="67"/>
      <c r="K670" s="67"/>
      <c r="L670" s="67"/>
      <c r="M670" s="67"/>
      <c r="N670" s="67"/>
      <c r="O670" s="67"/>
      <c r="P670" s="67"/>
      <c r="Q670" s="67"/>
      <c r="R670" s="67"/>
      <c r="S670" s="67"/>
      <c r="T670" s="67"/>
      <c r="U670" s="67"/>
      <c r="V670" s="67"/>
      <c r="W670" s="67"/>
      <c r="X670" s="67"/>
    </row>
    <row r="671" spans="2:24" x14ac:dyDescent="0.3">
      <c r="D671" s="67"/>
      <c r="E671" s="67"/>
      <c r="F671" s="67"/>
      <c r="G671" s="67"/>
      <c r="H671" s="67"/>
      <c r="I671" s="67"/>
      <c r="J671" s="67"/>
      <c r="K671" s="67"/>
      <c r="L671" s="67"/>
      <c r="M671" s="67"/>
      <c r="N671" s="67"/>
      <c r="O671" s="67"/>
      <c r="P671" s="67"/>
      <c r="Q671" s="67"/>
      <c r="R671" s="67"/>
      <c r="S671" s="67"/>
      <c r="T671" s="67"/>
      <c r="U671" s="67"/>
      <c r="V671" s="67"/>
      <c r="W671" s="67"/>
      <c r="X671" s="67"/>
    </row>
    <row r="672" spans="2:24" x14ac:dyDescent="0.3">
      <c r="D672" s="67"/>
      <c r="E672" s="67"/>
      <c r="F672" s="67"/>
      <c r="G672" s="67"/>
      <c r="H672" s="67"/>
      <c r="I672" s="67"/>
      <c r="J672" s="67"/>
      <c r="K672" s="67"/>
      <c r="L672" s="67"/>
      <c r="M672" s="67"/>
      <c r="N672" s="67"/>
      <c r="O672" s="67"/>
      <c r="P672" s="67"/>
      <c r="Q672" s="67"/>
      <c r="R672" s="67"/>
      <c r="S672" s="67"/>
      <c r="T672" s="67"/>
      <c r="U672" s="67"/>
      <c r="V672" s="67"/>
      <c r="W672" s="67"/>
      <c r="X672" s="67"/>
    </row>
    <row r="673" spans="4:24" x14ac:dyDescent="0.3">
      <c r="D673" s="67"/>
      <c r="E673" s="67"/>
      <c r="F673" s="67"/>
      <c r="G673" s="67"/>
      <c r="H673" s="67"/>
      <c r="I673" s="67"/>
      <c r="J673" s="67"/>
      <c r="K673" s="67"/>
      <c r="L673" s="67"/>
      <c r="M673" s="67"/>
      <c r="N673" s="67"/>
      <c r="O673" s="67"/>
      <c r="P673" s="67"/>
      <c r="Q673" s="67"/>
      <c r="R673" s="67"/>
      <c r="S673" s="67"/>
      <c r="T673" s="67"/>
      <c r="U673" s="67"/>
      <c r="V673" s="67"/>
      <c r="W673" s="67"/>
      <c r="X673" s="67"/>
    </row>
  </sheetData>
  <mergeCells count="98">
    <mergeCell ref="C466:L466"/>
    <mergeCell ref="M466:V466"/>
    <mergeCell ref="M467:V467"/>
    <mergeCell ref="A1:Q1"/>
    <mergeCell ref="M556:P556"/>
    <mergeCell ref="M381:V381"/>
    <mergeCell ref="M382:V382"/>
    <mergeCell ref="M297:V297"/>
    <mergeCell ref="M298:V298"/>
    <mergeCell ref="A424:A433"/>
    <mergeCell ref="A300:A309"/>
    <mergeCell ref="A360:A369"/>
    <mergeCell ref="A370:A379"/>
    <mergeCell ref="A381:L381"/>
    <mergeCell ref="C382:L382"/>
    <mergeCell ref="A384:A393"/>
    <mergeCell ref="A286:A295"/>
    <mergeCell ref="B40:C44"/>
    <mergeCell ref="C75:C78"/>
    <mergeCell ref="C82:C84"/>
    <mergeCell ref="C67:C68"/>
    <mergeCell ref="C45:C54"/>
    <mergeCell ref="B45:B66"/>
    <mergeCell ref="B67:B68"/>
    <mergeCell ref="C79:C81"/>
    <mergeCell ref="A3:A6"/>
    <mergeCell ref="A7:A10"/>
    <mergeCell ref="E28:F28"/>
    <mergeCell ref="G28:H28"/>
    <mergeCell ref="B35:C39"/>
    <mergeCell ref="A30:A44"/>
    <mergeCell ref="B30:C34"/>
    <mergeCell ref="G17:I17"/>
    <mergeCell ref="I28:J28"/>
    <mergeCell ref="A18:A23"/>
    <mergeCell ref="K28:L28"/>
    <mergeCell ref="E27:L27"/>
    <mergeCell ref="Y27:AH27"/>
    <mergeCell ref="O27:X27"/>
    <mergeCell ref="C556:L556"/>
    <mergeCell ref="A297:L297"/>
    <mergeCell ref="A216:A225"/>
    <mergeCell ref="A226:A235"/>
    <mergeCell ref="A236:A245"/>
    <mergeCell ref="A276:A285"/>
    <mergeCell ref="B69:B88"/>
    <mergeCell ref="C85:C88"/>
    <mergeCell ref="C55:C61"/>
    <mergeCell ref="C69:C74"/>
    <mergeCell ref="A192:A201"/>
    <mergeCell ref="A45:A88"/>
    <mergeCell ref="C569:L569"/>
    <mergeCell ref="C298:L298"/>
    <mergeCell ref="C92:L92"/>
    <mergeCell ref="A213:L213"/>
    <mergeCell ref="C214:L214"/>
    <mergeCell ref="A103:A107"/>
    <mergeCell ref="A94:A98"/>
    <mergeCell ref="A112:A115"/>
    <mergeCell ref="A117:A125"/>
    <mergeCell ref="A99:A102"/>
    <mergeCell ref="A108:A111"/>
    <mergeCell ref="C511:L511"/>
    <mergeCell ref="C467:L467"/>
    <mergeCell ref="A246:A255"/>
    <mergeCell ref="A256:A265"/>
    <mergeCell ref="A266:A275"/>
    <mergeCell ref="C582:L582"/>
    <mergeCell ref="C595:L595"/>
    <mergeCell ref="C609:L609"/>
    <mergeCell ref="A611:A619"/>
    <mergeCell ref="A621:A629"/>
    <mergeCell ref="A631:A639"/>
    <mergeCell ref="A641:A649"/>
    <mergeCell ref="A310:A319"/>
    <mergeCell ref="A320:A329"/>
    <mergeCell ref="A330:A339"/>
    <mergeCell ref="A340:A349"/>
    <mergeCell ref="A350:A359"/>
    <mergeCell ref="A434:A443"/>
    <mergeCell ref="A444:A453"/>
    <mergeCell ref="A454:A463"/>
    <mergeCell ref="A394:A403"/>
    <mergeCell ref="A404:A413"/>
    <mergeCell ref="A414:A423"/>
    <mergeCell ref="M213:V213"/>
    <mergeCell ref="M214:V214"/>
    <mergeCell ref="M130:V130"/>
    <mergeCell ref="M129:V129"/>
    <mergeCell ref="A202:A211"/>
    <mergeCell ref="A172:A181"/>
    <mergeCell ref="A182:A191"/>
    <mergeCell ref="A129:L129"/>
    <mergeCell ref="C130:L130"/>
    <mergeCell ref="A132:A141"/>
    <mergeCell ref="A142:A151"/>
    <mergeCell ref="A152:A161"/>
    <mergeCell ref="A162:A171"/>
  </mergeCells>
  <phoneticPr fontId="18" type="noConversion"/>
  <hyperlinks>
    <hyperlink ref="V18" r:id="rId1" xr:uid="{D89B19AD-8D11-4E49-A842-FE95A97B714D}"/>
  </hyperlinks>
  <pageMargins left="0.7" right="0.7" top="0.78740157499999996" bottom="0.78740157499999996" header="0.3" footer="0.3"/>
  <pageSetup paperSize="9" scale="1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18"/>
  <sheetViews>
    <sheetView zoomScale="85" zoomScaleNormal="85" workbookViewId="0">
      <pane xSplit="13" ySplit="3" topLeftCell="N4" activePane="bottomRight" state="frozen"/>
      <selection pane="topRight" activeCell="V1" sqref="V1"/>
      <selection pane="bottomLeft" activeCell="A4" sqref="A4"/>
      <selection pane="bottomRight" activeCell="L69" sqref="L69"/>
    </sheetView>
  </sheetViews>
  <sheetFormatPr defaultColWidth="11.5546875" defaultRowHeight="14.4" outlineLevelRow="1" x14ac:dyDescent="0.3"/>
  <cols>
    <col min="1" max="1" width="4.5546875" style="46" customWidth="1"/>
    <col min="2" max="2" width="50.44140625" style="8" customWidth="1"/>
    <col min="3" max="3" width="9.33203125" style="110" bestFit="1" customWidth="1"/>
    <col min="4" max="4" width="7.88671875" style="110" bestFit="1" customWidth="1"/>
    <col min="5" max="5" width="9.33203125" style="110" bestFit="1" customWidth="1"/>
    <col min="6" max="6" width="7.88671875" style="110" bestFit="1" customWidth="1"/>
    <col min="7" max="7" width="9.33203125" style="110" bestFit="1" customWidth="1"/>
    <col min="8" max="8" width="7.88671875" style="110" bestFit="1" customWidth="1"/>
    <col min="9" max="9" width="9.33203125" style="110" bestFit="1" customWidth="1"/>
    <col min="10" max="10" width="7.88671875" style="110" bestFit="1" customWidth="1"/>
    <col min="11" max="11" width="23.21875" style="124" customWidth="1"/>
    <col min="12" max="12" width="24.88671875" style="124" customWidth="1"/>
    <col min="13" max="13" width="107.88671875" customWidth="1"/>
    <col min="14" max="14" width="11.5546875" style="269"/>
  </cols>
  <sheetData>
    <row r="1" spans="1:14" s="67" customFormat="1" x14ac:dyDescent="0.3">
      <c r="A1" s="90" t="s">
        <v>262</v>
      </c>
      <c r="B1" s="70"/>
      <c r="C1" s="110"/>
      <c r="D1" s="110"/>
      <c r="E1" s="110"/>
      <c r="F1" s="110"/>
      <c r="G1" s="110"/>
      <c r="H1" s="110"/>
      <c r="I1" s="110"/>
      <c r="J1" s="110"/>
      <c r="K1" s="127"/>
      <c r="L1" s="124"/>
      <c r="N1" s="269"/>
    </row>
    <row r="2" spans="1:14" ht="43.2" x14ac:dyDescent="0.3">
      <c r="A2" s="95"/>
      <c r="B2" s="83" t="s">
        <v>279</v>
      </c>
      <c r="C2" s="510" t="s">
        <v>276</v>
      </c>
      <c r="D2" s="511"/>
      <c r="E2" s="511"/>
      <c r="F2" s="511"/>
      <c r="G2" s="511"/>
      <c r="H2" s="511"/>
      <c r="I2" s="511"/>
      <c r="J2" s="511"/>
      <c r="K2" s="258" t="s">
        <v>273</v>
      </c>
      <c r="L2" s="87" t="s">
        <v>274</v>
      </c>
      <c r="M2" s="84" t="s">
        <v>275</v>
      </c>
    </row>
    <row r="3" spans="1:14" x14ac:dyDescent="0.3">
      <c r="A3" s="96"/>
      <c r="B3" s="13"/>
      <c r="C3" s="271" t="s">
        <v>263</v>
      </c>
      <c r="D3" s="216" t="s">
        <v>264</v>
      </c>
      <c r="E3" s="271" t="s">
        <v>265</v>
      </c>
      <c r="F3" s="216" t="s">
        <v>266</v>
      </c>
      <c r="G3" s="271" t="s">
        <v>267</v>
      </c>
      <c r="H3" s="216" t="s">
        <v>268</v>
      </c>
      <c r="I3" s="271" t="s">
        <v>269</v>
      </c>
      <c r="J3" s="216" t="s">
        <v>270</v>
      </c>
      <c r="K3" s="257" t="s">
        <v>38</v>
      </c>
      <c r="L3" s="128" t="s">
        <v>38</v>
      </c>
      <c r="M3" s="2"/>
    </row>
    <row r="4" spans="1:14" x14ac:dyDescent="0.3">
      <c r="A4" s="512" t="s">
        <v>196</v>
      </c>
      <c r="B4" t="s">
        <v>227</v>
      </c>
      <c r="C4" s="272">
        <v>1</v>
      </c>
      <c r="D4" s="273">
        <v>0</v>
      </c>
      <c r="E4" s="272">
        <v>1</v>
      </c>
      <c r="F4" s="273">
        <v>0</v>
      </c>
      <c r="G4" s="272">
        <v>1</v>
      </c>
      <c r="H4" s="273">
        <v>0</v>
      </c>
      <c r="I4" s="272">
        <v>0</v>
      </c>
      <c r="J4" s="273">
        <v>0</v>
      </c>
      <c r="K4" s="91">
        <v>2</v>
      </c>
      <c r="L4" s="126">
        <v>0</v>
      </c>
      <c r="M4" s="38" t="s">
        <v>373</v>
      </c>
    </row>
    <row r="5" spans="1:14" s="67" customFormat="1" hidden="1" outlineLevel="1" x14ac:dyDescent="0.3">
      <c r="A5" s="512"/>
      <c r="B5" s="88"/>
      <c r="C5" s="272"/>
      <c r="D5" s="273"/>
      <c r="E5" s="272"/>
      <c r="F5" s="273"/>
      <c r="G5" s="272"/>
      <c r="H5" s="273"/>
      <c r="I5" s="272"/>
      <c r="J5" s="273"/>
      <c r="K5" s="259"/>
      <c r="L5" s="126"/>
      <c r="M5" s="38"/>
      <c r="N5" s="269"/>
    </row>
    <row r="6" spans="1:14" s="67" customFormat="1" hidden="1" outlineLevel="1" x14ac:dyDescent="0.3">
      <c r="A6" s="512"/>
      <c r="B6" s="88"/>
      <c r="C6" s="272"/>
      <c r="D6" s="273"/>
      <c r="E6" s="272"/>
      <c r="F6" s="273"/>
      <c r="G6" s="272"/>
      <c r="H6" s="273"/>
      <c r="I6" s="272"/>
      <c r="J6" s="273"/>
      <c r="K6" s="252"/>
      <c r="L6" s="126"/>
      <c r="M6" s="71"/>
      <c r="N6" s="269"/>
    </row>
    <row r="7" spans="1:14" s="67" customFormat="1" hidden="1" outlineLevel="1" x14ac:dyDescent="0.3">
      <c r="A7" s="512"/>
      <c r="B7" s="88"/>
      <c r="C7" s="272"/>
      <c r="D7" s="273"/>
      <c r="E7" s="272"/>
      <c r="F7" s="273"/>
      <c r="G7" s="272"/>
      <c r="H7" s="273"/>
      <c r="I7" s="272"/>
      <c r="J7" s="273"/>
      <c r="K7" s="252"/>
      <c r="L7" s="126"/>
      <c r="M7" s="71"/>
      <c r="N7" s="269"/>
    </row>
    <row r="8" spans="1:14" s="67" customFormat="1" collapsed="1" x14ac:dyDescent="0.3">
      <c r="A8" s="512"/>
      <c r="B8" s="97" t="s">
        <v>133</v>
      </c>
      <c r="C8" s="274">
        <v>1</v>
      </c>
      <c r="D8" s="275">
        <v>0</v>
      </c>
      <c r="E8" s="274">
        <v>1</v>
      </c>
      <c r="F8" s="275">
        <v>0</v>
      </c>
      <c r="G8" s="274">
        <v>1</v>
      </c>
      <c r="H8" s="275">
        <v>0</v>
      </c>
      <c r="I8" s="274">
        <v>0</v>
      </c>
      <c r="J8" s="275">
        <v>0</v>
      </c>
      <c r="K8" s="260">
        <f>IF(SUM(K5:K7)&gt;0,SUM(K5:K7)/COUNT(K5:K7),K4)</f>
        <v>2</v>
      </c>
      <c r="L8" s="129">
        <f>IF(SUM(L5:L7)&gt;0,SUM(L5:L7)/COUNT(L5:L7),L4)</f>
        <v>0</v>
      </c>
      <c r="M8" s="94"/>
      <c r="N8" s="269"/>
    </row>
    <row r="9" spans="1:14" s="28" customFormat="1" x14ac:dyDescent="0.3">
      <c r="A9" s="512"/>
      <c r="B9" s="11" t="s">
        <v>228</v>
      </c>
      <c r="C9" s="272">
        <v>1</v>
      </c>
      <c r="D9" s="273">
        <v>0</v>
      </c>
      <c r="E9" s="272">
        <v>1</v>
      </c>
      <c r="F9" s="273">
        <v>0</v>
      </c>
      <c r="G9" s="272">
        <v>0</v>
      </c>
      <c r="H9" s="273">
        <v>0</v>
      </c>
      <c r="I9" s="272">
        <v>0</v>
      </c>
      <c r="J9" s="273">
        <v>0</v>
      </c>
      <c r="K9" s="261">
        <v>6</v>
      </c>
      <c r="L9" s="126">
        <v>0</v>
      </c>
      <c r="M9" s="38" t="s">
        <v>373</v>
      </c>
      <c r="N9" s="269"/>
    </row>
    <row r="10" spans="1:14" s="67" customFormat="1" hidden="1" outlineLevel="1" x14ac:dyDescent="0.3">
      <c r="A10" s="512"/>
      <c r="B10" s="88"/>
      <c r="C10" s="272"/>
      <c r="D10" s="273"/>
      <c r="E10" s="272"/>
      <c r="F10" s="273"/>
      <c r="G10" s="272"/>
      <c r="H10" s="273"/>
      <c r="I10" s="272"/>
      <c r="J10" s="273"/>
      <c r="K10" s="261"/>
      <c r="L10" s="126"/>
      <c r="M10" s="38"/>
      <c r="N10" s="269"/>
    </row>
    <row r="11" spans="1:14" s="67" customFormat="1" hidden="1" outlineLevel="1" x14ac:dyDescent="0.3">
      <c r="A11" s="512"/>
      <c r="B11" s="88"/>
      <c r="C11" s="272"/>
      <c r="D11" s="273"/>
      <c r="E11" s="272"/>
      <c r="F11" s="273"/>
      <c r="G11" s="272"/>
      <c r="H11" s="273"/>
      <c r="I11" s="272"/>
      <c r="J11" s="273"/>
      <c r="K11" s="261"/>
      <c r="L11" s="126"/>
      <c r="M11" s="38"/>
      <c r="N11" s="269"/>
    </row>
    <row r="12" spans="1:14" s="67" customFormat="1" hidden="1" outlineLevel="1" x14ac:dyDescent="0.3">
      <c r="A12" s="512"/>
      <c r="B12" s="88"/>
      <c r="C12" s="272"/>
      <c r="D12" s="273"/>
      <c r="E12" s="272"/>
      <c r="F12" s="273"/>
      <c r="G12" s="272"/>
      <c r="H12" s="273"/>
      <c r="I12" s="272"/>
      <c r="J12" s="273"/>
      <c r="K12" s="261"/>
      <c r="L12" s="126"/>
      <c r="M12" s="38"/>
      <c r="N12" s="269"/>
    </row>
    <row r="13" spans="1:14" s="67" customFormat="1" collapsed="1" x14ac:dyDescent="0.3">
      <c r="A13" s="512"/>
      <c r="B13" s="97" t="s">
        <v>133</v>
      </c>
      <c r="C13" s="274">
        <v>1</v>
      </c>
      <c r="D13" s="275">
        <v>0</v>
      </c>
      <c r="E13" s="274">
        <v>1</v>
      </c>
      <c r="F13" s="275">
        <v>0</v>
      </c>
      <c r="G13" s="274">
        <v>0</v>
      </c>
      <c r="H13" s="275">
        <v>0</v>
      </c>
      <c r="I13" s="274">
        <v>0</v>
      </c>
      <c r="J13" s="275">
        <v>0</v>
      </c>
      <c r="K13" s="260">
        <f>IF(SUM(K10:K12)&gt;0,SUM(K10:K12)/COUNT(K10:K12),K9)</f>
        <v>6</v>
      </c>
      <c r="L13" s="130">
        <f>IF(SUM(L10:L12)&gt;0,SUM(L10:L12)/COUNT(L10:L12),L9)</f>
        <v>0</v>
      </c>
      <c r="M13" s="94"/>
      <c r="N13" s="269"/>
    </row>
    <row r="14" spans="1:14" s="67" customFormat="1" x14ac:dyDescent="0.3">
      <c r="A14" s="512"/>
      <c r="B14" s="11" t="s">
        <v>229</v>
      </c>
      <c r="C14" s="272">
        <v>0</v>
      </c>
      <c r="D14" s="273">
        <v>0</v>
      </c>
      <c r="E14" s="272">
        <v>1</v>
      </c>
      <c r="F14" s="273">
        <v>1</v>
      </c>
      <c r="G14" s="272">
        <v>0</v>
      </c>
      <c r="H14" s="273">
        <v>0</v>
      </c>
      <c r="I14" s="272">
        <v>0</v>
      </c>
      <c r="J14" s="273">
        <v>0</v>
      </c>
      <c r="K14" s="261">
        <v>3</v>
      </c>
      <c r="L14" s="126">
        <v>0</v>
      </c>
      <c r="M14" s="38" t="s">
        <v>373</v>
      </c>
      <c r="N14" s="269"/>
    </row>
    <row r="15" spans="1:14" s="67" customFormat="1" hidden="1" outlineLevel="1" x14ac:dyDescent="0.3">
      <c r="A15" s="512"/>
      <c r="B15" s="88"/>
      <c r="C15" s="272"/>
      <c r="D15" s="273"/>
      <c r="E15" s="272"/>
      <c r="F15" s="273"/>
      <c r="G15" s="272"/>
      <c r="H15" s="273"/>
      <c r="I15" s="272"/>
      <c r="J15" s="273"/>
      <c r="K15" s="261"/>
      <c r="L15" s="126"/>
      <c r="M15" s="38"/>
      <c r="N15" s="269"/>
    </row>
    <row r="16" spans="1:14" s="67" customFormat="1" hidden="1" outlineLevel="1" x14ac:dyDescent="0.3">
      <c r="A16" s="512"/>
      <c r="B16" s="88"/>
      <c r="C16" s="272"/>
      <c r="D16" s="273"/>
      <c r="E16" s="272"/>
      <c r="F16" s="273"/>
      <c r="G16" s="272"/>
      <c r="H16" s="273"/>
      <c r="I16" s="272"/>
      <c r="J16" s="273"/>
      <c r="K16" s="261"/>
      <c r="L16" s="126"/>
      <c r="M16" s="38"/>
      <c r="N16" s="269"/>
    </row>
    <row r="17" spans="1:16" s="67" customFormat="1" hidden="1" outlineLevel="1" x14ac:dyDescent="0.3">
      <c r="A17" s="512"/>
      <c r="B17" s="88"/>
      <c r="C17" s="272"/>
      <c r="D17" s="273"/>
      <c r="E17" s="272"/>
      <c r="F17" s="273"/>
      <c r="G17" s="272"/>
      <c r="H17" s="273"/>
      <c r="I17" s="272"/>
      <c r="J17" s="273"/>
      <c r="K17" s="261"/>
      <c r="L17" s="126"/>
      <c r="M17" s="38"/>
      <c r="N17" s="269"/>
    </row>
    <row r="18" spans="1:16" s="67" customFormat="1" collapsed="1" x14ac:dyDescent="0.3">
      <c r="A18" s="512"/>
      <c r="B18" s="97" t="s">
        <v>133</v>
      </c>
      <c r="C18" s="274">
        <v>0</v>
      </c>
      <c r="D18" s="275">
        <v>0</v>
      </c>
      <c r="E18" s="274">
        <v>1</v>
      </c>
      <c r="F18" s="275">
        <v>1</v>
      </c>
      <c r="G18" s="274">
        <v>0</v>
      </c>
      <c r="H18" s="275">
        <v>0</v>
      </c>
      <c r="I18" s="274">
        <v>0</v>
      </c>
      <c r="J18" s="275">
        <v>0</v>
      </c>
      <c r="K18" s="260">
        <f>IF(SUM(K15:K17)&gt;0,SUM(K15:K17)/COUNT(K15:K17),K14)</f>
        <v>3</v>
      </c>
      <c r="L18" s="130">
        <f>IF(SUM(L15:L17)&gt;0,SUM(L15:L17)/COUNT(L15:L17),L14)</f>
        <v>0</v>
      </c>
      <c r="M18" s="94"/>
      <c r="N18" s="269"/>
    </row>
    <row r="19" spans="1:16" s="67" customFormat="1" x14ac:dyDescent="0.3">
      <c r="A19" s="512"/>
      <c r="B19" s="11" t="s">
        <v>230</v>
      </c>
      <c r="C19" s="272">
        <v>0</v>
      </c>
      <c r="D19" s="273">
        <v>0</v>
      </c>
      <c r="E19" s="272">
        <v>1</v>
      </c>
      <c r="F19" s="273">
        <v>0</v>
      </c>
      <c r="G19" s="272">
        <v>1</v>
      </c>
      <c r="H19" s="273">
        <v>0</v>
      </c>
      <c r="I19" s="272">
        <v>0</v>
      </c>
      <c r="J19" s="273">
        <v>0</v>
      </c>
      <c r="K19" s="261">
        <v>4</v>
      </c>
      <c r="L19" s="126">
        <v>0</v>
      </c>
      <c r="M19" s="38" t="s">
        <v>373</v>
      </c>
      <c r="N19" s="269"/>
    </row>
    <row r="20" spans="1:16" s="67" customFormat="1" hidden="1" outlineLevel="1" x14ac:dyDescent="0.3">
      <c r="A20" s="512"/>
      <c r="B20" s="88"/>
      <c r="C20" s="272"/>
      <c r="D20" s="273"/>
      <c r="E20" s="272"/>
      <c r="F20" s="273"/>
      <c r="G20" s="272"/>
      <c r="H20" s="273"/>
      <c r="I20" s="272"/>
      <c r="J20" s="273"/>
      <c r="K20" s="261"/>
      <c r="L20" s="126"/>
      <c r="M20" s="38"/>
      <c r="N20" s="269"/>
    </row>
    <row r="21" spans="1:16" s="67" customFormat="1" hidden="1" outlineLevel="1" x14ac:dyDescent="0.3">
      <c r="A21" s="512"/>
      <c r="B21" s="88"/>
      <c r="C21" s="272"/>
      <c r="D21" s="273"/>
      <c r="E21" s="272"/>
      <c r="F21" s="273"/>
      <c r="G21" s="272"/>
      <c r="H21" s="273"/>
      <c r="I21" s="272"/>
      <c r="J21" s="273"/>
      <c r="K21" s="261"/>
      <c r="L21" s="126"/>
      <c r="M21" s="38"/>
      <c r="N21" s="269"/>
    </row>
    <row r="22" spans="1:16" s="67" customFormat="1" hidden="1" outlineLevel="1" x14ac:dyDescent="0.3">
      <c r="A22" s="512"/>
      <c r="B22" s="88"/>
      <c r="C22" s="272"/>
      <c r="D22" s="273"/>
      <c r="E22" s="272"/>
      <c r="F22" s="273"/>
      <c r="G22" s="272"/>
      <c r="H22" s="273"/>
      <c r="I22" s="272"/>
      <c r="J22" s="273"/>
      <c r="K22" s="261"/>
      <c r="L22" s="126"/>
      <c r="M22" s="38"/>
      <c r="N22" s="269"/>
    </row>
    <row r="23" spans="1:16" s="67" customFormat="1" collapsed="1" x14ac:dyDescent="0.3">
      <c r="A23" s="512"/>
      <c r="B23" s="97" t="s">
        <v>133</v>
      </c>
      <c r="C23" s="274">
        <v>0</v>
      </c>
      <c r="D23" s="275">
        <v>0</v>
      </c>
      <c r="E23" s="274">
        <v>1</v>
      </c>
      <c r="F23" s="275">
        <v>0</v>
      </c>
      <c r="G23" s="274">
        <v>1</v>
      </c>
      <c r="H23" s="275">
        <v>0</v>
      </c>
      <c r="I23" s="274">
        <v>0</v>
      </c>
      <c r="J23" s="275">
        <v>0</v>
      </c>
      <c r="K23" s="260">
        <f>IF(SUM(K20:K22)&gt;0,SUM(K20:K22)/COUNT(K20:K22),K19)</f>
        <v>4</v>
      </c>
      <c r="L23" s="130">
        <f>IF(SUM(L20:L22)&gt;0,SUM(L20:L22)/COUNT(L20:L22),L19)</f>
        <v>0</v>
      </c>
      <c r="M23" s="94"/>
      <c r="N23" s="269"/>
    </row>
    <row r="24" spans="1:16" s="67" customFormat="1" x14ac:dyDescent="0.3">
      <c r="A24" s="512"/>
      <c r="B24" s="11" t="s">
        <v>231</v>
      </c>
      <c r="C24" s="272">
        <v>0</v>
      </c>
      <c r="D24" s="273">
        <v>0</v>
      </c>
      <c r="E24" s="272">
        <v>1</v>
      </c>
      <c r="F24" s="270">
        <v>1</v>
      </c>
      <c r="G24" s="272">
        <v>0</v>
      </c>
      <c r="H24" s="273">
        <v>0</v>
      </c>
      <c r="I24" s="272">
        <v>0</v>
      </c>
      <c r="J24" s="273">
        <v>0</v>
      </c>
      <c r="K24" s="261">
        <v>6</v>
      </c>
      <c r="L24" s="126">
        <v>0</v>
      </c>
      <c r="M24" s="38" t="s">
        <v>373</v>
      </c>
      <c r="N24" s="269"/>
    </row>
    <row r="25" spans="1:16" s="67" customFormat="1" hidden="1" outlineLevel="1" x14ac:dyDescent="0.3">
      <c r="A25" s="512"/>
      <c r="B25" s="88"/>
      <c r="C25" s="272"/>
      <c r="D25" s="273"/>
      <c r="E25" s="272"/>
      <c r="F25" s="11"/>
      <c r="G25" s="272"/>
      <c r="H25" s="273"/>
      <c r="I25" s="272"/>
      <c r="J25" s="273"/>
      <c r="K25" s="261"/>
      <c r="L25" s="126"/>
      <c r="M25" s="93"/>
      <c r="N25" s="269"/>
    </row>
    <row r="26" spans="1:16" s="67" customFormat="1" hidden="1" outlineLevel="1" x14ac:dyDescent="0.3">
      <c r="A26" s="512"/>
      <c r="B26" s="88"/>
      <c r="C26" s="272"/>
      <c r="D26" s="273"/>
      <c r="E26" s="272"/>
      <c r="F26" s="270"/>
      <c r="G26" s="272"/>
      <c r="H26" s="273"/>
      <c r="I26" s="272"/>
      <c r="J26" s="273"/>
      <c r="K26" s="261"/>
      <c r="L26" s="126"/>
      <c r="M26" s="93"/>
      <c r="N26" s="140"/>
      <c r="O26" s="126"/>
      <c r="P26" s="38"/>
    </row>
    <row r="27" spans="1:16" s="67" customFormat="1" hidden="1" outlineLevel="1" x14ac:dyDescent="0.3">
      <c r="A27" s="512"/>
      <c r="B27" s="88"/>
      <c r="C27" s="272"/>
      <c r="D27" s="273"/>
      <c r="E27" s="272"/>
      <c r="F27" s="270"/>
      <c r="G27" s="272"/>
      <c r="H27" s="273"/>
      <c r="I27" s="272"/>
      <c r="J27" s="273"/>
      <c r="K27" s="261"/>
      <c r="L27" s="126"/>
      <c r="M27" s="93"/>
      <c r="N27" s="269"/>
    </row>
    <row r="28" spans="1:16" s="67" customFormat="1" collapsed="1" x14ac:dyDescent="0.3">
      <c r="A28" s="512"/>
      <c r="B28" s="97" t="s">
        <v>133</v>
      </c>
      <c r="C28" s="274">
        <v>0</v>
      </c>
      <c r="D28" s="275">
        <v>0</v>
      </c>
      <c r="E28" s="274">
        <v>1</v>
      </c>
      <c r="F28" s="275">
        <v>1</v>
      </c>
      <c r="G28" s="274">
        <v>0</v>
      </c>
      <c r="H28" s="275">
        <v>0</v>
      </c>
      <c r="I28" s="274">
        <v>0</v>
      </c>
      <c r="J28" s="275">
        <v>0</v>
      </c>
      <c r="K28" s="260">
        <f>IF(SUM(K25:K27)&gt;0,SUM(K25:K27)/COUNT(K25:K27),K24)</f>
        <v>6</v>
      </c>
      <c r="L28" s="130">
        <f>IF(SUM(L25:L27)&gt;0,SUM(L25:L27)/COUNT(L25:L27),L24)</f>
        <v>0</v>
      </c>
      <c r="M28" s="94"/>
      <c r="N28" s="269"/>
    </row>
    <row r="29" spans="1:16" s="67" customFormat="1" x14ac:dyDescent="0.3">
      <c r="A29" s="512"/>
      <c r="B29" s="11" t="s">
        <v>277</v>
      </c>
      <c r="C29" s="272">
        <v>1</v>
      </c>
      <c r="D29" s="273">
        <v>0</v>
      </c>
      <c r="E29" s="272">
        <v>1</v>
      </c>
      <c r="F29" s="273">
        <v>0</v>
      </c>
      <c r="G29" s="272">
        <v>1</v>
      </c>
      <c r="H29" s="273">
        <v>0</v>
      </c>
      <c r="I29" s="272">
        <v>0</v>
      </c>
      <c r="J29" s="273">
        <v>0</v>
      </c>
      <c r="K29" s="261">
        <v>12</v>
      </c>
      <c r="L29" s="126">
        <v>0</v>
      </c>
      <c r="M29" s="38" t="s">
        <v>373</v>
      </c>
      <c r="N29" s="269"/>
    </row>
    <row r="30" spans="1:16" s="67" customFormat="1" hidden="1" outlineLevel="1" x14ac:dyDescent="0.3">
      <c r="A30" s="512"/>
      <c r="B30" s="88"/>
      <c r="C30" s="272"/>
      <c r="D30" s="273"/>
      <c r="E30" s="272"/>
      <c r="F30" s="270"/>
      <c r="G30" s="272"/>
      <c r="H30" s="273"/>
      <c r="I30" s="272"/>
      <c r="J30" s="273"/>
      <c r="K30" s="261">
        <v>16</v>
      </c>
      <c r="L30" s="131">
        <v>0</v>
      </c>
      <c r="M30" s="98"/>
      <c r="N30" s="269"/>
    </row>
    <row r="31" spans="1:16" s="67" customFormat="1" hidden="1" outlineLevel="1" x14ac:dyDescent="0.3">
      <c r="A31" s="512"/>
      <c r="B31" s="88"/>
      <c r="C31" s="272"/>
      <c r="D31" s="273"/>
      <c r="E31" s="272"/>
      <c r="F31" s="270"/>
      <c r="G31" s="272"/>
      <c r="H31" s="273"/>
      <c r="I31" s="272"/>
      <c r="J31" s="273"/>
      <c r="K31" s="261"/>
      <c r="L31" s="126"/>
      <c r="M31" s="93"/>
      <c r="N31" s="269"/>
    </row>
    <row r="32" spans="1:16" s="67" customFormat="1" hidden="1" outlineLevel="1" x14ac:dyDescent="0.3">
      <c r="A32" s="512"/>
      <c r="B32" s="88"/>
      <c r="C32" s="272"/>
      <c r="D32" s="273"/>
      <c r="E32" s="272"/>
      <c r="F32" s="270"/>
      <c r="G32" s="272"/>
      <c r="H32" s="273"/>
      <c r="I32" s="272"/>
      <c r="J32" s="273"/>
      <c r="K32" s="261"/>
      <c r="L32" s="126"/>
      <c r="M32" s="93"/>
      <c r="N32" s="269"/>
    </row>
    <row r="33" spans="1:14" s="28" customFormat="1" ht="15" collapsed="1" thickBot="1" x14ac:dyDescent="0.35">
      <c r="A33" s="513"/>
      <c r="B33" s="97" t="s">
        <v>133</v>
      </c>
      <c r="C33" s="276">
        <v>1</v>
      </c>
      <c r="D33" s="277">
        <v>0</v>
      </c>
      <c r="E33" s="276">
        <v>1</v>
      </c>
      <c r="F33" s="277">
        <v>0</v>
      </c>
      <c r="G33" s="276">
        <v>1</v>
      </c>
      <c r="H33" s="277">
        <v>0</v>
      </c>
      <c r="I33" s="276">
        <v>0</v>
      </c>
      <c r="J33" s="277">
        <v>0</v>
      </c>
      <c r="K33" s="262">
        <f>IF(SUM(K30:K32)&gt;0,SUM(K30:K32)/COUNT(K30:K32),K29)</f>
        <v>16</v>
      </c>
      <c r="L33" s="132">
        <f>IF(SUM(L30:L32)&gt;0,SUM(L30:L32)/COUNT(L30:L32),L29)</f>
        <v>0</v>
      </c>
      <c r="M33" s="99"/>
      <c r="N33" s="269"/>
    </row>
    <row r="34" spans="1:14" ht="15" thickTop="1" x14ac:dyDescent="0.3">
      <c r="A34" s="514" t="s">
        <v>355</v>
      </c>
      <c r="B34" s="58" t="s">
        <v>227</v>
      </c>
      <c r="C34" s="272">
        <v>1</v>
      </c>
      <c r="D34" s="273">
        <v>0</v>
      </c>
      <c r="E34" s="272">
        <v>1</v>
      </c>
      <c r="F34" s="273">
        <v>0</v>
      </c>
      <c r="G34" s="272">
        <v>1</v>
      </c>
      <c r="H34" s="273">
        <v>0</v>
      </c>
      <c r="I34" s="272">
        <v>0</v>
      </c>
      <c r="J34" s="273">
        <v>0</v>
      </c>
      <c r="K34" s="252">
        <v>2</v>
      </c>
      <c r="L34" s="124">
        <v>0</v>
      </c>
      <c r="M34" s="38" t="s">
        <v>373</v>
      </c>
    </row>
    <row r="35" spans="1:14" s="67" customFormat="1" hidden="1" outlineLevel="1" x14ac:dyDescent="0.3">
      <c r="A35" s="512"/>
      <c r="B35" s="58"/>
      <c r="C35" s="272"/>
      <c r="D35" s="273"/>
      <c r="E35" s="272"/>
      <c r="F35" s="273"/>
      <c r="G35" s="272"/>
      <c r="H35" s="273"/>
      <c r="I35" s="272"/>
      <c r="J35" s="273"/>
      <c r="K35" s="4"/>
      <c r="N35" s="269"/>
    </row>
    <row r="36" spans="1:14" s="67" customFormat="1" hidden="1" outlineLevel="1" x14ac:dyDescent="0.3">
      <c r="A36" s="512"/>
      <c r="B36" s="58"/>
      <c r="C36" s="272"/>
      <c r="D36" s="273"/>
      <c r="E36" s="272"/>
      <c r="F36" s="273"/>
      <c r="G36" s="272"/>
      <c r="H36" s="273"/>
      <c r="I36" s="272"/>
      <c r="J36" s="273"/>
      <c r="K36" s="252"/>
      <c r="L36" s="126"/>
      <c r="M36" s="38"/>
      <c r="N36" s="269"/>
    </row>
    <row r="37" spans="1:14" s="67" customFormat="1" hidden="1" outlineLevel="1" x14ac:dyDescent="0.3">
      <c r="A37" s="512"/>
      <c r="B37" s="58"/>
      <c r="C37" s="272"/>
      <c r="D37" s="273"/>
      <c r="E37" s="272"/>
      <c r="F37" s="273"/>
      <c r="G37" s="272"/>
      <c r="H37" s="273"/>
      <c r="I37" s="272"/>
      <c r="J37" s="273"/>
      <c r="K37" s="261"/>
      <c r="L37" s="126"/>
      <c r="M37" s="38"/>
      <c r="N37" s="269"/>
    </row>
    <row r="38" spans="1:14" s="67" customFormat="1" collapsed="1" x14ac:dyDescent="0.3">
      <c r="A38" s="512"/>
      <c r="B38" s="97" t="s">
        <v>133</v>
      </c>
      <c r="C38" s="254">
        <v>1</v>
      </c>
      <c r="D38" s="158">
        <v>0</v>
      </c>
      <c r="E38" s="254">
        <v>1</v>
      </c>
      <c r="F38" s="158">
        <v>0</v>
      </c>
      <c r="G38" s="254">
        <v>1</v>
      </c>
      <c r="H38" s="158">
        <v>0</v>
      </c>
      <c r="I38" s="254">
        <v>0</v>
      </c>
      <c r="J38" s="158">
        <v>0</v>
      </c>
      <c r="K38" s="263">
        <f>IF(SUM(K35:K37)&gt;0,SUM(K35:K37)/COUNT(K35:K37),K34)</f>
        <v>2</v>
      </c>
      <c r="L38" s="130">
        <f>IF(SUM(L35:L37)&gt;0,SUM(L35:L37)/COUNT(L35:L37),L34)</f>
        <v>0</v>
      </c>
      <c r="M38" s="94"/>
      <c r="N38" s="269"/>
    </row>
    <row r="39" spans="1:14" s="28" customFormat="1" x14ac:dyDescent="0.3">
      <c r="A39" s="512"/>
      <c r="B39" s="89" t="s">
        <v>228</v>
      </c>
      <c r="C39" s="278">
        <v>1</v>
      </c>
      <c r="D39" s="35">
        <v>0</v>
      </c>
      <c r="E39" s="278">
        <v>1</v>
      </c>
      <c r="F39" s="279">
        <v>0</v>
      </c>
      <c r="G39" s="278">
        <v>0</v>
      </c>
      <c r="H39" s="279">
        <v>0</v>
      </c>
      <c r="I39" s="278">
        <v>0</v>
      </c>
      <c r="J39" s="279">
        <v>0</v>
      </c>
      <c r="K39" s="264">
        <v>4</v>
      </c>
      <c r="L39" s="133">
        <v>0</v>
      </c>
      <c r="M39" s="38" t="s">
        <v>373</v>
      </c>
      <c r="N39" s="269"/>
    </row>
    <row r="40" spans="1:14" s="67" customFormat="1" hidden="1" outlineLevel="1" x14ac:dyDescent="0.3">
      <c r="A40" s="512"/>
      <c r="B40" s="89"/>
      <c r="C40" s="278"/>
      <c r="D40" s="35"/>
      <c r="E40" s="278"/>
      <c r="F40" s="279"/>
      <c r="G40" s="278"/>
      <c r="H40" s="279"/>
      <c r="I40" s="278"/>
      <c r="J40" s="279"/>
      <c r="K40" s="264"/>
      <c r="L40" s="133"/>
      <c r="M40" s="11"/>
      <c r="N40" s="269"/>
    </row>
    <row r="41" spans="1:14" s="67" customFormat="1" hidden="1" outlineLevel="1" x14ac:dyDescent="0.3">
      <c r="A41" s="512"/>
      <c r="B41" s="89"/>
      <c r="C41" s="278"/>
      <c r="D41" s="35"/>
      <c r="E41" s="278"/>
      <c r="F41" s="279"/>
      <c r="G41" s="278"/>
      <c r="H41" s="279"/>
      <c r="I41" s="278"/>
      <c r="J41" s="279"/>
      <c r="K41" s="264"/>
      <c r="L41" s="133"/>
      <c r="M41" s="11"/>
      <c r="N41" s="269"/>
    </row>
    <row r="42" spans="1:14" s="67" customFormat="1" hidden="1" outlineLevel="1" x14ac:dyDescent="0.3">
      <c r="A42" s="512"/>
      <c r="B42" s="89"/>
      <c r="C42" s="278"/>
      <c r="D42" s="35"/>
      <c r="E42" s="278"/>
      <c r="F42" s="279"/>
      <c r="G42" s="278"/>
      <c r="H42" s="279"/>
      <c r="I42" s="278"/>
      <c r="J42" s="279"/>
      <c r="K42" s="264"/>
      <c r="L42" s="133"/>
      <c r="M42" s="11"/>
      <c r="N42" s="269"/>
    </row>
    <row r="43" spans="1:14" s="67" customFormat="1" collapsed="1" x14ac:dyDescent="0.3">
      <c r="A43" s="512"/>
      <c r="B43" s="97" t="s">
        <v>133</v>
      </c>
      <c r="C43" s="254">
        <v>1</v>
      </c>
      <c r="D43" s="158">
        <v>0</v>
      </c>
      <c r="E43" s="254">
        <v>1</v>
      </c>
      <c r="F43" s="158">
        <v>0</v>
      </c>
      <c r="G43" s="254">
        <v>0</v>
      </c>
      <c r="H43" s="158">
        <v>0</v>
      </c>
      <c r="I43" s="254">
        <v>0</v>
      </c>
      <c r="J43" s="158">
        <v>0</v>
      </c>
      <c r="K43" s="263">
        <f>IF(SUM(K40:K42)&gt;0,SUM(K40:K42)/COUNT(K40:K42),K39)</f>
        <v>4</v>
      </c>
      <c r="L43" s="130">
        <f>IF(SUM(L40:L42)&gt;0,SUM(L40:L42)/COUNT(L40:L42),L39)</f>
        <v>0</v>
      </c>
      <c r="M43" s="94"/>
      <c r="N43" s="269"/>
    </row>
    <row r="44" spans="1:14" s="28" customFormat="1" x14ac:dyDescent="0.3">
      <c r="A44" s="512"/>
      <c r="B44" s="88" t="s">
        <v>233</v>
      </c>
      <c r="C44" s="272">
        <v>0</v>
      </c>
      <c r="D44" s="273">
        <v>0</v>
      </c>
      <c r="E44" s="272">
        <v>1</v>
      </c>
      <c r="F44" s="273">
        <v>1</v>
      </c>
      <c r="G44" s="272">
        <v>0</v>
      </c>
      <c r="H44" s="273">
        <v>0</v>
      </c>
      <c r="I44" s="278">
        <v>0</v>
      </c>
      <c r="J44" s="279">
        <v>0</v>
      </c>
      <c r="K44" s="252">
        <v>24</v>
      </c>
      <c r="L44" s="124">
        <v>0</v>
      </c>
      <c r="M44" s="38" t="s">
        <v>373</v>
      </c>
      <c r="N44" s="269"/>
    </row>
    <row r="45" spans="1:14" s="67" customFormat="1" ht="30.6" hidden="1" customHeight="1" outlineLevel="1" x14ac:dyDescent="0.3">
      <c r="A45" s="512"/>
      <c r="B45" s="88"/>
      <c r="C45" s="272"/>
      <c r="D45" s="273"/>
      <c r="E45" s="272"/>
      <c r="F45" s="273"/>
      <c r="G45" s="272"/>
      <c r="H45" s="273"/>
      <c r="I45" s="278"/>
      <c r="J45" s="279"/>
      <c r="K45" s="252"/>
      <c r="L45" s="124"/>
      <c r="N45" s="269"/>
    </row>
    <row r="46" spans="1:14" s="67" customFormat="1" hidden="1" outlineLevel="1" x14ac:dyDescent="0.3">
      <c r="A46" s="512"/>
      <c r="B46" s="101"/>
      <c r="C46" s="264"/>
      <c r="D46" s="270"/>
      <c r="E46" s="264"/>
      <c r="F46" s="270"/>
      <c r="G46" s="264"/>
      <c r="H46" s="270"/>
      <c r="I46" s="280"/>
      <c r="J46" s="281"/>
      <c r="K46" s="252"/>
      <c r="L46" s="124"/>
      <c r="M46" s="6"/>
      <c r="N46" s="269"/>
    </row>
    <row r="47" spans="1:14" s="67" customFormat="1" hidden="1" outlineLevel="1" x14ac:dyDescent="0.3">
      <c r="A47" s="512"/>
      <c r="B47" s="101"/>
      <c r="C47" s="264"/>
      <c r="D47" s="270"/>
      <c r="E47" s="264"/>
      <c r="F47" s="270"/>
      <c r="G47" s="264"/>
      <c r="H47" s="270"/>
      <c r="I47" s="280"/>
      <c r="J47" s="281"/>
      <c r="K47" s="252"/>
      <c r="L47" s="124"/>
      <c r="M47" s="6"/>
      <c r="N47" s="269"/>
    </row>
    <row r="48" spans="1:14" s="67" customFormat="1" collapsed="1" x14ac:dyDescent="0.3">
      <c r="A48" s="512"/>
      <c r="B48" s="97" t="s">
        <v>133</v>
      </c>
      <c r="C48" s="254">
        <v>0</v>
      </c>
      <c r="D48" s="158">
        <v>0</v>
      </c>
      <c r="E48" s="254">
        <v>1</v>
      </c>
      <c r="F48" s="158">
        <v>1</v>
      </c>
      <c r="G48" s="254">
        <v>0</v>
      </c>
      <c r="H48" s="158">
        <v>0</v>
      </c>
      <c r="I48" s="254">
        <v>0</v>
      </c>
      <c r="J48" s="158">
        <v>0</v>
      </c>
      <c r="K48" s="263">
        <f>IF(SUM(K45:K47)&gt;0,SUM(K45:K47)/COUNT(K45:K47),K44)</f>
        <v>24</v>
      </c>
      <c r="L48" s="130">
        <f>IF(SUM(L45:L47)&gt;0,SUM(L45:L47)/COUNT(L45:L47),L44)</f>
        <v>0</v>
      </c>
      <c r="M48" s="94"/>
      <c r="N48" s="269"/>
    </row>
    <row r="49" spans="1:14" s="67" customFormat="1" x14ac:dyDescent="0.3">
      <c r="A49" s="512"/>
      <c r="B49" s="101" t="s">
        <v>278</v>
      </c>
      <c r="C49" s="264">
        <v>1</v>
      </c>
      <c r="D49" s="270">
        <v>0</v>
      </c>
      <c r="E49" s="264">
        <v>1</v>
      </c>
      <c r="F49" s="270">
        <v>0</v>
      </c>
      <c r="G49" s="264">
        <v>1</v>
      </c>
      <c r="H49" s="270">
        <v>0</v>
      </c>
      <c r="I49" s="280">
        <v>0</v>
      </c>
      <c r="J49" s="281">
        <v>0</v>
      </c>
      <c r="K49" s="252">
        <v>8</v>
      </c>
      <c r="L49" s="124">
        <v>0</v>
      </c>
      <c r="M49" s="38" t="s">
        <v>373</v>
      </c>
      <c r="N49" s="269"/>
    </row>
    <row r="50" spans="1:14" s="67" customFormat="1" hidden="1" outlineLevel="1" x14ac:dyDescent="0.3">
      <c r="A50" s="512"/>
      <c r="B50" s="101"/>
      <c r="C50" s="264"/>
      <c r="D50" s="270"/>
      <c r="E50" s="264"/>
      <c r="F50" s="270"/>
      <c r="G50" s="264"/>
      <c r="H50" s="270"/>
      <c r="I50" s="280"/>
      <c r="J50" s="281"/>
      <c r="K50" s="252"/>
      <c r="L50" s="124"/>
      <c r="M50" s="6"/>
      <c r="N50" s="269"/>
    </row>
    <row r="51" spans="1:14" s="67" customFormat="1" hidden="1" outlineLevel="1" x14ac:dyDescent="0.3">
      <c r="A51" s="512"/>
      <c r="B51" s="101"/>
      <c r="C51" s="264"/>
      <c r="D51" s="270"/>
      <c r="E51" s="264"/>
      <c r="F51" s="270"/>
      <c r="G51" s="264"/>
      <c r="H51" s="270"/>
      <c r="I51" s="280"/>
      <c r="J51" s="281"/>
      <c r="K51" s="252"/>
      <c r="L51" s="124"/>
      <c r="M51" s="6"/>
      <c r="N51" s="269"/>
    </row>
    <row r="52" spans="1:14" s="67" customFormat="1" hidden="1" outlineLevel="1" x14ac:dyDescent="0.3">
      <c r="A52" s="512"/>
      <c r="B52" s="101"/>
      <c r="C52" s="264"/>
      <c r="D52" s="270"/>
      <c r="E52" s="264"/>
      <c r="F52" s="270"/>
      <c r="G52" s="264"/>
      <c r="H52" s="270"/>
      <c r="I52" s="280"/>
      <c r="J52" s="281"/>
      <c r="K52" s="252"/>
      <c r="L52" s="124"/>
      <c r="M52" s="6"/>
      <c r="N52" s="269"/>
    </row>
    <row r="53" spans="1:14" s="28" customFormat="1" ht="15" collapsed="1" thickBot="1" x14ac:dyDescent="0.35">
      <c r="A53" s="513"/>
      <c r="B53" s="97" t="s">
        <v>133</v>
      </c>
      <c r="C53" s="282">
        <v>1</v>
      </c>
      <c r="D53" s="283">
        <v>0</v>
      </c>
      <c r="E53" s="282">
        <v>1</v>
      </c>
      <c r="F53" s="283">
        <v>0</v>
      </c>
      <c r="G53" s="282">
        <v>1</v>
      </c>
      <c r="H53" s="283">
        <v>0</v>
      </c>
      <c r="I53" s="284">
        <v>0</v>
      </c>
      <c r="J53" s="285">
        <v>0</v>
      </c>
      <c r="K53" s="265">
        <f>IF(SUM(K50:K52)&gt;0,SUM(K50:K52)/COUNT(K50:K52),K49)</f>
        <v>8</v>
      </c>
      <c r="L53" s="134">
        <f>IF(SUM(L50:L52)&gt;0,SUM(L50:L52)/COUNT(L50:L52),L49)</f>
        <v>0</v>
      </c>
      <c r="M53" s="100"/>
      <c r="N53" s="269"/>
    </row>
    <row r="54" spans="1:14" s="231" customFormat="1" ht="15" customHeight="1" thickTop="1" x14ac:dyDescent="0.3">
      <c r="A54" s="515" t="s">
        <v>359</v>
      </c>
      <c r="B54" s="73" t="s">
        <v>227</v>
      </c>
      <c r="C54" s="346">
        <v>1</v>
      </c>
      <c r="D54" s="347"/>
      <c r="E54" s="346">
        <v>1</v>
      </c>
      <c r="F54" s="347"/>
      <c r="G54" s="346">
        <v>1</v>
      </c>
      <c r="H54" s="347"/>
      <c r="I54" s="348">
        <v>0</v>
      </c>
      <c r="J54" s="349"/>
      <c r="K54" s="350">
        <v>2</v>
      </c>
      <c r="L54" s="351"/>
      <c r="M54" s="38" t="s">
        <v>373</v>
      </c>
      <c r="N54" s="269"/>
    </row>
    <row r="55" spans="1:14" s="231" customFormat="1" hidden="1" outlineLevel="1" x14ac:dyDescent="0.3">
      <c r="A55" s="516"/>
      <c r="B55" s="73"/>
      <c r="C55" s="346"/>
      <c r="D55" s="347"/>
      <c r="E55" s="346"/>
      <c r="F55" s="347"/>
      <c r="G55" s="346"/>
      <c r="H55" s="347"/>
      <c r="I55" s="91"/>
      <c r="J55" s="349"/>
      <c r="K55" s="350"/>
      <c r="L55" s="351"/>
      <c r="M55" s="7"/>
      <c r="N55" s="269"/>
    </row>
    <row r="56" spans="1:14" s="231" customFormat="1" hidden="1" outlineLevel="1" x14ac:dyDescent="0.3">
      <c r="A56" s="516"/>
      <c r="B56" s="73"/>
      <c r="C56" s="346"/>
      <c r="D56" s="347"/>
      <c r="E56" s="346"/>
      <c r="F56" s="347"/>
      <c r="G56" s="346"/>
      <c r="H56" s="347"/>
      <c r="I56" s="91"/>
      <c r="J56" s="349"/>
      <c r="K56" s="350"/>
      <c r="L56" s="351"/>
      <c r="M56" s="7"/>
      <c r="N56" s="269"/>
    </row>
    <row r="57" spans="1:14" s="231" customFormat="1" hidden="1" outlineLevel="1" x14ac:dyDescent="0.3">
      <c r="A57" s="516"/>
      <c r="B57" s="73"/>
      <c r="C57" s="346"/>
      <c r="D57" s="347"/>
      <c r="E57" s="346"/>
      <c r="F57" s="347"/>
      <c r="G57" s="346"/>
      <c r="H57" s="347"/>
      <c r="I57" s="91"/>
      <c r="J57" s="349"/>
      <c r="K57" s="350"/>
      <c r="L57" s="351"/>
      <c r="M57" s="7"/>
      <c r="N57" s="269"/>
    </row>
    <row r="58" spans="1:14" s="231" customFormat="1" collapsed="1" x14ac:dyDescent="0.3">
      <c r="A58" s="516"/>
      <c r="B58" s="352" t="s">
        <v>133</v>
      </c>
      <c r="C58" s="353">
        <f t="shared" ref="C58:L58" si="0">IF(SUM(C55:C57)&gt;0,SUM(C55:C57)/COUNT(C55:C57),C54)</f>
        <v>1</v>
      </c>
      <c r="D58" s="354">
        <f t="shared" si="0"/>
        <v>0</v>
      </c>
      <c r="E58" s="353">
        <f t="shared" si="0"/>
        <v>1</v>
      </c>
      <c r="F58" s="354">
        <f t="shared" si="0"/>
        <v>0</v>
      </c>
      <c r="G58" s="353">
        <f t="shared" si="0"/>
        <v>1</v>
      </c>
      <c r="H58" s="354">
        <f t="shared" si="0"/>
        <v>0</v>
      </c>
      <c r="I58" s="355">
        <f t="shared" si="0"/>
        <v>0</v>
      </c>
      <c r="J58" s="356">
        <f t="shared" si="0"/>
        <v>0</v>
      </c>
      <c r="K58" s="357">
        <f t="shared" si="0"/>
        <v>2</v>
      </c>
      <c r="L58" s="358">
        <f t="shared" si="0"/>
        <v>0</v>
      </c>
      <c r="M58" s="12"/>
      <c r="N58" s="269"/>
    </row>
    <row r="59" spans="1:14" s="231" customFormat="1" x14ac:dyDescent="0.3">
      <c r="A59" s="516"/>
      <c r="B59" s="73" t="s">
        <v>364</v>
      </c>
      <c r="C59" s="346">
        <v>1</v>
      </c>
      <c r="D59" s="347">
        <v>1</v>
      </c>
      <c r="E59" s="346">
        <v>1</v>
      </c>
      <c r="F59" s="347">
        <v>1</v>
      </c>
      <c r="G59" s="346">
        <v>1</v>
      </c>
      <c r="H59" s="347">
        <v>1</v>
      </c>
      <c r="I59" s="91">
        <v>0</v>
      </c>
      <c r="J59" s="349"/>
      <c r="K59" s="350">
        <v>4</v>
      </c>
      <c r="L59" s="351"/>
      <c r="M59" s="38" t="s">
        <v>373</v>
      </c>
      <c r="N59" s="269"/>
    </row>
    <row r="60" spans="1:14" s="231" customFormat="1" hidden="1" outlineLevel="1" x14ac:dyDescent="0.3">
      <c r="A60" s="516"/>
      <c r="B60" s="73"/>
      <c r="C60" s="346"/>
      <c r="D60" s="347"/>
      <c r="E60" s="346"/>
      <c r="F60" s="347"/>
      <c r="G60" s="346"/>
      <c r="H60" s="347"/>
      <c r="I60" s="91"/>
      <c r="J60" s="349"/>
      <c r="K60" s="350"/>
      <c r="L60" s="351"/>
      <c r="M60" s="7"/>
      <c r="N60" s="269"/>
    </row>
    <row r="61" spans="1:14" s="231" customFormat="1" hidden="1" outlineLevel="1" x14ac:dyDescent="0.3">
      <c r="A61" s="516"/>
      <c r="B61" s="73"/>
      <c r="C61" s="346"/>
      <c r="D61" s="347"/>
      <c r="E61" s="346"/>
      <c r="F61" s="347"/>
      <c r="G61" s="346"/>
      <c r="H61" s="347"/>
      <c r="I61" s="91"/>
      <c r="J61" s="349"/>
      <c r="K61" s="350"/>
      <c r="L61" s="351"/>
      <c r="M61" s="7"/>
      <c r="N61" s="269"/>
    </row>
    <row r="62" spans="1:14" s="231" customFormat="1" hidden="1" outlineLevel="1" x14ac:dyDescent="0.3">
      <c r="A62" s="516"/>
      <c r="B62" s="73"/>
      <c r="C62" s="346"/>
      <c r="D62" s="347"/>
      <c r="E62" s="346"/>
      <c r="F62" s="347"/>
      <c r="G62" s="346"/>
      <c r="H62" s="347"/>
      <c r="I62" s="91"/>
      <c r="J62" s="349"/>
      <c r="K62" s="350"/>
      <c r="L62" s="351"/>
      <c r="M62" s="7"/>
      <c r="N62" s="269"/>
    </row>
    <row r="63" spans="1:14" s="231" customFormat="1" collapsed="1" x14ac:dyDescent="0.3">
      <c r="A63" s="516"/>
      <c r="B63" s="352" t="s">
        <v>133</v>
      </c>
      <c r="C63" s="353">
        <f t="shared" ref="C63:L63" si="1">IF(SUM(C60:C62)&gt;0,SUM(C60:C62)/COUNT(C60:C62),C59)</f>
        <v>1</v>
      </c>
      <c r="D63" s="354">
        <f t="shared" si="1"/>
        <v>1</v>
      </c>
      <c r="E63" s="353">
        <f t="shared" si="1"/>
        <v>1</v>
      </c>
      <c r="F63" s="354">
        <f t="shared" si="1"/>
        <v>1</v>
      </c>
      <c r="G63" s="353">
        <f t="shared" si="1"/>
        <v>1</v>
      </c>
      <c r="H63" s="354">
        <f t="shared" si="1"/>
        <v>1</v>
      </c>
      <c r="I63" s="355">
        <f t="shared" si="1"/>
        <v>0</v>
      </c>
      <c r="J63" s="356">
        <f t="shared" si="1"/>
        <v>0</v>
      </c>
      <c r="K63" s="357">
        <f t="shared" si="1"/>
        <v>4</v>
      </c>
      <c r="L63" s="358">
        <f t="shared" si="1"/>
        <v>0</v>
      </c>
      <c r="M63" s="12"/>
      <c r="N63" s="269"/>
    </row>
    <row r="64" spans="1:14" s="231" customFormat="1" x14ac:dyDescent="0.3">
      <c r="A64" s="516"/>
      <c r="B64" s="73" t="s">
        <v>278</v>
      </c>
      <c r="C64" s="346">
        <v>1</v>
      </c>
      <c r="D64" s="347"/>
      <c r="E64" s="346">
        <v>1</v>
      </c>
      <c r="F64" s="347"/>
      <c r="G64" s="346">
        <v>1</v>
      </c>
      <c r="H64" s="347"/>
      <c r="I64" s="91">
        <v>0</v>
      </c>
      <c r="J64" s="349"/>
      <c r="K64" s="350">
        <v>8</v>
      </c>
      <c r="L64" s="351"/>
      <c r="M64" s="38" t="s">
        <v>373</v>
      </c>
      <c r="N64" s="269"/>
    </row>
    <row r="65" spans="1:14" s="231" customFormat="1" hidden="1" outlineLevel="1" x14ac:dyDescent="0.3">
      <c r="A65" s="516"/>
      <c r="B65" s="73"/>
      <c r="C65" s="346"/>
      <c r="D65" s="347"/>
      <c r="E65" s="346"/>
      <c r="F65" s="347"/>
      <c r="G65" s="346"/>
      <c r="H65" s="347"/>
      <c r="I65" s="91"/>
      <c r="J65" s="349"/>
      <c r="K65" s="350"/>
      <c r="L65" s="351"/>
      <c r="M65" s="7"/>
      <c r="N65" s="269"/>
    </row>
    <row r="66" spans="1:14" s="231" customFormat="1" hidden="1" outlineLevel="1" x14ac:dyDescent="0.3">
      <c r="A66" s="516"/>
      <c r="B66" s="73"/>
      <c r="C66" s="346"/>
      <c r="D66" s="347"/>
      <c r="E66" s="346"/>
      <c r="F66" s="347"/>
      <c r="G66" s="346"/>
      <c r="H66" s="347"/>
      <c r="I66" s="91"/>
      <c r="J66" s="349"/>
      <c r="K66" s="350"/>
      <c r="L66" s="351"/>
      <c r="M66" s="7"/>
      <c r="N66" s="269"/>
    </row>
    <row r="67" spans="1:14" s="231" customFormat="1" hidden="1" outlineLevel="1" x14ac:dyDescent="0.3">
      <c r="A67" s="516"/>
      <c r="B67" s="73"/>
      <c r="C67" s="346"/>
      <c r="D67" s="347"/>
      <c r="E67" s="346"/>
      <c r="F67" s="347"/>
      <c r="G67" s="346"/>
      <c r="H67" s="347"/>
      <c r="I67" s="91"/>
      <c r="J67" s="349"/>
      <c r="K67" s="350"/>
      <c r="L67" s="351"/>
      <c r="M67" s="7"/>
      <c r="N67" s="269"/>
    </row>
    <row r="68" spans="1:14" s="231" customFormat="1" collapsed="1" x14ac:dyDescent="0.3">
      <c r="A68" s="516"/>
      <c r="B68" s="352" t="s">
        <v>133</v>
      </c>
      <c r="C68" s="353">
        <f t="shared" ref="C68:L68" si="2">IF(SUM(C65:C67)&gt;0,SUM(C65:C67)/COUNT(C65:C67),C64)</f>
        <v>1</v>
      </c>
      <c r="D68" s="354">
        <f t="shared" si="2"/>
        <v>0</v>
      </c>
      <c r="E68" s="353">
        <f t="shared" si="2"/>
        <v>1</v>
      </c>
      <c r="F68" s="354">
        <f t="shared" si="2"/>
        <v>0</v>
      </c>
      <c r="G68" s="353">
        <f t="shared" si="2"/>
        <v>1</v>
      </c>
      <c r="H68" s="354">
        <f t="shared" si="2"/>
        <v>0</v>
      </c>
      <c r="I68" s="355">
        <f t="shared" si="2"/>
        <v>0</v>
      </c>
      <c r="J68" s="356">
        <f t="shared" si="2"/>
        <v>0</v>
      </c>
      <c r="K68" s="357">
        <f t="shared" si="2"/>
        <v>8</v>
      </c>
      <c r="L68" s="358">
        <f t="shared" si="2"/>
        <v>0</v>
      </c>
      <c r="M68" s="12"/>
      <c r="N68" s="269"/>
    </row>
    <row r="69" spans="1:14" s="231" customFormat="1" x14ac:dyDescent="0.3">
      <c r="A69" s="516"/>
      <c r="B69" s="361" t="s">
        <v>365</v>
      </c>
      <c r="C69" s="346">
        <v>1</v>
      </c>
      <c r="D69" s="347">
        <v>0</v>
      </c>
      <c r="E69" s="346">
        <v>1</v>
      </c>
      <c r="F69" s="347">
        <v>0</v>
      </c>
      <c r="G69" s="346">
        <v>1</v>
      </c>
      <c r="H69" s="347">
        <v>0</v>
      </c>
      <c r="I69" s="360">
        <v>0</v>
      </c>
      <c r="J69" s="349">
        <v>0</v>
      </c>
      <c r="K69" s="350">
        <v>0.17</v>
      </c>
      <c r="L69" s="351">
        <v>0.08</v>
      </c>
      <c r="M69" s="86" t="s">
        <v>369</v>
      </c>
      <c r="N69" s="269"/>
    </row>
    <row r="70" spans="1:14" s="231" customFormat="1" hidden="1" outlineLevel="1" x14ac:dyDescent="0.3">
      <c r="A70" s="516"/>
      <c r="B70" s="359"/>
      <c r="C70" s="346"/>
      <c r="D70" s="347"/>
      <c r="E70" s="346"/>
      <c r="F70" s="347"/>
      <c r="G70" s="346"/>
      <c r="H70" s="347"/>
      <c r="I70" s="91"/>
      <c r="J70" s="349"/>
      <c r="K70" s="350"/>
      <c r="L70" s="351"/>
      <c r="M70" s="7"/>
      <c r="N70" s="269"/>
    </row>
    <row r="71" spans="1:14" s="231" customFormat="1" hidden="1" outlineLevel="1" x14ac:dyDescent="0.3">
      <c r="A71" s="516"/>
      <c r="B71" s="359"/>
      <c r="C71" s="346"/>
      <c r="D71" s="347"/>
      <c r="E71" s="346"/>
      <c r="F71" s="347"/>
      <c r="G71" s="346"/>
      <c r="H71" s="347"/>
      <c r="I71" s="91"/>
      <c r="J71" s="349"/>
      <c r="K71" s="350"/>
      <c r="L71" s="351"/>
      <c r="M71" s="7"/>
      <c r="N71" s="269"/>
    </row>
    <row r="72" spans="1:14" s="231" customFormat="1" hidden="1" outlineLevel="1" x14ac:dyDescent="0.3">
      <c r="A72" s="516"/>
      <c r="B72" s="359"/>
      <c r="C72" s="346"/>
      <c r="D72" s="347"/>
      <c r="E72" s="346"/>
      <c r="F72" s="347"/>
      <c r="G72" s="346"/>
      <c r="H72" s="347"/>
      <c r="I72" s="91"/>
      <c r="J72" s="349"/>
      <c r="K72" s="350"/>
      <c r="L72" s="351"/>
      <c r="M72" s="7"/>
      <c r="N72" s="269"/>
    </row>
    <row r="73" spans="1:14" s="231" customFormat="1" collapsed="1" x14ac:dyDescent="0.3">
      <c r="A73" s="517"/>
      <c r="B73" s="352" t="s">
        <v>133</v>
      </c>
      <c r="C73" s="353">
        <f t="shared" ref="C73:L73" si="3">IF(SUM(C70:C72)&gt;0,SUM(C70:C72)/COUNT(C70:C72),C69)</f>
        <v>1</v>
      </c>
      <c r="D73" s="354">
        <f t="shared" si="3"/>
        <v>0</v>
      </c>
      <c r="E73" s="353">
        <f t="shared" si="3"/>
        <v>1</v>
      </c>
      <c r="F73" s="354">
        <f t="shared" si="3"/>
        <v>0</v>
      </c>
      <c r="G73" s="353">
        <f t="shared" si="3"/>
        <v>1</v>
      </c>
      <c r="H73" s="354">
        <f t="shared" si="3"/>
        <v>0</v>
      </c>
      <c r="I73" s="355">
        <f t="shared" si="3"/>
        <v>0</v>
      </c>
      <c r="J73" s="356">
        <f t="shared" si="3"/>
        <v>0</v>
      </c>
      <c r="K73" s="357">
        <f t="shared" si="3"/>
        <v>0.17</v>
      </c>
      <c r="L73" s="358">
        <f t="shared" si="3"/>
        <v>0.08</v>
      </c>
      <c r="M73" s="12"/>
      <c r="N73" s="269"/>
    </row>
    <row r="74" spans="1:14" x14ac:dyDescent="0.3">
      <c r="A74" s="514" t="s">
        <v>272</v>
      </c>
      <c r="B74" s="58" t="s">
        <v>280</v>
      </c>
      <c r="C74" s="272">
        <v>1</v>
      </c>
      <c r="D74" s="273">
        <v>0</v>
      </c>
      <c r="E74" s="272">
        <v>1</v>
      </c>
      <c r="F74" s="273">
        <v>0</v>
      </c>
      <c r="G74" s="272">
        <v>1</v>
      </c>
      <c r="H74" s="286">
        <v>0</v>
      </c>
      <c r="I74" s="273">
        <v>1</v>
      </c>
      <c r="J74" s="273">
        <v>0</v>
      </c>
      <c r="K74" s="252">
        <v>0.5</v>
      </c>
      <c r="L74" s="135">
        <v>0</v>
      </c>
      <c r="M74" s="38" t="s">
        <v>373</v>
      </c>
    </row>
    <row r="75" spans="1:14" s="67" customFormat="1" hidden="1" outlineLevel="1" x14ac:dyDescent="0.3">
      <c r="A75" s="512"/>
      <c r="B75" s="58"/>
      <c r="C75" s="272"/>
      <c r="D75" s="273"/>
      <c r="E75" s="272"/>
      <c r="F75" s="273"/>
      <c r="G75" s="272"/>
      <c r="H75" s="286"/>
      <c r="I75" s="273"/>
      <c r="J75" s="273"/>
      <c r="K75" s="252"/>
      <c r="L75" s="135"/>
      <c r="M75" s="7"/>
      <c r="N75" s="269"/>
    </row>
    <row r="76" spans="1:14" s="67" customFormat="1" hidden="1" outlineLevel="1" x14ac:dyDescent="0.3">
      <c r="A76" s="512"/>
      <c r="B76" s="58"/>
      <c r="C76" s="272"/>
      <c r="D76" s="273"/>
      <c r="E76" s="272"/>
      <c r="F76" s="273"/>
      <c r="G76" s="272"/>
      <c r="H76" s="286"/>
      <c r="I76" s="273"/>
      <c r="J76" s="273"/>
      <c r="K76" s="252"/>
      <c r="L76" s="135"/>
      <c r="M76" s="7"/>
      <c r="N76" s="269"/>
    </row>
    <row r="77" spans="1:14" s="67" customFormat="1" hidden="1" outlineLevel="1" x14ac:dyDescent="0.3">
      <c r="A77" s="512"/>
      <c r="B77" s="58"/>
      <c r="C77" s="272"/>
      <c r="D77" s="273"/>
      <c r="E77" s="272"/>
      <c r="F77" s="273"/>
      <c r="G77" s="272"/>
      <c r="H77" s="286"/>
      <c r="I77" s="273"/>
      <c r="J77" s="273"/>
      <c r="K77" s="252"/>
      <c r="L77" s="135"/>
      <c r="M77" s="7"/>
      <c r="N77" s="269"/>
    </row>
    <row r="78" spans="1:14" s="67" customFormat="1" collapsed="1" x14ac:dyDescent="0.3">
      <c r="A78" s="512"/>
      <c r="B78" s="97" t="s">
        <v>133</v>
      </c>
      <c r="C78" s="254">
        <v>1</v>
      </c>
      <c r="D78" s="158">
        <v>0</v>
      </c>
      <c r="E78" s="254">
        <v>1</v>
      </c>
      <c r="F78" s="158">
        <v>0</v>
      </c>
      <c r="G78" s="254">
        <v>1</v>
      </c>
      <c r="H78" s="287">
        <v>0</v>
      </c>
      <c r="I78" s="158">
        <v>1</v>
      </c>
      <c r="J78" s="158">
        <v>0</v>
      </c>
      <c r="K78" s="253">
        <f>IF(SUM(K75:K77)&gt;0,SUM(K75:K77)/COUNT(K75:K77),K74)</f>
        <v>0.5</v>
      </c>
      <c r="L78" s="136">
        <f>IF(SUM(L75:L77)&gt;0,SUM(L75:L77)/COUNT(L75:L77),L74)</f>
        <v>0</v>
      </c>
      <c r="M78" s="12"/>
    </row>
    <row r="79" spans="1:14" s="28" customFormat="1" x14ac:dyDescent="0.3">
      <c r="A79" s="512"/>
      <c r="B79" s="89" t="s">
        <v>228</v>
      </c>
      <c r="C79" s="278">
        <v>1</v>
      </c>
      <c r="D79" s="279">
        <v>0</v>
      </c>
      <c r="E79" s="278">
        <v>1</v>
      </c>
      <c r="F79" s="279">
        <v>0</v>
      </c>
      <c r="G79" s="278">
        <v>1</v>
      </c>
      <c r="H79" s="288">
        <v>0</v>
      </c>
      <c r="I79" s="279">
        <v>1</v>
      </c>
      <c r="J79" s="279">
        <v>0</v>
      </c>
      <c r="K79" s="252">
        <v>4</v>
      </c>
      <c r="L79" s="135">
        <v>0</v>
      </c>
      <c r="M79" s="38" t="s">
        <v>373</v>
      </c>
    </row>
    <row r="80" spans="1:14" s="67" customFormat="1" hidden="1" outlineLevel="1" x14ac:dyDescent="0.3">
      <c r="A80" s="512"/>
      <c r="B80" s="89"/>
      <c r="C80" s="278"/>
      <c r="D80" s="279"/>
      <c r="E80" s="278"/>
      <c r="F80" s="279"/>
      <c r="G80" s="278"/>
      <c r="H80" s="288"/>
      <c r="I80" s="279"/>
      <c r="J80" s="279"/>
      <c r="K80" s="252"/>
      <c r="L80" s="135"/>
      <c r="M80" s="7"/>
      <c r="N80" s="269"/>
    </row>
    <row r="81" spans="1:14" s="67" customFormat="1" hidden="1" outlineLevel="1" x14ac:dyDescent="0.3">
      <c r="A81" s="512"/>
      <c r="B81" s="89"/>
      <c r="C81" s="278"/>
      <c r="D81" s="279"/>
      <c r="E81" s="278"/>
      <c r="F81" s="279"/>
      <c r="G81" s="278"/>
      <c r="H81" s="288"/>
      <c r="I81" s="279"/>
      <c r="J81" s="279"/>
      <c r="K81" s="252"/>
      <c r="L81" s="135"/>
      <c r="M81" s="7"/>
      <c r="N81" s="269"/>
    </row>
    <row r="82" spans="1:14" s="67" customFormat="1" hidden="1" outlineLevel="1" x14ac:dyDescent="0.3">
      <c r="A82" s="512"/>
      <c r="B82" s="89"/>
      <c r="C82" s="278"/>
      <c r="D82" s="279"/>
      <c r="E82" s="278"/>
      <c r="F82" s="279"/>
      <c r="G82" s="278"/>
      <c r="H82" s="288"/>
      <c r="I82" s="279"/>
      <c r="J82" s="279"/>
      <c r="K82" s="252"/>
      <c r="L82" s="135"/>
      <c r="M82" s="7"/>
      <c r="N82" s="269"/>
    </row>
    <row r="83" spans="1:14" s="67" customFormat="1" collapsed="1" x14ac:dyDescent="0.3">
      <c r="A83" s="512"/>
      <c r="B83" s="97" t="s">
        <v>133</v>
      </c>
      <c r="C83" s="254">
        <v>1</v>
      </c>
      <c r="D83" s="158">
        <v>0</v>
      </c>
      <c r="E83" s="254">
        <v>1</v>
      </c>
      <c r="F83" s="158">
        <v>0</v>
      </c>
      <c r="G83" s="254">
        <v>1</v>
      </c>
      <c r="H83" s="287">
        <v>0</v>
      </c>
      <c r="I83" s="158">
        <v>1</v>
      </c>
      <c r="J83" s="158">
        <v>0</v>
      </c>
      <c r="K83" s="253">
        <f>IF(SUM(K80:K82)&gt;0,SUM(K80:K82)/COUNT(K80:K82),K79)</f>
        <v>4</v>
      </c>
      <c r="L83" s="136">
        <f>IF(SUM(L80:L82)&gt;0,SUM(L80:L82)/COUNT(L80:L82),L79)</f>
        <v>0</v>
      </c>
      <c r="M83" s="12"/>
      <c r="N83" s="269"/>
    </row>
    <row r="84" spans="1:14" s="28" customFormat="1" x14ac:dyDescent="0.3">
      <c r="A84" s="512"/>
      <c r="B84" s="58" t="s">
        <v>236</v>
      </c>
      <c r="C84" s="272">
        <v>1</v>
      </c>
      <c r="D84" s="273">
        <v>0</v>
      </c>
      <c r="E84" s="272">
        <v>1</v>
      </c>
      <c r="F84" s="273">
        <v>0</v>
      </c>
      <c r="G84" s="272">
        <v>1</v>
      </c>
      <c r="H84" s="286">
        <v>0</v>
      </c>
      <c r="I84" s="273">
        <v>1</v>
      </c>
      <c r="J84" s="273">
        <v>0</v>
      </c>
      <c r="K84" s="266">
        <v>0.15</v>
      </c>
      <c r="L84" s="135">
        <v>0</v>
      </c>
      <c r="M84" s="38" t="s">
        <v>373</v>
      </c>
      <c r="N84" s="269"/>
    </row>
    <row r="85" spans="1:14" s="67" customFormat="1" hidden="1" outlineLevel="1" x14ac:dyDescent="0.3">
      <c r="A85" s="512"/>
      <c r="B85" s="58"/>
      <c r="C85" s="272"/>
      <c r="D85" s="273"/>
      <c r="E85" s="272"/>
      <c r="F85" s="273"/>
      <c r="G85" s="272"/>
      <c r="H85" s="286"/>
      <c r="I85" s="273"/>
      <c r="J85" s="273"/>
      <c r="K85" s="267"/>
      <c r="L85" s="135"/>
      <c r="M85" s="7"/>
      <c r="N85" s="269"/>
    </row>
    <row r="86" spans="1:14" s="67" customFormat="1" hidden="1" outlineLevel="1" x14ac:dyDescent="0.3">
      <c r="A86" s="512"/>
      <c r="B86" s="58"/>
      <c r="C86" s="272"/>
      <c r="D86" s="273"/>
      <c r="E86" s="272"/>
      <c r="F86" s="273"/>
      <c r="G86" s="272"/>
      <c r="H86" s="286"/>
      <c r="I86" s="273"/>
      <c r="J86" s="273"/>
      <c r="K86" s="267"/>
      <c r="L86" s="135"/>
      <c r="M86" s="7"/>
      <c r="N86" s="269"/>
    </row>
    <row r="87" spans="1:14" s="67" customFormat="1" hidden="1" outlineLevel="1" x14ac:dyDescent="0.3">
      <c r="A87" s="512"/>
      <c r="B87" s="58"/>
      <c r="C87" s="272"/>
      <c r="D87" s="273"/>
      <c r="E87" s="272"/>
      <c r="F87" s="273"/>
      <c r="G87" s="272"/>
      <c r="H87" s="286"/>
      <c r="I87" s="273"/>
      <c r="J87" s="273"/>
      <c r="K87" s="267"/>
      <c r="L87" s="135"/>
      <c r="M87" s="7"/>
      <c r="N87" s="269"/>
    </row>
    <row r="88" spans="1:14" s="67" customFormat="1" collapsed="1" x14ac:dyDescent="0.3">
      <c r="A88" s="512"/>
      <c r="B88" s="97" t="s">
        <v>133</v>
      </c>
      <c r="C88" s="254">
        <v>1</v>
      </c>
      <c r="D88" s="158">
        <v>0</v>
      </c>
      <c r="E88" s="254">
        <v>1</v>
      </c>
      <c r="F88" s="158">
        <v>0</v>
      </c>
      <c r="G88" s="254">
        <v>1</v>
      </c>
      <c r="H88" s="287">
        <v>0</v>
      </c>
      <c r="I88" s="158">
        <v>1</v>
      </c>
      <c r="J88" s="158">
        <v>0</v>
      </c>
      <c r="K88" s="253">
        <f>IF(SUM(K85:K87)&gt;0,SUM(K85:K87)/COUNT(K85:K87),K84)</f>
        <v>0.15</v>
      </c>
      <c r="L88" s="136">
        <f>IF(SUM(L85:L87)&gt;0,SUM(L85:L87)/COUNT(L85:L87),L84)</f>
        <v>0</v>
      </c>
      <c r="M88" s="12"/>
      <c r="N88" s="269"/>
    </row>
    <row r="89" spans="1:14" s="28" customFormat="1" x14ac:dyDescent="0.3">
      <c r="A89" s="512"/>
      <c r="B89" s="89" t="s">
        <v>237</v>
      </c>
      <c r="C89" s="278">
        <v>1</v>
      </c>
      <c r="D89" s="279">
        <v>0</v>
      </c>
      <c r="E89" s="278">
        <v>1</v>
      </c>
      <c r="F89" s="279">
        <v>0</v>
      </c>
      <c r="G89" s="278">
        <v>1</v>
      </c>
      <c r="H89" s="288">
        <v>0</v>
      </c>
      <c r="I89" s="279">
        <v>1</v>
      </c>
      <c r="J89" s="279">
        <v>0</v>
      </c>
      <c r="K89" s="268">
        <v>0.05</v>
      </c>
      <c r="L89" s="139">
        <v>1.7000000000000001E-2</v>
      </c>
      <c r="M89" s="38" t="s">
        <v>373</v>
      </c>
      <c r="N89" s="269"/>
    </row>
    <row r="90" spans="1:14" s="67" customFormat="1" hidden="1" outlineLevel="1" x14ac:dyDescent="0.3">
      <c r="A90" s="512"/>
      <c r="B90" s="58"/>
      <c r="C90" s="272"/>
      <c r="D90" s="273"/>
      <c r="E90" s="272"/>
      <c r="F90" s="273"/>
      <c r="G90" s="272"/>
      <c r="H90" s="286"/>
      <c r="I90" s="273"/>
      <c r="J90" s="273"/>
      <c r="K90" s="252"/>
      <c r="L90" s="135"/>
      <c r="M90" s="7"/>
      <c r="N90" s="269"/>
    </row>
    <row r="91" spans="1:14" s="67" customFormat="1" hidden="1" outlineLevel="1" x14ac:dyDescent="0.3">
      <c r="A91" s="512"/>
      <c r="B91" s="58"/>
      <c r="C91" s="272"/>
      <c r="D91" s="273"/>
      <c r="E91" s="272"/>
      <c r="F91" s="273"/>
      <c r="G91" s="272"/>
      <c r="H91" s="286"/>
      <c r="I91" s="273"/>
      <c r="J91" s="273"/>
      <c r="K91" s="252"/>
      <c r="L91" s="191"/>
      <c r="M91" s="7"/>
      <c r="N91" s="269"/>
    </row>
    <row r="92" spans="1:14" s="67" customFormat="1" hidden="1" outlineLevel="1" x14ac:dyDescent="0.3">
      <c r="A92" s="512"/>
      <c r="B92" s="58"/>
      <c r="C92" s="272"/>
      <c r="D92" s="273"/>
      <c r="E92" s="272"/>
      <c r="F92" s="273"/>
      <c r="G92" s="272"/>
      <c r="H92" s="286"/>
      <c r="I92" s="273"/>
      <c r="J92" s="273"/>
      <c r="K92" s="252"/>
      <c r="L92" s="135"/>
      <c r="M92" s="7"/>
      <c r="N92" s="269"/>
    </row>
    <row r="93" spans="1:14" s="67" customFormat="1" collapsed="1" x14ac:dyDescent="0.3">
      <c r="A93" s="512"/>
      <c r="B93" s="97" t="s">
        <v>133</v>
      </c>
      <c r="C93" s="254">
        <v>1</v>
      </c>
      <c r="D93" s="158">
        <v>0</v>
      </c>
      <c r="E93" s="254">
        <v>1</v>
      </c>
      <c r="F93" s="158">
        <v>0</v>
      </c>
      <c r="G93" s="254">
        <v>1</v>
      </c>
      <c r="H93" s="287">
        <v>0</v>
      </c>
      <c r="I93" s="158">
        <v>1</v>
      </c>
      <c r="J93" s="158">
        <v>0</v>
      </c>
      <c r="K93" s="253">
        <f>IF(SUM(K90:K92)&gt;0,SUM(K90:K92)/COUNT(K90:K92),K89)</f>
        <v>0.05</v>
      </c>
      <c r="L93" s="190">
        <f>IF(SUM(L90:L92)&gt;0,SUM(L90:L92)/COUNT(L90:L92),L89)</f>
        <v>1.7000000000000001E-2</v>
      </c>
      <c r="M93" s="12"/>
      <c r="N93" s="269"/>
    </row>
    <row r="94" spans="1:14" s="28" customFormat="1" x14ac:dyDescent="0.3">
      <c r="A94" s="512"/>
      <c r="B94" s="11" t="s">
        <v>238</v>
      </c>
      <c r="C94" s="272">
        <v>1</v>
      </c>
      <c r="D94" s="273">
        <v>0</v>
      </c>
      <c r="E94" s="272">
        <v>1</v>
      </c>
      <c r="F94" s="273">
        <v>0</v>
      </c>
      <c r="G94" s="272">
        <v>1</v>
      </c>
      <c r="H94" s="286">
        <v>0</v>
      </c>
      <c r="I94" s="273">
        <v>1</v>
      </c>
      <c r="J94" s="273">
        <v>0</v>
      </c>
      <c r="K94" s="252">
        <v>0.2</v>
      </c>
      <c r="L94" s="135">
        <v>2.5000000000000001E-2</v>
      </c>
      <c r="M94" s="38" t="s">
        <v>373</v>
      </c>
      <c r="N94" s="269"/>
    </row>
    <row r="95" spans="1:14" s="67" customFormat="1" hidden="1" outlineLevel="1" x14ac:dyDescent="0.3">
      <c r="A95" s="512"/>
      <c r="B95" s="58"/>
      <c r="C95" s="272"/>
      <c r="D95" s="273"/>
      <c r="E95" s="272"/>
      <c r="F95" s="273"/>
      <c r="G95" s="272"/>
      <c r="H95" s="286"/>
      <c r="I95" s="273"/>
      <c r="J95" s="273"/>
      <c r="K95" s="252"/>
      <c r="L95" s="135"/>
      <c r="M95" s="7"/>
      <c r="N95" s="269"/>
    </row>
    <row r="96" spans="1:14" s="67" customFormat="1" hidden="1" outlineLevel="1" x14ac:dyDescent="0.3">
      <c r="A96" s="512"/>
      <c r="B96" s="58"/>
      <c r="C96" s="272"/>
      <c r="D96" s="273"/>
      <c r="E96" s="272"/>
      <c r="F96" s="273"/>
      <c r="G96" s="272"/>
      <c r="H96" s="286"/>
      <c r="I96" s="273"/>
      <c r="J96" s="273"/>
      <c r="K96" s="252"/>
      <c r="L96" s="135"/>
      <c r="M96" s="7"/>
      <c r="N96" s="269"/>
    </row>
    <row r="97" spans="1:14" s="67" customFormat="1" hidden="1" outlineLevel="1" x14ac:dyDescent="0.3">
      <c r="A97" s="512"/>
      <c r="B97" s="58"/>
      <c r="C97" s="272"/>
      <c r="D97" s="273"/>
      <c r="E97" s="272"/>
      <c r="F97" s="273"/>
      <c r="G97" s="272"/>
      <c r="H97" s="286"/>
      <c r="I97" s="273"/>
      <c r="J97" s="273"/>
      <c r="K97" s="252"/>
      <c r="L97" s="135"/>
      <c r="M97" s="7"/>
      <c r="N97" s="269"/>
    </row>
    <row r="98" spans="1:14" s="67" customFormat="1" collapsed="1" x14ac:dyDescent="0.3">
      <c r="A98" s="512"/>
      <c r="B98" s="97" t="s">
        <v>133</v>
      </c>
      <c r="C98" s="254">
        <v>1</v>
      </c>
      <c r="D98" s="158">
        <v>0</v>
      </c>
      <c r="E98" s="254">
        <v>1</v>
      </c>
      <c r="F98" s="158">
        <v>0</v>
      </c>
      <c r="G98" s="254">
        <v>1</v>
      </c>
      <c r="H98" s="287">
        <v>0</v>
      </c>
      <c r="I98" s="158">
        <v>1</v>
      </c>
      <c r="J98" s="158">
        <v>0</v>
      </c>
      <c r="K98" s="253">
        <f>IF(SUM(K95:K97)&gt;0,SUM(K95:K97)/COUNT(K95:K97),K94)</f>
        <v>0.2</v>
      </c>
      <c r="L98" s="136">
        <f>IF(SUM(L95:L97)&gt;0,SUM(L95:L97)/COUNT(L95:L97),L94)</f>
        <v>2.5000000000000001E-2</v>
      </c>
      <c r="M98" s="12"/>
      <c r="N98" s="269"/>
    </row>
    <row r="99" spans="1:14" s="67" customFormat="1" x14ac:dyDescent="0.3">
      <c r="A99" s="512"/>
      <c r="B99" s="11" t="s">
        <v>239</v>
      </c>
      <c r="C99" s="272">
        <v>1</v>
      </c>
      <c r="D99" s="273">
        <v>0</v>
      </c>
      <c r="E99" s="272">
        <v>1</v>
      </c>
      <c r="F99" s="273">
        <v>0</v>
      </c>
      <c r="G99" s="272">
        <v>1</v>
      </c>
      <c r="H99" s="286">
        <v>0</v>
      </c>
      <c r="I99" s="273">
        <v>1</v>
      </c>
      <c r="J99" s="273">
        <v>0</v>
      </c>
      <c r="K99" s="252">
        <v>0.2</v>
      </c>
      <c r="L99" s="135">
        <v>2.5000000000000001E-2</v>
      </c>
      <c r="M99" s="38" t="s">
        <v>373</v>
      </c>
      <c r="N99" s="269"/>
    </row>
    <row r="100" spans="1:14" s="67" customFormat="1" hidden="1" outlineLevel="1" x14ac:dyDescent="0.3">
      <c r="A100" s="512"/>
      <c r="B100" s="58"/>
      <c r="C100" s="272"/>
      <c r="D100" s="273"/>
      <c r="E100" s="272"/>
      <c r="F100" s="273"/>
      <c r="G100" s="272"/>
      <c r="H100" s="286"/>
      <c r="I100" s="273"/>
      <c r="J100" s="273"/>
      <c r="K100" s="252"/>
      <c r="L100" s="135"/>
      <c r="M100" s="7"/>
      <c r="N100" s="269"/>
    </row>
    <row r="101" spans="1:14" s="67" customFormat="1" hidden="1" outlineLevel="1" x14ac:dyDescent="0.3">
      <c r="A101" s="512"/>
      <c r="B101" s="58"/>
      <c r="C101" s="272"/>
      <c r="D101" s="273"/>
      <c r="E101" s="272"/>
      <c r="F101" s="273"/>
      <c r="G101" s="272"/>
      <c r="H101" s="286"/>
      <c r="I101" s="273"/>
      <c r="J101" s="273"/>
      <c r="K101" s="252"/>
      <c r="L101" s="135"/>
      <c r="M101" s="7"/>
      <c r="N101" s="269"/>
    </row>
    <row r="102" spans="1:14" s="67" customFormat="1" hidden="1" outlineLevel="1" x14ac:dyDescent="0.3">
      <c r="A102" s="512"/>
      <c r="B102" s="58"/>
      <c r="C102" s="272"/>
      <c r="D102" s="273"/>
      <c r="E102" s="272"/>
      <c r="F102" s="273"/>
      <c r="G102" s="272"/>
      <c r="H102" s="286"/>
      <c r="I102" s="273"/>
      <c r="J102" s="273"/>
      <c r="K102" s="252"/>
      <c r="L102" s="135"/>
      <c r="M102" s="7"/>
      <c r="N102" s="269"/>
    </row>
    <row r="103" spans="1:14" s="67" customFormat="1" ht="15" collapsed="1" thickBot="1" x14ac:dyDescent="0.35">
      <c r="A103" s="512"/>
      <c r="B103" s="97" t="s">
        <v>133</v>
      </c>
      <c r="C103" s="282">
        <v>1</v>
      </c>
      <c r="D103" s="283">
        <v>0</v>
      </c>
      <c r="E103" s="282">
        <v>1</v>
      </c>
      <c r="F103" s="283">
        <v>0</v>
      </c>
      <c r="G103" s="282">
        <v>1</v>
      </c>
      <c r="H103" s="289">
        <v>0</v>
      </c>
      <c r="I103" s="283">
        <v>1</v>
      </c>
      <c r="J103" s="283">
        <v>0</v>
      </c>
      <c r="K103" s="265">
        <f>IF(SUM(K100:K102)&gt;0,SUM(K100:K102)/COUNT(K100:K102),K99)</f>
        <v>0.2</v>
      </c>
      <c r="L103" s="134">
        <f>IF(SUM(L100:L102)&gt;0,SUM(L100:L102)/COUNT(L100:L102),L99)</f>
        <v>2.5000000000000001E-2</v>
      </c>
      <c r="M103" s="100"/>
      <c r="N103" s="269"/>
    </row>
    <row r="104" spans="1:14" ht="15" thickTop="1" x14ac:dyDescent="0.3"/>
    <row r="106" spans="1:14" x14ac:dyDescent="0.3">
      <c r="A106" s="54"/>
      <c r="B106" s="73"/>
    </row>
    <row r="107" spans="1:14" x14ac:dyDescent="0.3">
      <c r="A107" s="54"/>
      <c r="B107" s="73"/>
    </row>
    <row r="108" spans="1:14" x14ac:dyDescent="0.3">
      <c r="A108" s="54"/>
      <c r="B108" s="73"/>
    </row>
    <row r="109" spans="1:14" x14ac:dyDescent="0.3">
      <c r="A109" s="54"/>
      <c r="B109" s="73"/>
    </row>
    <row r="110" spans="1:14" x14ac:dyDescent="0.3">
      <c r="A110" s="54"/>
      <c r="B110" s="73"/>
    </row>
    <row r="111" spans="1:14" x14ac:dyDescent="0.3">
      <c r="A111" s="54"/>
      <c r="B111" s="73"/>
    </row>
    <row r="112" spans="1:14" x14ac:dyDescent="0.3">
      <c r="A112" s="54"/>
      <c r="B112" s="73"/>
    </row>
    <row r="113" spans="1:11" x14ac:dyDescent="0.3">
      <c r="A113" s="54"/>
      <c r="B113" s="73"/>
    </row>
    <row r="118" spans="1:11" x14ac:dyDescent="0.3">
      <c r="K118" s="123"/>
    </row>
  </sheetData>
  <mergeCells count="5">
    <mergeCell ref="C2:J2"/>
    <mergeCell ref="A4:A33"/>
    <mergeCell ref="A34:A53"/>
    <mergeCell ref="A74:A103"/>
    <mergeCell ref="A54:A7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51"/>
  <sheetViews>
    <sheetView zoomScale="75" zoomScaleNormal="75" workbookViewId="0">
      <pane xSplit="16" ySplit="3" topLeftCell="Q67" activePane="bottomRight" state="frozen"/>
      <selection pane="topRight" activeCell="R1" sqref="R1"/>
      <selection pane="bottomLeft" activeCell="A13" sqref="A13"/>
      <selection pane="bottomRight" activeCell="H95" sqref="H95"/>
    </sheetView>
  </sheetViews>
  <sheetFormatPr defaultColWidth="11.5546875" defaultRowHeight="14.4" x14ac:dyDescent="0.3"/>
  <cols>
    <col min="1" max="1" width="13.6640625" style="9" customWidth="1"/>
    <col min="2" max="2" width="8.6640625" style="119" customWidth="1"/>
    <col min="3" max="5" width="10" style="119" customWidth="1"/>
    <col min="6" max="6" width="14.77734375" style="119" customWidth="1"/>
    <col min="7" max="7" width="12.109375" style="119" customWidth="1"/>
    <col min="8" max="8" width="76.21875" style="8" customWidth="1"/>
    <col min="9" max="9" width="10.77734375" style="33" customWidth="1"/>
    <col min="10" max="10" width="9.77734375" style="40" customWidth="1"/>
    <col min="11" max="11" width="13.44140625" style="28" customWidth="1"/>
    <col min="12" max="12" width="10.33203125" style="28" customWidth="1"/>
    <col min="13" max="15" width="13.77734375" style="28" customWidth="1"/>
    <col min="16" max="16" width="24.21875" customWidth="1"/>
    <col min="17" max="17" width="11.5546875" style="11"/>
  </cols>
  <sheetData>
    <row r="1" spans="1:17" x14ac:dyDescent="0.3">
      <c r="A1" s="50" t="s">
        <v>281</v>
      </c>
      <c r="B1" s="290"/>
      <c r="C1" s="291"/>
      <c r="D1" s="291"/>
      <c r="E1" s="291"/>
      <c r="F1" s="291"/>
      <c r="G1" s="291"/>
      <c r="H1" s="45"/>
      <c r="I1" s="59"/>
      <c r="J1" s="55"/>
      <c r="K1" s="43"/>
      <c r="L1" s="43"/>
      <c r="M1" s="43"/>
      <c r="N1" s="43"/>
      <c r="O1" s="43"/>
      <c r="P1" s="47"/>
    </row>
    <row r="2" spans="1:17" s="28" customFormat="1" x14ac:dyDescent="0.3">
      <c r="B2" s="11"/>
      <c r="C2" s="524" t="s">
        <v>285</v>
      </c>
      <c r="D2" s="524"/>
      <c r="E2" s="524"/>
      <c r="F2" s="518" t="s">
        <v>284</v>
      </c>
      <c r="G2" s="518"/>
      <c r="H2" s="8"/>
      <c r="I2" s="24"/>
      <c r="J2" s="40"/>
      <c r="Q2" s="11"/>
    </row>
    <row r="3" spans="1:17" s="18" customFormat="1" ht="57.6" x14ac:dyDescent="0.3">
      <c r="A3" s="48"/>
      <c r="B3" s="292"/>
      <c r="C3" s="293" t="s">
        <v>0</v>
      </c>
      <c r="D3" s="293" t="s">
        <v>1</v>
      </c>
      <c r="E3" s="293" t="s">
        <v>2</v>
      </c>
      <c r="F3" s="293" t="s">
        <v>282</v>
      </c>
      <c r="G3" s="293" t="s">
        <v>283</v>
      </c>
      <c r="H3" s="49" t="s">
        <v>286</v>
      </c>
      <c r="I3" s="60" t="s">
        <v>287</v>
      </c>
      <c r="J3" s="49" t="s">
        <v>288</v>
      </c>
      <c r="K3" s="49" t="s">
        <v>289</v>
      </c>
      <c r="L3" s="49" t="s">
        <v>290</v>
      </c>
      <c r="M3" s="525" t="s">
        <v>321</v>
      </c>
      <c r="N3" s="525"/>
      <c r="O3" s="525"/>
      <c r="P3" s="525"/>
      <c r="Q3" s="315" t="s">
        <v>291</v>
      </c>
    </row>
    <row r="4" spans="1:17" s="28" customFormat="1" x14ac:dyDescent="0.3">
      <c r="A4" s="532" t="s">
        <v>196</v>
      </c>
      <c r="B4" s="522" t="s">
        <v>293</v>
      </c>
      <c r="C4" s="16">
        <v>0</v>
      </c>
      <c r="D4" s="16">
        <v>1</v>
      </c>
      <c r="E4" s="16">
        <v>0</v>
      </c>
      <c r="F4" s="16"/>
      <c r="G4" s="16"/>
      <c r="H4" s="8" t="s">
        <v>207</v>
      </c>
      <c r="I4" s="24" t="s">
        <v>306</v>
      </c>
      <c r="J4" s="40">
        <v>1176</v>
      </c>
      <c r="M4" s="28" t="s">
        <v>4</v>
      </c>
      <c r="Q4" s="11"/>
    </row>
    <row r="5" spans="1:17" s="28" customFormat="1" x14ac:dyDescent="0.3">
      <c r="A5" s="533"/>
      <c r="B5" s="522"/>
      <c r="C5" s="16">
        <v>0</v>
      </c>
      <c r="D5" s="16">
        <v>1</v>
      </c>
      <c r="E5" s="16">
        <v>0</v>
      </c>
      <c r="F5" s="16"/>
      <c r="G5" s="16"/>
      <c r="H5" s="70" t="s">
        <v>207</v>
      </c>
      <c r="I5" s="24" t="s">
        <v>306</v>
      </c>
      <c r="J5" s="40">
        <v>892.5</v>
      </c>
      <c r="M5" s="28" t="s">
        <v>24</v>
      </c>
      <c r="Q5" s="11"/>
    </row>
    <row r="6" spans="1:17" s="28" customFormat="1" x14ac:dyDescent="0.3">
      <c r="A6" s="533"/>
      <c r="B6" s="522"/>
      <c r="C6" s="16">
        <v>0</v>
      </c>
      <c r="D6" s="16">
        <v>1</v>
      </c>
      <c r="E6" s="16">
        <v>0</v>
      </c>
      <c r="F6" s="16"/>
      <c r="G6" s="16"/>
      <c r="H6" s="70" t="s">
        <v>207</v>
      </c>
      <c r="I6" s="24" t="s">
        <v>306</v>
      </c>
      <c r="J6" s="40">
        <v>1166.2</v>
      </c>
      <c r="M6" s="28" t="s">
        <v>29</v>
      </c>
      <c r="Q6" s="11"/>
    </row>
    <row r="7" spans="1:17" s="28" customFormat="1" x14ac:dyDescent="0.3">
      <c r="A7" s="533"/>
      <c r="B7" s="522"/>
      <c r="C7" s="16">
        <v>0</v>
      </c>
      <c r="D7" s="16">
        <v>1</v>
      </c>
      <c r="E7" s="16">
        <v>0</v>
      </c>
      <c r="F7" s="16"/>
      <c r="G7" s="16"/>
      <c r="H7" s="70" t="s">
        <v>207</v>
      </c>
      <c r="I7" s="24" t="s">
        <v>306</v>
      </c>
      <c r="J7" s="40">
        <v>490</v>
      </c>
      <c r="M7" s="28" t="s">
        <v>32</v>
      </c>
      <c r="Q7" s="11"/>
    </row>
    <row r="8" spans="1:17" s="28" customFormat="1" x14ac:dyDescent="0.3">
      <c r="A8" s="533"/>
      <c r="B8" s="522"/>
      <c r="C8" s="34">
        <v>0</v>
      </c>
      <c r="D8" s="34">
        <v>1</v>
      </c>
      <c r="E8" s="34">
        <v>0</v>
      </c>
      <c r="F8" s="34">
        <v>-1</v>
      </c>
      <c r="G8" s="34">
        <v>1</v>
      </c>
      <c r="H8" s="57" t="s">
        <v>133</v>
      </c>
      <c r="I8" s="24"/>
      <c r="J8" s="56">
        <f>SUM(J4:J7)/COUNT(J4:J7)</f>
        <v>931.17499999999995</v>
      </c>
      <c r="Q8" s="11"/>
    </row>
    <row r="9" spans="1:17" s="28" customFormat="1" x14ac:dyDescent="0.3">
      <c r="A9" s="533"/>
      <c r="B9" s="522"/>
      <c r="C9" s="16">
        <v>0</v>
      </c>
      <c r="D9" s="16">
        <v>1</v>
      </c>
      <c r="E9" s="16">
        <v>0</v>
      </c>
      <c r="F9" s="16"/>
      <c r="G9" s="16">
        <v>1</v>
      </c>
      <c r="H9" s="8" t="s">
        <v>208</v>
      </c>
      <c r="I9" s="24" t="s">
        <v>306</v>
      </c>
      <c r="J9" s="40">
        <v>1380</v>
      </c>
      <c r="M9" s="28" t="s">
        <v>4</v>
      </c>
      <c r="Q9" s="11"/>
    </row>
    <row r="10" spans="1:17" s="28" customFormat="1" x14ac:dyDescent="0.3">
      <c r="A10" s="533"/>
      <c r="B10" s="522"/>
      <c r="C10" s="16">
        <v>0</v>
      </c>
      <c r="D10" s="16">
        <v>1</v>
      </c>
      <c r="E10" s="16">
        <v>0</v>
      </c>
      <c r="F10" s="16"/>
      <c r="G10" s="16">
        <v>1</v>
      </c>
      <c r="H10" s="70" t="s">
        <v>208</v>
      </c>
      <c r="I10" s="24" t="s">
        <v>306</v>
      </c>
      <c r="J10" s="40">
        <v>1023.4</v>
      </c>
      <c r="M10" s="28" t="s">
        <v>23</v>
      </c>
      <c r="Q10" s="11"/>
    </row>
    <row r="11" spans="1:17" s="28" customFormat="1" x14ac:dyDescent="0.3">
      <c r="A11" s="533"/>
      <c r="B11" s="522"/>
      <c r="C11" s="16">
        <v>0</v>
      </c>
      <c r="D11" s="16">
        <v>1</v>
      </c>
      <c r="E11" s="16">
        <v>0</v>
      </c>
      <c r="F11" s="16"/>
      <c r="G11" s="16">
        <v>1</v>
      </c>
      <c r="H11" s="70" t="s">
        <v>208</v>
      </c>
      <c r="I11" s="24" t="s">
        <v>306</v>
      </c>
      <c r="J11" s="40">
        <v>1368.5</v>
      </c>
      <c r="M11" s="28" t="s">
        <v>27</v>
      </c>
      <c r="Q11" s="11"/>
    </row>
    <row r="12" spans="1:17" s="28" customFormat="1" x14ac:dyDescent="0.3">
      <c r="A12" s="533"/>
      <c r="B12" s="522"/>
      <c r="C12" s="16">
        <v>0</v>
      </c>
      <c r="D12" s="16">
        <v>1</v>
      </c>
      <c r="E12" s="16">
        <v>0</v>
      </c>
      <c r="F12" s="16"/>
      <c r="G12" s="16">
        <v>1</v>
      </c>
      <c r="H12" s="70" t="s">
        <v>208</v>
      </c>
      <c r="I12" s="24" t="s">
        <v>306</v>
      </c>
      <c r="J12" s="40">
        <v>860</v>
      </c>
      <c r="M12" s="28" t="s">
        <v>32</v>
      </c>
      <c r="Q12" s="11"/>
    </row>
    <row r="13" spans="1:17" s="28" customFormat="1" x14ac:dyDescent="0.3">
      <c r="A13" s="533"/>
      <c r="B13" s="522"/>
      <c r="C13" s="34">
        <v>0</v>
      </c>
      <c r="D13" s="34">
        <v>1</v>
      </c>
      <c r="E13" s="34">
        <v>0</v>
      </c>
      <c r="F13" s="34">
        <v>-1</v>
      </c>
      <c r="G13" s="34">
        <v>1</v>
      </c>
      <c r="H13" s="57" t="s">
        <v>133</v>
      </c>
      <c r="I13" s="24"/>
      <c r="J13" s="56">
        <f>SUM(J9:J12)/COUNT(J9:J12)</f>
        <v>1157.9749999999999</v>
      </c>
      <c r="Q13" s="11"/>
    </row>
    <row r="14" spans="1:17" s="28" customFormat="1" x14ac:dyDescent="0.3">
      <c r="A14" s="533"/>
      <c r="B14" s="522"/>
      <c r="C14" s="16">
        <v>1</v>
      </c>
      <c r="D14" s="16">
        <v>1</v>
      </c>
      <c r="E14" s="16">
        <v>1</v>
      </c>
      <c r="F14" s="16"/>
      <c r="G14" s="16">
        <v>1</v>
      </c>
      <c r="H14" s="8" t="s">
        <v>209</v>
      </c>
      <c r="I14" s="24" t="s">
        <v>306</v>
      </c>
      <c r="J14" s="40">
        <v>1524</v>
      </c>
      <c r="M14" s="28" t="s">
        <v>4</v>
      </c>
      <c r="Q14" s="11"/>
    </row>
    <row r="15" spans="1:17" s="28" customFormat="1" x14ac:dyDescent="0.3">
      <c r="A15" s="533"/>
      <c r="B15" s="522"/>
      <c r="C15" s="16">
        <v>1</v>
      </c>
      <c r="D15" s="16">
        <v>1</v>
      </c>
      <c r="E15" s="16">
        <v>1</v>
      </c>
      <c r="F15" s="16"/>
      <c r="G15" s="16">
        <v>1</v>
      </c>
      <c r="H15" s="70" t="s">
        <v>209</v>
      </c>
      <c r="I15" s="24" t="s">
        <v>306</v>
      </c>
      <c r="J15" s="40">
        <v>1149.54</v>
      </c>
      <c r="M15" s="44" t="s">
        <v>22</v>
      </c>
      <c r="Q15" s="11"/>
    </row>
    <row r="16" spans="1:17" s="28" customFormat="1" x14ac:dyDescent="0.3">
      <c r="A16" s="533"/>
      <c r="B16" s="522"/>
      <c r="C16" s="16">
        <v>1</v>
      </c>
      <c r="D16" s="16">
        <v>1</v>
      </c>
      <c r="E16" s="16">
        <v>1</v>
      </c>
      <c r="F16" s="16"/>
      <c r="G16" s="16">
        <v>1</v>
      </c>
      <c r="H16" s="70" t="s">
        <v>209</v>
      </c>
      <c r="I16" s="24" t="s">
        <v>306</v>
      </c>
      <c r="J16" s="40">
        <v>1511.3</v>
      </c>
      <c r="M16" s="28" t="s">
        <v>28</v>
      </c>
      <c r="Q16" s="11"/>
    </row>
    <row r="17" spans="1:17" s="28" customFormat="1" x14ac:dyDescent="0.3">
      <c r="A17" s="533"/>
      <c r="B17" s="522"/>
      <c r="C17" s="16">
        <v>1</v>
      </c>
      <c r="D17" s="16">
        <v>1</v>
      </c>
      <c r="E17" s="16">
        <v>1</v>
      </c>
      <c r="F17" s="16"/>
      <c r="G17" s="16">
        <v>1</v>
      </c>
      <c r="H17" s="70" t="s">
        <v>209</v>
      </c>
      <c r="I17" s="24" t="s">
        <v>306</v>
      </c>
      <c r="J17" s="40">
        <v>934</v>
      </c>
      <c r="M17" s="28" t="s">
        <v>30</v>
      </c>
      <c r="Q17" s="11"/>
    </row>
    <row r="18" spans="1:17" s="28" customFormat="1" x14ac:dyDescent="0.3">
      <c r="A18" s="533"/>
      <c r="B18" s="522"/>
      <c r="C18" s="34">
        <v>1</v>
      </c>
      <c r="D18" s="34">
        <v>1</v>
      </c>
      <c r="E18" s="34">
        <v>1</v>
      </c>
      <c r="F18" s="34">
        <v>-1</v>
      </c>
      <c r="G18" s="34">
        <v>1</v>
      </c>
      <c r="H18" s="57" t="s">
        <v>133</v>
      </c>
      <c r="I18" s="24"/>
      <c r="J18" s="56">
        <f>SUM(J14:J17)/COUNT(J14:J17)</f>
        <v>1279.71</v>
      </c>
      <c r="Q18" s="11"/>
    </row>
    <row r="19" spans="1:17" s="28" customFormat="1" x14ac:dyDescent="0.3">
      <c r="A19" s="533"/>
      <c r="B19" s="522"/>
      <c r="C19" s="16">
        <v>1</v>
      </c>
      <c r="D19" s="16">
        <v>1</v>
      </c>
      <c r="E19" s="16">
        <v>1</v>
      </c>
      <c r="F19" s="16"/>
      <c r="G19" s="16">
        <v>1</v>
      </c>
      <c r="H19" s="8" t="s">
        <v>210</v>
      </c>
      <c r="I19" s="24" t="s">
        <v>306</v>
      </c>
      <c r="J19" s="40">
        <v>796.11</v>
      </c>
      <c r="M19" s="28" t="s">
        <v>5</v>
      </c>
      <c r="Q19" s="11"/>
    </row>
    <row r="20" spans="1:17" s="28" customFormat="1" x14ac:dyDescent="0.3">
      <c r="A20" s="533"/>
      <c r="B20" s="522"/>
      <c r="C20" s="16">
        <v>1</v>
      </c>
      <c r="D20" s="16">
        <v>1</v>
      </c>
      <c r="E20" s="16">
        <v>1</v>
      </c>
      <c r="F20" s="16"/>
      <c r="G20" s="16">
        <v>1</v>
      </c>
      <c r="H20" s="70" t="s">
        <v>210</v>
      </c>
      <c r="I20" s="24" t="s">
        <v>306</v>
      </c>
      <c r="J20" s="40">
        <v>574</v>
      </c>
      <c r="M20" s="28" t="s">
        <v>30</v>
      </c>
      <c r="Q20" s="11"/>
    </row>
    <row r="21" spans="1:17" s="28" customFormat="1" x14ac:dyDescent="0.3">
      <c r="A21" s="533"/>
      <c r="B21" s="522"/>
      <c r="C21" s="16">
        <v>1</v>
      </c>
      <c r="D21" s="16">
        <v>1</v>
      </c>
      <c r="E21" s="16">
        <v>1</v>
      </c>
      <c r="F21" s="16"/>
      <c r="G21" s="16">
        <v>1</v>
      </c>
      <c r="H21" s="70" t="s">
        <v>210</v>
      </c>
      <c r="I21" s="24" t="s">
        <v>306</v>
      </c>
      <c r="J21" s="40">
        <v>669</v>
      </c>
      <c r="M21" s="28" t="s">
        <v>32</v>
      </c>
      <c r="Q21" s="11"/>
    </row>
    <row r="22" spans="1:17" s="28" customFormat="1" x14ac:dyDescent="0.3">
      <c r="A22" s="533"/>
      <c r="B22" s="522"/>
      <c r="C22" s="16">
        <v>1</v>
      </c>
      <c r="D22" s="16">
        <v>1</v>
      </c>
      <c r="E22" s="16">
        <v>1</v>
      </c>
      <c r="F22" s="16"/>
      <c r="G22" s="16">
        <v>1</v>
      </c>
      <c r="H22" s="70" t="s">
        <v>210</v>
      </c>
      <c r="I22" s="24" t="s">
        <v>306</v>
      </c>
      <c r="J22" s="40">
        <v>1162.79</v>
      </c>
      <c r="M22" s="28" t="s">
        <v>31</v>
      </c>
      <c r="Q22" s="11"/>
    </row>
    <row r="23" spans="1:17" s="28" customFormat="1" x14ac:dyDescent="0.3">
      <c r="A23" s="533"/>
      <c r="B23" s="522"/>
      <c r="C23" s="34">
        <v>1</v>
      </c>
      <c r="D23" s="34">
        <v>1</v>
      </c>
      <c r="E23" s="34">
        <v>1</v>
      </c>
      <c r="F23" s="34">
        <v>-1</v>
      </c>
      <c r="G23" s="34">
        <v>1</v>
      </c>
      <c r="H23" s="57" t="s">
        <v>133</v>
      </c>
      <c r="I23" s="24"/>
      <c r="J23" s="56">
        <f>SUM(J19:J22)/COUNT(J19:J22)</f>
        <v>800.47500000000002</v>
      </c>
      <c r="Q23" s="11"/>
    </row>
    <row r="24" spans="1:17" s="28" customFormat="1" ht="28.8" customHeight="1" x14ac:dyDescent="0.3">
      <c r="A24" s="533"/>
      <c r="B24" s="523" t="s">
        <v>294</v>
      </c>
      <c r="C24" s="16">
        <v>0</v>
      </c>
      <c r="D24" s="16">
        <v>1</v>
      </c>
      <c r="E24" s="16">
        <v>0</v>
      </c>
      <c r="F24" s="16"/>
      <c r="G24" s="16">
        <v>0</v>
      </c>
      <c r="H24" s="8" t="s">
        <v>307</v>
      </c>
      <c r="I24" s="24" t="s">
        <v>306</v>
      </c>
      <c r="J24" s="26">
        <f>5712-J8-J13-J18</f>
        <v>2343.14</v>
      </c>
      <c r="M24" s="28" t="s">
        <v>21</v>
      </c>
      <c r="Q24" s="11"/>
    </row>
    <row r="25" spans="1:17" s="28" customFormat="1" ht="28.8" x14ac:dyDescent="0.3">
      <c r="A25" s="533"/>
      <c r="B25" s="523"/>
      <c r="C25" s="16">
        <v>0</v>
      </c>
      <c r="D25" s="16">
        <v>1</v>
      </c>
      <c r="E25" s="16">
        <v>0</v>
      </c>
      <c r="F25" s="16"/>
      <c r="G25" s="16">
        <v>0</v>
      </c>
      <c r="H25" s="8" t="s">
        <v>308</v>
      </c>
      <c r="I25" s="24" t="s">
        <v>306</v>
      </c>
      <c r="J25" s="26">
        <f>4527-J8-J13-J18</f>
        <v>1158.1399999999999</v>
      </c>
      <c r="M25" s="44" t="s">
        <v>25</v>
      </c>
      <c r="Q25" s="11"/>
    </row>
    <row r="26" spans="1:17" s="28" customFormat="1" ht="28.8" x14ac:dyDescent="0.3">
      <c r="A26" s="533"/>
      <c r="B26" s="523"/>
      <c r="C26" s="16">
        <v>0</v>
      </c>
      <c r="D26" s="16">
        <v>1</v>
      </c>
      <c r="E26" s="16">
        <v>0</v>
      </c>
      <c r="F26" s="16"/>
      <c r="G26" s="16">
        <v>0</v>
      </c>
      <c r="H26" s="8" t="s">
        <v>309</v>
      </c>
      <c r="I26" s="24" t="s">
        <v>306</v>
      </c>
      <c r="J26" s="26">
        <f>6152.3-J8-J13-J18</f>
        <v>2783.44</v>
      </c>
      <c r="M26" s="28" t="s">
        <v>26</v>
      </c>
      <c r="Q26" s="11"/>
    </row>
    <row r="27" spans="1:17" s="28" customFormat="1" ht="28.8" x14ac:dyDescent="0.3">
      <c r="A27" s="533"/>
      <c r="B27" s="523"/>
      <c r="C27" s="16">
        <v>0</v>
      </c>
      <c r="D27" s="16">
        <v>1</v>
      </c>
      <c r="E27" s="16">
        <v>0</v>
      </c>
      <c r="F27" s="16"/>
      <c r="G27" s="16">
        <v>0</v>
      </c>
      <c r="H27" s="8" t="s">
        <v>310</v>
      </c>
      <c r="I27" s="24" t="s">
        <v>306</v>
      </c>
      <c r="J27" s="26">
        <f>3450-J8</f>
        <v>2518.8249999999998</v>
      </c>
      <c r="M27" s="28" t="s">
        <v>30</v>
      </c>
      <c r="Q27" s="11"/>
    </row>
    <row r="28" spans="1:17" s="28" customFormat="1" x14ac:dyDescent="0.3">
      <c r="A28" s="533"/>
      <c r="B28" s="523"/>
      <c r="C28" s="34">
        <v>0</v>
      </c>
      <c r="D28" s="34">
        <v>1</v>
      </c>
      <c r="E28" s="34">
        <v>0</v>
      </c>
      <c r="F28" s="34">
        <v>-1</v>
      </c>
      <c r="G28" s="34">
        <v>1</v>
      </c>
      <c r="H28" s="57" t="s">
        <v>133</v>
      </c>
      <c r="I28" s="24"/>
      <c r="J28" s="56">
        <f>SUM(J24:J27)/COUNT(J24:J27)</f>
        <v>2200.8862499999996</v>
      </c>
      <c r="Q28" s="11"/>
    </row>
    <row r="29" spans="1:17" s="28" customFormat="1" x14ac:dyDescent="0.3">
      <c r="A29" s="533"/>
      <c r="B29" s="522" t="s">
        <v>212</v>
      </c>
      <c r="C29" s="16">
        <v>0</v>
      </c>
      <c r="D29" s="16">
        <v>1</v>
      </c>
      <c r="E29" s="16">
        <v>0</v>
      </c>
      <c r="F29" s="16"/>
      <c r="G29" s="16">
        <v>1</v>
      </c>
      <c r="H29" s="8" t="s">
        <v>311</v>
      </c>
      <c r="I29" s="24" t="s">
        <v>306</v>
      </c>
      <c r="J29" s="40">
        <v>825.87</v>
      </c>
      <c r="M29" s="28" t="s">
        <v>6</v>
      </c>
      <c r="Q29" s="11" t="s">
        <v>15</v>
      </c>
    </row>
    <row r="30" spans="1:17" s="28" customFormat="1" ht="43.2" x14ac:dyDescent="0.3">
      <c r="A30" s="533"/>
      <c r="B30" s="522"/>
      <c r="C30" s="16">
        <v>0</v>
      </c>
      <c r="D30" s="16">
        <v>1</v>
      </c>
      <c r="E30" s="16">
        <v>0</v>
      </c>
      <c r="F30" s="16"/>
      <c r="G30" s="16">
        <v>1</v>
      </c>
      <c r="H30" s="8" t="s">
        <v>312</v>
      </c>
      <c r="I30" s="24" t="s">
        <v>306</v>
      </c>
      <c r="J30" s="40">
        <v>535</v>
      </c>
      <c r="M30" s="28" t="s">
        <v>30</v>
      </c>
      <c r="Q30" s="11"/>
    </row>
    <row r="31" spans="1:17" s="28" customFormat="1" ht="28.8" x14ac:dyDescent="0.3">
      <c r="A31" s="533"/>
      <c r="B31" s="522"/>
      <c r="C31" s="16">
        <v>0</v>
      </c>
      <c r="D31" s="16">
        <v>1</v>
      </c>
      <c r="E31" s="16">
        <v>0</v>
      </c>
      <c r="F31" s="16"/>
      <c r="G31" s="16">
        <v>1</v>
      </c>
      <c r="H31" s="8" t="s">
        <v>313</v>
      </c>
      <c r="I31" s="24" t="s">
        <v>306</v>
      </c>
      <c r="J31" s="40">
        <v>707</v>
      </c>
      <c r="M31" s="28" t="s">
        <v>32</v>
      </c>
      <c r="Q31" s="11"/>
    </row>
    <row r="32" spans="1:17" s="28" customFormat="1" ht="28.8" x14ac:dyDescent="0.3">
      <c r="A32" s="533"/>
      <c r="B32" s="522"/>
      <c r="C32" s="16">
        <v>0</v>
      </c>
      <c r="D32" s="16">
        <v>1</v>
      </c>
      <c r="E32" s="16">
        <v>0</v>
      </c>
      <c r="F32" s="16"/>
      <c r="G32" s="16">
        <v>1</v>
      </c>
      <c r="H32" s="8" t="s">
        <v>314</v>
      </c>
      <c r="I32" s="24" t="s">
        <v>306</v>
      </c>
      <c r="J32" s="40">
        <v>1433.64</v>
      </c>
      <c r="M32" s="28" t="s">
        <v>33</v>
      </c>
      <c r="Q32" s="11"/>
    </row>
    <row r="33" spans="1:19" s="28" customFormat="1" x14ac:dyDescent="0.3">
      <c r="A33" s="533"/>
      <c r="B33" s="521"/>
      <c r="C33" s="34">
        <v>0</v>
      </c>
      <c r="D33" s="34">
        <v>1</v>
      </c>
      <c r="E33" s="34">
        <v>0</v>
      </c>
      <c r="F33" s="34">
        <v>-1</v>
      </c>
      <c r="G33" s="34">
        <v>1</v>
      </c>
      <c r="H33" s="57" t="s">
        <v>133</v>
      </c>
      <c r="I33" s="62"/>
      <c r="J33" s="56">
        <f>SUM(J29:J32)/COUNT(J29:J32)</f>
        <v>875.37750000000005</v>
      </c>
      <c r="Q33" s="11"/>
    </row>
    <row r="34" spans="1:19" s="37" customFormat="1" ht="43.2" x14ac:dyDescent="0.3">
      <c r="A34" s="533"/>
      <c r="B34" s="519" t="s">
        <v>295</v>
      </c>
      <c r="C34" s="116">
        <v>1</v>
      </c>
      <c r="D34" s="116">
        <v>0</v>
      </c>
      <c r="E34" s="116">
        <v>0</v>
      </c>
      <c r="F34" s="116"/>
      <c r="G34" s="116">
        <v>0</v>
      </c>
      <c r="H34" s="52" t="s">
        <v>315</v>
      </c>
      <c r="I34" s="24" t="s">
        <v>306</v>
      </c>
      <c r="J34" s="51">
        <f>11305+150</f>
        <v>11455</v>
      </c>
      <c r="L34" s="37">
        <v>150</v>
      </c>
      <c r="M34" s="174" t="s">
        <v>14</v>
      </c>
      <c r="Q34" s="316"/>
    </row>
    <row r="35" spans="1:19" s="28" customFormat="1" ht="43.2" x14ac:dyDescent="0.3">
      <c r="A35" s="533"/>
      <c r="B35" s="520"/>
      <c r="C35" s="16">
        <v>1</v>
      </c>
      <c r="D35" s="16">
        <v>0</v>
      </c>
      <c r="E35" s="16">
        <v>0</v>
      </c>
      <c r="F35" s="16"/>
      <c r="G35" s="16">
        <v>0</v>
      </c>
      <c r="H35" s="8" t="s">
        <v>316</v>
      </c>
      <c r="I35" s="24" t="s">
        <v>306</v>
      </c>
      <c r="J35" s="40">
        <v>21887</v>
      </c>
      <c r="L35" s="28">
        <v>150</v>
      </c>
      <c r="M35" s="44" t="s">
        <v>15</v>
      </c>
      <c r="Q35" s="11"/>
    </row>
    <row r="36" spans="1:19" s="28" customFormat="1" x14ac:dyDescent="0.3">
      <c r="A36" s="533"/>
      <c r="B36" s="520"/>
      <c r="C36" s="16">
        <v>1</v>
      </c>
      <c r="D36" s="16">
        <v>0</v>
      </c>
      <c r="E36" s="16">
        <v>0</v>
      </c>
      <c r="F36" s="16"/>
      <c r="G36" s="16">
        <v>0</v>
      </c>
      <c r="H36" s="8" t="s">
        <v>317</v>
      </c>
      <c r="I36" s="24" t="s">
        <v>306</v>
      </c>
      <c r="J36" s="40">
        <v>20500</v>
      </c>
      <c r="L36" s="28">
        <v>150</v>
      </c>
      <c r="M36" s="44" t="s">
        <v>15</v>
      </c>
      <c r="Q36" s="11"/>
    </row>
    <row r="37" spans="1:19" s="28" customFormat="1" x14ac:dyDescent="0.3">
      <c r="A37" s="533"/>
      <c r="B37" s="520"/>
      <c r="C37" s="16">
        <v>1</v>
      </c>
      <c r="D37" s="16">
        <v>0</v>
      </c>
      <c r="E37" s="16">
        <v>0</v>
      </c>
      <c r="F37" s="16"/>
      <c r="G37" s="16">
        <v>0</v>
      </c>
      <c r="H37" s="8" t="s">
        <v>318</v>
      </c>
      <c r="I37" s="24" t="s">
        <v>306</v>
      </c>
      <c r="J37" s="40">
        <v>17300</v>
      </c>
      <c r="L37" s="28">
        <v>150</v>
      </c>
      <c r="M37" s="28" t="s">
        <v>15</v>
      </c>
      <c r="Q37" s="11"/>
    </row>
    <row r="38" spans="1:19" s="28" customFormat="1" ht="43.2" x14ac:dyDescent="0.3">
      <c r="A38" s="533"/>
      <c r="B38" s="520"/>
      <c r="C38" s="16">
        <v>1</v>
      </c>
      <c r="D38" s="16">
        <v>0</v>
      </c>
      <c r="E38" s="16">
        <v>0</v>
      </c>
      <c r="F38" s="16"/>
      <c r="G38" s="16">
        <v>0</v>
      </c>
      <c r="H38" s="8" t="s">
        <v>319</v>
      </c>
      <c r="I38" s="24" t="s">
        <v>306</v>
      </c>
      <c r="J38" s="40">
        <v>11300</v>
      </c>
      <c r="L38" s="28">
        <v>150</v>
      </c>
      <c r="M38" s="44" t="s">
        <v>19</v>
      </c>
      <c r="Q38" s="11"/>
    </row>
    <row r="39" spans="1:19" s="28" customFormat="1" ht="57.6" x14ac:dyDescent="0.3">
      <c r="A39" s="533"/>
      <c r="B39" s="520"/>
      <c r="C39" s="16">
        <v>1</v>
      </c>
      <c r="D39" s="16">
        <v>0</v>
      </c>
      <c r="E39" s="16">
        <v>0</v>
      </c>
      <c r="F39" s="16"/>
      <c r="G39" s="16">
        <v>0</v>
      </c>
      <c r="H39" s="8" t="s">
        <v>320</v>
      </c>
      <c r="I39" s="24" t="s">
        <v>306</v>
      </c>
      <c r="J39" s="40">
        <f>11880+1800</f>
        <v>13680</v>
      </c>
      <c r="L39" s="28">
        <v>150</v>
      </c>
      <c r="M39" s="44" t="s">
        <v>17</v>
      </c>
      <c r="Q39" s="11"/>
    </row>
    <row r="40" spans="1:19" s="28" customFormat="1" x14ac:dyDescent="0.3">
      <c r="A40" s="533"/>
      <c r="B40" s="521"/>
      <c r="C40" s="34">
        <v>1</v>
      </c>
      <c r="D40" s="34">
        <v>0</v>
      </c>
      <c r="E40" s="34">
        <v>0</v>
      </c>
      <c r="F40" s="34">
        <v>-1</v>
      </c>
      <c r="G40" s="34">
        <v>1</v>
      </c>
      <c r="H40" s="57" t="s">
        <v>133</v>
      </c>
      <c r="I40" s="24"/>
      <c r="J40" s="41">
        <f>SUM(J34:J39)/COUNT(J34:J39)</f>
        <v>16020.333333333334</v>
      </c>
      <c r="L40" s="3">
        <f>SUM(L34:L39)/COUNT(L34:L39)</f>
        <v>150</v>
      </c>
      <c r="Q40" s="11"/>
    </row>
    <row r="41" spans="1:19" s="37" customFormat="1" ht="72" x14ac:dyDescent="0.3">
      <c r="A41" s="533"/>
      <c r="B41" s="519" t="s">
        <v>299</v>
      </c>
      <c r="C41" s="116"/>
      <c r="D41" s="116">
        <v>1</v>
      </c>
      <c r="E41" s="116"/>
      <c r="F41" s="116"/>
      <c r="G41" s="116"/>
      <c r="H41" s="52" t="s">
        <v>322</v>
      </c>
      <c r="I41" s="61" t="s">
        <v>306</v>
      </c>
      <c r="J41" s="51">
        <f>6188+150</f>
        <v>6338</v>
      </c>
      <c r="L41" s="37">
        <v>150</v>
      </c>
      <c r="M41" s="37" t="s">
        <v>11</v>
      </c>
      <c r="Q41" s="316"/>
      <c r="R41" s="53"/>
      <c r="S41" s="174" t="s">
        <v>13</v>
      </c>
    </row>
    <row r="42" spans="1:19" s="28" customFormat="1" x14ac:dyDescent="0.3">
      <c r="A42" s="533"/>
      <c r="B42" s="520"/>
      <c r="C42" s="16"/>
      <c r="D42" s="16">
        <v>1</v>
      </c>
      <c r="E42" s="16"/>
      <c r="F42" s="16"/>
      <c r="G42" s="16"/>
      <c r="H42" s="8" t="s">
        <v>323</v>
      </c>
      <c r="I42" s="24" t="s">
        <v>306</v>
      </c>
      <c r="J42" s="40">
        <f>6295+150</f>
        <v>6445</v>
      </c>
      <c r="L42" s="28">
        <v>150</v>
      </c>
      <c r="M42" s="28" t="s">
        <v>12</v>
      </c>
      <c r="Q42" s="11"/>
    </row>
    <row r="43" spans="1:19" s="28" customFormat="1" ht="28.8" x14ac:dyDescent="0.3">
      <c r="A43" s="533"/>
      <c r="B43" s="520"/>
      <c r="C43" s="16"/>
      <c r="D43" s="16">
        <v>1</v>
      </c>
      <c r="E43" s="16"/>
      <c r="F43" s="16"/>
      <c r="G43" s="16"/>
      <c r="H43" s="8" t="s">
        <v>324</v>
      </c>
      <c r="I43" s="24" t="s">
        <v>306</v>
      </c>
      <c r="J43" s="40">
        <v>6188</v>
      </c>
      <c r="L43" s="28">
        <v>150</v>
      </c>
      <c r="M43" s="28" t="s">
        <v>16</v>
      </c>
      <c r="Q43" s="11"/>
    </row>
    <row r="44" spans="1:19" s="28" customFormat="1" ht="28.8" x14ac:dyDescent="0.3">
      <c r="A44" s="533"/>
      <c r="B44" s="520"/>
      <c r="C44" s="16"/>
      <c r="D44" s="16">
        <v>1</v>
      </c>
      <c r="E44" s="16"/>
      <c r="F44" s="16"/>
      <c r="G44" s="16"/>
      <c r="H44" s="8" t="s">
        <v>325</v>
      </c>
      <c r="I44" s="24" t="s">
        <v>306</v>
      </c>
      <c r="J44" s="40">
        <v>13068</v>
      </c>
      <c r="L44" s="28">
        <v>150</v>
      </c>
      <c r="M44" s="28" t="s">
        <v>18</v>
      </c>
      <c r="Q44" s="11"/>
    </row>
    <row r="45" spans="1:19" s="28" customFormat="1" ht="57.6" x14ac:dyDescent="0.3">
      <c r="A45" s="533"/>
      <c r="B45" s="520"/>
      <c r="C45" s="16"/>
      <c r="D45" s="16">
        <v>1</v>
      </c>
      <c r="E45" s="16"/>
      <c r="F45" s="16"/>
      <c r="G45" s="16"/>
      <c r="H45" s="8" t="s">
        <v>326</v>
      </c>
      <c r="I45" s="24" t="s">
        <v>306</v>
      </c>
      <c r="J45" s="40">
        <v>6545</v>
      </c>
      <c r="L45" s="28">
        <v>150</v>
      </c>
      <c r="M45" s="44" t="s">
        <v>20</v>
      </c>
      <c r="Q45" s="11"/>
    </row>
    <row r="46" spans="1:19" s="12" customFormat="1" x14ac:dyDescent="0.3">
      <c r="A46" s="533"/>
      <c r="B46" s="521"/>
      <c r="C46" s="117"/>
      <c r="D46" s="117">
        <v>1</v>
      </c>
      <c r="E46" s="117"/>
      <c r="F46" s="117">
        <v>-1</v>
      </c>
      <c r="G46" s="117">
        <v>1</v>
      </c>
      <c r="H46" s="57" t="s">
        <v>133</v>
      </c>
      <c r="I46" s="62"/>
      <c r="J46" s="31">
        <f>SUM(J41:J45)/COUNT(J41:J45)</f>
        <v>7716.8</v>
      </c>
      <c r="L46" s="10">
        <f>SUM(L41:L45)/COUNT(L41:L45)</f>
        <v>150</v>
      </c>
      <c r="Q46" s="295"/>
    </row>
    <row r="47" spans="1:19" s="7" customFormat="1" ht="14.4" customHeight="1" x14ac:dyDescent="0.3">
      <c r="A47" s="533"/>
      <c r="B47" s="529" t="s">
        <v>300</v>
      </c>
      <c r="C47" s="116">
        <v>1</v>
      </c>
      <c r="D47" s="116"/>
      <c r="E47" s="116">
        <v>0</v>
      </c>
      <c r="F47" s="116"/>
      <c r="G47" s="116">
        <v>1</v>
      </c>
      <c r="H47" s="426" t="s">
        <v>327</v>
      </c>
      <c r="I47" s="427">
        <v>11</v>
      </c>
      <c r="J47" s="428">
        <v>70000</v>
      </c>
      <c r="K47" s="37"/>
      <c r="L47" s="115"/>
      <c r="M47" s="68"/>
      <c r="Q47" s="317"/>
    </row>
    <row r="48" spans="1:19" s="7" customFormat="1" x14ac:dyDescent="0.3">
      <c r="A48" s="533"/>
      <c r="B48" s="530"/>
      <c r="C48" s="35">
        <v>1</v>
      </c>
      <c r="D48" s="35"/>
      <c r="E48" s="35">
        <v>0</v>
      </c>
      <c r="F48" s="35"/>
      <c r="G48" s="35">
        <v>1</v>
      </c>
      <c r="H48" s="426" t="s">
        <v>328</v>
      </c>
      <c r="I48" s="320">
        <v>45</v>
      </c>
      <c r="J48" s="321">
        <v>90000</v>
      </c>
      <c r="L48" s="14"/>
      <c r="M48" s="68"/>
      <c r="Q48" s="317"/>
    </row>
    <row r="49" spans="1:17" s="7" customFormat="1" x14ac:dyDescent="0.3">
      <c r="A49" s="533"/>
      <c r="B49" s="531"/>
      <c r="C49" s="118">
        <v>1</v>
      </c>
      <c r="D49" s="118"/>
      <c r="E49" s="118">
        <v>0</v>
      </c>
      <c r="F49" s="118">
        <v>-1</v>
      </c>
      <c r="G49" s="118">
        <v>1</v>
      </c>
      <c r="H49" s="424" t="s">
        <v>329</v>
      </c>
      <c r="I49" s="425">
        <v>90</v>
      </c>
      <c r="J49" s="423">
        <v>110000</v>
      </c>
      <c r="K49" s="12"/>
      <c r="L49" s="10"/>
      <c r="M49" s="318"/>
      <c r="N49" s="12"/>
      <c r="O49" s="12"/>
      <c r="P49" s="12"/>
      <c r="Q49" s="317"/>
    </row>
    <row r="50" spans="1:17" s="7" customFormat="1" ht="14.4" customHeight="1" x14ac:dyDescent="0.3">
      <c r="A50" s="533"/>
      <c r="B50" s="537" t="s">
        <v>301</v>
      </c>
      <c r="C50" s="35">
        <v>-1</v>
      </c>
      <c r="D50" s="35"/>
      <c r="E50" s="35"/>
      <c r="F50" s="35">
        <v>1</v>
      </c>
      <c r="G50" s="35"/>
      <c r="H50" s="375" t="s">
        <v>327</v>
      </c>
      <c r="I50" s="416">
        <v>90</v>
      </c>
      <c r="J50" s="417">
        <f>'Result_Lock-in-effect'!X53</f>
        <v>11811.160064000003</v>
      </c>
      <c r="K50" s="317"/>
      <c r="L50" s="14"/>
      <c r="M50" s="327" t="s">
        <v>340</v>
      </c>
      <c r="Q50" s="317"/>
    </row>
    <row r="51" spans="1:17" s="7" customFormat="1" x14ac:dyDescent="0.3">
      <c r="A51" s="533"/>
      <c r="B51" s="538"/>
      <c r="C51" s="35"/>
      <c r="D51" s="35"/>
      <c r="E51" s="35"/>
      <c r="F51" s="35"/>
      <c r="G51" s="35"/>
      <c r="H51" s="319"/>
      <c r="I51" s="320"/>
      <c r="J51" s="321"/>
      <c r="K51" s="317"/>
      <c r="L51" s="14"/>
      <c r="M51" s="39"/>
      <c r="Q51" s="317"/>
    </row>
    <row r="52" spans="1:17" s="7" customFormat="1" x14ac:dyDescent="0.3">
      <c r="A52" s="533"/>
      <c r="B52" s="538"/>
      <c r="C52" s="35"/>
      <c r="D52" s="35"/>
      <c r="E52" s="35"/>
      <c r="F52" s="35"/>
      <c r="G52" s="35"/>
      <c r="H52" s="319"/>
      <c r="I52" s="320"/>
      <c r="J52" s="321"/>
      <c r="K52" s="317"/>
      <c r="L52" s="14"/>
      <c r="M52" s="39"/>
      <c r="Q52" s="317"/>
    </row>
    <row r="53" spans="1:17" s="7" customFormat="1" x14ac:dyDescent="0.3">
      <c r="A53" s="533"/>
      <c r="B53" s="538"/>
      <c r="C53" s="35"/>
      <c r="D53" s="35"/>
      <c r="E53" s="35"/>
      <c r="F53" s="35"/>
      <c r="G53" s="35"/>
      <c r="H53" s="319"/>
      <c r="I53" s="320"/>
      <c r="J53" s="321"/>
      <c r="K53" s="317"/>
      <c r="L53" s="14"/>
      <c r="M53" s="39"/>
      <c r="Q53" s="317"/>
    </row>
    <row r="54" spans="1:17" s="7" customFormat="1" x14ac:dyDescent="0.3">
      <c r="A54" s="533"/>
      <c r="B54" s="538"/>
      <c r="C54" s="35"/>
      <c r="D54" s="35"/>
      <c r="E54" s="35"/>
      <c r="F54" s="35"/>
      <c r="G54" s="35"/>
      <c r="H54" s="319"/>
      <c r="I54" s="320"/>
      <c r="J54" s="321"/>
      <c r="K54" s="317"/>
      <c r="L54" s="14"/>
      <c r="M54" s="39"/>
      <c r="Q54" s="317"/>
    </row>
    <row r="55" spans="1:17" s="7" customFormat="1" x14ac:dyDescent="0.3">
      <c r="A55" s="533"/>
      <c r="B55" s="538"/>
      <c r="C55" s="294"/>
      <c r="D55" s="118"/>
      <c r="E55" s="118"/>
      <c r="F55" s="118"/>
      <c r="G55" s="118"/>
      <c r="H55" s="322" t="s">
        <v>133</v>
      </c>
      <c r="I55" s="323"/>
      <c r="J55" s="117">
        <f>SUM(J50:J54)/COUNT(J50:J54)</f>
        <v>11811.160064000003</v>
      </c>
      <c r="K55" s="295"/>
      <c r="L55" s="10"/>
      <c r="M55" s="113"/>
      <c r="N55" s="12"/>
      <c r="O55" s="12"/>
      <c r="P55" s="12"/>
      <c r="Q55" s="317"/>
    </row>
    <row r="56" spans="1:17" s="28" customFormat="1" ht="28.8" x14ac:dyDescent="0.3">
      <c r="A56" s="534" t="s">
        <v>271</v>
      </c>
      <c r="B56" s="519" t="s">
        <v>302</v>
      </c>
      <c r="C56" s="16">
        <v>0</v>
      </c>
      <c r="D56" s="16">
        <v>1</v>
      </c>
      <c r="E56" s="16">
        <v>0</v>
      </c>
      <c r="F56" s="16"/>
      <c r="G56" s="16">
        <v>1</v>
      </c>
      <c r="H56" s="8" t="s">
        <v>331</v>
      </c>
      <c r="I56" s="24" t="s">
        <v>306</v>
      </c>
      <c r="J56" s="16">
        <v>500</v>
      </c>
      <c r="M56" s="28" t="s">
        <v>34</v>
      </c>
      <c r="Q56" s="11"/>
    </row>
    <row r="57" spans="1:17" s="67" customFormat="1" x14ac:dyDescent="0.3">
      <c r="A57" s="535"/>
      <c r="B57" s="522"/>
      <c r="C57" s="16">
        <v>0</v>
      </c>
      <c r="D57" s="16">
        <v>1</v>
      </c>
      <c r="E57" s="16">
        <v>0</v>
      </c>
      <c r="F57" s="16"/>
      <c r="G57" s="16">
        <v>1</v>
      </c>
      <c r="H57" s="70"/>
      <c r="I57" s="24" t="s">
        <v>306</v>
      </c>
      <c r="J57" s="16"/>
      <c r="Q57" s="11"/>
    </row>
    <row r="58" spans="1:17" s="67" customFormat="1" x14ac:dyDescent="0.3">
      <c r="A58" s="535"/>
      <c r="B58" s="522"/>
      <c r="C58" s="16">
        <v>0</v>
      </c>
      <c r="D58" s="16">
        <v>1</v>
      </c>
      <c r="E58" s="16">
        <v>0</v>
      </c>
      <c r="F58" s="16"/>
      <c r="G58" s="16">
        <v>1</v>
      </c>
      <c r="H58" s="70"/>
      <c r="I58" s="24" t="s">
        <v>306</v>
      </c>
      <c r="J58" s="16"/>
      <c r="Q58" s="11"/>
    </row>
    <row r="59" spans="1:17" s="67" customFormat="1" x14ac:dyDescent="0.3">
      <c r="A59" s="535"/>
      <c r="B59" s="522"/>
      <c r="C59" s="34">
        <v>0</v>
      </c>
      <c r="D59" s="34">
        <v>1</v>
      </c>
      <c r="E59" s="34">
        <v>0</v>
      </c>
      <c r="F59" s="34">
        <v>-1</v>
      </c>
      <c r="G59" s="34">
        <v>1</v>
      </c>
      <c r="H59" s="57" t="s">
        <v>133</v>
      </c>
      <c r="I59" s="24"/>
      <c r="J59" s="34">
        <f>SUM(J56:J58)/COUNT(J56:J58)</f>
        <v>500</v>
      </c>
      <c r="Q59" s="11"/>
    </row>
    <row r="60" spans="1:17" s="28" customFormat="1" ht="43.2" x14ac:dyDescent="0.3">
      <c r="A60" s="535"/>
      <c r="B60" s="522"/>
      <c r="C60" s="16">
        <v>0</v>
      </c>
      <c r="D60" s="16">
        <v>1</v>
      </c>
      <c r="E60" s="16">
        <v>0</v>
      </c>
      <c r="F60" s="16"/>
      <c r="G60" s="16">
        <v>1</v>
      </c>
      <c r="H60" s="8" t="s">
        <v>332</v>
      </c>
      <c r="I60" s="24" t="s">
        <v>306</v>
      </c>
      <c r="J60" s="34">
        <v>1500</v>
      </c>
      <c r="M60" s="28" t="s">
        <v>330</v>
      </c>
      <c r="Q60" s="11"/>
    </row>
    <row r="61" spans="1:17" s="67" customFormat="1" x14ac:dyDescent="0.3">
      <c r="A61" s="535"/>
      <c r="B61" s="522"/>
      <c r="C61" s="16">
        <v>0</v>
      </c>
      <c r="D61" s="16">
        <v>1</v>
      </c>
      <c r="E61" s="16">
        <v>0</v>
      </c>
      <c r="F61" s="16"/>
      <c r="G61" s="16">
        <v>1</v>
      </c>
      <c r="H61" s="70"/>
      <c r="I61" s="24" t="s">
        <v>306</v>
      </c>
      <c r="J61" s="16"/>
      <c r="Q61" s="11"/>
    </row>
    <row r="62" spans="1:17" s="67" customFormat="1" x14ac:dyDescent="0.3">
      <c r="A62" s="535"/>
      <c r="B62" s="522"/>
      <c r="C62" s="16">
        <v>0</v>
      </c>
      <c r="D62" s="16">
        <v>1</v>
      </c>
      <c r="E62" s="16">
        <v>0</v>
      </c>
      <c r="F62" s="16"/>
      <c r="G62" s="16">
        <v>1</v>
      </c>
      <c r="H62" s="70"/>
      <c r="I62" s="24" t="s">
        <v>306</v>
      </c>
      <c r="J62" s="16"/>
      <c r="Q62" s="11"/>
    </row>
    <row r="63" spans="1:17" s="67" customFormat="1" x14ac:dyDescent="0.3">
      <c r="A63" s="535"/>
      <c r="B63" s="522"/>
      <c r="C63" s="34">
        <v>0</v>
      </c>
      <c r="D63" s="34">
        <v>1</v>
      </c>
      <c r="E63" s="34">
        <v>0</v>
      </c>
      <c r="F63" s="34">
        <v>-1</v>
      </c>
      <c r="G63" s="34">
        <v>1</v>
      </c>
      <c r="H63" s="57" t="s">
        <v>133</v>
      </c>
      <c r="I63" s="24"/>
      <c r="J63" s="34">
        <f>SUM(J60:J62)/COUNT(J60:J62)</f>
        <v>1500</v>
      </c>
      <c r="Q63" s="11"/>
    </row>
    <row r="64" spans="1:17" s="28" customFormat="1" x14ac:dyDescent="0.3">
      <c r="A64" s="535"/>
      <c r="B64" s="522"/>
      <c r="C64" s="16">
        <v>0</v>
      </c>
      <c r="D64" s="16">
        <v>1</v>
      </c>
      <c r="E64" s="16">
        <v>0</v>
      </c>
      <c r="F64" s="16"/>
      <c r="G64" s="16">
        <v>1</v>
      </c>
      <c r="H64" s="8" t="s">
        <v>333</v>
      </c>
      <c r="I64" s="24" t="s">
        <v>306</v>
      </c>
      <c r="J64" s="16">
        <v>1200</v>
      </c>
      <c r="M64" s="231" t="s">
        <v>330</v>
      </c>
      <c r="Q64" s="11"/>
    </row>
    <row r="65" spans="1:17" s="67" customFormat="1" x14ac:dyDescent="0.3">
      <c r="A65" s="535"/>
      <c r="B65" s="522"/>
      <c r="C65" s="16">
        <v>0</v>
      </c>
      <c r="D65" s="16">
        <v>1</v>
      </c>
      <c r="E65" s="16">
        <v>0</v>
      </c>
      <c r="F65" s="16"/>
      <c r="G65" s="16">
        <v>1</v>
      </c>
      <c r="H65" s="70"/>
      <c r="I65" s="24" t="s">
        <v>306</v>
      </c>
      <c r="J65" s="16"/>
      <c r="M65" s="68"/>
      <c r="Q65" s="11"/>
    </row>
    <row r="66" spans="1:17" s="67" customFormat="1" x14ac:dyDescent="0.3">
      <c r="A66" s="535"/>
      <c r="B66" s="522"/>
      <c r="C66" s="16">
        <v>0</v>
      </c>
      <c r="D66" s="16">
        <v>1</v>
      </c>
      <c r="E66" s="16">
        <v>0</v>
      </c>
      <c r="F66" s="16"/>
      <c r="G66" s="16">
        <v>1</v>
      </c>
      <c r="H66" s="70"/>
      <c r="I66" s="24" t="s">
        <v>306</v>
      </c>
      <c r="J66" s="16"/>
      <c r="M66" s="68"/>
      <c r="Q66" s="11"/>
    </row>
    <row r="67" spans="1:17" s="67" customFormat="1" x14ac:dyDescent="0.3">
      <c r="A67" s="535"/>
      <c r="B67" s="522"/>
      <c r="C67" s="34">
        <v>0</v>
      </c>
      <c r="D67" s="34">
        <v>1</v>
      </c>
      <c r="E67" s="34">
        <v>0</v>
      </c>
      <c r="F67" s="34">
        <v>-1</v>
      </c>
      <c r="G67" s="34">
        <v>1</v>
      </c>
      <c r="H67" s="57" t="s">
        <v>133</v>
      </c>
      <c r="I67" s="24"/>
      <c r="J67" s="34">
        <f>SUM(J64:J66)/COUNT(J64:J66)</f>
        <v>1200</v>
      </c>
      <c r="M67" s="68"/>
      <c r="Q67" s="11"/>
    </row>
    <row r="68" spans="1:17" s="28" customFormat="1" x14ac:dyDescent="0.3">
      <c r="A68" s="535"/>
      <c r="B68" s="522"/>
      <c r="C68" s="16">
        <v>0</v>
      </c>
      <c r="D68" s="16">
        <v>1</v>
      </c>
      <c r="E68" s="16">
        <v>0</v>
      </c>
      <c r="F68" s="16"/>
      <c r="G68" s="16">
        <v>1</v>
      </c>
      <c r="H68" s="8" t="s">
        <v>334</v>
      </c>
      <c r="I68" s="24" t="s">
        <v>306</v>
      </c>
      <c r="J68" s="16">
        <v>800</v>
      </c>
      <c r="M68" s="11" t="s">
        <v>35</v>
      </c>
      <c r="Q68" s="11"/>
    </row>
    <row r="69" spans="1:17" s="67" customFormat="1" x14ac:dyDescent="0.3">
      <c r="A69" s="535"/>
      <c r="B69" s="522"/>
      <c r="C69" s="16">
        <v>0</v>
      </c>
      <c r="D69" s="16">
        <v>1</v>
      </c>
      <c r="E69" s="16">
        <v>0</v>
      </c>
      <c r="F69" s="16"/>
      <c r="G69" s="16">
        <v>1</v>
      </c>
      <c r="H69" s="70"/>
      <c r="I69" s="24" t="s">
        <v>306</v>
      </c>
      <c r="J69" s="16"/>
      <c r="M69" s="68"/>
      <c r="Q69" s="11"/>
    </row>
    <row r="70" spans="1:17" s="67" customFormat="1" x14ac:dyDescent="0.3">
      <c r="A70" s="535"/>
      <c r="B70" s="522"/>
      <c r="C70" s="16">
        <v>0</v>
      </c>
      <c r="D70" s="16">
        <v>1</v>
      </c>
      <c r="E70" s="16">
        <v>0</v>
      </c>
      <c r="F70" s="16"/>
      <c r="G70" s="16">
        <v>1</v>
      </c>
      <c r="H70" s="70"/>
      <c r="I70" s="24" t="s">
        <v>306</v>
      </c>
      <c r="J70" s="16"/>
      <c r="M70" s="68"/>
      <c r="Q70" s="11"/>
    </row>
    <row r="71" spans="1:17" s="67" customFormat="1" x14ac:dyDescent="0.3">
      <c r="A71" s="535"/>
      <c r="B71" s="522"/>
      <c r="C71" s="34">
        <v>0</v>
      </c>
      <c r="D71" s="34">
        <v>1</v>
      </c>
      <c r="E71" s="34">
        <v>0</v>
      </c>
      <c r="F71" s="34">
        <v>-1</v>
      </c>
      <c r="G71" s="34">
        <v>1</v>
      </c>
      <c r="H71" s="57" t="s">
        <v>133</v>
      </c>
      <c r="I71" s="24"/>
      <c r="J71" s="34">
        <f>SUM(J68:J70)/COUNT(J68:J70)</f>
        <v>800</v>
      </c>
      <c r="M71" s="68"/>
      <c r="Q71" s="11"/>
    </row>
    <row r="72" spans="1:17" s="28" customFormat="1" x14ac:dyDescent="0.3">
      <c r="A72" s="535"/>
      <c r="B72" s="522"/>
      <c r="C72" s="16">
        <v>0</v>
      </c>
      <c r="D72" s="16">
        <v>1</v>
      </c>
      <c r="E72" s="16">
        <v>0</v>
      </c>
      <c r="F72" s="16"/>
      <c r="G72" s="16">
        <v>1</v>
      </c>
      <c r="H72" s="70" t="s">
        <v>335</v>
      </c>
      <c r="I72" s="24" t="s">
        <v>306</v>
      </c>
      <c r="J72" s="16">
        <v>250</v>
      </c>
      <c r="M72" s="231" t="s">
        <v>330</v>
      </c>
      <c r="Q72" s="11"/>
    </row>
    <row r="73" spans="1:17" s="67" customFormat="1" x14ac:dyDescent="0.3">
      <c r="A73" s="535"/>
      <c r="B73" s="522"/>
      <c r="C73" s="16">
        <v>0</v>
      </c>
      <c r="D73" s="16">
        <v>1</v>
      </c>
      <c r="E73" s="16">
        <v>0</v>
      </c>
      <c r="F73" s="16"/>
      <c r="G73" s="16">
        <v>1</v>
      </c>
      <c r="H73" s="70"/>
      <c r="I73" s="24" t="s">
        <v>306</v>
      </c>
      <c r="J73" s="16"/>
      <c r="Q73" s="11"/>
    </row>
    <row r="74" spans="1:17" s="67" customFormat="1" x14ac:dyDescent="0.3">
      <c r="A74" s="535"/>
      <c r="B74" s="522"/>
      <c r="C74" s="16">
        <v>0</v>
      </c>
      <c r="D74" s="16">
        <v>1</v>
      </c>
      <c r="E74" s="16">
        <v>0</v>
      </c>
      <c r="F74" s="16"/>
      <c r="G74" s="16">
        <v>1</v>
      </c>
      <c r="H74" s="70"/>
      <c r="I74" s="24" t="s">
        <v>306</v>
      </c>
      <c r="J74" s="16"/>
      <c r="Q74" s="11"/>
    </row>
    <row r="75" spans="1:17" s="67" customFormat="1" x14ac:dyDescent="0.3">
      <c r="A75" s="535"/>
      <c r="B75" s="522"/>
      <c r="C75" s="34">
        <v>0</v>
      </c>
      <c r="D75" s="34">
        <v>1</v>
      </c>
      <c r="E75" s="34">
        <v>0</v>
      </c>
      <c r="F75" s="34">
        <v>-1</v>
      </c>
      <c r="G75" s="34">
        <v>1</v>
      </c>
      <c r="H75" s="57" t="s">
        <v>133</v>
      </c>
      <c r="I75" s="24"/>
      <c r="J75" s="34">
        <f>SUM(J72:J74)/COUNT(J72:J74)</f>
        <v>250</v>
      </c>
      <c r="Q75" s="11"/>
    </row>
    <row r="76" spans="1:17" s="67" customFormat="1" ht="28.8" x14ac:dyDescent="0.3">
      <c r="A76" s="535"/>
      <c r="B76" s="522"/>
      <c r="C76" s="16">
        <v>0</v>
      </c>
      <c r="D76" s="16">
        <v>1</v>
      </c>
      <c r="E76" s="16">
        <v>0</v>
      </c>
      <c r="F76" s="16"/>
      <c r="G76" s="16">
        <v>1</v>
      </c>
      <c r="H76" s="8" t="s">
        <v>336</v>
      </c>
      <c r="I76" s="24" t="s">
        <v>306</v>
      </c>
      <c r="J76" s="16">
        <v>600</v>
      </c>
      <c r="M76" s="231" t="s">
        <v>330</v>
      </c>
      <c r="Q76" s="11"/>
    </row>
    <row r="77" spans="1:17" s="67" customFormat="1" x14ac:dyDescent="0.3">
      <c r="A77" s="535"/>
      <c r="B77" s="522"/>
      <c r="C77" s="16">
        <v>0</v>
      </c>
      <c r="D77" s="16">
        <v>1</v>
      </c>
      <c r="E77" s="16">
        <v>0</v>
      </c>
      <c r="F77" s="16"/>
      <c r="G77" s="16">
        <v>1</v>
      </c>
      <c r="H77" s="70"/>
      <c r="I77" s="24" t="s">
        <v>306</v>
      </c>
      <c r="J77" s="16"/>
      <c r="Q77" s="11"/>
    </row>
    <row r="78" spans="1:17" s="67" customFormat="1" x14ac:dyDescent="0.3">
      <c r="A78" s="535"/>
      <c r="B78" s="522"/>
      <c r="C78" s="16">
        <v>0</v>
      </c>
      <c r="D78" s="16">
        <v>1</v>
      </c>
      <c r="E78" s="16">
        <v>0</v>
      </c>
      <c r="F78" s="16"/>
      <c r="G78" s="16">
        <v>1</v>
      </c>
      <c r="H78" s="70"/>
      <c r="I78" s="24" t="s">
        <v>306</v>
      </c>
      <c r="J78" s="16"/>
      <c r="Q78" s="11"/>
    </row>
    <row r="79" spans="1:17" s="67" customFormat="1" x14ac:dyDescent="0.3">
      <c r="A79" s="535"/>
      <c r="B79" s="522"/>
      <c r="C79" s="34">
        <v>0</v>
      </c>
      <c r="D79" s="34">
        <v>1</v>
      </c>
      <c r="E79" s="34">
        <v>0</v>
      </c>
      <c r="F79" s="34">
        <v>-1</v>
      </c>
      <c r="G79" s="34">
        <v>1</v>
      </c>
      <c r="H79" s="57" t="s">
        <v>133</v>
      </c>
      <c r="I79" s="24"/>
      <c r="J79" s="34">
        <f>SUM(J76:J78)/COUNT(J76:J78)</f>
        <v>600</v>
      </c>
      <c r="Q79" s="11"/>
    </row>
    <row r="80" spans="1:17" s="67" customFormat="1" x14ac:dyDescent="0.3">
      <c r="A80" s="535"/>
      <c r="B80" s="522"/>
      <c r="C80" s="16">
        <v>0</v>
      </c>
      <c r="D80" s="16">
        <v>1</v>
      </c>
      <c r="E80" s="16">
        <v>0</v>
      </c>
      <c r="F80" s="16"/>
      <c r="G80" s="16">
        <v>1</v>
      </c>
      <c r="H80" s="8" t="s">
        <v>221</v>
      </c>
      <c r="I80" s="24" t="s">
        <v>306</v>
      </c>
      <c r="J80" s="16">
        <v>320</v>
      </c>
      <c r="M80" s="231" t="s">
        <v>330</v>
      </c>
      <c r="Q80" s="11"/>
    </row>
    <row r="81" spans="1:17" s="28" customFormat="1" x14ac:dyDescent="0.3">
      <c r="A81" s="535"/>
      <c r="B81" s="522"/>
      <c r="C81" s="16">
        <v>0</v>
      </c>
      <c r="D81" s="16">
        <v>1</v>
      </c>
      <c r="E81" s="16">
        <v>0</v>
      </c>
      <c r="F81" s="16"/>
      <c r="G81" s="16">
        <v>1</v>
      </c>
      <c r="H81" s="8"/>
      <c r="I81" s="24" t="s">
        <v>306</v>
      </c>
      <c r="J81" s="16"/>
      <c r="Q81" s="11"/>
    </row>
    <row r="82" spans="1:17" s="67" customFormat="1" x14ac:dyDescent="0.3">
      <c r="A82" s="535"/>
      <c r="B82" s="522"/>
      <c r="C82" s="16">
        <v>0</v>
      </c>
      <c r="D82" s="16">
        <v>1</v>
      </c>
      <c r="E82" s="16">
        <v>0</v>
      </c>
      <c r="F82" s="16"/>
      <c r="G82" s="16">
        <v>1</v>
      </c>
      <c r="H82" s="70"/>
      <c r="I82" s="24" t="s">
        <v>306</v>
      </c>
      <c r="J82" s="35"/>
      <c r="K82" s="7"/>
      <c r="L82" s="7"/>
      <c r="M82" s="7"/>
      <c r="Q82" s="11"/>
    </row>
    <row r="83" spans="1:17" s="28" customFormat="1" x14ac:dyDescent="0.3">
      <c r="A83" s="535"/>
      <c r="B83" s="521"/>
      <c r="C83" s="34">
        <v>0</v>
      </c>
      <c r="D83" s="34">
        <v>1</v>
      </c>
      <c r="E83" s="34">
        <v>0</v>
      </c>
      <c r="F83" s="34">
        <v>-1</v>
      </c>
      <c r="G83" s="34">
        <v>1</v>
      </c>
      <c r="H83" s="57" t="s">
        <v>133</v>
      </c>
      <c r="I83" s="62"/>
      <c r="J83" s="117">
        <f>SUM(J80:J82)/COUNT(J80:J82)</f>
        <v>320</v>
      </c>
      <c r="K83" s="12"/>
      <c r="L83" s="12"/>
      <c r="M83" s="12"/>
      <c r="N83" s="12"/>
      <c r="O83" s="12"/>
      <c r="P83" s="12"/>
      <c r="Q83" s="11"/>
    </row>
    <row r="84" spans="1:17" s="28" customFormat="1" ht="14.4" customHeight="1" x14ac:dyDescent="0.3">
      <c r="A84" s="535"/>
      <c r="B84" s="519" t="s">
        <v>303</v>
      </c>
      <c r="C84" s="116">
        <v>1</v>
      </c>
      <c r="D84" s="116"/>
      <c r="E84" s="116">
        <v>0</v>
      </c>
      <c r="F84" s="116">
        <v>-1</v>
      </c>
      <c r="G84" s="116">
        <v>1</v>
      </c>
      <c r="H84" s="408" t="s">
        <v>423</v>
      </c>
      <c r="I84" s="409">
        <v>90</v>
      </c>
      <c r="J84" s="410">
        <v>30000</v>
      </c>
      <c r="K84" s="317">
        <v>0</v>
      </c>
      <c r="M84" s="324" t="s">
        <v>422</v>
      </c>
      <c r="Q84" s="11"/>
    </row>
    <row r="85" spans="1:17" s="67" customFormat="1" x14ac:dyDescent="0.3">
      <c r="A85" s="535"/>
      <c r="B85" s="520"/>
      <c r="C85" s="35"/>
      <c r="D85" s="35"/>
      <c r="E85" s="35"/>
      <c r="F85" s="35"/>
      <c r="G85" s="35"/>
      <c r="H85" s="86"/>
      <c r="I85" s="24">
        <v>90</v>
      </c>
      <c r="J85" s="324"/>
      <c r="K85" s="317"/>
      <c r="L85" s="7"/>
      <c r="M85" s="317"/>
      <c r="Q85" s="11"/>
    </row>
    <row r="86" spans="1:17" s="67" customFormat="1" x14ac:dyDescent="0.3">
      <c r="A86" s="535"/>
      <c r="B86" s="520"/>
      <c r="C86" s="35"/>
      <c r="D86" s="35"/>
      <c r="E86" s="35"/>
      <c r="F86" s="35"/>
      <c r="G86" s="35"/>
      <c r="H86" s="86"/>
      <c r="I86" s="24">
        <v>90</v>
      </c>
      <c r="J86" s="324"/>
      <c r="K86" s="317"/>
      <c r="L86" s="7"/>
      <c r="M86" s="317"/>
      <c r="Q86" s="11"/>
    </row>
    <row r="87" spans="1:17" s="67" customFormat="1" x14ac:dyDescent="0.3">
      <c r="A87" s="535"/>
      <c r="B87" s="520"/>
      <c r="C87" s="35"/>
      <c r="D87" s="35"/>
      <c r="E87" s="35"/>
      <c r="F87" s="35"/>
      <c r="G87" s="35"/>
      <c r="H87" s="86"/>
      <c r="I87" s="24">
        <v>90</v>
      </c>
      <c r="J87" s="324"/>
      <c r="K87" s="317"/>
      <c r="L87" s="7"/>
      <c r="M87" s="317"/>
      <c r="Q87" s="11"/>
    </row>
    <row r="88" spans="1:17" s="67" customFormat="1" x14ac:dyDescent="0.3">
      <c r="A88" s="535"/>
      <c r="B88" s="520"/>
      <c r="C88" s="118"/>
      <c r="D88" s="118"/>
      <c r="E88" s="118"/>
      <c r="F88" s="118"/>
      <c r="G88" s="118"/>
      <c r="H88" s="107" t="s">
        <v>133</v>
      </c>
      <c r="I88" s="249"/>
      <c r="J88" s="117">
        <f>SUM(J84:J87)/COUNT(J84:J87)</f>
        <v>30000</v>
      </c>
      <c r="K88" s="325">
        <f>SUM(K84:K87)/COUNT(K84:K87)</f>
        <v>0</v>
      </c>
      <c r="L88" s="12"/>
      <c r="M88" s="295"/>
      <c r="N88" s="12"/>
      <c r="O88" s="12"/>
      <c r="P88" s="12"/>
      <c r="Q88" s="11"/>
    </row>
    <row r="89" spans="1:17" s="28" customFormat="1" ht="14.4" customHeight="1" x14ac:dyDescent="0.3">
      <c r="A89" s="535"/>
      <c r="B89" s="529" t="s">
        <v>304</v>
      </c>
      <c r="C89" s="35">
        <v>0</v>
      </c>
      <c r="D89" s="35">
        <v>1</v>
      </c>
      <c r="E89" s="35">
        <v>0</v>
      </c>
      <c r="F89" s="35">
        <v>-1</v>
      </c>
      <c r="G89" s="35">
        <v>0</v>
      </c>
      <c r="H89" s="375" t="s">
        <v>423</v>
      </c>
      <c r="I89" s="411">
        <v>90</v>
      </c>
      <c r="J89" s="412">
        <v>15000</v>
      </c>
      <c r="K89" s="317">
        <v>0</v>
      </c>
      <c r="L89" s="7"/>
      <c r="M89" s="317" t="s">
        <v>296</v>
      </c>
      <c r="Q89" s="11"/>
    </row>
    <row r="90" spans="1:17" s="67" customFormat="1" ht="14.4" customHeight="1" x14ac:dyDescent="0.3">
      <c r="A90" s="535"/>
      <c r="B90" s="530"/>
      <c r="C90" s="35"/>
      <c r="D90" s="35"/>
      <c r="E90" s="35"/>
      <c r="F90" s="35"/>
      <c r="G90" s="35"/>
      <c r="H90" s="74"/>
      <c r="I90" s="36">
        <v>90</v>
      </c>
      <c r="J90" s="35"/>
      <c r="K90" s="317"/>
      <c r="L90" s="7"/>
      <c r="M90" s="317"/>
      <c r="Q90" s="11"/>
    </row>
    <row r="91" spans="1:17" s="67" customFormat="1" ht="14.4" customHeight="1" x14ac:dyDescent="0.3">
      <c r="A91" s="535"/>
      <c r="B91" s="530"/>
      <c r="C91" s="35"/>
      <c r="D91" s="35"/>
      <c r="E91" s="35"/>
      <c r="F91" s="35"/>
      <c r="G91" s="35"/>
      <c r="H91" s="74"/>
      <c r="I91" s="36">
        <v>90</v>
      </c>
      <c r="J91" s="35"/>
      <c r="K91" s="317"/>
      <c r="L91" s="7"/>
      <c r="M91" s="317"/>
      <c r="Q91" s="11"/>
    </row>
    <row r="92" spans="1:17" s="67" customFormat="1" ht="14.4" customHeight="1" x14ac:dyDescent="0.3">
      <c r="A92" s="535"/>
      <c r="B92" s="530"/>
      <c r="C92" s="35"/>
      <c r="D92" s="35"/>
      <c r="E92" s="35"/>
      <c r="F92" s="35"/>
      <c r="G92" s="35"/>
      <c r="H92" s="74"/>
      <c r="I92" s="36">
        <v>90</v>
      </c>
      <c r="J92" s="35"/>
      <c r="K92" s="317"/>
      <c r="L92" s="7"/>
      <c r="M92" s="7"/>
      <c r="Q92" s="11"/>
    </row>
    <row r="93" spans="1:17" s="67" customFormat="1" ht="14.4" customHeight="1" x14ac:dyDescent="0.3">
      <c r="A93" s="535"/>
      <c r="B93" s="530"/>
      <c r="C93" s="35"/>
      <c r="D93" s="35"/>
      <c r="E93" s="35"/>
      <c r="F93" s="35"/>
      <c r="G93" s="35"/>
      <c r="H93" s="57" t="s">
        <v>133</v>
      </c>
      <c r="I93" s="36"/>
      <c r="J93" s="321">
        <f>SUM(J89:J92)/COUNT(J89:J92)</f>
        <v>15000</v>
      </c>
      <c r="K93" s="321">
        <f>SUM(K89:K92)/COUNT(K89:K92)</f>
        <v>0</v>
      </c>
      <c r="L93" s="7"/>
      <c r="M93" s="7"/>
      <c r="Q93" s="11"/>
    </row>
    <row r="94" spans="1:17" s="67" customFormat="1" ht="14.4" customHeight="1" x14ac:dyDescent="0.3">
      <c r="A94" s="535"/>
      <c r="B94" s="529" t="s">
        <v>305</v>
      </c>
      <c r="C94" s="116">
        <v>-1</v>
      </c>
      <c r="D94" s="116"/>
      <c r="E94" s="116"/>
      <c r="F94" s="116">
        <v>1</v>
      </c>
      <c r="G94" s="116"/>
      <c r="H94" s="413" t="s">
        <v>423</v>
      </c>
      <c r="I94" s="414">
        <v>90</v>
      </c>
      <c r="J94" s="415">
        <f>'Result_Lock-in-effect'!X63</f>
        <v>1610.612736000001</v>
      </c>
      <c r="K94" s="316">
        <v>0</v>
      </c>
      <c r="L94" s="37"/>
      <c r="M94" s="37" t="s">
        <v>339</v>
      </c>
      <c r="N94" s="37"/>
      <c r="O94" s="37"/>
      <c r="P94" s="37"/>
      <c r="Q94" s="11"/>
    </row>
    <row r="95" spans="1:17" s="67" customFormat="1" x14ac:dyDescent="0.3">
      <c r="A95" s="535"/>
      <c r="B95" s="530"/>
      <c r="C95" s="35"/>
      <c r="D95" s="35"/>
      <c r="E95" s="35"/>
      <c r="F95" s="35"/>
      <c r="G95" s="35"/>
      <c r="H95" s="74"/>
      <c r="I95" s="36">
        <v>90</v>
      </c>
      <c r="J95" s="35"/>
      <c r="K95" s="317"/>
      <c r="L95" s="7"/>
      <c r="M95" s="39"/>
      <c r="N95" s="7"/>
      <c r="O95" s="7"/>
      <c r="P95" s="7"/>
      <c r="Q95" s="11"/>
    </row>
    <row r="96" spans="1:17" s="67" customFormat="1" x14ac:dyDescent="0.3">
      <c r="A96" s="535"/>
      <c r="B96" s="530"/>
      <c r="C96" s="35"/>
      <c r="D96" s="35"/>
      <c r="E96" s="35"/>
      <c r="F96" s="35"/>
      <c r="G96" s="35"/>
      <c r="H96" s="74"/>
      <c r="I96" s="36">
        <v>90</v>
      </c>
      <c r="J96" s="35"/>
      <c r="K96" s="317"/>
      <c r="L96" s="7"/>
      <c r="M96" s="7"/>
      <c r="N96" s="7"/>
      <c r="O96" s="7"/>
      <c r="P96" s="7"/>
      <c r="Q96" s="11"/>
    </row>
    <row r="97" spans="1:17" s="67" customFormat="1" x14ac:dyDescent="0.3">
      <c r="A97" s="535"/>
      <c r="B97" s="530"/>
      <c r="C97" s="35"/>
      <c r="D97" s="35"/>
      <c r="E97" s="35"/>
      <c r="F97" s="35"/>
      <c r="G97" s="35"/>
      <c r="H97" s="74"/>
      <c r="I97" s="36">
        <v>90</v>
      </c>
      <c r="J97" s="35"/>
      <c r="K97" s="317"/>
      <c r="L97" s="7"/>
      <c r="M97" s="7"/>
      <c r="N97" s="7"/>
      <c r="O97" s="7"/>
      <c r="P97" s="7"/>
      <c r="Q97" s="11"/>
    </row>
    <row r="98" spans="1:17" s="67" customFormat="1" x14ac:dyDescent="0.3">
      <c r="A98" s="536"/>
      <c r="B98" s="531"/>
      <c r="C98" s="118"/>
      <c r="D98" s="118"/>
      <c r="E98" s="118"/>
      <c r="F98" s="118"/>
      <c r="G98" s="118"/>
      <c r="H98" s="107" t="s">
        <v>133</v>
      </c>
      <c r="I98" s="62"/>
      <c r="J98" s="117">
        <f>SUM(J94:J97)/COUNT(J94:J97)</f>
        <v>1610.612736000001</v>
      </c>
      <c r="K98" s="117">
        <f>SUM(K94:K97)/COUNT(K94:K97)</f>
        <v>0</v>
      </c>
      <c r="L98" s="12"/>
      <c r="M98" s="12"/>
      <c r="N98" s="12"/>
      <c r="O98" s="12"/>
      <c r="P98" s="12"/>
      <c r="Q98" s="11"/>
    </row>
    <row r="99" spans="1:17" s="68" customFormat="1" x14ac:dyDescent="0.3">
      <c r="A99" s="539" t="s">
        <v>359</v>
      </c>
      <c r="B99" s="539"/>
      <c r="C99" s="329"/>
      <c r="D99" s="329"/>
      <c r="E99" s="329"/>
      <c r="F99" s="329"/>
      <c r="G99" s="329"/>
      <c r="H99" s="361" t="s">
        <v>372</v>
      </c>
      <c r="I99" s="362" t="s">
        <v>306</v>
      </c>
      <c r="J99" s="363">
        <f>20396+350</f>
        <v>20746</v>
      </c>
      <c r="K99" s="363">
        <v>0</v>
      </c>
      <c r="L99" s="86">
        <v>0</v>
      </c>
      <c r="M99" s="86" t="s">
        <v>368</v>
      </c>
      <c r="N99" s="86"/>
      <c r="O99" s="86"/>
      <c r="P99" s="86"/>
    </row>
    <row r="100" spans="1:17" s="68" customFormat="1" x14ac:dyDescent="0.3">
      <c r="A100" s="539"/>
      <c r="B100" s="539"/>
      <c r="C100" s="329"/>
      <c r="D100" s="329"/>
      <c r="E100" s="329"/>
      <c r="F100" s="329"/>
      <c r="G100" s="329"/>
      <c r="H100" s="361" t="s">
        <v>370</v>
      </c>
      <c r="I100" s="362" t="s">
        <v>306</v>
      </c>
      <c r="J100" s="363">
        <v>23800</v>
      </c>
      <c r="K100" s="363"/>
      <c r="L100" s="86"/>
      <c r="M100" s="86" t="s">
        <v>371</v>
      </c>
      <c r="N100" s="86"/>
      <c r="O100" s="86"/>
      <c r="P100" s="86"/>
    </row>
    <row r="101" spans="1:17" s="68" customFormat="1" x14ac:dyDescent="0.3">
      <c r="A101" s="539"/>
      <c r="B101" s="539"/>
      <c r="C101" s="329"/>
      <c r="D101" s="329"/>
      <c r="E101" s="329"/>
      <c r="F101" s="329"/>
      <c r="G101" s="329"/>
      <c r="H101" s="359"/>
      <c r="I101" s="362"/>
      <c r="J101" s="363"/>
      <c r="K101" s="363"/>
      <c r="L101" s="86"/>
      <c r="M101" s="86"/>
      <c r="N101" s="86"/>
      <c r="O101" s="86"/>
      <c r="P101" s="86"/>
    </row>
    <row r="102" spans="1:17" s="68" customFormat="1" x14ac:dyDescent="0.3">
      <c r="A102" s="539"/>
      <c r="B102" s="539"/>
      <c r="C102" s="329"/>
      <c r="D102" s="329"/>
      <c r="E102" s="329"/>
      <c r="F102" s="329"/>
      <c r="G102" s="329"/>
      <c r="H102" s="359"/>
      <c r="I102" s="362"/>
      <c r="J102" s="363"/>
      <c r="K102" s="363"/>
      <c r="L102" s="86"/>
      <c r="M102" s="86"/>
      <c r="N102" s="86"/>
      <c r="O102" s="86"/>
      <c r="P102" s="86"/>
    </row>
    <row r="103" spans="1:17" s="68" customFormat="1" x14ac:dyDescent="0.3">
      <c r="A103" s="540"/>
      <c r="B103" s="540"/>
      <c r="C103" s="364"/>
      <c r="D103" s="364"/>
      <c r="E103" s="364"/>
      <c r="F103" s="364"/>
      <c r="G103" s="364"/>
      <c r="H103" s="365" t="s">
        <v>133</v>
      </c>
      <c r="I103" s="249"/>
      <c r="J103" s="366">
        <f>SUM(J99:J102)/COUNT(J99:J102)</f>
        <v>22273</v>
      </c>
      <c r="K103" s="366">
        <f>SUM(K99:K102)/COUNT(K99:K102)</f>
        <v>0</v>
      </c>
      <c r="L103" s="318"/>
      <c r="M103" s="318"/>
      <c r="N103" s="318"/>
      <c r="O103" s="318"/>
      <c r="P103" s="318"/>
    </row>
    <row r="104" spans="1:17" s="28" customFormat="1" ht="14.4" customHeight="1" x14ac:dyDescent="0.3">
      <c r="A104" s="526" t="s">
        <v>272</v>
      </c>
      <c r="B104" s="11"/>
      <c r="C104" s="16">
        <v>1</v>
      </c>
      <c r="D104" s="16">
        <v>1</v>
      </c>
      <c r="E104" s="16">
        <v>1</v>
      </c>
      <c r="F104" s="16">
        <v>0</v>
      </c>
      <c r="G104" s="16">
        <v>0</v>
      </c>
      <c r="H104" s="8" t="s">
        <v>337</v>
      </c>
      <c r="I104" s="24">
        <v>11</v>
      </c>
      <c r="J104" s="16"/>
      <c r="K104" s="11">
        <v>2</v>
      </c>
      <c r="M104" s="28" t="s">
        <v>37</v>
      </c>
      <c r="Q104" s="11"/>
    </row>
    <row r="105" spans="1:17" s="67" customFormat="1" x14ac:dyDescent="0.3">
      <c r="A105" s="527"/>
      <c r="B105" s="11"/>
      <c r="C105" s="16">
        <v>1</v>
      </c>
      <c r="D105" s="16">
        <v>1</v>
      </c>
      <c r="E105" s="16">
        <v>1</v>
      </c>
      <c r="F105" s="16">
        <v>0</v>
      </c>
      <c r="G105" s="16">
        <v>0</v>
      </c>
      <c r="H105" s="70" t="s">
        <v>338</v>
      </c>
      <c r="I105" s="24">
        <v>11</v>
      </c>
      <c r="J105" s="16"/>
      <c r="K105" s="11">
        <v>5</v>
      </c>
      <c r="M105" s="67" t="s">
        <v>37</v>
      </c>
      <c r="Q105" s="11"/>
    </row>
    <row r="106" spans="1:17" s="67" customFormat="1" x14ac:dyDescent="0.3">
      <c r="A106" s="527"/>
      <c r="B106" s="11"/>
      <c r="C106" s="16"/>
      <c r="D106" s="16"/>
      <c r="E106" s="16"/>
      <c r="F106" s="16"/>
      <c r="G106" s="16"/>
      <c r="H106" s="70"/>
      <c r="I106" s="24"/>
      <c r="J106" s="16">
        <v>1000</v>
      </c>
      <c r="K106" s="11"/>
      <c r="M106" s="67" t="s">
        <v>342</v>
      </c>
      <c r="Q106" s="11"/>
    </row>
    <row r="107" spans="1:17" s="67" customFormat="1" x14ac:dyDescent="0.3">
      <c r="A107" s="527"/>
      <c r="B107" s="11"/>
      <c r="C107" s="16"/>
      <c r="D107" s="16"/>
      <c r="E107" s="16"/>
      <c r="F107" s="16"/>
      <c r="G107" s="16"/>
      <c r="H107" s="70"/>
      <c r="I107" s="24"/>
      <c r="J107" s="16"/>
      <c r="K107" s="11"/>
      <c r="Q107" s="11"/>
    </row>
    <row r="108" spans="1:17" s="67" customFormat="1" x14ac:dyDescent="0.3">
      <c r="A108" s="527"/>
      <c r="B108" s="11"/>
      <c r="C108" s="16"/>
      <c r="D108" s="16"/>
      <c r="E108" s="16"/>
      <c r="F108" s="16"/>
      <c r="G108" s="16"/>
      <c r="H108" s="70"/>
      <c r="I108" s="24"/>
      <c r="J108" s="16"/>
      <c r="K108" s="11"/>
      <c r="Q108" s="11"/>
    </row>
    <row r="109" spans="1:17" s="67" customFormat="1" x14ac:dyDescent="0.3">
      <c r="A109" s="527"/>
      <c r="B109" s="11"/>
      <c r="C109" s="11"/>
      <c r="D109" s="11"/>
      <c r="E109" s="11"/>
      <c r="F109" s="11"/>
      <c r="G109" s="11"/>
      <c r="J109" s="11"/>
      <c r="K109" s="11"/>
      <c r="Q109" s="11"/>
    </row>
    <row r="110" spans="1:17" s="67" customFormat="1" x14ac:dyDescent="0.3">
      <c r="A110" s="527"/>
      <c r="B110" s="11"/>
      <c r="C110" s="11"/>
      <c r="D110" s="11"/>
      <c r="E110" s="11"/>
      <c r="F110" s="11"/>
      <c r="G110" s="11"/>
      <c r="J110" s="11"/>
      <c r="K110" s="11"/>
      <c r="Q110" s="11"/>
    </row>
    <row r="111" spans="1:17" s="28" customFormat="1" x14ac:dyDescent="0.3">
      <c r="A111" s="527"/>
      <c r="B111" s="295"/>
      <c r="C111" s="117">
        <v>1</v>
      </c>
      <c r="D111" s="117">
        <v>1</v>
      </c>
      <c r="E111" s="117">
        <v>1</v>
      </c>
      <c r="F111" s="117">
        <v>0</v>
      </c>
      <c r="G111" s="117">
        <v>0</v>
      </c>
      <c r="H111" s="107" t="s">
        <v>133</v>
      </c>
      <c r="I111" s="12"/>
      <c r="J111" s="326">
        <f>SUM(J104:J110)/COUNT(J104:J110)</f>
        <v>1000</v>
      </c>
      <c r="K111" s="326">
        <f>SUM(K104:K110)/COUNT(K104:K110)</f>
        <v>3.5</v>
      </c>
      <c r="L111" s="12"/>
      <c r="M111" s="12"/>
      <c r="Q111" s="11"/>
    </row>
    <row r="112" spans="1:17" s="67" customFormat="1" x14ac:dyDescent="0.3">
      <c r="A112" s="527"/>
      <c r="B112" s="11"/>
      <c r="C112" s="16">
        <v>1</v>
      </c>
      <c r="D112" s="16">
        <v>1</v>
      </c>
      <c r="E112" s="16">
        <v>1</v>
      </c>
      <c r="F112" s="16">
        <v>0</v>
      </c>
      <c r="G112" s="16">
        <v>0</v>
      </c>
      <c r="H112" s="418" t="s">
        <v>341</v>
      </c>
      <c r="I112" s="409">
        <v>100</v>
      </c>
      <c r="J112" s="419">
        <v>1523.2</v>
      </c>
      <c r="K112" s="420"/>
      <c r="M112" s="67" t="s">
        <v>7</v>
      </c>
      <c r="Q112" s="11"/>
    </row>
    <row r="113" spans="1:17" s="67" customFormat="1" x14ac:dyDescent="0.3">
      <c r="A113" s="527"/>
      <c r="B113" s="11"/>
      <c r="C113" s="16">
        <v>1</v>
      </c>
      <c r="D113" s="16">
        <v>1</v>
      </c>
      <c r="E113" s="16">
        <v>1</v>
      </c>
      <c r="F113" s="16">
        <v>0</v>
      </c>
      <c r="G113" s="16">
        <v>0</v>
      </c>
      <c r="H113" s="418" t="s">
        <v>337</v>
      </c>
      <c r="I113" s="409">
        <v>58</v>
      </c>
      <c r="J113" s="419"/>
      <c r="K113" s="420">
        <v>2</v>
      </c>
      <c r="M113" s="67" t="s">
        <v>37</v>
      </c>
      <c r="Q113" s="11"/>
    </row>
    <row r="114" spans="1:17" s="28" customFormat="1" x14ac:dyDescent="0.3">
      <c r="A114" s="527"/>
      <c r="B114" s="11"/>
      <c r="C114" s="16">
        <v>1</v>
      </c>
      <c r="D114" s="16">
        <v>1</v>
      </c>
      <c r="E114" s="16">
        <v>1</v>
      </c>
      <c r="F114" s="16">
        <v>0</v>
      </c>
      <c r="G114" s="16">
        <v>0</v>
      </c>
      <c r="H114" s="418" t="s">
        <v>338</v>
      </c>
      <c r="I114" s="409">
        <v>58</v>
      </c>
      <c r="J114" s="419"/>
      <c r="K114" s="420">
        <v>5</v>
      </c>
      <c r="L114" s="67"/>
      <c r="M114" s="67" t="s">
        <v>37</v>
      </c>
      <c r="Q114" s="11"/>
    </row>
    <row r="115" spans="1:17" s="28" customFormat="1" x14ac:dyDescent="0.3">
      <c r="A115" s="527"/>
      <c r="B115" s="11"/>
      <c r="C115" s="16"/>
      <c r="D115" s="16"/>
      <c r="E115" s="16"/>
      <c r="F115" s="16"/>
      <c r="G115" s="16"/>
      <c r="H115" s="420"/>
      <c r="I115" s="420"/>
      <c r="J115" s="420"/>
      <c r="K115" s="420"/>
      <c r="Q115" s="11"/>
    </row>
    <row r="116" spans="1:17" s="67" customFormat="1" x14ac:dyDescent="0.3">
      <c r="A116" s="527"/>
      <c r="B116" s="11"/>
      <c r="C116" s="16"/>
      <c r="D116" s="16"/>
      <c r="E116" s="16"/>
      <c r="F116" s="16"/>
      <c r="G116" s="16"/>
      <c r="H116" s="420"/>
      <c r="I116" s="420"/>
      <c r="J116" s="420"/>
      <c r="K116" s="420"/>
      <c r="Q116" s="11"/>
    </row>
    <row r="117" spans="1:17" s="67" customFormat="1" x14ac:dyDescent="0.3">
      <c r="A117" s="527"/>
      <c r="B117" s="11"/>
      <c r="C117" s="16"/>
      <c r="D117" s="16"/>
      <c r="E117" s="16"/>
      <c r="F117" s="16"/>
      <c r="G117" s="16"/>
      <c r="H117" s="420"/>
      <c r="I117" s="420"/>
      <c r="J117" s="420"/>
      <c r="K117" s="420"/>
      <c r="Q117" s="11"/>
    </row>
    <row r="118" spans="1:17" s="67" customFormat="1" x14ac:dyDescent="0.3">
      <c r="A118" s="527"/>
      <c r="B118" s="295"/>
      <c r="C118" s="117">
        <v>1</v>
      </c>
      <c r="D118" s="117">
        <v>1</v>
      </c>
      <c r="E118" s="117">
        <v>1</v>
      </c>
      <c r="F118" s="117">
        <v>0</v>
      </c>
      <c r="G118" s="117">
        <v>0</v>
      </c>
      <c r="H118" s="421" t="s">
        <v>133</v>
      </c>
      <c r="I118" s="422"/>
      <c r="J118" s="422">
        <f>SUM(J112:J117)/COUNT(J112:J117)</f>
        <v>1523.2</v>
      </c>
      <c r="K118" s="422">
        <f>SUM(K112:K117)/COUNT(K112:K117)</f>
        <v>3.5</v>
      </c>
      <c r="L118" s="12"/>
      <c r="M118" s="12"/>
      <c r="Q118" s="11"/>
    </row>
    <row r="119" spans="1:17" s="28" customFormat="1" x14ac:dyDescent="0.3">
      <c r="A119" s="527"/>
      <c r="B119" s="11"/>
      <c r="C119" s="16">
        <v>1</v>
      </c>
      <c r="D119" s="16">
        <v>1</v>
      </c>
      <c r="E119" s="16">
        <v>1</v>
      </c>
      <c r="F119" s="16">
        <v>0</v>
      </c>
      <c r="G119" s="16">
        <v>0</v>
      </c>
      <c r="H119" s="8" t="s">
        <v>343</v>
      </c>
      <c r="I119" s="24">
        <v>200</v>
      </c>
      <c r="J119" s="40">
        <v>2475.1999999999998</v>
      </c>
      <c r="M119" s="28" t="s">
        <v>8</v>
      </c>
      <c r="Q119" s="11"/>
    </row>
    <row r="120" spans="1:17" s="28" customFormat="1" x14ac:dyDescent="0.3">
      <c r="A120" s="527"/>
      <c r="B120" s="11"/>
      <c r="C120" s="16">
        <v>1</v>
      </c>
      <c r="D120" s="16">
        <v>1</v>
      </c>
      <c r="E120" s="16">
        <v>1</v>
      </c>
      <c r="F120" s="16">
        <v>0</v>
      </c>
      <c r="G120" s="16">
        <v>0</v>
      </c>
      <c r="H120" s="8" t="s">
        <v>344</v>
      </c>
      <c r="I120" s="24">
        <v>300</v>
      </c>
      <c r="J120" s="40">
        <v>3546.2</v>
      </c>
      <c r="M120" s="28" t="s">
        <v>9</v>
      </c>
      <c r="Q120" s="11"/>
    </row>
    <row r="121" spans="1:17" x14ac:dyDescent="0.3">
      <c r="A121" s="527"/>
      <c r="C121" s="16">
        <v>1</v>
      </c>
      <c r="D121" s="16">
        <v>1</v>
      </c>
      <c r="E121" s="16">
        <v>1</v>
      </c>
      <c r="F121" s="16">
        <v>0</v>
      </c>
      <c r="G121" s="16">
        <v>0</v>
      </c>
      <c r="H121" s="8" t="s">
        <v>345</v>
      </c>
      <c r="I121" s="24">
        <v>500</v>
      </c>
      <c r="J121" s="40">
        <v>5331.2</v>
      </c>
      <c r="M121" s="28" t="s">
        <v>10</v>
      </c>
      <c r="N121"/>
      <c r="O121"/>
    </row>
    <row r="122" spans="1:17" x14ac:dyDescent="0.3">
      <c r="A122" s="527"/>
      <c r="C122" s="16">
        <v>1</v>
      </c>
      <c r="D122" s="16">
        <v>1</v>
      </c>
      <c r="E122" s="16">
        <v>1</v>
      </c>
      <c r="F122" s="16">
        <v>0</v>
      </c>
      <c r="G122" s="16">
        <v>0</v>
      </c>
      <c r="H122" s="70" t="s">
        <v>337</v>
      </c>
      <c r="I122" s="33">
        <v>303</v>
      </c>
      <c r="J122" s="63"/>
      <c r="K122" s="28">
        <v>2</v>
      </c>
      <c r="M122" s="5" t="s">
        <v>37</v>
      </c>
      <c r="N122"/>
      <c r="O122"/>
    </row>
    <row r="123" spans="1:17" x14ac:dyDescent="0.3">
      <c r="A123" s="527"/>
      <c r="C123" s="16">
        <v>1</v>
      </c>
      <c r="D123" s="16">
        <v>1</v>
      </c>
      <c r="E123" s="16">
        <v>1</v>
      </c>
      <c r="F123" s="16">
        <v>0</v>
      </c>
      <c r="G123" s="16">
        <v>0</v>
      </c>
      <c r="H123" s="70" t="s">
        <v>338</v>
      </c>
      <c r="I123" s="33">
        <v>303</v>
      </c>
      <c r="J123" s="63"/>
      <c r="K123" s="28">
        <v>5</v>
      </c>
      <c r="M123" s="67" t="s">
        <v>37</v>
      </c>
      <c r="N123"/>
      <c r="O123"/>
    </row>
    <row r="124" spans="1:17" x14ac:dyDescent="0.3">
      <c r="A124" s="527"/>
      <c r="M124"/>
      <c r="N124"/>
      <c r="O124"/>
    </row>
    <row r="125" spans="1:17" x14ac:dyDescent="0.3">
      <c r="A125" s="527"/>
      <c r="M125"/>
      <c r="N125"/>
      <c r="O125"/>
    </row>
    <row r="126" spans="1:17" x14ac:dyDescent="0.3">
      <c r="A126" s="527"/>
      <c r="M126"/>
      <c r="N126"/>
      <c r="O126"/>
    </row>
    <row r="127" spans="1:17" s="12" customFormat="1" x14ac:dyDescent="0.3">
      <c r="A127" s="528"/>
      <c r="B127" s="296"/>
      <c r="C127" s="117">
        <v>1</v>
      </c>
      <c r="D127" s="117">
        <v>1</v>
      </c>
      <c r="E127" s="117">
        <v>1</v>
      </c>
      <c r="F127" s="117">
        <v>0</v>
      </c>
      <c r="G127" s="117">
        <v>0</v>
      </c>
      <c r="H127" s="107" t="s">
        <v>133</v>
      </c>
      <c r="I127" s="85"/>
      <c r="J127" s="15">
        <f>SUM(J119:J126)/COUNT(J119:J126)</f>
        <v>3784.1999999999994</v>
      </c>
      <c r="K127" s="15">
        <f>SUM(K119:K126)/COUNT(K119:K126)</f>
        <v>3.5</v>
      </c>
      <c r="Q127" s="295"/>
    </row>
    <row r="128" spans="1:17" ht="28.8" x14ac:dyDescent="0.3">
      <c r="A128" s="106" t="s">
        <v>292</v>
      </c>
      <c r="B128" s="297"/>
      <c r="C128" s="297"/>
      <c r="D128" s="297"/>
      <c r="E128" s="297"/>
      <c r="F128" s="297"/>
      <c r="G128" s="297"/>
      <c r="H128" s="102"/>
      <c r="I128" s="103"/>
      <c r="J128" s="104"/>
      <c r="K128" s="105"/>
      <c r="L128" s="105"/>
      <c r="M128" s="105"/>
      <c r="N128" t="s">
        <v>417</v>
      </c>
      <c r="O128"/>
    </row>
    <row r="129" spans="1:17" x14ac:dyDescent="0.3">
      <c r="H129" s="8" t="s">
        <v>351</v>
      </c>
      <c r="I129" s="33" t="s">
        <v>306</v>
      </c>
      <c r="J129" s="40">
        <v>0</v>
      </c>
      <c r="K129" s="16">
        <v>0</v>
      </c>
      <c r="L129" s="16">
        <f>39*I143</f>
        <v>3300.2367112937427</v>
      </c>
      <c r="M129" s="67" t="s">
        <v>39</v>
      </c>
      <c r="O129"/>
    </row>
    <row r="130" spans="1:17" s="67" customFormat="1" x14ac:dyDescent="0.3">
      <c r="A130" s="9"/>
      <c r="B130" s="119"/>
      <c r="C130" s="119"/>
      <c r="D130" s="11"/>
      <c r="E130" s="11"/>
      <c r="F130" s="11"/>
      <c r="G130" s="119"/>
      <c r="H130" s="70"/>
      <c r="I130" s="33" t="s">
        <v>306</v>
      </c>
      <c r="J130" s="63"/>
      <c r="K130" s="16"/>
      <c r="L130" s="16"/>
      <c r="Q130" s="11"/>
    </row>
    <row r="131" spans="1:17" s="67" customFormat="1" x14ac:dyDescent="0.3">
      <c r="A131" s="9"/>
      <c r="B131" s="119"/>
      <c r="C131" s="119"/>
      <c r="D131" s="11"/>
      <c r="E131" s="11"/>
      <c r="F131" s="11"/>
      <c r="G131" s="119"/>
      <c r="H131" s="70"/>
      <c r="I131" s="33" t="s">
        <v>306</v>
      </c>
      <c r="J131" s="63"/>
      <c r="K131" s="16"/>
      <c r="L131" s="16"/>
      <c r="Q131" s="11"/>
    </row>
    <row r="132" spans="1:17" s="67" customFormat="1" x14ac:dyDescent="0.3">
      <c r="A132" s="9"/>
      <c r="B132" s="119"/>
      <c r="C132" s="119"/>
      <c r="D132" s="11"/>
      <c r="E132" s="11"/>
      <c r="F132" s="11"/>
      <c r="G132" s="119"/>
      <c r="H132" s="107" t="s">
        <v>133</v>
      </c>
      <c r="I132" s="85"/>
      <c r="J132" s="15">
        <f>SUM(J129:J131)/COUNT(J129:J131)</f>
        <v>0</v>
      </c>
      <c r="K132" s="15">
        <f t="shared" ref="K132:L132" si="0">SUM(K129:K131)/COUNT(K129:K131)</f>
        <v>0</v>
      </c>
      <c r="L132" s="15">
        <f t="shared" si="0"/>
        <v>3300.2367112937427</v>
      </c>
      <c r="M132" s="12"/>
      <c r="Q132" s="11"/>
    </row>
    <row r="133" spans="1:17" x14ac:dyDescent="0.3">
      <c r="H133" s="8" t="s">
        <v>352</v>
      </c>
      <c r="I133" s="33" t="s">
        <v>306</v>
      </c>
      <c r="J133" s="40">
        <v>0</v>
      </c>
      <c r="K133" s="16">
        <v>8</v>
      </c>
      <c r="L133" s="16">
        <v>0</v>
      </c>
      <c r="M133" s="67" t="s">
        <v>39</v>
      </c>
      <c r="O133"/>
    </row>
    <row r="134" spans="1:17" x14ac:dyDescent="0.3">
      <c r="I134" s="33" t="s">
        <v>306</v>
      </c>
      <c r="K134" s="11"/>
      <c r="L134" s="11"/>
      <c r="M134"/>
      <c r="N134"/>
      <c r="O134"/>
    </row>
    <row r="135" spans="1:17" x14ac:dyDescent="0.3">
      <c r="I135" s="33" t="s">
        <v>306</v>
      </c>
      <c r="K135" s="11"/>
      <c r="L135" s="11"/>
      <c r="M135"/>
      <c r="N135"/>
      <c r="O135"/>
    </row>
    <row r="136" spans="1:17" x14ac:dyDescent="0.3">
      <c r="H136" s="107" t="s">
        <v>133</v>
      </c>
      <c r="I136" s="85"/>
      <c r="J136" s="15">
        <f>SUM(J133:J135)/COUNT(J133:J135)</f>
        <v>0</v>
      </c>
      <c r="K136" s="118">
        <f t="shared" ref="K136" si="1">SUM(K133:K135)/COUNT(K133:K135)</f>
        <v>8</v>
      </c>
      <c r="L136" s="118">
        <f t="shared" ref="L136" si="2">SUM(L133:L135)/COUNT(L133:L135)</f>
        <v>0</v>
      </c>
      <c r="M136" s="12"/>
      <c r="N136"/>
      <c r="O136"/>
    </row>
    <row r="137" spans="1:17" s="231" customFormat="1" x14ac:dyDescent="0.3">
      <c r="A137" s="9"/>
      <c r="B137" s="119"/>
      <c r="C137" s="119"/>
      <c r="D137" s="119"/>
      <c r="E137" s="119"/>
      <c r="F137" s="119"/>
      <c r="G137" s="119"/>
      <c r="H137" s="361" t="s">
        <v>359</v>
      </c>
      <c r="I137" s="361" t="s">
        <v>306</v>
      </c>
      <c r="J137" s="329">
        <v>0</v>
      </c>
      <c r="K137" s="329">
        <v>0</v>
      </c>
      <c r="L137" s="329">
        <v>9</v>
      </c>
      <c r="M137" s="86"/>
      <c r="Q137" s="11"/>
    </row>
    <row r="138" spans="1:17" s="231" customFormat="1" x14ac:dyDescent="0.3">
      <c r="A138" s="9"/>
      <c r="B138" s="119"/>
      <c r="C138" s="119"/>
      <c r="D138" s="119"/>
      <c r="E138" s="119"/>
      <c r="F138" s="119"/>
      <c r="G138" s="119"/>
      <c r="H138" s="359"/>
      <c r="I138" s="361" t="s">
        <v>306</v>
      </c>
      <c r="J138" s="329"/>
      <c r="K138" s="329"/>
      <c r="L138" s="329"/>
      <c r="M138" s="86"/>
      <c r="Q138" s="11"/>
    </row>
    <row r="139" spans="1:17" s="231" customFormat="1" x14ac:dyDescent="0.3">
      <c r="A139" s="9"/>
      <c r="B139" s="119"/>
      <c r="C139" s="119"/>
      <c r="D139" s="119"/>
      <c r="E139" s="119"/>
      <c r="F139" s="119"/>
      <c r="G139" s="119"/>
      <c r="H139" s="359"/>
      <c r="I139" s="361" t="s">
        <v>306</v>
      </c>
      <c r="J139" s="329"/>
      <c r="K139" s="329"/>
      <c r="L139" s="329"/>
      <c r="M139" s="86"/>
      <c r="Q139" s="11"/>
    </row>
    <row r="140" spans="1:17" s="231" customFormat="1" x14ac:dyDescent="0.3">
      <c r="A140" s="9"/>
      <c r="B140" s="119"/>
      <c r="C140" s="119"/>
      <c r="D140" s="119"/>
      <c r="E140" s="119"/>
      <c r="F140" s="119"/>
      <c r="G140" s="119"/>
      <c r="H140" s="365" t="s">
        <v>133</v>
      </c>
      <c r="I140" s="367"/>
      <c r="J140" s="364">
        <f>SUM(J137:J139)/COUNT(J137:J139)</f>
        <v>0</v>
      </c>
      <c r="K140" s="364">
        <v>9</v>
      </c>
      <c r="L140" s="364">
        <v>0</v>
      </c>
      <c r="M140" s="318" t="s">
        <v>366</v>
      </c>
      <c r="Q140" s="11"/>
    </row>
    <row r="141" spans="1:17" x14ac:dyDescent="0.3">
      <c r="H141" s="141" t="s">
        <v>347</v>
      </c>
      <c r="I141" s="142"/>
      <c r="J141" s="17"/>
    </row>
    <row r="142" spans="1:17" x14ac:dyDescent="0.3">
      <c r="H142" s="8" t="s">
        <v>348</v>
      </c>
      <c r="I142" s="33" t="s">
        <v>306</v>
      </c>
      <c r="J142" s="40">
        <f>J132+K132*'Result_Lock-in-effect'!B15+'Investment Costs'!L132+J136+K136*'Result_Lock-in-effect'!B15+L136+J140+K140*'Result_Lock-in-effect'!B15+L140</f>
        <v>4827.6867112937425</v>
      </c>
      <c r="L142" s="32">
        <f>I143*I144*-1</f>
        <v>-832.67510869565206</v>
      </c>
      <c r="M142" s="11" t="s">
        <v>346</v>
      </c>
    </row>
    <row r="143" spans="1:17" x14ac:dyDescent="0.3">
      <c r="H143" s="298" t="s">
        <v>349</v>
      </c>
      <c r="I143" s="300">
        <f>0.29*'Result_Lock-in-effect'!$J$19*'Result_Lock-in-effect'!$C$19*'Result_Lock-in-effect'!B15+0.29*'Result_Lock-in-effect'!$J$20*'Result_Lock-in-effect'!$C$20*'Result_Lock-in-effect'!B15+0.29*'Result_Lock-in-effect'!$J$21*'Result_Lock-in-effect'!$C$21*'Result_Lock-in-effect'!B15+0.29*'Result_Lock-in-effect'!$J$22*'Result_Lock-in-effect'!$C$22*'Result_Lock-in-effect'!B15+0.29*'Result_Lock-in-effect'!$J$23*'Result_Lock-in-effect'!$C$23*'Result_Lock-in-effect'!B15</f>
        <v>84.621454135736997</v>
      </c>
      <c r="M143" s="28" t="s">
        <v>353</v>
      </c>
    </row>
    <row r="144" spans="1:17" x14ac:dyDescent="0.3">
      <c r="H144" s="298" t="s">
        <v>350</v>
      </c>
      <c r="I144" s="301">
        <f>9.24+0.6</f>
        <v>9.84</v>
      </c>
      <c r="J144" s="122"/>
      <c r="M144" s="231" t="s">
        <v>353</v>
      </c>
    </row>
    <row r="145" spans="8:11" x14ac:dyDescent="0.3">
      <c r="H145" s="119"/>
      <c r="I145" s="119"/>
      <c r="J145" s="119"/>
      <c r="K145" s="119"/>
    </row>
    <row r="146" spans="8:11" x14ac:dyDescent="0.3">
      <c r="J146" s="299"/>
      <c r="K146" s="299"/>
    </row>
    <row r="147" spans="8:11" x14ac:dyDescent="0.3">
      <c r="J147" s="119"/>
      <c r="K147" s="119"/>
    </row>
    <row r="148" spans="8:11" x14ac:dyDescent="0.3">
      <c r="J148" s="122"/>
    </row>
    <row r="149" spans="8:11" x14ac:dyDescent="0.3">
      <c r="J149" s="122"/>
    </row>
    <row r="150" spans="8:11" x14ac:dyDescent="0.3">
      <c r="J150" s="122"/>
    </row>
    <row r="151" spans="8:11" x14ac:dyDescent="0.3">
      <c r="J151" s="122"/>
    </row>
  </sheetData>
  <mergeCells count="18">
    <mergeCell ref="M3:P3"/>
    <mergeCell ref="A104:A127"/>
    <mergeCell ref="B47:B49"/>
    <mergeCell ref="A4:A55"/>
    <mergeCell ref="B89:B93"/>
    <mergeCell ref="B94:B98"/>
    <mergeCell ref="A56:A98"/>
    <mergeCell ref="B29:B33"/>
    <mergeCell ref="B56:B83"/>
    <mergeCell ref="B50:B55"/>
    <mergeCell ref="B84:B88"/>
    <mergeCell ref="A99:B103"/>
    <mergeCell ref="F2:G2"/>
    <mergeCell ref="B34:B40"/>
    <mergeCell ref="B41:B46"/>
    <mergeCell ref="B4:B23"/>
    <mergeCell ref="B24:B28"/>
    <mergeCell ref="C2:E2"/>
  </mergeCells>
  <phoneticPr fontId="18" type="noConversion"/>
  <hyperlinks>
    <hyperlink ref="M15" r:id="rId1" xr:uid="{00000000-0004-0000-0900-000001000000}"/>
    <hyperlink ref="M25" r:id="rId2" xr:uid="{00000000-0004-0000-0900-000002000000}"/>
    <hyperlink ref="M35" r:id="rId3" xr:uid="{69934E1D-BFAA-43B0-B734-A02850EDB866}"/>
    <hyperlink ref="M34" r:id="rId4" xr:uid="{F9D78548-C44C-4147-8F41-E85A8F16D05B}"/>
    <hyperlink ref="M38" r:id="rId5" xr:uid="{0C44D87B-ECAE-4F5C-B3F4-E66AA9B066E1}"/>
    <hyperlink ref="M39" r:id="rId6" xr:uid="{0C293A9A-D460-407A-881F-2598B39B32CB}"/>
    <hyperlink ref="M36" r:id="rId7" xr:uid="{04F0365E-8BBD-4415-9012-F3957684EA61}"/>
    <hyperlink ref="S41" r:id="rId8" xr:uid="{63B908B4-ED37-48A9-A749-F292C661D46F}"/>
    <hyperlink ref="M45" r:id="rId9" xr:uid="{7E518F0E-5883-4074-9854-E0778857B442}"/>
    <hyperlink ref="M120" r:id="rId10" xr:uid="{00000000-0004-0000-0900-000000000000}"/>
  </hyperlinks>
  <pageMargins left="0.7" right="0.7" top="0.78740157499999996" bottom="0.78740157499999996" header="0.3" footer="0.3"/>
  <pageSetup paperSize="9" orientation="portrait" r:id="rId11"/>
  <legacy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B6CA8-E838-4B28-9F15-C8F3B41C5FEE}">
  <dimension ref="A1:N76"/>
  <sheetViews>
    <sheetView zoomScaleNormal="100" workbookViewId="0">
      <selection activeCell="Q10" sqref="Q10"/>
    </sheetView>
  </sheetViews>
  <sheetFormatPr defaultColWidth="11.5546875" defaultRowHeight="14.4" outlineLevelRow="2" x14ac:dyDescent="0.3"/>
  <cols>
    <col min="1" max="1" width="24.33203125" customWidth="1"/>
    <col min="6" max="6" width="12.5546875" bestFit="1" customWidth="1"/>
  </cols>
  <sheetData>
    <row r="1" spans="1:14" s="231" customFormat="1" x14ac:dyDescent="0.3">
      <c r="A1" s="231" t="s">
        <v>415</v>
      </c>
    </row>
    <row r="2" spans="1:14" ht="14.4" customHeight="1" x14ac:dyDescent="0.3">
      <c r="A2" s="490" t="s">
        <v>381</v>
      </c>
      <c r="B2" s="231"/>
      <c r="C2" s="231" t="s">
        <v>130</v>
      </c>
      <c r="D2" s="231" t="s">
        <v>383</v>
      </c>
      <c r="E2" s="231" t="s">
        <v>382</v>
      </c>
      <c r="F2" s="231" t="s">
        <v>384</v>
      </c>
      <c r="G2" s="231" t="s">
        <v>385</v>
      </c>
      <c r="H2" s="231" t="s">
        <v>386</v>
      </c>
      <c r="I2" s="231" t="s">
        <v>387</v>
      </c>
      <c r="J2" s="231" t="s">
        <v>388</v>
      </c>
      <c r="K2" s="231" t="s">
        <v>389</v>
      </c>
      <c r="L2" t="s">
        <v>448</v>
      </c>
      <c r="M2" s="403" t="s">
        <v>414</v>
      </c>
    </row>
    <row r="3" spans="1:14" x14ac:dyDescent="0.3">
      <c r="A3" s="490"/>
      <c r="B3" s="231" t="s">
        <v>377</v>
      </c>
      <c r="C3" s="331">
        <f>'Result_Lock-in-effect'!U17</f>
        <v>7.61</v>
      </c>
      <c r="D3" s="331">
        <v>182</v>
      </c>
      <c r="E3" s="331">
        <f>C3*D3</f>
        <v>1385.02</v>
      </c>
      <c r="F3" s="331">
        <f>21+68.4+4.07</f>
        <v>93.47</v>
      </c>
      <c r="G3" s="331">
        <f>153.6+54.5+76</f>
        <v>284.10000000000002</v>
      </c>
      <c r="H3" s="331">
        <f>77.66+56.72+4.98+10.98</f>
        <v>150.33999999999997</v>
      </c>
      <c r="I3" s="331">
        <v>11.78</v>
      </c>
      <c r="J3" s="331">
        <f>546.03-SUM(F3:I3)</f>
        <v>6.3399999999999181</v>
      </c>
      <c r="K3" s="331">
        <f>SUM(F3:J3)</f>
        <v>546.03</v>
      </c>
      <c r="L3" s="399"/>
      <c r="M3" s="403"/>
    </row>
    <row r="4" spans="1:14" x14ac:dyDescent="0.3">
      <c r="A4" s="490"/>
      <c r="B4" s="231" t="s">
        <v>378</v>
      </c>
      <c r="C4" s="331">
        <f>'Result_Lock-in-effect'!U18</f>
        <v>5.31</v>
      </c>
      <c r="D4" s="331">
        <v>188</v>
      </c>
      <c r="E4" s="331">
        <f>C4*D4</f>
        <v>998.28</v>
      </c>
      <c r="F4" s="331">
        <f>14.4+65+2.28</f>
        <v>81.680000000000007</v>
      </c>
      <c r="G4" s="331">
        <f>74.4+54.5+60.8</f>
        <v>189.7</v>
      </c>
      <c r="H4" s="331">
        <f>63.53+32.55+1+1.15</f>
        <v>98.23</v>
      </c>
      <c r="I4" s="331">
        <v>9.08</v>
      </c>
      <c r="J4" s="331">
        <f>382.68-(SUM(F4:I4))</f>
        <v>3.9900000000000091</v>
      </c>
      <c r="K4" s="331">
        <f>SUM(F4:J4)</f>
        <v>382.68</v>
      </c>
      <c r="L4" s="399"/>
      <c r="M4" s="403"/>
      <c r="N4" s="231"/>
    </row>
    <row r="5" spans="1:14" x14ac:dyDescent="0.3">
      <c r="A5" s="490"/>
      <c r="B5" s="231" t="s">
        <v>173</v>
      </c>
      <c r="C5" s="331">
        <f>'Result_Lock-in-effect'!U19</f>
        <v>3.96</v>
      </c>
      <c r="D5" s="331">
        <v>409</v>
      </c>
      <c r="E5" s="331">
        <f>C5*D5</f>
        <v>1619.6399999999999</v>
      </c>
      <c r="F5" s="331">
        <v>80.849999999999994</v>
      </c>
      <c r="G5" s="331">
        <f>105.6+54.5+68.4</f>
        <v>228.5</v>
      </c>
      <c r="H5" s="331">
        <f>48.41+106+27.15+12.7</f>
        <v>194.26</v>
      </c>
      <c r="I5" s="331">
        <v>34.36</v>
      </c>
      <c r="J5" s="331">
        <f>543.73-SUM(F5:I5)</f>
        <v>5.7599999999999909</v>
      </c>
      <c r="K5" s="331">
        <f>SUM(F5:J5)</f>
        <v>543.73</v>
      </c>
      <c r="L5" s="399"/>
      <c r="M5" s="403"/>
      <c r="N5" s="231"/>
    </row>
    <row r="6" spans="1:14" s="231" customFormat="1" x14ac:dyDescent="0.3">
      <c r="A6" s="490" t="s">
        <v>390</v>
      </c>
      <c r="B6" s="231" t="s">
        <v>377</v>
      </c>
      <c r="C6" s="402"/>
      <c r="D6" s="402"/>
      <c r="E6" s="402"/>
      <c r="F6" s="20">
        <f>F3*F23</f>
        <v>4.385300833333333</v>
      </c>
      <c r="G6" s="20">
        <f t="shared" ref="G6:J6" si="0">G3*G23</f>
        <v>13.234325</v>
      </c>
      <c r="H6" s="20">
        <f t="shared" si="0"/>
        <v>7.7425099999999993</v>
      </c>
      <c r="I6" s="20">
        <f t="shared" si="0"/>
        <v>0</v>
      </c>
      <c r="J6" s="20">
        <f t="shared" si="0"/>
        <v>0</v>
      </c>
      <c r="K6" s="402"/>
      <c r="L6" s="22">
        <f>SUM(F6:J6)</f>
        <v>25.362135833333333</v>
      </c>
      <c r="M6" s="404">
        <f>L6/K3</f>
        <v>4.6448246128112623E-2</v>
      </c>
    </row>
    <row r="7" spans="1:14" s="231" customFormat="1" x14ac:dyDescent="0.3">
      <c r="A7" s="490"/>
      <c r="B7" s="231" t="s">
        <v>378</v>
      </c>
      <c r="C7" s="402"/>
      <c r="D7" s="402"/>
      <c r="E7" s="402"/>
      <c r="F7" s="20">
        <f>F4*F44</f>
        <v>3.8321533333333333</v>
      </c>
      <c r="G7" s="20">
        <f t="shared" ref="G7:J7" si="1">G4*G44</f>
        <v>8.8368583333333319</v>
      </c>
      <c r="H7" s="20">
        <f t="shared" si="1"/>
        <v>5.0588450000000007</v>
      </c>
      <c r="I7" s="20">
        <f t="shared" si="1"/>
        <v>0</v>
      </c>
      <c r="J7" s="20">
        <f t="shared" si="1"/>
        <v>0</v>
      </c>
      <c r="K7" s="402"/>
      <c r="L7" s="22">
        <f t="shared" ref="L7:L11" si="2">SUM(F7:J7)</f>
        <v>17.727856666666668</v>
      </c>
      <c r="M7" s="404">
        <f t="shared" ref="M7:M8" si="3">L7/K4</f>
        <v>4.6325537437719944E-2</v>
      </c>
    </row>
    <row r="8" spans="1:14" s="231" customFormat="1" x14ac:dyDescent="0.3">
      <c r="A8" s="490"/>
      <c r="B8" s="231" t="s">
        <v>173</v>
      </c>
      <c r="C8" s="402"/>
      <c r="D8" s="402"/>
      <c r="E8" s="402"/>
      <c r="F8" s="20">
        <f>F5*F65</f>
        <v>3.7932124999999992</v>
      </c>
      <c r="G8" s="20">
        <f t="shared" ref="G8:J8" si="4">G5*G65</f>
        <v>10.644291666666666</v>
      </c>
      <c r="H8" s="20">
        <f t="shared" si="4"/>
        <v>10.004390000000001</v>
      </c>
      <c r="I8" s="20">
        <f t="shared" si="4"/>
        <v>0</v>
      </c>
      <c r="J8" s="20">
        <f t="shared" si="4"/>
        <v>0</v>
      </c>
      <c r="K8" s="402"/>
      <c r="L8" s="22">
        <f t="shared" si="2"/>
        <v>24.441894166666664</v>
      </c>
      <c r="M8" s="404">
        <f t="shared" si="3"/>
        <v>4.4952263378269845E-2</v>
      </c>
    </row>
    <row r="9" spans="1:14" s="231" customFormat="1" x14ac:dyDescent="0.3">
      <c r="A9" s="490" t="s">
        <v>391</v>
      </c>
      <c r="B9" s="231" t="s">
        <v>377</v>
      </c>
      <c r="C9" s="402"/>
      <c r="D9" s="402"/>
      <c r="E9" s="402"/>
      <c r="F9" s="20">
        <f>F3*F28</f>
        <v>0.93469999999999998</v>
      </c>
      <c r="G9" s="20">
        <f t="shared" ref="G9:J9" si="5">G3*G28</f>
        <v>19.659456944444447</v>
      </c>
      <c r="H9" s="20">
        <f t="shared" si="5"/>
        <v>1.5033999999999998</v>
      </c>
      <c r="I9" s="20">
        <f t="shared" si="5"/>
        <v>0</v>
      </c>
      <c r="J9" s="20">
        <f t="shared" si="5"/>
        <v>0</v>
      </c>
      <c r="K9" s="402"/>
      <c r="L9" s="22">
        <f>SUM(F9:J9)</f>
        <v>22.097556944444445</v>
      </c>
      <c r="M9" s="404">
        <f>L9/K3</f>
        <v>4.046949241698157E-2</v>
      </c>
    </row>
    <row r="10" spans="1:14" s="231" customFormat="1" x14ac:dyDescent="0.3">
      <c r="A10" s="490"/>
      <c r="B10" s="231" t="s">
        <v>378</v>
      </c>
      <c r="C10" s="402"/>
      <c r="D10" s="402"/>
      <c r="E10" s="402"/>
      <c r="F10" s="20">
        <f>F4*F49</f>
        <v>0.81680000000000008</v>
      </c>
      <c r="G10" s="20">
        <f t="shared" ref="G10:J10" si="6">G4*G49</f>
        <v>13.127064351851851</v>
      </c>
      <c r="H10" s="20">
        <f t="shared" si="6"/>
        <v>0.98230000000000006</v>
      </c>
      <c r="I10" s="20">
        <f t="shared" si="6"/>
        <v>0</v>
      </c>
      <c r="J10" s="20">
        <f t="shared" si="6"/>
        <v>0</v>
      </c>
      <c r="K10" s="402"/>
      <c r="L10" s="22">
        <f t="shared" si="2"/>
        <v>14.926164351851853</v>
      </c>
      <c r="M10" s="404">
        <f t="shared" ref="M10:M11" si="7">L10/K4</f>
        <v>3.900429693700181E-2</v>
      </c>
    </row>
    <row r="11" spans="1:14" s="231" customFormat="1" x14ac:dyDescent="0.3">
      <c r="A11" s="490"/>
      <c r="B11" s="231" t="s">
        <v>173</v>
      </c>
      <c r="C11" s="402"/>
      <c r="D11" s="402"/>
      <c r="E11" s="402"/>
      <c r="F11" s="20">
        <f>F5*F69</f>
        <v>0.8085</v>
      </c>
      <c r="G11" s="20">
        <f t="shared" ref="G11:J11" si="8">G5*G69</f>
        <v>19.079750000000001</v>
      </c>
      <c r="H11" s="20">
        <f t="shared" si="8"/>
        <v>1.9425999999999999</v>
      </c>
      <c r="I11" s="20">
        <f t="shared" si="8"/>
        <v>0</v>
      </c>
      <c r="J11" s="20">
        <f t="shared" si="8"/>
        <v>0</v>
      </c>
      <c r="K11" s="402"/>
      <c r="L11" s="22">
        <f t="shared" si="2"/>
        <v>21.830849999999998</v>
      </c>
      <c r="M11" s="404">
        <f t="shared" si="7"/>
        <v>4.0150166442903645E-2</v>
      </c>
    </row>
    <row r="12" spans="1:14" s="231" customFormat="1" x14ac:dyDescent="0.3">
      <c r="A12" s="490" t="s">
        <v>392</v>
      </c>
      <c r="B12" s="231" t="s">
        <v>377</v>
      </c>
      <c r="C12" s="20">
        <f>C3*C36</f>
        <v>0.16394839047619048</v>
      </c>
      <c r="D12" s="20">
        <f>D3*D36</f>
        <v>4.55</v>
      </c>
      <c r="E12" s="20">
        <f>C12*(D3+D12)</f>
        <v>30.584572243333334</v>
      </c>
      <c r="F12" s="402"/>
      <c r="G12" s="402"/>
      <c r="H12" s="402"/>
      <c r="I12" s="402"/>
      <c r="J12" s="402"/>
      <c r="K12" s="402"/>
      <c r="L12" s="399"/>
      <c r="M12" s="404">
        <f>E12/E3</f>
        <v>2.2082404761904761E-2</v>
      </c>
    </row>
    <row r="13" spans="1:14" s="231" customFormat="1" x14ac:dyDescent="0.3">
      <c r="A13" s="490"/>
      <c r="B13" s="231" t="s">
        <v>378</v>
      </c>
      <c r="C13" s="20">
        <f>C4*C57</f>
        <v>0.11439762857142856</v>
      </c>
      <c r="D13" s="20">
        <f>D4*D57</f>
        <v>4.7</v>
      </c>
      <c r="E13" s="20">
        <f>C13*(D4+D13)</f>
        <v>22.044423025714281</v>
      </c>
      <c r="F13" s="402"/>
      <c r="G13" s="402"/>
      <c r="H13" s="402"/>
      <c r="I13" s="402"/>
      <c r="J13" s="402"/>
      <c r="K13" s="402"/>
      <c r="L13" s="399"/>
      <c r="M13" s="404">
        <f t="shared" ref="M13:M14" si="9">E13/E4</f>
        <v>2.2082404761904758E-2</v>
      </c>
    </row>
    <row r="14" spans="1:14" s="231" customFormat="1" x14ac:dyDescent="0.3">
      <c r="A14" s="490"/>
      <c r="B14" s="231" t="s">
        <v>173</v>
      </c>
      <c r="C14" s="20">
        <f>C5*C76</f>
        <v>5.8502399999999996E-2</v>
      </c>
      <c r="D14" s="20">
        <f>D5*D76</f>
        <v>10.225000000000001</v>
      </c>
      <c r="E14" s="20">
        <f t="shared" ref="E14" si="10">C14*(D5+D14)</f>
        <v>24.525668639999999</v>
      </c>
      <c r="F14" s="402"/>
      <c r="G14" s="402"/>
      <c r="H14" s="402"/>
      <c r="I14" s="402"/>
      <c r="J14" s="402"/>
      <c r="K14" s="402"/>
      <c r="L14" s="399"/>
      <c r="M14" s="404">
        <f t="shared" si="9"/>
        <v>1.5142666666666667E-2</v>
      </c>
    </row>
    <row r="16" spans="1:14" s="231" customFormat="1" x14ac:dyDescent="0.3">
      <c r="A16" s="2" t="s">
        <v>377</v>
      </c>
      <c r="B16" s="2"/>
      <c r="C16" s="2"/>
      <c r="D16" s="2"/>
      <c r="E16" s="2"/>
      <c r="F16" s="2"/>
      <c r="G16" s="2"/>
      <c r="H16" s="2"/>
      <c r="I16" s="2"/>
      <c r="J16" s="2"/>
      <c r="K16" s="2"/>
      <c r="L16" s="2" t="s">
        <v>128</v>
      </c>
      <c r="M16" s="231" t="s">
        <v>275</v>
      </c>
    </row>
    <row r="17" spans="1:13" x14ac:dyDescent="0.3">
      <c r="A17" t="s">
        <v>390</v>
      </c>
      <c r="B17" s="399"/>
      <c r="C17" s="439"/>
      <c r="D17" s="439"/>
      <c r="E17" s="439"/>
      <c r="F17" s="330">
        <v>7.0000000000000007E-2</v>
      </c>
      <c r="G17" s="330">
        <v>7.0000000000000007E-2</v>
      </c>
      <c r="H17" s="330">
        <v>7.0000000000000007E-2</v>
      </c>
      <c r="I17" s="330"/>
      <c r="J17" s="330"/>
      <c r="K17" s="330"/>
      <c r="L17" t="s">
        <v>396</v>
      </c>
      <c r="M17" t="s">
        <v>397</v>
      </c>
    </row>
    <row r="18" spans="1:13" outlineLevel="1" x14ac:dyDescent="0.3">
      <c r="B18" s="399"/>
      <c r="C18" s="439"/>
      <c r="D18" s="439"/>
      <c r="E18" s="439"/>
      <c r="F18" s="330">
        <f>(0.005+0.1)/2</f>
        <v>5.2500000000000005E-2</v>
      </c>
      <c r="G18" s="330">
        <f t="shared" ref="G18:H18" si="11">(0.005+0.1)/2</f>
        <v>5.2500000000000005E-2</v>
      </c>
      <c r="H18" s="330">
        <f t="shared" si="11"/>
        <v>5.2500000000000005E-2</v>
      </c>
      <c r="I18" s="330"/>
      <c r="J18" s="330"/>
      <c r="K18" s="330"/>
      <c r="L18" t="s">
        <v>398</v>
      </c>
      <c r="M18" t="s">
        <v>399</v>
      </c>
    </row>
    <row r="19" spans="1:13" outlineLevel="1" x14ac:dyDescent="0.3">
      <c r="B19" s="399"/>
      <c r="C19" s="439"/>
      <c r="D19" s="439"/>
      <c r="E19" s="439"/>
      <c r="F19" s="330">
        <f>(0.05+0.1)/2</f>
        <v>7.5000000000000011E-2</v>
      </c>
      <c r="G19" s="330">
        <f t="shared" ref="G19:H19" si="12">(0.05+0.1)/2</f>
        <v>7.5000000000000011E-2</v>
      </c>
      <c r="H19" s="330">
        <f t="shared" si="12"/>
        <v>7.5000000000000011E-2</v>
      </c>
      <c r="I19" s="330"/>
      <c r="J19" s="330"/>
      <c r="K19" s="330"/>
      <c r="L19" t="s">
        <v>400</v>
      </c>
    </row>
    <row r="20" spans="1:13" outlineLevel="1" x14ac:dyDescent="0.3">
      <c r="B20" s="399"/>
      <c r="C20" s="439"/>
      <c r="D20" s="439"/>
      <c r="E20" s="439"/>
      <c r="F20" s="330">
        <v>2.4E-2</v>
      </c>
      <c r="G20" s="330">
        <v>2.1999999999999999E-2</v>
      </c>
      <c r="H20" s="330"/>
      <c r="I20" s="330"/>
      <c r="J20" s="330"/>
      <c r="K20" s="330"/>
      <c r="L20" t="s">
        <v>401</v>
      </c>
    </row>
    <row r="21" spans="1:13" outlineLevel="1" x14ac:dyDescent="0.3">
      <c r="B21" s="399"/>
      <c r="C21" s="439"/>
      <c r="D21" s="439"/>
      <c r="E21" s="439"/>
      <c r="F21" s="330">
        <f>(0.01+0.05)/2</f>
        <v>3.0000000000000002E-2</v>
      </c>
      <c r="G21" s="330">
        <f t="shared" ref="G21:H21" si="13">(0.01+0.05)/2</f>
        <v>3.0000000000000002E-2</v>
      </c>
      <c r="H21" s="330">
        <f t="shared" si="13"/>
        <v>3.0000000000000002E-2</v>
      </c>
      <c r="I21" s="330"/>
      <c r="J21" s="330"/>
      <c r="K21" s="330"/>
      <c r="L21" s="231" t="s">
        <v>402</v>
      </c>
    </row>
    <row r="22" spans="1:13" s="231" customFormat="1" outlineLevel="1" x14ac:dyDescent="0.3">
      <c r="B22" s="399"/>
      <c r="C22" s="439"/>
      <c r="D22" s="439"/>
      <c r="E22" s="439"/>
      <c r="F22" s="330">
        <v>0.03</v>
      </c>
      <c r="G22" s="330">
        <v>0.03</v>
      </c>
      <c r="H22" s="330">
        <v>0.03</v>
      </c>
      <c r="I22" s="330"/>
      <c r="J22" s="330"/>
      <c r="K22" s="330"/>
      <c r="L22" s="231" t="s">
        <v>408</v>
      </c>
    </row>
    <row r="23" spans="1:13" s="69" customFormat="1" x14ac:dyDescent="0.3">
      <c r="A23" s="72" t="s">
        <v>133</v>
      </c>
      <c r="B23" s="400"/>
      <c r="C23" s="440"/>
      <c r="D23" s="440"/>
      <c r="E23" s="440"/>
      <c r="F23" s="401">
        <f t="shared" ref="F23:K23" si="14">IF(SUM(F17:F22)=0,0,SUM(F17:F22)/COUNT(F17:F22))</f>
        <v>4.6916666666666662E-2</v>
      </c>
      <c r="G23" s="401">
        <f t="shared" si="14"/>
        <v>4.6583333333333331E-2</v>
      </c>
      <c r="H23" s="401">
        <f t="shared" si="14"/>
        <v>5.1500000000000004E-2</v>
      </c>
      <c r="I23" s="401">
        <f t="shared" si="14"/>
        <v>0</v>
      </c>
      <c r="J23" s="401">
        <f t="shared" si="14"/>
        <v>0</v>
      </c>
      <c r="K23" s="401">
        <f t="shared" si="14"/>
        <v>0</v>
      </c>
    </row>
    <row r="24" spans="1:13" x14ac:dyDescent="0.3">
      <c r="A24" t="s">
        <v>391</v>
      </c>
      <c r="B24" s="399"/>
      <c r="C24" s="439"/>
      <c r="D24" s="439"/>
      <c r="E24" s="439"/>
      <c r="F24" s="330"/>
      <c r="G24" s="330">
        <f>(0.146+0.15+0.05+0.1)/4</f>
        <v>0.11149999999999999</v>
      </c>
      <c r="H24" s="330"/>
      <c r="I24" s="330"/>
      <c r="J24" s="330"/>
      <c r="K24" s="330"/>
      <c r="L24" t="s">
        <v>393</v>
      </c>
      <c r="M24" t="s">
        <v>394</v>
      </c>
    </row>
    <row r="25" spans="1:13" outlineLevel="1" x14ac:dyDescent="0.3">
      <c r="A25" s="231"/>
      <c r="B25" s="399"/>
      <c r="C25" s="439"/>
      <c r="D25" s="439"/>
      <c r="E25" s="439"/>
      <c r="F25" s="330"/>
      <c r="G25" s="330">
        <v>0</v>
      </c>
      <c r="H25" s="330"/>
      <c r="I25" s="330"/>
      <c r="J25" s="330"/>
      <c r="K25" s="330"/>
      <c r="L25" s="231" t="s">
        <v>405</v>
      </c>
      <c r="M25" t="s">
        <v>407</v>
      </c>
    </row>
    <row r="26" spans="1:13" outlineLevel="1" x14ac:dyDescent="0.3">
      <c r="A26" s="231"/>
      <c r="B26" s="399"/>
      <c r="C26" s="439"/>
      <c r="D26" s="439"/>
      <c r="E26" s="439"/>
      <c r="F26" s="330">
        <v>0.01</v>
      </c>
      <c r="G26" s="330">
        <v>0.01</v>
      </c>
      <c r="H26" s="330">
        <v>0.01</v>
      </c>
      <c r="I26" s="330"/>
      <c r="J26" s="330"/>
      <c r="K26" s="330"/>
      <c r="L26" s="231" t="s">
        <v>408</v>
      </c>
    </row>
    <row r="27" spans="1:13" outlineLevel="1" x14ac:dyDescent="0.3">
      <c r="A27" s="231"/>
      <c r="B27" s="399"/>
      <c r="C27" s="439"/>
      <c r="D27" s="439"/>
      <c r="E27" s="439"/>
      <c r="F27" s="330"/>
      <c r="G27" s="330">
        <f>((-1*(31-5.8-23.2-42.1-82-5.1-34-29.9-42.5+4.3-28.2-1.6-2.5-38.1-38.1-34.6-3-26.7-26.7+14.6+0-5.4+0+0-6.5+2.9+3.9))/100)/27</f>
        <v>0.15529629629629632</v>
      </c>
      <c r="H27" s="330"/>
      <c r="I27" s="330"/>
      <c r="J27" s="330"/>
      <c r="K27" s="330"/>
      <c r="L27" s="44" t="s">
        <v>411</v>
      </c>
      <c r="M27" t="s">
        <v>412</v>
      </c>
    </row>
    <row r="28" spans="1:13" s="69" customFormat="1" x14ac:dyDescent="0.3">
      <c r="A28" s="72" t="s">
        <v>133</v>
      </c>
      <c r="B28" s="400"/>
      <c r="C28" s="440"/>
      <c r="D28" s="440"/>
      <c r="E28" s="440"/>
      <c r="F28" s="401">
        <f t="shared" ref="F28:K28" si="15">IF(SUM(F24:F27)=0,0,SUM(F24:F27)/COUNT(F24:F27))</f>
        <v>0.01</v>
      </c>
      <c r="G28" s="401">
        <f t="shared" si="15"/>
        <v>6.919907407407408E-2</v>
      </c>
      <c r="H28" s="401">
        <f t="shared" si="15"/>
        <v>0.01</v>
      </c>
      <c r="I28" s="401">
        <f t="shared" si="15"/>
        <v>0</v>
      </c>
      <c r="J28" s="401">
        <f t="shared" si="15"/>
        <v>0</v>
      </c>
      <c r="K28" s="401">
        <f t="shared" si="15"/>
        <v>0</v>
      </c>
    </row>
    <row r="29" spans="1:13" x14ac:dyDescent="0.3">
      <c r="A29" t="s">
        <v>392</v>
      </c>
      <c r="B29" s="399"/>
      <c r="C29" s="401">
        <f>(0.02+0.03)/2</f>
        <v>2.5000000000000001E-2</v>
      </c>
      <c r="D29" s="401"/>
      <c r="E29" s="401"/>
      <c r="F29" s="439"/>
      <c r="G29" s="439"/>
      <c r="H29" s="439"/>
      <c r="I29" s="439"/>
      <c r="J29" s="439"/>
      <c r="K29" s="439"/>
      <c r="L29" s="231" t="s">
        <v>400</v>
      </c>
    </row>
    <row r="30" spans="1:13" outlineLevel="1" x14ac:dyDescent="0.3">
      <c r="A30" s="231"/>
      <c r="B30" s="399"/>
      <c r="C30" s="330">
        <f>(0+0.04)/2</f>
        <v>0.02</v>
      </c>
      <c r="D30" s="330">
        <f>(0+0.05)/2</f>
        <v>2.5000000000000001E-2</v>
      </c>
      <c r="E30" s="330"/>
      <c r="F30" s="439"/>
      <c r="G30" s="439"/>
      <c r="H30" s="439"/>
      <c r="I30" s="439"/>
      <c r="J30" s="439"/>
      <c r="K30" s="439"/>
      <c r="L30" t="s">
        <v>402</v>
      </c>
    </row>
    <row r="31" spans="1:13" outlineLevel="1" x14ac:dyDescent="0.3">
      <c r="A31" s="231"/>
      <c r="B31" s="399"/>
      <c r="C31" s="330">
        <f>(0.00129+0.0142+0.00893)/3</f>
        <v>8.1399999999999997E-3</v>
      </c>
      <c r="D31" s="330"/>
      <c r="E31" s="330"/>
      <c r="F31" s="439"/>
      <c r="G31" s="439"/>
      <c r="H31" s="439"/>
      <c r="I31" s="439"/>
      <c r="J31" s="439"/>
      <c r="K31" s="439"/>
      <c r="L31" s="231" t="s">
        <v>403</v>
      </c>
      <c r="M31" s="231" t="s">
        <v>404</v>
      </c>
    </row>
    <row r="32" spans="1:13" outlineLevel="1" x14ac:dyDescent="0.3">
      <c r="A32" s="231"/>
      <c r="B32" s="399"/>
      <c r="C32" s="330">
        <f>(0.015+0.041)/2</f>
        <v>2.8000000000000001E-2</v>
      </c>
      <c r="D32" s="330"/>
      <c r="E32" s="330"/>
      <c r="F32" s="439"/>
      <c r="G32" s="439"/>
      <c r="H32" s="439"/>
      <c r="I32" s="439"/>
      <c r="J32" s="439"/>
      <c r="K32" s="439"/>
      <c r="L32" t="s">
        <v>405</v>
      </c>
      <c r="M32" t="s">
        <v>406</v>
      </c>
    </row>
    <row r="33" spans="1:13" outlineLevel="1" x14ac:dyDescent="0.3">
      <c r="A33" s="231"/>
      <c r="B33" s="399"/>
      <c r="C33" s="330">
        <v>0.03</v>
      </c>
      <c r="D33" s="330"/>
      <c r="E33" s="330"/>
      <c r="F33" s="439"/>
      <c r="G33" s="439"/>
      <c r="H33" s="439"/>
      <c r="I33" s="439"/>
      <c r="J33" s="439"/>
      <c r="K33" s="439"/>
      <c r="L33" s="231" t="s">
        <v>408</v>
      </c>
    </row>
    <row r="34" spans="1:13" s="231" customFormat="1" outlineLevel="1" x14ac:dyDescent="0.3">
      <c r="B34" s="399"/>
      <c r="C34" s="330">
        <f>(0.022+0.022+0.016)/3</f>
        <v>0.02</v>
      </c>
      <c r="D34" s="330"/>
      <c r="E34" s="330"/>
      <c r="F34" s="439"/>
      <c r="G34" s="439"/>
      <c r="H34" s="439"/>
      <c r="I34" s="439"/>
      <c r="J34" s="439"/>
      <c r="K34" s="439"/>
      <c r="L34" s="6" t="s">
        <v>409</v>
      </c>
      <c r="M34" s="231" t="s">
        <v>410</v>
      </c>
    </row>
    <row r="35" spans="1:13" s="231" customFormat="1" outlineLevel="1" x14ac:dyDescent="0.3">
      <c r="B35" s="399"/>
      <c r="C35" s="330">
        <f>((7.1-2.2-1-0.8-1+1.7-0.7+11.3+1.6+17.5+17.3+5.1-2.5-5.2+1.6-0.2-0.9-0.5+3.3+3.1+0.8-4.9+0+0.7+0+0.5+1.4)/100)/27</f>
        <v>1.9666666666666662E-2</v>
      </c>
      <c r="D35" s="330"/>
      <c r="E35" s="330"/>
      <c r="F35" s="439"/>
      <c r="G35" s="439"/>
      <c r="H35" s="439"/>
      <c r="I35" s="439"/>
      <c r="J35" s="439"/>
      <c r="K35" s="439"/>
      <c r="L35" s="44" t="s">
        <v>411</v>
      </c>
      <c r="M35" s="231" t="s">
        <v>412</v>
      </c>
    </row>
    <row r="36" spans="1:13" s="69" customFormat="1" x14ac:dyDescent="0.3">
      <c r="A36" s="72" t="s">
        <v>133</v>
      </c>
      <c r="B36" s="400"/>
      <c r="C36" s="401">
        <f>IF(SUM(C29:C35)=0,0,SUM(C29:C35)/COUNT(C29:C35))</f>
        <v>2.1543809523809524E-2</v>
      </c>
      <c r="D36" s="401">
        <f t="shared" ref="D36" si="16">IF(SUM(D29:D35)=0,0,SUM(D29:D35)/COUNT(D29:D35))</f>
        <v>2.5000000000000001E-2</v>
      </c>
      <c r="E36" s="401">
        <f t="shared" ref="E36" si="17">IF(SUM(E29:E35)=0,0,SUM(E29:E35)/COUNT(E29:E35))</f>
        <v>0</v>
      </c>
      <c r="F36" s="440"/>
      <c r="G36" s="440"/>
      <c r="H36" s="440"/>
      <c r="I36" s="440"/>
      <c r="J36" s="440"/>
      <c r="K36" s="440"/>
    </row>
    <row r="37" spans="1:13" x14ac:dyDescent="0.3">
      <c r="A37" s="2" t="s">
        <v>378</v>
      </c>
      <c r="B37" s="2"/>
      <c r="C37" s="441"/>
      <c r="D37" s="441"/>
      <c r="E37" s="441"/>
      <c r="F37" s="441"/>
      <c r="G37" s="441"/>
      <c r="H37" s="441"/>
      <c r="I37" s="441"/>
      <c r="J37" s="441"/>
      <c r="K37" s="441"/>
      <c r="L37" s="2" t="s">
        <v>128</v>
      </c>
    </row>
    <row r="38" spans="1:13" x14ac:dyDescent="0.3">
      <c r="A38" s="231" t="s">
        <v>390</v>
      </c>
      <c r="B38" s="399"/>
      <c r="C38" s="439"/>
      <c r="D38" s="439"/>
      <c r="E38" s="439"/>
      <c r="F38" s="330">
        <v>7.0000000000000007E-2</v>
      </c>
      <c r="G38" s="330">
        <v>7.0000000000000007E-2</v>
      </c>
      <c r="H38" s="330">
        <v>7.0000000000000007E-2</v>
      </c>
      <c r="I38" s="330"/>
      <c r="J38" s="330"/>
      <c r="K38" s="330"/>
      <c r="L38" s="231" t="s">
        <v>396</v>
      </c>
      <c r="M38" s="231" t="s">
        <v>397</v>
      </c>
    </row>
    <row r="39" spans="1:13" outlineLevel="1" x14ac:dyDescent="0.3">
      <c r="A39" s="231"/>
      <c r="B39" s="399"/>
      <c r="C39" s="439"/>
      <c r="D39" s="439"/>
      <c r="E39" s="439"/>
      <c r="F39" s="330">
        <f>(0.005+0.1)/2</f>
        <v>5.2500000000000005E-2</v>
      </c>
      <c r="G39" s="330">
        <f t="shared" ref="G39:H39" si="18">(0.005+0.1)/2</f>
        <v>5.2500000000000005E-2</v>
      </c>
      <c r="H39" s="330">
        <f t="shared" si="18"/>
        <v>5.2500000000000005E-2</v>
      </c>
      <c r="I39" s="330"/>
      <c r="J39" s="330"/>
      <c r="K39" s="330"/>
      <c r="L39" s="231" t="s">
        <v>398</v>
      </c>
      <c r="M39" s="231" t="s">
        <v>399</v>
      </c>
    </row>
    <row r="40" spans="1:13" outlineLevel="1" x14ac:dyDescent="0.3">
      <c r="A40" s="231"/>
      <c r="B40" s="399"/>
      <c r="C40" s="439"/>
      <c r="D40" s="439"/>
      <c r="E40" s="439"/>
      <c r="F40" s="330">
        <f>(0.05+0.1)/2</f>
        <v>7.5000000000000011E-2</v>
      </c>
      <c r="G40" s="330">
        <f t="shared" ref="G40:H40" si="19">(0.05+0.1)/2</f>
        <v>7.5000000000000011E-2</v>
      </c>
      <c r="H40" s="330">
        <f t="shared" si="19"/>
        <v>7.5000000000000011E-2</v>
      </c>
      <c r="I40" s="330"/>
      <c r="J40" s="330"/>
      <c r="K40" s="330"/>
      <c r="L40" s="231" t="s">
        <v>400</v>
      </c>
    </row>
    <row r="41" spans="1:13" outlineLevel="1" x14ac:dyDescent="0.3">
      <c r="A41" s="231"/>
      <c r="B41" s="399"/>
      <c r="C41" s="439"/>
      <c r="D41" s="439"/>
      <c r="E41" s="439"/>
      <c r="F41" s="330">
        <v>2.4E-2</v>
      </c>
      <c r="G41" s="330">
        <v>2.1999999999999999E-2</v>
      </c>
      <c r="H41" s="330"/>
      <c r="I41" s="330"/>
      <c r="J41" s="330"/>
      <c r="K41" s="330"/>
      <c r="L41" s="231" t="s">
        <v>401</v>
      </c>
    </row>
    <row r="42" spans="1:13" outlineLevel="1" x14ac:dyDescent="0.3">
      <c r="A42" s="231"/>
      <c r="B42" s="399"/>
      <c r="C42" s="439"/>
      <c r="D42" s="439"/>
      <c r="E42" s="439"/>
      <c r="F42" s="330">
        <f>(0.01+0.05)/2</f>
        <v>3.0000000000000002E-2</v>
      </c>
      <c r="G42" s="330">
        <f t="shared" ref="G42:H42" si="20">(0.01+0.05)/2</f>
        <v>3.0000000000000002E-2</v>
      </c>
      <c r="H42" s="330">
        <f t="shared" si="20"/>
        <v>3.0000000000000002E-2</v>
      </c>
      <c r="I42" s="330"/>
      <c r="J42" s="330"/>
      <c r="K42" s="330"/>
      <c r="L42" s="231" t="s">
        <v>402</v>
      </c>
    </row>
    <row r="43" spans="1:13" s="231" customFormat="1" outlineLevel="1" x14ac:dyDescent="0.3">
      <c r="B43" s="399"/>
      <c r="C43" s="439"/>
      <c r="D43" s="439"/>
      <c r="E43" s="439"/>
      <c r="F43" s="330">
        <v>0.03</v>
      </c>
      <c r="G43" s="330">
        <v>0.03</v>
      </c>
      <c r="H43" s="330">
        <v>0.03</v>
      </c>
      <c r="I43" s="330"/>
      <c r="J43" s="330"/>
      <c r="K43" s="330"/>
      <c r="L43" s="231" t="s">
        <v>408</v>
      </c>
    </row>
    <row r="44" spans="1:13" s="69" customFormat="1" x14ac:dyDescent="0.3">
      <c r="A44" s="72" t="s">
        <v>133</v>
      </c>
      <c r="B44" s="400"/>
      <c r="C44" s="440"/>
      <c r="D44" s="440"/>
      <c r="E44" s="440"/>
      <c r="F44" s="401">
        <f t="shared" ref="F44:K44" si="21">IF(SUM(F38:F43)=0,0,SUM(F38:F43)/COUNT(F38:F43))</f>
        <v>4.6916666666666662E-2</v>
      </c>
      <c r="G44" s="401">
        <f t="shared" si="21"/>
        <v>4.6583333333333331E-2</v>
      </c>
      <c r="H44" s="401">
        <f t="shared" si="21"/>
        <v>5.1500000000000004E-2</v>
      </c>
      <c r="I44" s="401">
        <f t="shared" si="21"/>
        <v>0</v>
      </c>
      <c r="J44" s="401">
        <f t="shared" si="21"/>
        <v>0</v>
      </c>
      <c r="K44" s="401">
        <f t="shared" si="21"/>
        <v>0</v>
      </c>
    </row>
    <row r="45" spans="1:13" x14ac:dyDescent="0.3">
      <c r="A45" s="231" t="s">
        <v>391</v>
      </c>
      <c r="B45" s="399"/>
      <c r="C45" s="439"/>
      <c r="D45" s="439"/>
      <c r="E45" s="439"/>
      <c r="F45" s="330"/>
      <c r="G45" s="330">
        <f>(0.146+0.15+0.05+0.1)/4</f>
        <v>0.11149999999999999</v>
      </c>
      <c r="H45" s="330"/>
      <c r="I45" s="330"/>
      <c r="J45" s="330"/>
      <c r="K45" s="330"/>
      <c r="L45" s="231" t="s">
        <v>393</v>
      </c>
      <c r="M45" t="s">
        <v>395</v>
      </c>
    </row>
    <row r="46" spans="1:13" outlineLevel="1" x14ac:dyDescent="0.3">
      <c r="A46" s="231"/>
      <c r="B46" s="399"/>
      <c r="C46" s="439"/>
      <c r="D46" s="439"/>
      <c r="E46" s="439"/>
      <c r="F46" s="330"/>
      <c r="G46" s="330">
        <v>0</v>
      </c>
      <c r="H46" s="330"/>
      <c r="I46" s="330"/>
      <c r="J46" s="330"/>
      <c r="K46" s="330"/>
      <c r="L46" s="231" t="s">
        <v>405</v>
      </c>
      <c r="M46" s="231" t="s">
        <v>407</v>
      </c>
    </row>
    <row r="47" spans="1:13" outlineLevel="1" x14ac:dyDescent="0.3">
      <c r="A47" s="231"/>
      <c r="B47" s="399"/>
      <c r="C47" s="439"/>
      <c r="D47" s="439"/>
      <c r="E47" s="439"/>
      <c r="F47" s="330">
        <v>0.01</v>
      </c>
      <c r="G47" s="330">
        <v>0.01</v>
      </c>
      <c r="H47" s="330">
        <v>0.01</v>
      </c>
      <c r="I47" s="330"/>
      <c r="J47" s="330"/>
      <c r="K47" s="330"/>
      <c r="L47" s="231" t="s">
        <v>408</v>
      </c>
    </row>
    <row r="48" spans="1:13" outlineLevel="1" x14ac:dyDescent="0.3">
      <c r="A48" s="231"/>
      <c r="B48" s="399"/>
      <c r="C48" s="439"/>
      <c r="D48" s="439"/>
      <c r="E48" s="439"/>
      <c r="F48" s="330"/>
      <c r="G48" s="330">
        <f>((-1*(31-5.8-23.2-42.1-82-5.1-34-29.9-42.5+4.3-28.2-1.6-2.5-38.1-38.1-34.6-3-26.7-26.7+14.6+0-5.4+0+0-6.5+2.9+3.9))/100)/27</f>
        <v>0.15529629629629632</v>
      </c>
      <c r="H48" s="330"/>
      <c r="I48" s="330"/>
      <c r="J48" s="330"/>
      <c r="K48" s="330"/>
      <c r="L48" s="44" t="s">
        <v>411</v>
      </c>
      <c r="M48" s="231" t="s">
        <v>412</v>
      </c>
    </row>
    <row r="49" spans="1:13" s="69" customFormat="1" x14ac:dyDescent="0.3">
      <c r="A49" s="72" t="s">
        <v>133</v>
      </c>
      <c r="B49" s="400"/>
      <c r="C49" s="440"/>
      <c r="D49" s="440"/>
      <c r="E49" s="440"/>
      <c r="F49" s="401">
        <f t="shared" ref="F49:K49" si="22">IF(SUM(F45:F48)=0,0,SUM(F45:F48)/COUNT(F45:F48))</f>
        <v>0.01</v>
      </c>
      <c r="G49" s="401">
        <f t="shared" si="22"/>
        <v>6.919907407407408E-2</v>
      </c>
      <c r="H49" s="401">
        <f t="shared" si="22"/>
        <v>0.01</v>
      </c>
      <c r="I49" s="401">
        <f t="shared" si="22"/>
        <v>0</v>
      </c>
      <c r="J49" s="401">
        <f t="shared" si="22"/>
        <v>0</v>
      </c>
      <c r="K49" s="401">
        <f t="shared" si="22"/>
        <v>0</v>
      </c>
    </row>
    <row r="50" spans="1:13" x14ac:dyDescent="0.3">
      <c r="A50" s="231" t="s">
        <v>392</v>
      </c>
      <c r="B50" s="399"/>
      <c r="C50" s="401">
        <f>(0.02+0.03)/2</f>
        <v>2.5000000000000001E-2</v>
      </c>
      <c r="D50" s="401"/>
      <c r="E50" s="401"/>
      <c r="F50" s="439"/>
      <c r="G50" s="439"/>
      <c r="H50" s="439"/>
      <c r="I50" s="439"/>
      <c r="J50" s="439"/>
      <c r="K50" s="439"/>
      <c r="L50" s="231" t="s">
        <v>400</v>
      </c>
    </row>
    <row r="51" spans="1:13" outlineLevel="1" x14ac:dyDescent="0.3">
      <c r="A51" s="231"/>
      <c r="B51" s="399"/>
      <c r="C51" s="330">
        <f>(0+0.04)/2</f>
        <v>0.02</v>
      </c>
      <c r="D51" s="330">
        <f>(0+0.05)/2</f>
        <v>2.5000000000000001E-2</v>
      </c>
      <c r="E51" s="330"/>
      <c r="F51" s="439"/>
      <c r="G51" s="439"/>
      <c r="H51" s="439"/>
      <c r="I51" s="439"/>
      <c r="J51" s="439"/>
      <c r="K51" s="439"/>
      <c r="L51" s="231" t="s">
        <v>402</v>
      </c>
    </row>
    <row r="52" spans="1:13" outlineLevel="1" x14ac:dyDescent="0.3">
      <c r="A52" s="231"/>
      <c r="B52" s="399"/>
      <c r="C52" s="330">
        <f>(0.00129+0.0142+0.00893)/3</f>
        <v>8.1399999999999997E-3</v>
      </c>
      <c r="D52" s="330"/>
      <c r="E52" s="330"/>
      <c r="F52" s="439"/>
      <c r="G52" s="439"/>
      <c r="H52" s="439"/>
      <c r="I52" s="439"/>
      <c r="J52" s="439"/>
      <c r="K52" s="439"/>
      <c r="L52" s="231" t="s">
        <v>403</v>
      </c>
      <c r="M52" s="231" t="s">
        <v>404</v>
      </c>
    </row>
    <row r="53" spans="1:13" outlineLevel="1" x14ac:dyDescent="0.3">
      <c r="A53" s="231"/>
      <c r="B53" s="399"/>
      <c r="C53" s="330">
        <f>(0.015+0.041)/2</f>
        <v>2.8000000000000001E-2</v>
      </c>
      <c r="D53" s="330"/>
      <c r="E53" s="330"/>
      <c r="F53" s="439"/>
      <c r="G53" s="439"/>
      <c r="H53" s="439"/>
      <c r="I53" s="439"/>
      <c r="J53" s="439"/>
      <c r="K53" s="439"/>
      <c r="L53" s="231" t="s">
        <v>405</v>
      </c>
      <c r="M53" s="231" t="s">
        <v>406</v>
      </c>
    </row>
    <row r="54" spans="1:13" outlineLevel="1" x14ac:dyDescent="0.3">
      <c r="A54" s="231"/>
      <c r="B54" s="399"/>
      <c r="C54" s="330">
        <v>0.03</v>
      </c>
      <c r="D54" s="330"/>
      <c r="E54" s="330"/>
      <c r="F54" s="439"/>
      <c r="G54" s="439"/>
      <c r="H54" s="439"/>
      <c r="I54" s="439"/>
      <c r="J54" s="439"/>
      <c r="K54" s="439"/>
      <c r="L54" s="231" t="s">
        <v>408</v>
      </c>
    </row>
    <row r="55" spans="1:13" s="231" customFormat="1" outlineLevel="1" x14ac:dyDescent="0.3">
      <c r="B55" s="399"/>
      <c r="C55" s="330">
        <f>(0.022+0.022+0.016)/3</f>
        <v>0.02</v>
      </c>
      <c r="D55" s="330"/>
      <c r="E55" s="330"/>
      <c r="F55" s="439"/>
      <c r="G55" s="439"/>
      <c r="H55" s="439"/>
      <c r="I55" s="439"/>
      <c r="J55" s="439"/>
      <c r="K55" s="439"/>
      <c r="L55" s="6" t="s">
        <v>409</v>
      </c>
      <c r="M55" s="231" t="s">
        <v>410</v>
      </c>
    </row>
    <row r="56" spans="1:13" s="231" customFormat="1" outlineLevel="1" x14ac:dyDescent="0.3">
      <c r="B56" s="399"/>
      <c r="C56" s="330">
        <f>((7.1-2.2-1-0.8-1+1.7-0.7+11.3+1.6+17.5+17.3+5.1-2.5-5.2+1.6-0.2-0.9-0.5+3.3+3.1+0.8-4.9+0+0.7+0+0.5+1.4)/100)/27</f>
        <v>1.9666666666666662E-2</v>
      </c>
      <c r="D56" s="330"/>
      <c r="E56" s="330"/>
      <c r="F56" s="439"/>
      <c r="G56" s="439"/>
      <c r="H56" s="439"/>
      <c r="I56" s="439"/>
      <c r="J56" s="439"/>
      <c r="K56" s="439"/>
      <c r="L56" s="44" t="s">
        <v>411</v>
      </c>
      <c r="M56" s="231" t="s">
        <v>412</v>
      </c>
    </row>
    <row r="57" spans="1:13" s="69" customFormat="1" x14ac:dyDescent="0.3">
      <c r="A57" s="72" t="s">
        <v>133</v>
      </c>
      <c r="B57" s="400"/>
      <c r="C57" s="401">
        <f>IF(SUM(C50:C56)=0,0,SUM(C50:C56)/COUNT(C50:C56))</f>
        <v>2.1543809523809524E-2</v>
      </c>
      <c r="D57" s="401">
        <f t="shared" ref="D57:E57" si="23">IF(SUM(D50:D56)=0,0,SUM(D50:D56)/COUNT(D50:D56))</f>
        <v>2.5000000000000001E-2</v>
      </c>
      <c r="E57" s="401">
        <f t="shared" si="23"/>
        <v>0</v>
      </c>
      <c r="F57" s="440"/>
      <c r="G57" s="440"/>
      <c r="H57" s="440"/>
      <c r="I57" s="440"/>
      <c r="J57" s="440"/>
      <c r="K57" s="440"/>
    </row>
    <row r="58" spans="1:13" x14ac:dyDescent="0.3">
      <c r="A58" s="2" t="s">
        <v>173</v>
      </c>
      <c r="B58" s="2"/>
      <c r="C58" s="441"/>
      <c r="D58" s="441"/>
      <c r="E58" s="441"/>
      <c r="F58" s="441"/>
      <c r="G58" s="441"/>
      <c r="H58" s="441"/>
      <c r="I58" s="441"/>
      <c r="J58" s="441"/>
      <c r="K58" s="441"/>
      <c r="L58" s="2" t="s">
        <v>128</v>
      </c>
    </row>
    <row r="59" spans="1:13" x14ac:dyDescent="0.3">
      <c r="A59" s="231" t="s">
        <v>390</v>
      </c>
      <c r="B59" s="399"/>
      <c r="C59" s="439"/>
      <c r="D59" s="439"/>
      <c r="E59" s="439"/>
      <c r="F59" s="330">
        <v>7.0000000000000007E-2</v>
      </c>
      <c r="G59" s="330">
        <v>7.0000000000000007E-2</v>
      </c>
      <c r="H59" s="330">
        <v>7.0000000000000007E-2</v>
      </c>
      <c r="I59" s="330"/>
      <c r="J59" s="330"/>
      <c r="K59" s="330"/>
      <c r="L59" s="231" t="s">
        <v>396</v>
      </c>
      <c r="M59" s="231" t="s">
        <v>397</v>
      </c>
    </row>
    <row r="60" spans="1:13" outlineLevel="1" x14ac:dyDescent="0.3">
      <c r="A60" s="231"/>
      <c r="B60" s="399"/>
      <c r="C60" s="439"/>
      <c r="D60" s="439"/>
      <c r="E60" s="439"/>
      <c r="F60" s="330">
        <f>(0.005+0.1)/2</f>
        <v>5.2500000000000005E-2</v>
      </c>
      <c r="G60" s="330">
        <f t="shared" ref="G60:H60" si="24">(0.005+0.1)/2</f>
        <v>5.2500000000000005E-2</v>
      </c>
      <c r="H60" s="330">
        <f t="shared" si="24"/>
        <v>5.2500000000000005E-2</v>
      </c>
      <c r="I60" s="330"/>
      <c r="J60" s="330"/>
      <c r="K60" s="330"/>
      <c r="L60" s="231" t="s">
        <v>398</v>
      </c>
      <c r="M60" s="231" t="s">
        <v>399</v>
      </c>
    </row>
    <row r="61" spans="1:13" outlineLevel="1" x14ac:dyDescent="0.3">
      <c r="A61" s="231"/>
      <c r="B61" s="399"/>
      <c r="C61" s="439"/>
      <c r="D61" s="439"/>
      <c r="E61" s="439"/>
      <c r="F61" s="330">
        <f>(0.05+0.1)/2</f>
        <v>7.5000000000000011E-2</v>
      </c>
      <c r="G61" s="330">
        <f t="shared" ref="G61:H61" si="25">(0.05+0.1)/2</f>
        <v>7.5000000000000011E-2</v>
      </c>
      <c r="H61" s="330">
        <f t="shared" si="25"/>
        <v>7.5000000000000011E-2</v>
      </c>
      <c r="I61" s="330"/>
      <c r="J61" s="330"/>
      <c r="K61" s="330"/>
      <c r="L61" s="231" t="s">
        <v>400</v>
      </c>
    </row>
    <row r="62" spans="1:13" outlineLevel="1" x14ac:dyDescent="0.3">
      <c r="A62" s="231"/>
      <c r="B62" s="399"/>
      <c r="C62" s="439"/>
      <c r="D62" s="439"/>
      <c r="E62" s="439"/>
      <c r="F62" s="330">
        <v>2.4E-2</v>
      </c>
      <c r="G62" s="330">
        <v>2.1999999999999999E-2</v>
      </c>
      <c r="H62" s="330"/>
      <c r="I62" s="330"/>
      <c r="J62" s="330"/>
      <c r="K62" s="330"/>
      <c r="L62" s="231" t="s">
        <v>401</v>
      </c>
    </row>
    <row r="63" spans="1:13" outlineLevel="1" x14ac:dyDescent="0.3">
      <c r="A63" s="231"/>
      <c r="B63" s="399"/>
      <c r="C63" s="439"/>
      <c r="D63" s="439"/>
      <c r="E63" s="439"/>
      <c r="F63" s="330">
        <f>(0.01+0.05)/2</f>
        <v>3.0000000000000002E-2</v>
      </c>
      <c r="G63" s="330">
        <f t="shared" ref="G63:H63" si="26">(0.01+0.05)/2</f>
        <v>3.0000000000000002E-2</v>
      </c>
      <c r="H63" s="330">
        <f t="shared" si="26"/>
        <v>3.0000000000000002E-2</v>
      </c>
      <c r="I63" s="330"/>
      <c r="J63" s="330"/>
      <c r="K63" s="330"/>
      <c r="L63" s="231" t="s">
        <v>402</v>
      </c>
    </row>
    <row r="64" spans="1:13" s="231" customFormat="1" outlineLevel="1" x14ac:dyDescent="0.3">
      <c r="B64" s="399"/>
      <c r="C64" s="439"/>
      <c r="D64" s="439"/>
      <c r="E64" s="439"/>
      <c r="F64" s="330">
        <v>0.03</v>
      </c>
      <c r="G64" s="330">
        <v>0.03</v>
      </c>
      <c r="H64" s="330">
        <v>0.03</v>
      </c>
      <c r="I64" s="330"/>
      <c r="J64" s="330"/>
      <c r="K64" s="330"/>
      <c r="L64" s="231" t="s">
        <v>408</v>
      </c>
    </row>
    <row r="65" spans="1:13" s="69" customFormat="1" x14ac:dyDescent="0.3">
      <c r="A65" s="72" t="s">
        <v>133</v>
      </c>
      <c r="B65" s="400"/>
      <c r="C65" s="440"/>
      <c r="D65" s="440"/>
      <c r="E65" s="440"/>
      <c r="F65" s="401">
        <f t="shared" ref="F65:K65" si="27">IF(SUM(F59:F64)=0,0,SUM(F59:F64)/COUNT(F59:F64))</f>
        <v>4.6916666666666662E-2</v>
      </c>
      <c r="G65" s="401">
        <f t="shared" si="27"/>
        <v>4.6583333333333331E-2</v>
      </c>
      <c r="H65" s="401">
        <f t="shared" si="27"/>
        <v>5.1500000000000004E-2</v>
      </c>
      <c r="I65" s="401">
        <f t="shared" si="27"/>
        <v>0</v>
      </c>
      <c r="J65" s="401">
        <f t="shared" si="27"/>
        <v>0</v>
      </c>
      <c r="K65" s="401">
        <f t="shared" si="27"/>
        <v>0</v>
      </c>
    </row>
    <row r="66" spans="1:13" x14ac:dyDescent="0.3">
      <c r="A66" s="231" t="s">
        <v>391</v>
      </c>
      <c r="B66" s="399"/>
      <c r="C66" s="439"/>
      <c r="D66" s="439"/>
      <c r="E66" s="439"/>
      <c r="F66" s="330"/>
      <c r="G66" s="330">
        <v>0</v>
      </c>
      <c r="H66" s="330"/>
      <c r="I66" s="330"/>
      <c r="J66" s="330"/>
      <c r="K66" s="330"/>
      <c r="L66" s="231" t="s">
        <v>405</v>
      </c>
      <c r="M66" s="231" t="s">
        <v>407</v>
      </c>
    </row>
    <row r="67" spans="1:13" outlineLevel="1" x14ac:dyDescent="0.3">
      <c r="A67" s="231"/>
      <c r="B67" s="399"/>
      <c r="C67" s="439"/>
      <c r="D67" s="439"/>
      <c r="E67" s="439"/>
      <c r="F67" s="330">
        <v>0.01</v>
      </c>
      <c r="G67" s="330">
        <v>0.01</v>
      </c>
      <c r="H67" s="330">
        <v>0.01</v>
      </c>
      <c r="I67" s="330"/>
      <c r="J67" s="330"/>
      <c r="K67" s="330"/>
      <c r="L67" s="231" t="s">
        <v>408</v>
      </c>
    </row>
    <row r="68" spans="1:13" outlineLevel="1" x14ac:dyDescent="0.3">
      <c r="A68" s="231"/>
      <c r="B68" s="399"/>
      <c r="C68" s="439"/>
      <c r="D68" s="439"/>
      <c r="E68" s="439"/>
      <c r="F68" s="330"/>
      <c r="G68" s="330">
        <f>(((-34.1-14)*-1)/100)/2</f>
        <v>0.24050000000000002</v>
      </c>
      <c r="H68" s="330"/>
      <c r="I68" s="330"/>
      <c r="J68" s="330"/>
      <c r="K68" s="330"/>
      <c r="L68" s="44" t="s">
        <v>411</v>
      </c>
      <c r="M68" s="231" t="s">
        <v>413</v>
      </c>
    </row>
    <row r="69" spans="1:13" s="69" customFormat="1" x14ac:dyDescent="0.3">
      <c r="A69" s="72" t="s">
        <v>133</v>
      </c>
      <c r="B69" s="400"/>
      <c r="C69" s="440"/>
      <c r="D69" s="440"/>
      <c r="E69" s="440"/>
      <c r="F69" s="401">
        <f t="shared" ref="F69:K69" si="28">IF(SUM(F66:F68)=0,0,SUM(F66:F68)/COUNT(F66:F68))</f>
        <v>0.01</v>
      </c>
      <c r="G69" s="401">
        <f t="shared" si="28"/>
        <v>8.3500000000000005E-2</v>
      </c>
      <c r="H69" s="401">
        <f t="shared" si="28"/>
        <v>0.01</v>
      </c>
      <c r="I69" s="401">
        <f t="shared" si="28"/>
        <v>0</v>
      </c>
      <c r="J69" s="401">
        <f t="shared" si="28"/>
        <v>0</v>
      </c>
      <c r="K69" s="401">
        <f t="shared" si="28"/>
        <v>0</v>
      </c>
    </row>
    <row r="70" spans="1:13" x14ac:dyDescent="0.3">
      <c r="A70" s="231" t="s">
        <v>392</v>
      </c>
      <c r="B70" s="399"/>
      <c r="C70" s="401">
        <f>(0.02+0.03)/2</f>
        <v>2.5000000000000001E-2</v>
      </c>
      <c r="D70" s="401"/>
      <c r="E70" s="401"/>
      <c r="F70" s="439"/>
      <c r="G70" s="439"/>
      <c r="H70" s="439"/>
      <c r="I70" s="439"/>
      <c r="J70" s="439"/>
      <c r="K70" s="439"/>
      <c r="L70" s="231" t="s">
        <v>400</v>
      </c>
    </row>
    <row r="71" spans="1:13" outlineLevel="2" x14ac:dyDescent="0.3">
      <c r="A71" s="231"/>
      <c r="B71" s="399"/>
      <c r="C71" s="330">
        <f>(0+0.04)/2</f>
        <v>0.02</v>
      </c>
      <c r="D71" s="330">
        <f>(0+0.05)/2</f>
        <v>2.5000000000000001E-2</v>
      </c>
      <c r="E71" s="330"/>
      <c r="F71" s="439"/>
      <c r="G71" s="439"/>
      <c r="H71" s="439"/>
      <c r="I71" s="439"/>
      <c r="J71" s="439"/>
      <c r="K71" s="439"/>
      <c r="L71" s="231" t="s">
        <v>402</v>
      </c>
    </row>
    <row r="72" spans="1:13" outlineLevel="2" x14ac:dyDescent="0.3">
      <c r="A72" s="231"/>
      <c r="B72" s="399"/>
      <c r="C72" s="330">
        <f>(0.00129+0.0142+0.00893)/3</f>
        <v>8.1399999999999997E-3</v>
      </c>
      <c r="D72" s="330"/>
      <c r="E72" s="330"/>
      <c r="F72" s="439"/>
      <c r="G72" s="439"/>
      <c r="H72" s="439"/>
      <c r="I72" s="439"/>
      <c r="J72" s="439"/>
      <c r="K72" s="439"/>
      <c r="L72" s="231" t="s">
        <v>403</v>
      </c>
      <c r="M72" s="231" t="s">
        <v>404</v>
      </c>
    </row>
    <row r="73" spans="1:13" outlineLevel="2" x14ac:dyDescent="0.3">
      <c r="A73" s="231"/>
      <c r="B73" s="399"/>
      <c r="C73" s="330">
        <f>(0.015+0.041)/2</f>
        <v>2.8000000000000001E-2</v>
      </c>
      <c r="D73" s="330"/>
      <c r="E73" s="330"/>
      <c r="F73" s="439"/>
      <c r="G73" s="439"/>
      <c r="H73" s="439"/>
      <c r="I73" s="439"/>
      <c r="J73" s="439"/>
      <c r="K73" s="439"/>
      <c r="L73" s="231" t="s">
        <v>405</v>
      </c>
      <c r="M73" s="231" t="s">
        <v>406</v>
      </c>
    </row>
    <row r="74" spans="1:13" outlineLevel="2" x14ac:dyDescent="0.3">
      <c r="A74" s="231"/>
      <c r="B74" s="399"/>
      <c r="C74" s="330">
        <v>0.03</v>
      </c>
      <c r="D74" s="330"/>
      <c r="E74" s="330"/>
      <c r="F74" s="439"/>
      <c r="G74" s="439"/>
      <c r="H74" s="439"/>
      <c r="I74" s="439"/>
      <c r="J74" s="439"/>
      <c r="K74" s="439"/>
      <c r="L74" s="231" t="s">
        <v>408</v>
      </c>
    </row>
    <row r="75" spans="1:13" s="231" customFormat="1" outlineLevel="2" x14ac:dyDescent="0.3">
      <c r="B75" s="399"/>
      <c r="C75" s="330">
        <f>((-3.3-1.2)/100)/2</f>
        <v>-2.2499999999999999E-2</v>
      </c>
      <c r="D75" s="330"/>
      <c r="E75" s="330"/>
      <c r="F75" s="439"/>
      <c r="G75" s="439"/>
      <c r="H75" s="439"/>
      <c r="I75" s="439"/>
      <c r="J75" s="439"/>
      <c r="K75" s="439"/>
      <c r="L75" s="44" t="s">
        <v>411</v>
      </c>
      <c r="M75" s="231" t="s">
        <v>413</v>
      </c>
    </row>
    <row r="76" spans="1:13" s="69" customFormat="1" x14ac:dyDescent="0.3">
      <c r="A76" s="72" t="s">
        <v>133</v>
      </c>
      <c r="B76" s="400"/>
      <c r="C76" s="401">
        <f>IF(SUM(C70:C75)=0,0,SUM(C70:C75)/COUNT(C70:C75))</f>
        <v>1.4773333333333333E-2</v>
      </c>
      <c r="D76" s="401">
        <f t="shared" ref="D76:E76" si="29">IF(SUM(D70:D75)=0,0,SUM(D70:D75)/COUNT(D70:D75))</f>
        <v>2.5000000000000001E-2</v>
      </c>
      <c r="E76" s="401">
        <f t="shared" si="29"/>
        <v>0</v>
      </c>
      <c r="F76" s="440"/>
      <c r="G76" s="440"/>
      <c r="H76" s="440"/>
      <c r="I76" s="440"/>
      <c r="J76" s="440"/>
      <c r="K76" s="440"/>
    </row>
  </sheetData>
  <mergeCells count="4">
    <mergeCell ref="A9:A11"/>
    <mergeCell ref="A12:A14"/>
    <mergeCell ref="A2:A5"/>
    <mergeCell ref="A6:A8"/>
  </mergeCells>
  <hyperlinks>
    <hyperlink ref="L27" r:id="rId1" tooltip="Persistent link using digital object identifier" xr:uid="{0DC4C760-F9F2-41AF-87CD-B606D33D7008}"/>
    <hyperlink ref="L48" r:id="rId2" tooltip="Persistent link using digital object identifier" xr:uid="{7D402316-7889-4657-B8AD-2936CC6D2844}"/>
    <hyperlink ref="L35" r:id="rId3" tooltip="Persistent link using digital object identifier" xr:uid="{5E65741F-3604-4C62-92F5-366AC71AEA9A}"/>
    <hyperlink ref="L56" r:id="rId4" tooltip="Persistent link using digital object identifier" xr:uid="{67593864-2568-4262-AA82-108D7284FE37}"/>
    <hyperlink ref="L68" r:id="rId5" tooltip="Persistent link using digital object identifier" xr:uid="{427FB918-FC97-4D5A-A329-BFE1086BF04E}"/>
    <hyperlink ref="L75" r:id="rId6" tooltip="Persistent link using digital object identifier" xr:uid="{741C3859-5FCC-4F4A-A150-8F9E6617DAFF}"/>
  </hyperlinks>
  <pageMargins left="0.7" right="0.7" top="0.78740157499999996" bottom="0.78740157499999996"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Result_Lock-in-effect</vt:lpstr>
      <vt:lpstr>Implementation Effort</vt:lpstr>
      <vt:lpstr>Investment Costs</vt:lpstr>
      <vt:lpstr>Impact Technologies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Munz</dc:creator>
  <cp:lastModifiedBy>Munz, Johannes</cp:lastModifiedBy>
  <cp:lastPrinted>2023-10-20T12:18:54Z</cp:lastPrinted>
  <dcterms:created xsi:type="dcterms:W3CDTF">2021-01-12T09:38:09Z</dcterms:created>
  <dcterms:modified xsi:type="dcterms:W3CDTF">2023-11-08T13:03:10Z</dcterms:modified>
</cp:coreProperties>
</file>