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4. Modeling in Excel - We Are Almost There! Completing the 3-Statement Model\"/>
    </mc:Choice>
  </mc:AlternateContent>
  <xr:revisionPtr revIDLastSave="0" documentId="13_ncr:1_{7118BC3B-214D-4C04-AE7D-099FFBF25507}" xr6:coauthVersionLast="45" xr6:coauthVersionMax="45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19" r:id="rId8"/>
    <sheet name="Forecast" sheetId="21" r:id="rId9"/>
    <sheet name="PP&amp;E Forecasting" sheetId="23" r:id="rId10"/>
    <sheet name="Financial Liabilities" sheetId="24" r:id="rId11"/>
    <sheet name="Equity Schedule" sheetId="25" r:id="rId12"/>
    <sheet name="Cash Flow" sheetId="26" r:id="rId13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6" l="1"/>
  <c r="F16" i="26"/>
  <c r="E16" i="26"/>
  <c r="D16" i="26"/>
  <c r="G15" i="26"/>
  <c r="F15" i="26"/>
  <c r="E15" i="26"/>
  <c r="D15" i="26"/>
  <c r="G12" i="26"/>
  <c r="F12" i="26"/>
  <c r="E12" i="26"/>
  <c r="D12" i="26"/>
  <c r="G5" i="26"/>
  <c r="F5" i="26"/>
  <c r="E5" i="26"/>
  <c r="D5" i="26"/>
  <c r="C16" i="26"/>
  <c r="C15" i="26"/>
  <c r="C12" i="26"/>
  <c r="C5" i="26"/>
  <c r="E8" i="24" l="1"/>
  <c r="F6" i="25"/>
  <c r="E10" i="25"/>
  <c r="I13" i="21" l="1"/>
  <c r="C17" i="24"/>
  <c r="D16" i="24"/>
  <c r="E16" i="24"/>
  <c r="F16" i="24"/>
  <c r="G16" i="24"/>
  <c r="H16" i="24"/>
  <c r="I16" i="24"/>
  <c r="J16" i="24"/>
  <c r="K16" i="24"/>
  <c r="L16" i="24"/>
  <c r="C16" i="24"/>
  <c r="C18" i="24" s="1"/>
  <c r="F8" i="24" s="1"/>
  <c r="C13" i="24"/>
  <c r="D8" i="24"/>
  <c r="E6" i="24"/>
  <c r="F6" i="24"/>
  <c r="D9" i="24"/>
  <c r="E9" i="24"/>
  <c r="D6" i="24"/>
  <c r="C9" i="24"/>
  <c r="C19" i="24" l="1"/>
  <c r="D17" i="24" s="1"/>
  <c r="J13" i="21" s="1"/>
  <c r="F6" i="23"/>
  <c r="D12" i="23"/>
  <c r="E11" i="23"/>
  <c r="D11" i="23"/>
  <c r="I11" i="23" s="1"/>
  <c r="E8" i="23"/>
  <c r="E12" i="23" s="1"/>
  <c r="E9" i="23"/>
  <c r="E7" i="23"/>
  <c r="E6" i="23"/>
  <c r="D8" i="23"/>
  <c r="D9" i="23"/>
  <c r="D7" i="23"/>
  <c r="D6" i="23"/>
  <c r="C9" i="23"/>
  <c r="I12" i="23" l="1"/>
  <c r="H11" i="23"/>
  <c r="H12" i="23"/>
  <c r="F11" i="23"/>
  <c r="F7" i="23" s="1"/>
  <c r="I11" i="21" s="1"/>
  <c r="G11" i="23"/>
  <c r="G12" i="23"/>
  <c r="J11" i="23"/>
  <c r="J12" i="23"/>
  <c r="F12" i="23"/>
  <c r="F8" i="23" s="1"/>
  <c r="D18" i="24"/>
  <c r="G12" i="19"/>
  <c r="H12" i="19"/>
  <c r="I12" i="19"/>
  <c r="J12" i="19"/>
  <c r="F12" i="19"/>
  <c r="F19" i="19"/>
  <c r="G19" i="19"/>
  <c r="H19" i="19"/>
  <c r="I19" i="19"/>
  <c r="J19" i="19"/>
  <c r="F20" i="19"/>
  <c r="G20" i="19"/>
  <c r="H20" i="19"/>
  <c r="I20" i="19"/>
  <c r="J20" i="19"/>
  <c r="F21" i="19"/>
  <c r="G21" i="19"/>
  <c r="H21" i="19"/>
  <c r="I21" i="19"/>
  <c r="J21" i="19"/>
  <c r="F22" i="19"/>
  <c r="G22" i="19"/>
  <c r="H22" i="19"/>
  <c r="I22" i="19"/>
  <c r="J22" i="19"/>
  <c r="G18" i="19"/>
  <c r="H18" i="19"/>
  <c r="I18" i="19"/>
  <c r="J18" i="19"/>
  <c r="F18" i="19"/>
  <c r="F9" i="23" l="1"/>
  <c r="D19" i="24"/>
  <c r="G8" i="24"/>
  <c r="D22" i="19"/>
  <c r="E22" i="19"/>
  <c r="C22" i="19"/>
  <c r="D21" i="19"/>
  <c r="E21" i="19"/>
  <c r="C21" i="19"/>
  <c r="D20" i="19"/>
  <c r="E20" i="19"/>
  <c r="C20" i="19"/>
  <c r="D19" i="19"/>
  <c r="E19" i="19"/>
  <c r="C19" i="19"/>
  <c r="D18" i="19"/>
  <c r="E18" i="19"/>
  <c r="C18" i="19"/>
  <c r="J32" i="21"/>
  <c r="K32" i="21"/>
  <c r="L32" i="21"/>
  <c r="M32" i="21"/>
  <c r="I32" i="21"/>
  <c r="J26" i="21"/>
  <c r="K26" i="21"/>
  <c r="L26" i="21"/>
  <c r="M26" i="21"/>
  <c r="I26" i="21"/>
  <c r="J20" i="21"/>
  <c r="K20" i="21"/>
  <c r="L20" i="21"/>
  <c r="M20" i="21"/>
  <c r="I20" i="21"/>
  <c r="I6" i="21" s="1"/>
  <c r="F4" i="19" l="1"/>
  <c r="C7" i="26" s="1"/>
  <c r="F8" i="19"/>
  <c r="C10" i="26" s="1"/>
  <c r="F14" i="19"/>
  <c r="C11" i="26" s="1"/>
  <c r="G6" i="23"/>
  <c r="F6" i="19"/>
  <c r="E17" i="24"/>
  <c r="K13" i="21" s="1"/>
  <c r="I9" i="21"/>
  <c r="I7" i="21"/>
  <c r="J6" i="21"/>
  <c r="D33" i="2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G4" i="19" l="1"/>
  <c r="D7" i="26" s="1"/>
  <c r="G8" i="19"/>
  <c r="D10" i="26" s="1"/>
  <c r="G14" i="19"/>
  <c r="D11" i="26" s="1"/>
  <c r="G8" i="23"/>
  <c r="G7" i="23"/>
  <c r="E18" i="24"/>
  <c r="F5" i="19"/>
  <c r="F11" i="19"/>
  <c r="C9" i="26" s="1"/>
  <c r="J9" i="21"/>
  <c r="J7" i="21"/>
  <c r="K6" i="21"/>
  <c r="H4" i="19" l="1"/>
  <c r="E7" i="26" s="1"/>
  <c r="H14" i="19"/>
  <c r="E11" i="26" s="1"/>
  <c r="H8" i="19"/>
  <c r="E10" i="26" s="1"/>
  <c r="C8" i="26"/>
  <c r="G9" i="23"/>
  <c r="J11" i="21"/>
  <c r="E19" i="24"/>
  <c r="F17" i="24" s="1"/>
  <c r="H8" i="24"/>
  <c r="G5" i="19"/>
  <c r="D8" i="26" s="1"/>
  <c r="G11" i="19"/>
  <c r="D9" i="26" s="1"/>
  <c r="L6" i="21"/>
  <c r="K9" i="21"/>
  <c r="K7" i="21"/>
  <c r="K8" i="21" s="1"/>
  <c r="J8" i="21"/>
  <c r="J10" i="21" s="1"/>
  <c r="D4" i="26" s="1"/>
  <c r="I8" i="21"/>
  <c r="I10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D15" i="19"/>
  <c r="D14" i="19"/>
  <c r="D13" i="19"/>
  <c r="D12" i="19"/>
  <c r="D11" i="19"/>
  <c r="D8" i="19"/>
  <c r="D7" i="19"/>
  <c r="D6" i="19"/>
  <c r="D5" i="19"/>
  <c r="D4" i="19"/>
  <c r="C15" i="19"/>
  <c r="C14" i="19"/>
  <c r="C13" i="19"/>
  <c r="C12" i="19"/>
  <c r="C11" i="19"/>
  <c r="C8" i="19"/>
  <c r="C7" i="19"/>
  <c r="C6" i="19"/>
  <c r="C5" i="19"/>
  <c r="C4" i="19"/>
  <c r="I12" i="21" l="1"/>
  <c r="I14" i="21" s="1"/>
  <c r="I15" i="21" s="1"/>
  <c r="C4" i="26"/>
  <c r="K10" i="21"/>
  <c r="E4" i="26" s="1"/>
  <c r="I4" i="19"/>
  <c r="F7" i="26" s="1"/>
  <c r="I14" i="19"/>
  <c r="F11" i="26" s="1"/>
  <c r="I8" i="19"/>
  <c r="F10" i="26" s="1"/>
  <c r="J12" i="21"/>
  <c r="J14" i="21" s="1"/>
  <c r="J15" i="21" s="1"/>
  <c r="H6" i="23"/>
  <c r="G6" i="19"/>
  <c r="L13" i="21"/>
  <c r="F18" i="24"/>
  <c r="H11" i="19"/>
  <c r="E9" i="26" s="1"/>
  <c r="H5" i="19"/>
  <c r="E8" i="26" s="1"/>
  <c r="D9" i="19"/>
  <c r="E9" i="19"/>
  <c r="M6" i="21"/>
  <c r="L9" i="21"/>
  <c r="L7" i="21"/>
  <c r="D8" i="2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E16" i="19"/>
  <c r="E25" i="19" s="1"/>
  <c r="C16" i="19"/>
  <c r="C9" i="19"/>
  <c r="I16" i="21" l="1"/>
  <c r="F8" i="25" s="1"/>
  <c r="C6" i="26"/>
  <c r="J16" i="21"/>
  <c r="G8" i="25" s="1"/>
  <c r="G9" i="25" s="1"/>
  <c r="D14" i="26" s="1"/>
  <c r="D6" i="26"/>
  <c r="D13" i="26" s="1"/>
  <c r="J4" i="19"/>
  <c r="G7" i="26" s="1"/>
  <c r="J14" i="19"/>
  <c r="G11" i="26" s="1"/>
  <c r="J8" i="19"/>
  <c r="G10" i="26" s="1"/>
  <c r="C13" i="26"/>
  <c r="H8" i="23"/>
  <c r="H7" i="23"/>
  <c r="F19" i="24"/>
  <c r="G17" i="24" s="1"/>
  <c r="I8" i="24"/>
  <c r="L8" i="21"/>
  <c r="L10" i="21" s="1"/>
  <c r="F4" i="26" s="1"/>
  <c r="I11" i="19"/>
  <c r="F9" i="26" s="1"/>
  <c r="I5" i="19"/>
  <c r="F8" i="26" s="1"/>
  <c r="D25" i="19"/>
  <c r="C25" i="19"/>
  <c r="M7" i="21"/>
  <c r="M9" i="21"/>
  <c r="G8" i="2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F9" i="25" l="1"/>
  <c r="C14" i="26" s="1"/>
  <c r="H9" i="23"/>
  <c r="K11" i="21"/>
  <c r="K12" i="21" s="1"/>
  <c r="K14" i="21" s="1"/>
  <c r="K15" i="21" s="1"/>
  <c r="M13" i="21"/>
  <c r="G18" i="24"/>
  <c r="M8" i="21"/>
  <c r="M10" i="21" s="1"/>
  <c r="G4" i="26" s="1"/>
  <c r="J11" i="19"/>
  <c r="G9" i="26" s="1"/>
  <c r="J5" i="19"/>
  <c r="G8" i="26" s="1"/>
  <c r="D14" i="2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F10" i="25" l="1"/>
  <c r="G6" i="25" s="1"/>
  <c r="G10" i="25" s="1"/>
  <c r="C17" i="26"/>
  <c r="C18" i="26" s="1"/>
  <c r="F7" i="19" s="1"/>
  <c r="K16" i="21"/>
  <c r="H8" i="25" s="1"/>
  <c r="H9" i="25" s="1"/>
  <c r="E14" i="26" s="1"/>
  <c r="E6" i="26"/>
  <c r="E13" i="26" s="1"/>
  <c r="I6" i="23"/>
  <c r="H6" i="19"/>
  <c r="G19" i="24"/>
  <c r="H17" i="24" s="1"/>
  <c r="H18" i="24" s="1"/>
  <c r="H19" i="24" s="1"/>
  <c r="I17" i="24" s="1"/>
  <c r="I18" i="24" s="1"/>
  <c r="I19" i="24" s="1"/>
  <c r="J17" i="24" s="1"/>
  <c r="J18" i="24" s="1"/>
  <c r="J19" i="24" s="1"/>
  <c r="K17" i="24" s="1"/>
  <c r="K18" i="24" s="1"/>
  <c r="K19" i="24" s="1"/>
  <c r="L17" i="24" s="1"/>
  <c r="L18" i="24" s="1"/>
  <c r="L19" i="24" s="1"/>
  <c r="J8" i="24"/>
  <c r="E16" i="21"/>
  <c r="H14" i="21"/>
  <c r="D16" i="21"/>
  <c r="G16" i="21" s="1"/>
  <c r="G14" i="21"/>
  <c r="H9" i="15"/>
  <c r="D6" i="15"/>
  <c r="G4" i="15"/>
  <c r="E6" i="15"/>
  <c r="H4" i="15"/>
  <c r="G7" i="15"/>
  <c r="F15" i="19" l="1"/>
  <c r="D17" i="26"/>
  <c r="D18" i="26" s="1"/>
  <c r="G7" i="19" s="1"/>
  <c r="H6" i="25"/>
  <c r="H10" i="25" s="1"/>
  <c r="G15" i="19"/>
  <c r="F9" i="19"/>
  <c r="I7" i="23"/>
  <c r="L11" i="21" s="1"/>
  <c r="L12" i="21" s="1"/>
  <c r="L14" i="21" s="1"/>
  <c r="L15" i="21" s="1"/>
  <c r="I8" i="23"/>
  <c r="I9" i="23"/>
  <c r="H16" i="21"/>
  <c r="E8" i="15"/>
  <c r="H6" i="15"/>
  <c r="D8" i="15"/>
  <c r="G6" i="15"/>
  <c r="H7" i="19" l="1"/>
  <c r="G9" i="19"/>
  <c r="L16" i="21"/>
  <c r="I8" i="25" s="1"/>
  <c r="I9" i="25" s="1"/>
  <c r="F14" i="26" s="1"/>
  <c r="F6" i="26"/>
  <c r="F13" i="26" s="1"/>
  <c r="I6" i="25"/>
  <c r="E17" i="26"/>
  <c r="E18" i="26" s="1"/>
  <c r="H15" i="19"/>
  <c r="J6" i="23"/>
  <c r="I6" i="19"/>
  <c r="D10" i="15"/>
  <c r="G8" i="15"/>
  <c r="E10" i="15"/>
  <c r="H8" i="15"/>
  <c r="I10" i="25" l="1"/>
  <c r="H9" i="19"/>
  <c r="J8" i="23"/>
  <c r="J7" i="23"/>
  <c r="H10" i="15"/>
  <c r="E12" i="15"/>
  <c r="D12" i="15"/>
  <c r="G10" i="15"/>
  <c r="J6" i="25" l="1"/>
  <c r="F17" i="26"/>
  <c r="F18" i="26" s="1"/>
  <c r="I7" i="19" s="1"/>
  <c r="I15" i="19"/>
  <c r="J9" i="23"/>
  <c r="J6" i="19" s="1"/>
  <c r="M11" i="21"/>
  <c r="M12" i="21" s="1"/>
  <c r="M14" i="21" s="1"/>
  <c r="M15" i="21" s="1"/>
  <c r="D14" i="15"/>
  <c r="G14" i="15" s="1"/>
  <c r="G12" i="15"/>
  <c r="E14" i="15"/>
  <c r="H14" i="15" s="1"/>
  <c r="H12" i="15"/>
  <c r="M16" i="21" l="1"/>
  <c r="J8" i="25" s="1"/>
  <c r="J9" i="25" s="1"/>
  <c r="G14" i="26" s="1"/>
  <c r="G6" i="26"/>
  <c r="G13" i="26" s="1"/>
  <c r="I9" i="19"/>
  <c r="F9" i="24"/>
  <c r="F13" i="19" s="1"/>
  <c r="F16" i="19" s="1"/>
  <c r="F25" i="19" s="1"/>
  <c r="J10" i="25" l="1"/>
  <c r="G6" i="24"/>
  <c r="G9" i="24" s="1"/>
  <c r="H6" i="24" s="1"/>
  <c r="H9" i="24" s="1"/>
  <c r="G17" i="26" l="1"/>
  <c r="G18" i="26" s="1"/>
  <c r="J7" i="19" s="1"/>
  <c r="J9" i="19" s="1"/>
  <c r="J15" i="19"/>
  <c r="G13" i="19"/>
  <c r="G16" i="19" s="1"/>
  <c r="G25" i="19" s="1"/>
  <c r="H13" i="19"/>
  <c r="H16" i="19" s="1"/>
  <c r="H25" i="19" s="1"/>
  <c r="I6" i="24"/>
  <c r="I9" i="24" s="1"/>
  <c r="I13" i="19" l="1"/>
  <c r="I16" i="19" s="1"/>
  <c r="I25" i="19" s="1"/>
  <c r="J6" i="24"/>
  <c r="J9" i="24" s="1"/>
  <c r="J13" i="19" s="1"/>
  <c r="J16" i="19" s="1"/>
  <c r="J25" i="19" s="1"/>
</calcChain>
</file>

<file path=xl/sharedStrings.xml><?xml version="1.0" encoding="utf-8"?>
<sst xmlns="http://schemas.openxmlformats.org/spreadsheetml/2006/main" count="2102" uniqueCount="174">
  <si>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</si>
  <si>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</si>
  <si>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</si>
  <si>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</si>
  <si>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</si>
  <si>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</si>
  <si>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</si>
  <si>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</si>
  <si>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</si>
  <si>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</si>
  <si>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</si>
  <si>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</si>
  <si>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</si>
  <si>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</si>
  <si>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</si>
  <si>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</si>
  <si>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</si>
  <si>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</si>
  <si>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</si>
  <si>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</si>
  <si>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</si>
  <si>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</si>
  <si>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</si>
  <si>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</si>
  <si>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</si>
  <si>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</si>
  <si>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</si>
  <si>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</si>
  <si>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</si>
  <si>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</si>
  <si>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</si>
  <si>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</si>
  <si>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</si>
  <si>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</si>
  <si>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</si>
  <si>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</si>
  <si>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</si>
  <si>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</si>
  <si>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</si>
  <si>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</si>
  <si>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</si>
  <si>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</si>
  <si>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</si>
  <si>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</si>
  <si>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</si>
  <si>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</si>
  <si>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</si>
  <si>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</si>
  <si>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</si>
  <si>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</si>
  <si>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</si>
  <si>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</si>
  <si>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</si>
  <si>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</si>
  <si>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</si>
  <si>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</si>
  <si>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</si>
  <si>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</si>
  <si>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</si>
  <si>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</si>
  <si>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</si>
  <si>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</si>
  <si>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</si>
  <si>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</si>
  <si>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</si>
  <si>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</si>
  <si>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</si>
  <si>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</si>
  <si>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</si>
  <si>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</si>
  <si>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</si>
  <si>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</si>
  <si>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</si>
  <si>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</si>
  <si>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</si>
  <si>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</si>
  <si>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</si>
  <si>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</si>
  <si>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</si>
  <si>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</si>
  <si>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</si>
  <si>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</si>
  <si>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</si>
  <si>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</si>
  <si>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</si>
  <si>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</si>
  <si>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</si>
  <si>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</si>
  <si>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</si>
  <si>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</si>
  <si>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</si>
  <si>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</si>
  <si>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</si>
  <si>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</si>
  <si>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</si>
  <si>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</si>
  <si>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</si>
  <si>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</si>
  <si>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</si>
  <si>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</si>
  <si>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</si>
  <si>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</si>
  <si>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</si>
  <si>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</si>
  <si>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</si>
  <si>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</si>
  <si>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</si>
  <si>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</si>
  <si>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</si>
  <si>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</si>
  <si>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</si>
  <si>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</si>
  <si>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</si>
  <si>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</si>
  <si>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</si>
  <si>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</si>
  <si>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</si>
  <si>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</si>
  <si>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</si>
  <si>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</si>
  <si>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</si>
  <si>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</si>
  <si>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</si>
  <si>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</si>
  <si>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</si>
  <si>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</si>
  <si>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</si>
  <si>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</si>
  <si>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</si>
  <si>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</si>
  <si>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</si>
  <si>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Title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</si>
  <si>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</si>
  <si>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</si>
  <si>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</si>
  <si>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</si>
  <si>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</si>
  <si>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</si>
  <si>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</si>
  <si>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</si>
  <si>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</si>
  <si>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</si>
  <si>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of PP&amp;E</t>
  </si>
  <si>
    <t>Capex as a %  of beginning of PP&amp;E</t>
  </si>
  <si>
    <t>Financial Liabilities Schedule</t>
  </si>
  <si>
    <t>Beginning  Debt</t>
  </si>
  <si>
    <t>New Debt</t>
  </si>
  <si>
    <t>Principal Repayment</t>
  </si>
  <si>
    <t>Ending Debt</t>
  </si>
  <si>
    <t>Debt to be repayed in years</t>
  </si>
  <si>
    <t>Inerest rate</t>
  </si>
  <si>
    <t>Annual Payment</t>
  </si>
  <si>
    <t>Period</t>
  </si>
  <si>
    <t xml:space="preserve">Payment </t>
  </si>
  <si>
    <t>Interest Expense</t>
  </si>
  <si>
    <t>Debt Repayment</t>
  </si>
  <si>
    <t>Residual Debt</t>
  </si>
  <si>
    <t>Equity Schedule</t>
  </si>
  <si>
    <t>Beginning Equity</t>
  </si>
  <si>
    <t>Increase of capital</t>
  </si>
  <si>
    <t>Net Income (loss)</t>
  </si>
  <si>
    <t>Dividents</t>
  </si>
  <si>
    <t>Ending Equity</t>
  </si>
  <si>
    <t>Dividents as % of Net Income</t>
  </si>
  <si>
    <t>Change in Trade Receivables</t>
  </si>
  <si>
    <t>Change in Trade Payables</t>
  </si>
  <si>
    <t>Change in Inventory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</si>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</sst>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6" fontId="1" fillId="5" borderId="0" xfId="6" applyNumberFormat="1" applyFont="1" applyFill="1"/>
    <xf numFmtId="9" fontId="13" fillId="5" borderId="0" xfId="6" applyFont="1" applyFill="1"/>
    <xf numFmtId="0" fontId="13" fillId="5" borderId="0" xfId="0" applyFont="1" applyFill="1"/>
    <xf numFmtId="9" fontId="14" fillId="5" borderId="0" xfId="6" applyFont="1" applyFill="1"/>
    <xf numFmtId="165" fontId="5" fillId="8" borderId="0" xfId="4" applyFill="1" applyBorder="1"/>
    <xf numFmtId="166" fontId="5" fillId="8" borderId="0" xfId="6" applyNumberFormat="1" applyFont="1" applyFill="1" applyBorder="1"/>
    <xf numFmtId="0" fontId="7" fillId="8" borderId="0" xfId="0" applyFont="1" applyFill="1"/>
    <xf numFmtId="166" fontId="7" fillId="8" borderId="0" xfId="6" applyNumberFormat="1" applyFont="1" applyFill="1"/>
    <xf numFmtId="165" fontId="7" fillId="2" borderId="0" xfId="0" applyNumberFormat="1" applyFont="1" applyFill="1"/>
    <xf numFmtId="166" fontId="7" fillId="8" borderId="0" xfId="0" applyNumberFormat="1" applyFont="1" applyFill="1"/>
    <xf numFmtId="2" fontId="7" fillId="2" borderId="0" xfId="0" applyNumberFormat="1" applyFont="1" applyFill="1"/>
    <xf numFmtId="0" fontId="7" fillId="7" borderId="0" xfId="0" applyFont="1" applyFill="1"/>
    <xf numFmtId="166" fontId="7" fillId="2" borderId="0" xfId="6" applyNumberFormat="1" applyFont="1" applyFill="1"/>
    <xf numFmtId="9" fontId="7" fillId="2" borderId="0" xfId="6" applyFont="1" applyFill="1"/>
    <xf numFmtId="8" fontId="7" fillId="2" borderId="0" xfId="0" applyNumberFormat="1" applyFont="1" applyFill="1"/>
    <xf numFmtId="0" fontId="0" fillId="9" borderId="0" xfId="0" applyFill="1"/>
    <xf numFmtId="168" fontId="7" fillId="2" borderId="0" xfId="0" applyNumberFormat="1" applyFont="1" applyFill="1"/>
    <xf numFmtId="0" fontId="15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1B71-CE9C-497D-8D28-8F5AB4A579AB}">
  <dimension ref="B1:J12"/>
  <sheetViews>
    <sheetView workbookViewId="0">
      <selection activeCell="F8" sqref="F8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0" ht="15.75" x14ac:dyDescent="0.25">
      <c r="B1" s="60" t="s">
        <v>138</v>
      </c>
    </row>
    <row r="4" spans="2:10" x14ac:dyDescent="0.2">
      <c r="F4" s="95" t="s">
        <v>122</v>
      </c>
      <c r="G4" s="95"/>
      <c r="H4" s="95"/>
      <c r="I4" s="95"/>
      <c r="J4" s="95"/>
    </row>
    <row r="5" spans="2:10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0" x14ac:dyDescent="0.2">
      <c r="B6" s="59" t="s">
        <v>139</v>
      </c>
      <c r="C6" s="89"/>
      <c r="D6" s="59">
        <f>BS!C6</f>
        <v>632.5</v>
      </c>
      <c r="E6" s="59">
        <f>BS!D6</f>
        <v>632.5</v>
      </c>
      <c r="F6" s="86">
        <f>E9</f>
        <v>659.5</v>
      </c>
      <c r="G6" s="86">
        <f t="shared" ref="G6:J6" si="0">F9</f>
        <v>673.57628458498027</v>
      </c>
      <c r="H6" s="86">
        <f t="shared" si="0"/>
        <v>687.95301160774272</v>
      </c>
      <c r="I6" s="86">
        <f t="shared" si="0"/>
        <v>702.6365936736787</v>
      </c>
      <c r="J6" s="86">
        <f t="shared" si="0"/>
        <v>717.63358025801801</v>
      </c>
    </row>
    <row r="7" spans="2:10" x14ac:dyDescent="0.2">
      <c r="B7" s="59" t="s">
        <v>12</v>
      </c>
      <c r="C7" s="89"/>
      <c r="D7" s="15">
        <f>Forecast!D11</f>
        <v>-44</v>
      </c>
      <c r="E7" s="15">
        <f>Forecast!E11</f>
        <v>-41</v>
      </c>
      <c r="F7" s="15">
        <f>F6*F11</f>
        <v>-44.314229249011859</v>
      </c>
      <c r="G7" s="15">
        <f t="shared" ref="G7:J7" si="1">G6*G11</f>
        <v>-45.260066553140966</v>
      </c>
      <c r="H7" s="15">
        <f t="shared" si="1"/>
        <v>-46.22609168905781</v>
      </c>
      <c r="I7" s="15">
        <f t="shared" si="1"/>
        <v>-47.212735543290663</v>
      </c>
      <c r="J7" s="15">
        <f t="shared" si="1"/>
        <v>-48.22043819915536</v>
      </c>
    </row>
    <row r="8" spans="2:10" x14ac:dyDescent="0.2">
      <c r="B8" s="59" t="s">
        <v>140</v>
      </c>
      <c r="C8" s="89"/>
      <c r="D8" s="72">
        <f>D9-D6-D7</f>
        <v>44</v>
      </c>
      <c r="E8" s="72">
        <f>E9-E6-E7</f>
        <v>68</v>
      </c>
      <c r="F8" s="88">
        <f>F6*F12</f>
        <v>58.390513833992095</v>
      </c>
      <c r="G8" s="88">
        <f t="shared" ref="G8:J8" si="2">G6*G12</f>
        <v>59.63679357590339</v>
      </c>
      <c r="H8" s="88">
        <f t="shared" si="2"/>
        <v>60.909673754993825</v>
      </c>
      <c r="I8" s="88">
        <f t="shared" si="2"/>
        <v>62.209722127630052</v>
      </c>
      <c r="J8" s="88">
        <f t="shared" si="2"/>
        <v>63.537518568298829</v>
      </c>
    </row>
    <row r="9" spans="2:10" ht="12.75" thickBot="1" x14ac:dyDescent="0.25">
      <c r="B9" s="18" t="s">
        <v>141</v>
      </c>
      <c r="C9" s="18">
        <f>SUM(C6:C8)</f>
        <v>0</v>
      </c>
      <c r="D9" s="18">
        <f>BS!D6</f>
        <v>632.5</v>
      </c>
      <c r="E9" s="18">
        <f>BS!E6</f>
        <v>659.5</v>
      </c>
      <c r="F9" s="18">
        <f t="shared" ref="F9:J9" si="3">SUM(F6:F8)</f>
        <v>673.57628458498027</v>
      </c>
      <c r="G9" s="18">
        <f t="shared" si="3"/>
        <v>687.95301160774272</v>
      </c>
      <c r="H9" s="18">
        <f t="shared" si="3"/>
        <v>702.6365936736787</v>
      </c>
      <c r="I9" s="18">
        <f t="shared" si="3"/>
        <v>717.63358025801801</v>
      </c>
      <c r="J9" s="18">
        <f t="shared" si="3"/>
        <v>732.95066062716148</v>
      </c>
    </row>
    <row r="11" spans="2:10" x14ac:dyDescent="0.2">
      <c r="B11" s="84" t="s">
        <v>142</v>
      </c>
      <c r="C11" s="84"/>
      <c r="D11" s="85">
        <f>D7/D6</f>
        <v>-6.9565217391304349E-2</v>
      </c>
      <c r="E11" s="85">
        <f>E7/E6</f>
        <v>-6.4822134387351779E-2</v>
      </c>
      <c r="F11" s="87">
        <f>AVERAGE($D11:$E11)</f>
        <v>-6.7193675889328064E-2</v>
      </c>
      <c r="G11" s="87">
        <f t="shared" ref="G11:J12" si="4">AVERAGE($D11:$E11)</f>
        <v>-6.7193675889328064E-2</v>
      </c>
      <c r="H11" s="87">
        <f t="shared" si="4"/>
        <v>-6.7193675889328064E-2</v>
      </c>
      <c r="I11" s="87">
        <f t="shared" si="4"/>
        <v>-6.7193675889328064E-2</v>
      </c>
      <c r="J11" s="87">
        <f t="shared" si="4"/>
        <v>-6.7193675889328064E-2</v>
      </c>
    </row>
    <row r="12" spans="2:10" x14ac:dyDescent="0.2">
      <c r="B12" s="84" t="s">
        <v>143</v>
      </c>
      <c r="C12" s="84"/>
      <c r="D12" s="85">
        <f>D8/D6</f>
        <v>6.9565217391304349E-2</v>
      </c>
      <c r="E12" s="85">
        <f>E8/E6</f>
        <v>0.10750988142292491</v>
      </c>
      <c r="F12" s="87">
        <f>AVERAGE($D12:$E12)</f>
        <v>8.8537549407114627E-2</v>
      </c>
      <c r="G12" s="87">
        <f t="shared" si="4"/>
        <v>8.8537549407114627E-2</v>
      </c>
      <c r="H12" s="87">
        <f t="shared" si="4"/>
        <v>8.8537549407114627E-2</v>
      </c>
      <c r="I12" s="87">
        <f t="shared" si="4"/>
        <v>8.8537549407114627E-2</v>
      </c>
      <c r="J12" s="87">
        <f t="shared" si="4"/>
        <v>8.8537549407114627E-2</v>
      </c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2079-B323-41EA-BC7A-44AA475CD130}">
  <dimension ref="B1:L30"/>
  <sheetViews>
    <sheetView workbookViewId="0">
      <selection activeCell="C16" sqref="C16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2" ht="15.75" x14ac:dyDescent="0.25">
      <c r="B1" s="60" t="s">
        <v>144</v>
      </c>
    </row>
    <row r="4" spans="2:12" x14ac:dyDescent="0.2">
      <c r="F4" s="95" t="s">
        <v>122</v>
      </c>
      <c r="G4" s="95"/>
      <c r="H4" s="95"/>
      <c r="I4" s="95"/>
      <c r="J4" s="95"/>
    </row>
    <row r="5" spans="2:12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2" x14ac:dyDescent="0.2">
      <c r="B6" s="59" t="s">
        <v>145</v>
      </c>
      <c r="C6" s="89"/>
      <c r="D6" s="86">
        <f>C9</f>
        <v>615.79999999999995</v>
      </c>
      <c r="E6" s="86">
        <f t="shared" ref="E6:J6" si="0">D9</f>
        <v>610.4</v>
      </c>
      <c r="F6" s="86">
        <f t="shared" si="0"/>
        <v>605</v>
      </c>
      <c r="G6" s="86">
        <f t="shared" si="0"/>
        <v>565.17884560503455</v>
      </c>
      <c r="H6" s="86">
        <f t="shared" si="0"/>
        <v>521.77378731452222</v>
      </c>
      <c r="I6" s="86">
        <f t="shared" si="0"/>
        <v>474.4622737778638</v>
      </c>
      <c r="J6" s="86">
        <f t="shared" si="0"/>
        <v>422.89272402290612</v>
      </c>
    </row>
    <row r="7" spans="2:12" x14ac:dyDescent="0.2">
      <c r="B7" s="59" t="s">
        <v>146</v>
      </c>
      <c r="C7" s="89"/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</row>
    <row r="8" spans="2:12" x14ac:dyDescent="0.2">
      <c r="B8" s="59" t="s">
        <v>147</v>
      </c>
      <c r="C8" s="89"/>
      <c r="D8" s="15">
        <f>D9-D7-D6</f>
        <v>-5.3999999999999773</v>
      </c>
      <c r="E8" s="15">
        <f>E9-E7-E6</f>
        <v>-5.3999999999999773</v>
      </c>
      <c r="F8" s="15">
        <f>C18</f>
        <v>-39.82115439496544</v>
      </c>
      <c r="G8" s="15">
        <f t="shared" ref="G8:J8" si="1">D18</f>
        <v>-43.405058290512329</v>
      </c>
      <c r="H8" s="15">
        <f t="shared" si="1"/>
        <v>-47.311513536658438</v>
      </c>
      <c r="I8" s="15">
        <f t="shared" si="1"/>
        <v>-51.569549754957698</v>
      </c>
      <c r="J8" s="15">
        <f t="shared" si="1"/>
        <v>-56.210809232903884</v>
      </c>
    </row>
    <row r="9" spans="2:12" ht="12.75" thickBot="1" x14ac:dyDescent="0.25">
      <c r="B9" s="18" t="s">
        <v>148</v>
      </c>
      <c r="C9" s="18">
        <f>BS!C13</f>
        <v>615.79999999999995</v>
      </c>
      <c r="D9" s="18">
        <f>BS!D13</f>
        <v>610.4</v>
      </c>
      <c r="E9" s="18">
        <f>BS!E13</f>
        <v>605</v>
      </c>
      <c r="F9" s="18">
        <f>SUM(F6:F8)</f>
        <v>565.17884560503455</v>
      </c>
      <c r="G9" s="18">
        <f t="shared" ref="G9:J9" si="2">SUM(G6:G8)</f>
        <v>521.77378731452222</v>
      </c>
      <c r="H9" s="18">
        <f t="shared" si="2"/>
        <v>474.4622737778638</v>
      </c>
      <c r="I9" s="18">
        <f t="shared" si="2"/>
        <v>422.89272402290612</v>
      </c>
      <c r="J9" s="18">
        <f t="shared" si="2"/>
        <v>366.68191479000222</v>
      </c>
    </row>
    <row r="11" spans="2:12" x14ac:dyDescent="0.2">
      <c r="B11" s="59" t="s">
        <v>149</v>
      </c>
      <c r="C11" s="59">
        <v>10</v>
      </c>
      <c r="D11" s="90"/>
      <c r="E11" s="90"/>
      <c r="F11" s="71"/>
      <c r="G11" s="71"/>
      <c r="H11" s="71"/>
      <c r="I11" s="71"/>
      <c r="J11" s="71"/>
    </row>
    <row r="12" spans="2:12" x14ac:dyDescent="0.2">
      <c r="B12" s="59" t="s">
        <v>150</v>
      </c>
      <c r="C12" s="91">
        <v>0.09</v>
      </c>
      <c r="D12" s="90"/>
      <c r="E12" s="90"/>
      <c r="F12" s="71"/>
      <c r="G12" s="71"/>
      <c r="H12" s="71"/>
      <c r="I12" s="71"/>
      <c r="J12" s="71"/>
    </row>
    <row r="13" spans="2:12" x14ac:dyDescent="0.2">
      <c r="B13" s="59" t="s">
        <v>151</v>
      </c>
      <c r="C13" s="15">
        <f>PMT(C12,C11,E9)</f>
        <v>-94.271154394965436</v>
      </c>
    </row>
    <row r="15" spans="2:12" ht="12.75" thickBot="1" x14ac:dyDescent="0.25">
      <c r="B15" s="69" t="s">
        <v>152</v>
      </c>
      <c r="C15" s="69">
        <v>1</v>
      </c>
      <c r="D15" s="69">
        <v>2</v>
      </c>
      <c r="E15" s="69">
        <v>3</v>
      </c>
      <c r="F15" s="69">
        <v>4</v>
      </c>
      <c r="G15" s="69">
        <v>5</v>
      </c>
      <c r="H15" s="69">
        <v>6</v>
      </c>
      <c r="I15" s="69">
        <v>7</v>
      </c>
      <c r="J15" s="69">
        <v>8</v>
      </c>
      <c r="K15" s="69">
        <v>9</v>
      </c>
      <c r="L15" s="69">
        <v>10</v>
      </c>
    </row>
    <row r="16" spans="2:12" x14ac:dyDescent="0.2">
      <c r="B16" s="59" t="s">
        <v>153</v>
      </c>
      <c r="C16" s="15">
        <f>$C$13</f>
        <v>-94.271154394965436</v>
      </c>
      <c r="D16" s="15">
        <f t="shared" ref="D16:L16" si="3">$C$13</f>
        <v>-94.271154394965436</v>
      </c>
      <c r="E16" s="15">
        <f t="shared" si="3"/>
        <v>-94.271154394965436</v>
      </c>
      <c r="F16" s="15">
        <f t="shared" si="3"/>
        <v>-94.271154394965436</v>
      </c>
      <c r="G16" s="15">
        <f t="shared" si="3"/>
        <v>-94.271154394965436</v>
      </c>
      <c r="H16" s="15">
        <f t="shared" si="3"/>
        <v>-94.271154394965436</v>
      </c>
      <c r="I16" s="15">
        <f t="shared" si="3"/>
        <v>-94.271154394965436</v>
      </c>
      <c r="J16" s="15">
        <f t="shared" si="3"/>
        <v>-94.271154394965436</v>
      </c>
      <c r="K16" s="15">
        <f t="shared" si="3"/>
        <v>-94.271154394965436</v>
      </c>
      <c r="L16" s="15">
        <f t="shared" si="3"/>
        <v>-94.271154394965436</v>
      </c>
    </row>
    <row r="17" spans="2:12" x14ac:dyDescent="0.2">
      <c r="B17" s="59" t="s">
        <v>154</v>
      </c>
      <c r="C17" s="15">
        <f>-E9*C12</f>
        <v>-54.449999999999996</v>
      </c>
      <c r="D17" s="15">
        <f>-C19*$C$12</f>
        <v>-50.866096104453106</v>
      </c>
      <c r="E17" s="15">
        <f t="shared" ref="E17:L17" si="4">-D19*$C$12</f>
        <v>-46.959640858306997</v>
      </c>
      <c r="F17" s="15">
        <f t="shared" si="4"/>
        <v>-42.701604640007737</v>
      </c>
      <c r="G17" s="15">
        <f t="shared" si="4"/>
        <v>-38.060345162061552</v>
      </c>
      <c r="H17" s="15">
        <f t="shared" si="4"/>
        <v>-33.0013723311002</v>
      </c>
      <c r="I17" s="15">
        <f t="shared" si="4"/>
        <v>-27.487091945352326</v>
      </c>
      <c r="J17" s="15">
        <f t="shared" si="4"/>
        <v>-21.476526324887146</v>
      </c>
      <c r="K17" s="15">
        <f t="shared" si="4"/>
        <v>-14.925009798580101</v>
      </c>
      <c r="L17" s="15">
        <f t="shared" si="4"/>
        <v>-7.7838567849054208</v>
      </c>
    </row>
    <row r="18" spans="2:12" x14ac:dyDescent="0.2">
      <c r="B18" s="59" t="s">
        <v>155</v>
      </c>
      <c r="C18" s="15">
        <f>C16-C17</f>
        <v>-39.82115439496544</v>
      </c>
      <c r="D18" s="15">
        <f t="shared" ref="D18:L18" si="5">D16-D17</f>
        <v>-43.405058290512329</v>
      </c>
      <c r="E18" s="15">
        <f t="shared" si="5"/>
        <v>-47.311513536658438</v>
      </c>
      <c r="F18" s="15">
        <f t="shared" si="5"/>
        <v>-51.569549754957698</v>
      </c>
      <c r="G18" s="15">
        <f t="shared" si="5"/>
        <v>-56.210809232903884</v>
      </c>
      <c r="H18" s="15">
        <f t="shared" si="5"/>
        <v>-61.269782063865236</v>
      </c>
      <c r="I18" s="15">
        <f t="shared" si="5"/>
        <v>-66.784062449613117</v>
      </c>
      <c r="J18" s="15">
        <f t="shared" si="5"/>
        <v>-72.794628070078289</v>
      </c>
      <c r="K18" s="15">
        <f t="shared" si="5"/>
        <v>-79.346144596385329</v>
      </c>
      <c r="L18" s="15">
        <f t="shared" si="5"/>
        <v>-86.487297610060011</v>
      </c>
    </row>
    <row r="19" spans="2:12" x14ac:dyDescent="0.2">
      <c r="B19" s="59" t="s">
        <v>156</v>
      </c>
      <c r="C19" s="92">
        <f>E9+C18</f>
        <v>565.17884560503455</v>
      </c>
      <c r="D19" s="92">
        <f>C19+D18</f>
        <v>521.77378731452222</v>
      </c>
      <c r="E19" s="92">
        <f t="shared" ref="E19:L19" si="6">D19+E18</f>
        <v>474.4622737778638</v>
      </c>
      <c r="F19" s="92">
        <f t="shared" si="6"/>
        <v>422.89272402290612</v>
      </c>
      <c r="G19" s="92">
        <f t="shared" si="6"/>
        <v>366.68191479000222</v>
      </c>
      <c r="H19" s="92">
        <f t="shared" si="6"/>
        <v>305.41213272613697</v>
      </c>
      <c r="I19" s="92">
        <f t="shared" si="6"/>
        <v>238.62807027652386</v>
      </c>
      <c r="J19" s="92">
        <f t="shared" si="6"/>
        <v>165.83344220644557</v>
      </c>
      <c r="K19" s="92">
        <f t="shared" si="6"/>
        <v>86.487297610060239</v>
      </c>
      <c r="L19" s="92">
        <f t="shared" si="6"/>
        <v>2.2737367544323206E-13</v>
      </c>
    </row>
    <row r="23" spans="2:12" x14ac:dyDescent="0.2">
      <c r="C23" s="91"/>
    </row>
    <row r="24" spans="2:12" x14ac:dyDescent="0.2">
      <c r="C24" s="92"/>
    </row>
    <row r="26" spans="2:12" ht="12.75" thickBot="1" x14ac:dyDescent="0.25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2:12" x14ac:dyDescent="0.2"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2:12" x14ac:dyDescent="0.2">
      <c r="D28" s="92"/>
      <c r="E28" s="92"/>
      <c r="F28" s="92"/>
      <c r="G28" s="92"/>
      <c r="H28" s="92"/>
      <c r="I28" s="92"/>
      <c r="J28" s="92"/>
      <c r="K28" s="92"/>
      <c r="L28" s="92"/>
    </row>
    <row r="29" spans="2:12" x14ac:dyDescent="0.2"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2:12" x14ac:dyDescent="0.2">
      <c r="C30" s="92"/>
      <c r="D30" s="92"/>
      <c r="E30" s="92"/>
      <c r="F30" s="92"/>
      <c r="G30" s="92"/>
      <c r="H30" s="92"/>
      <c r="I30" s="92"/>
      <c r="J30" s="92"/>
      <c r="K30" s="92"/>
      <c r="L30" s="92"/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0833-3411-47EA-9F53-D2B8F06ECFA7}">
  <dimension ref="B1:J13"/>
  <sheetViews>
    <sheetView workbookViewId="0">
      <selection activeCell="F9" sqref="F9"/>
    </sheetView>
  </sheetViews>
  <sheetFormatPr defaultRowHeight="12" x14ac:dyDescent="0.2"/>
  <cols>
    <col min="1" max="1" width="2" style="59" customWidth="1"/>
    <col min="2" max="2" width="29.140625" style="59" bestFit="1" customWidth="1"/>
    <col min="3" max="5" width="9.28515625" style="59" bestFit="1" customWidth="1"/>
    <col min="6" max="16384" width="9.140625" style="59"/>
  </cols>
  <sheetData>
    <row r="1" spans="2:10" ht="15.75" x14ac:dyDescent="0.25">
      <c r="B1" s="60" t="s">
        <v>157</v>
      </c>
    </row>
    <row r="4" spans="2:10" x14ac:dyDescent="0.2">
      <c r="F4" s="95" t="s">
        <v>122</v>
      </c>
      <c r="G4" s="95"/>
      <c r="H4" s="95"/>
      <c r="I4" s="95"/>
      <c r="J4" s="95"/>
    </row>
    <row r="5" spans="2:10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0" ht="15" x14ac:dyDescent="0.25">
      <c r="B6" s="59" t="s">
        <v>158</v>
      </c>
      <c r="C6" s="93"/>
      <c r="D6" s="93"/>
      <c r="E6" s="93"/>
      <c r="F6" s="86">
        <f>E10</f>
        <v>485.3</v>
      </c>
      <c r="G6" s="86">
        <f t="shared" ref="G6:J6" si="0">F10</f>
        <v>628.17875059288531</v>
      </c>
      <c r="H6" s="86">
        <f t="shared" si="0"/>
        <v>775.71428315642356</v>
      </c>
      <c r="I6" s="86">
        <f t="shared" si="0"/>
        <v>928.09707818295124</v>
      </c>
      <c r="J6" s="86">
        <f t="shared" si="0"/>
        <v>1085.5302208458647</v>
      </c>
    </row>
    <row r="7" spans="2:10" ht="15" x14ac:dyDescent="0.25">
      <c r="B7" s="59" t="s">
        <v>159</v>
      </c>
      <c r="C7" s="93"/>
      <c r="D7" s="93"/>
      <c r="E7" s="93"/>
      <c r="F7" s="94">
        <v>0</v>
      </c>
      <c r="G7" s="94">
        <v>0</v>
      </c>
      <c r="H7" s="94">
        <v>0</v>
      </c>
      <c r="I7" s="94">
        <v>0</v>
      </c>
      <c r="J7" s="94">
        <v>0</v>
      </c>
    </row>
    <row r="8" spans="2:10" ht="15" x14ac:dyDescent="0.25">
      <c r="B8" s="59" t="s">
        <v>160</v>
      </c>
      <c r="C8" s="93"/>
      <c r="D8" s="93"/>
      <c r="E8" s="93"/>
      <c r="F8" s="94">
        <f>Forecast!I16</f>
        <v>238.13125098814223</v>
      </c>
      <c r="G8" s="94">
        <f>Forecast!J16</f>
        <v>245.89255427256381</v>
      </c>
      <c r="H8" s="94">
        <f>Forecast!K16</f>
        <v>253.97132504421273</v>
      </c>
      <c r="I8" s="94">
        <f>Forecast!L16</f>
        <v>262.38857110485594</v>
      </c>
      <c r="J8" s="94">
        <f>Forecast!M16</f>
        <v>271.16704088368891</v>
      </c>
    </row>
    <row r="9" spans="2:10" ht="15" x14ac:dyDescent="0.25">
      <c r="B9" s="59" t="s">
        <v>161</v>
      </c>
      <c r="C9" s="93"/>
      <c r="D9" s="93"/>
      <c r="E9" s="93"/>
      <c r="F9" s="15">
        <f>IF(F8&gt;0,-F12*F8,0)</f>
        <v>-95.252500395256902</v>
      </c>
      <c r="G9" s="15">
        <f t="shared" ref="G9:J9" si="1">IF(G8&gt;0,-G12*G8,0)</f>
        <v>-98.357021709025531</v>
      </c>
      <c r="H9" s="15">
        <f t="shared" si="1"/>
        <v>-101.5885300176851</v>
      </c>
      <c r="I9" s="15">
        <f t="shared" si="1"/>
        <v>-104.95542844194239</v>
      </c>
      <c r="J9" s="15">
        <f t="shared" si="1"/>
        <v>-108.46681635347556</v>
      </c>
    </row>
    <row r="10" spans="2:10" ht="12.75" thickBot="1" x14ac:dyDescent="0.25">
      <c r="B10" s="18" t="s">
        <v>162</v>
      </c>
      <c r="C10" s="18"/>
      <c r="D10" s="18"/>
      <c r="E10" s="18">
        <f>BS!E15</f>
        <v>485.3</v>
      </c>
      <c r="F10" s="18">
        <f>SUM(F6:F9)</f>
        <v>628.17875059288531</v>
      </c>
      <c r="G10" s="18">
        <f t="shared" ref="G10:J10" si="2">SUM(G6:G9)</f>
        <v>775.71428315642356</v>
      </c>
      <c r="H10" s="18">
        <f t="shared" si="2"/>
        <v>928.09707818295124</v>
      </c>
      <c r="I10" s="18">
        <f t="shared" si="2"/>
        <v>1085.5302208458647</v>
      </c>
      <c r="J10" s="18">
        <f t="shared" si="2"/>
        <v>1248.230445376078</v>
      </c>
    </row>
    <row r="12" spans="2:10" x14ac:dyDescent="0.2">
      <c r="B12" s="84" t="s">
        <v>163</v>
      </c>
      <c r="C12" s="84"/>
      <c r="D12" s="85"/>
      <c r="E12" s="85"/>
      <c r="F12" s="87">
        <v>0.4</v>
      </c>
      <c r="G12" s="87">
        <v>0.4</v>
      </c>
      <c r="H12" s="87">
        <v>0.4</v>
      </c>
      <c r="I12" s="87">
        <v>0.4</v>
      </c>
      <c r="J12" s="87">
        <v>0.4</v>
      </c>
    </row>
    <row r="13" spans="2:10" x14ac:dyDescent="0.2">
      <c r="D13" s="90"/>
      <c r="E13" s="90"/>
      <c r="F13" s="71"/>
      <c r="G13" s="71"/>
      <c r="H13" s="71"/>
      <c r="I13" s="71"/>
      <c r="J13" s="71"/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AF3B-C874-4EAA-A170-FAFD035AA609}">
  <dimension ref="B1:G18"/>
  <sheetViews>
    <sheetView tabSelected="1" workbookViewId="0">
      <selection activeCell="I3" sqref="I3"/>
    </sheetView>
  </sheetViews>
  <sheetFormatPr defaultRowHeight="12" x14ac:dyDescent="0.2"/>
  <cols>
    <col min="1" max="1" width="2" style="59" customWidth="1"/>
    <col min="2" max="2" width="26.7109375" style="59" bestFit="1" customWidth="1"/>
    <col min="3" max="16384" width="9.140625" style="59"/>
  </cols>
  <sheetData>
    <row r="1" spans="2:7" ht="15.75" x14ac:dyDescent="0.25">
      <c r="B1" s="60" t="s">
        <v>131</v>
      </c>
    </row>
    <row r="2" spans="2:7" ht="15.75" x14ac:dyDescent="0.25">
      <c r="B2" s="60"/>
      <c r="C2" s="96" t="s">
        <v>122</v>
      </c>
      <c r="D2" s="96"/>
      <c r="E2" s="96"/>
      <c r="F2" s="96"/>
      <c r="G2" s="96"/>
    </row>
    <row r="3" spans="2:7" ht="12.75" thickBot="1" x14ac:dyDescent="0.25">
      <c r="B3" s="13" t="s">
        <v>63</v>
      </c>
      <c r="C3" s="14">
        <v>2017</v>
      </c>
      <c r="D3" s="14">
        <v>2018</v>
      </c>
      <c r="E3" s="14">
        <v>2019</v>
      </c>
      <c r="F3" s="14">
        <v>2020</v>
      </c>
      <c r="G3" s="14">
        <v>2021</v>
      </c>
    </row>
    <row r="4" spans="2:7" x14ac:dyDescent="0.2">
      <c r="B4" s="59" t="s">
        <v>59</v>
      </c>
      <c r="C4" s="15">
        <f>Forecast!I10</f>
        <v>465.11999999999989</v>
      </c>
      <c r="D4" s="15">
        <f>Forecast!J10</f>
        <v>474.42239999999993</v>
      </c>
      <c r="E4" s="15">
        <f>Forecast!K10</f>
        <v>483.91084799999976</v>
      </c>
      <c r="F4" s="15">
        <f>Forecast!L10</f>
        <v>493.58906495999986</v>
      </c>
      <c r="G4" s="15">
        <f>Forecast!M10</f>
        <v>503.4608462591998</v>
      </c>
    </row>
    <row r="5" spans="2:7" x14ac:dyDescent="0.2">
      <c r="B5" s="59" t="s">
        <v>154</v>
      </c>
      <c r="C5" s="15">
        <f>Forecast!I13</f>
        <v>-54.449999999999996</v>
      </c>
      <c r="D5" s="15">
        <f>Forecast!J13</f>
        <v>-50.866096104453106</v>
      </c>
      <c r="E5" s="15">
        <f>Forecast!K13</f>
        <v>-46.959640858306997</v>
      </c>
      <c r="F5" s="15">
        <f>Forecast!L13</f>
        <v>-42.701604640007737</v>
      </c>
      <c r="G5" s="15">
        <f>Forecast!M13</f>
        <v>-38.060345162061552</v>
      </c>
    </row>
    <row r="6" spans="2:7" x14ac:dyDescent="0.2">
      <c r="B6" s="59" t="s">
        <v>51</v>
      </c>
      <c r="C6" s="15">
        <f>Forecast!I15</f>
        <v>-128.2245197628458</v>
      </c>
      <c r="D6" s="15">
        <f>Forecast!J15</f>
        <v>-132.40368306984203</v>
      </c>
      <c r="E6" s="15">
        <f>Forecast!K15</f>
        <v>-136.75379040842222</v>
      </c>
      <c r="F6" s="15">
        <f>Forecast!L15</f>
        <v>-141.28615367184551</v>
      </c>
      <c r="G6" s="15">
        <f>Forecast!M15</f>
        <v>-146.01302201429399</v>
      </c>
    </row>
    <row r="7" spans="2:7" x14ac:dyDescent="0.2">
      <c r="B7" s="59" t="s">
        <v>164</v>
      </c>
      <c r="C7" s="15">
        <f>-(BS!F4-BS!E4)</f>
        <v>7.2164748042491738</v>
      </c>
      <c r="D7" s="15">
        <f>-(BS!G4-BS!F4)</f>
        <v>-3.2416705039150031</v>
      </c>
      <c r="E7" s="15">
        <f>-(BS!H4-BS!G4)</f>
        <v>-3.3065039139933106</v>
      </c>
      <c r="F7" s="15">
        <f>-(BS!I4-BS!H4)</f>
        <v>-3.3726339922731938</v>
      </c>
      <c r="G7" s="15">
        <f>-(BS!J4-BS!I4)</f>
        <v>-3.4400866721186389</v>
      </c>
    </row>
    <row r="8" spans="2:7" x14ac:dyDescent="0.2">
      <c r="B8" s="59" t="s">
        <v>166</v>
      </c>
      <c r="C8" s="15">
        <f>-(BS!F5-BS!E5)</f>
        <v>11.266245373446765</v>
      </c>
      <c r="D8" s="15">
        <f>-(BS!G5-BS!F5)</f>
        <v>-1.9746750925310579</v>
      </c>
      <c r="E8" s="15">
        <f>-(BS!H5-BS!G5)</f>
        <v>-2.0141685943816725</v>
      </c>
      <c r="F8" s="15">
        <f>-(BS!I5-BS!H5)</f>
        <v>-2.0544519662693403</v>
      </c>
      <c r="G8" s="15">
        <f>-(BS!J5-BS!I5)</f>
        <v>-2.0955410055946828</v>
      </c>
    </row>
    <row r="9" spans="2:7" x14ac:dyDescent="0.2">
      <c r="B9" s="59" t="s">
        <v>165</v>
      </c>
      <c r="C9" s="15">
        <f>BS!F11-BS!E11</f>
        <v>1.8280424028766191</v>
      </c>
      <c r="D9" s="15">
        <f>BS!G11-BS!F11</f>
        <v>1.4145608480575333</v>
      </c>
      <c r="E9" s="15">
        <f>BS!H11-BS!G11</f>
        <v>1.442852065018684</v>
      </c>
      <c r="F9" s="15">
        <f>BS!I11-BS!H11</f>
        <v>1.4717091063190679</v>
      </c>
      <c r="G9" s="15">
        <f>BS!J11-BS!I11</f>
        <v>1.5011432884454337</v>
      </c>
    </row>
    <row r="10" spans="2:7" x14ac:dyDescent="0.2">
      <c r="B10" s="59" t="s">
        <v>167</v>
      </c>
      <c r="C10" s="15">
        <f>-(BS!F8-BS!E8)</f>
        <v>12.398523542397236</v>
      </c>
      <c r="D10" s="15">
        <f>-(BS!G8-BS!F8)</f>
        <v>-1.1120295291520605</v>
      </c>
      <c r="E10" s="15">
        <f>-(BS!H8-BS!G8)</f>
        <v>-1.134270119735092</v>
      </c>
      <c r="F10" s="15">
        <f>-(BS!I8-BS!H8)</f>
        <v>-1.1569555221297989</v>
      </c>
      <c r="G10" s="15">
        <f>-(BS!J8-BS!I8)</f>
        <v>-1.1800946325723984</v>
      </c>
    </row>
    <row r="11" spans="2:7" x14ac:dyDescent="0.2">
      <c r="B11" s="59" t="s">
        <v>168</v>
      </c>
      <c r="C11" s="15">
        <f>BS!F14-BS!E14</f>
        <v>6.4094587202933084</v>
      </c>
      <c r="D11" s="15">
        <f>BS!G14-BS!F14</f>
        <v>0.90618917440586699</v>
      </c>
      <c r="E11" s="15">
        <f>BS!H14-BS!G14</f>
        <v>0.9243129578939886</v>
      </c>
      <c r="F11" s="15">
        <f>BS!I14-BS!H14</f>
        <v>0.94279921705186354</v>
      </c>
      <c r="G11" s="15">
        <f>BS!J14-BS!I14</f>
        <v>0.96165520139290095</v>
      </c>
    </row>
    <row r="12" spans="2:7" x14ac:dyDescent="0.2">
      <c r="B12" s="59" t="s">
        <v>140</v>
      </c>
      <c r="C12" s="15">
        <f>-'PP&amp;E Forecasting'!F8</f>
        <v>-58.390513833992095</v>
      </c>
      <c r="D12" s="15">
        <f>-'PP&amp;E Forecasting'!G8</f>
        <v>-59.63679357590339</v>
      </c>
      <c r="E12" s="15">
        <f>-'PP&amp;E Forecasting'!H8</f>
        <v>-60.909673754993825</v>
      </c>
      <c r="F12" s="15">
        <f>-'PP&amp;E Forecasting'!I8</f>
        <v>-62.209722127630052</v>
      </c>
      <c r="G12" s="15">
        <f>-'PP&amp;E Forecasting'!J8</f>
        <v>-63.537518568298829</v>
      </c>
    </row>
    <row r="13" spans="2:7" x14ac:dyDescent="0.2">
      <c r="B13" s="70" t="s">
        <v>169</v>
      </c>
      <c r="C13" s="70">
        <f>SUM(C4:C12)</f>
        <v>263.17371124642511</v>
      </c>
      <c r="D13" s="70">
        <f t="shared" ref="D13:G13" si="0">SUM(D4:D12)</f>
        <v>227.50820214666666</v>
      </c>
      <c r="E13" s="70">
        <f t="shared" si="0"/>
        <v>235.19996537307929</v>
      </c>
      <c r="F13" s="70">
        <f t="shared" si="0"/>
        <v>243.22205136321517</v>
      </c>
      <c r="G13" s="70">
        <f t="shared" si="0"/>
        <v>251.59703669409811</v>
      </c>
    </row>
    <row r="14" spans="2:7" x14ac:dyDescent="0.2">
      <c r="B14" s="59" t="s">
        <v>161</v>
      </c>
      <c r="C14" s="15">
        <f>'Equity Schedule'!F9</f>
        <v>-95.252500395256902</v>
      </c>
      <c r="D14" s="15">
        <f>'Equity Schedule'!G9</f>
        <v>-98.357021709025531</v>
      </c>
      <c r="E14" s="15">
        <f>'Equity Schedule'!H9</f>
        <v>-101.5885300176851</v>
      </c>
      <c r="F14" s="15">
        <f>'Equity Schedule'!I9</f>
        <v>-104.95542844194239</v>
      </c>
      <c r="G14" s="15">
        <f>'Equity Schedule'!J9</f>
        <v>-108.46681635347556</v>
      </c>
    </row>
    <row r="15" spans="2:7" x14ac:dyDescent="0.2">
      <c r="B15" s="59" t="s">
        <v>170</v>
      </c>
      <c r="C15" s="15">
        <f>'Financial Liabilities'!F9-'Financial Liabilities'!E9</f>
        <v>-39.821154394965447</v>
      </c>
      <c r="D15" s="15">
        <f>'Financial Liabilities'!G9-'Financial Liabilities'!F9</f>
        <v>-43.405058290512329</v>
      </c>
      <c r="E15" s="15">
        <f>'Financial Liabilities'!H9-'Financial Liabilities'!G9</f>
        <v>-47.311513536658424</v>
      </c>
      <c r="F15" s="15">
        <f>'Financial Liabilities'!I9-'Financial Liabilities'!H9</f>
        <v>-51.569549754957677</v>
      </c>
      <c r="G15" s="15">
        <f>'Financial Liabilities'!J9-'Financial Liabilities'!I9</f>
        <v>-56.210809232903898</v>
      </c>
    </row>
    <row r="16" spans="2:7" x14ac:dyDescent="0.2">
      <c r="B16" s="59" t="s">
        <v>171</v>
      </c>
      <c r="C16" s="15">
        <f>BS!F12-BS!E12</f>
        <v>0</v>
      </c>
      <c r="D16" s="15">
        <f>BS!G12-BS!F12</f>
        <v>0</v>
      </c>
      <c r="E16" s="15">
        <f>BS!H12-BS!G12</f>
        <v>0</v>
      </c>
      <c r="F16" s="15">
        <f>BS!I12-BS!H12</f>
        <v>0</v>
      </c>
      <c r="G16" s="15">
        <f>BS!J12-BS!I12</f>
        <v>0</v>
      </c>
    </row>
    <row r="17" spans="2:7" x14ac:dyDescent="0.2">
      <c r="B17" s="59" t="s">
        <v>172</v>
      </c>
      <c r="C17" s="15">
        <f>'Equity Schedule'!F10-'Equity Schedule'!E10-'Equity Schedule'!F8-'Equity Schedule'!F9</f>
        <v>0</v>
      </c>
      <c r="D17" s="15">
        <f>'Equity Schedule'!G10-'Equity Schedule'!F10-'Equity Schedule'!G8-'Equity Schedule'!G9</f>
        <v>0</v>
      </c>
      <c r="E17" s="15">
        <f>'Equity Schedule'!H10-'Equity Schedule'!G10-'Equity Schedule'!H8-'Equity Schedule'!H9</f>
        <v>0</v>
      </c>
      <c r="F17" s="15">
        <f>'Equity Schedule'!I10-'Equity Schedule'!H10-'Equity Schedule'!I8-'Equity Schedule'!I9</f>
        <v>0</v>
      </c>
      <c r="G17" s="15">
        <f>'Equity Schedule'!J10-'Equity Schedule'!I10-'Equity Schedule'!J8-'Equity Schedule'!J9</f>
        <v>0</v>
      </c>
    </row>
    <row r="18" spans="2:7" ht="12.75" thickBot="1" x14ac:dyDescent="0.25">
      <c r="B18" s="18" t="s">
        <v>173</v>
      </c>
      <c r="C18" s="18">
        <f>SUM(C13:C17)</f>
        <v>128.10005645620276</v>
      </c>
      <c r="D18" s="18">
        <f t="shared" ref="D18:G18" si="1">SUM(D13:D17)</f>
        <v>85.746122147128801</v>
      </c>
      <c r="E18" s="18">
        <f t="shared" si="1"/>
        <v>86.299921818735754</v>
      </c>
      <c r="F18" s="18">
        <f t="shared" si="1"/>
        <v>86.697073166315107</v>
      </c>
      <c r="G18" s="18">
        <f t="shared" si="1"/>
        <v>86.919411107718645</v>
      </c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J25"/>
  <sheetViews>
    <sheetView zoomScale="110" zoomScaleNormal="110" workbookViewId="0">
      <selection activeCell="J7" sqref="J7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10" ht="15.75" x14ac:dyDescent="0.25">
      <c r="B1" s="60" t="s">
        <v>120</v>
      </c>
    </row>
    <row r="2" spans="2:10" x14ac:dyDescent="0.2">
      <c r="F2" s="95" t="s">
        <v>122</v>
      </c>
      <c r="G2" s="95"/>
      <c r="H2" s="95"/>
      <c r="I2" s="95"/>
      <c r="J2" s="95"/>
    </row>
    <row r="3" spans="2:10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  <c r="F3" s="61">
        <v>43100</v>
      </c>
      <c r="G3" s="61">
        <v>43465</v>
      </c>
      <c r="H3" s="61">
        <v>43830</v>
      </c>
      <c r="I3" s="61">
        <v>44196</v>
      </c>
      <c r="J3" s="61">
        <v>44561</v>
      </c>
    </row>
    <row r="4" spans="2:10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  <c r="F4" s="62">
        <f>F18*Forecast!I6/360</f>
        <v>162.08352519575084</v>
      </c>
      <c r="G4" s="62">
        <f>G18*Forecast!J6/360</f>
        <v>165.32519569966584</v>
      </c>
      <c r="H4" s="62">
        <f>H18*Forecast!K6/360</f>
        <v>168.63169961365915</v>
      </c>
      <c r="I4" s="62">
        <f>I18*Forecast!L6/360</f>
        <v>172.00433360593235</v>
      </c>
      <c r="J4" s="62">
        <f>J18*Forecast!M6/360</f>
        <v>175.44442027805098</v>
      </c>
    </row>
    <row r="5" spans="2:10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  <c r="F5" s="62">
        <f>-F20*Forecast!I7/360</f>
        <v>98.733754626553235</v>
      </c>
      <c r="G5" s="62">
        <f>-G20*Forecast!J7/360</f>
        <v>100.70842971908429</v>
      </c>
      <c r="H5" s="62">
        <f>-H20*Forecast!K7/360</f>
        <v>102.72259831346597</v>
      </c>
      <c r="I5" s="62">
        <f>-I20*Forecast!L7/360</f>
        <v>104.77705027973531</v>
      </c>
      <c r="J5" s="62">
        <f>-J20*Forecast!M7/360</f>
        <v>106.87259128532999</v>
      </c>
    </row>
    <row r="6" spans="2:10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  <c r="F6" s="62">
        <f>'PP&amp;E Forecasting'!F9</f>
        <v>673.57628458498027</v>
      </c>
      <c r="G6" s="62">
        <f>'PP&amp;E Forecasting'!G9</f>
        <v>687.95301160774272</v>
      </c>
      <c r="H6" s="62">
        <f>'PP&amp;E Forecasting'!H9</f>
        <v>702.6365936736787</v>
      </c>
      <c r="I6" s="62">
        <f>'PP&amp;E Forecasting'!I9</f>
        <v>717.63358025801801</v>
      </c>
      <c r="J6" s="62">
        <f>'PP&amp;E Forecasting'!J9</f>
        <v>732.95066062716148</v>
      </c>
    </row>
    <row r="7" spans="2:10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  <c r="F7" s="62">
        <f>E7+'Cash Flow'!C18</f>
        <v>348.10005645620276</v>
      </c>
      <c r="G7" s="62">
        <f>F7+'Cash Flow'!D18</f>
        <v>433.84617860333157</v>
      </c>
      <c r="H7" s="62">
        <f>G7+'Cash Flow'!E18</f>
        <v>520.14610042206732</v>
      </c>
      <c r="I7" s="62">
        <f>H7+'Cash Flow'!F18</f>
        <v>606.84317358838246</v>
      </c>
      <c r="J7" s="62">
        <f>I7+'Cash Flow'!G18</f>
        <v>693.76258469610116</v>
      </c>
    </row>
    <row r="8" spans="2:10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  <c r="F8" s="62">
        <f>F21*Forecast!I6</f>
        <v>55.601476457602764</v>
      </c>
      <c r="G8" s="62">
        <f>G21*Forecast!J6</f>
        <v>56.713505986754825</v>
      </c>
      <c r="H8" s="62">
        <f>H21*Forecast!K6</f>
        <v>57.847776106489917</v>
      </c>
      <c r="I8" s="62">
        <f>I21*Forecast!L6</f>
        <v>59.004731628619716</v>
      </c>
      <c r="J8" s="62">
        <f>J21*Forecast!M6</f>
        <v>60.184826261192114</v>
      </c>
    </row>
    <row r="9" spans="2:10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  <c r="F9" s="18">
        <f t="shared" ref="F9:J9" si="0">SUM(F4:F8)</f>
        <v>1338.09509732109</v>
      </c>
      <c r="G9" s="18">
        <f t="shared" si="0"/>
        <v>1444.5463216165792</v>
      </c>
      <c r="H9" s="18">
        <f t="shared" si="0"/>
        <v>1551.9847681293611</v>
      </c>
      <c r="I9" s="18">
        <f t="shared" si="0"/>
        <v>1660.2628693606878</v>
      </c>
      <c r="J9" s="18">
        <f t="shared" si="0"/>
        <v>1769.2150831478357</v>
      </c>
    </row>
    <row r="11" spans="2:10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  <c r="F11" s="62">
        <f>-F19*Forecast!I7/360</f>
        <v>70.728042402876625</v>
      </c>
      <c r="G11" s="62">
        <f>-G19*Forecast!J7/360</f>
        <v>72.142603250934158</v>
      </c>
      <c r="H11" s="62">
        <f>-H19*Forecast!K7/360</f>
        <v>73.585455315952842</v>
      </c>
      <c r="I11" s="62">
        <f>-I19*Forecast!L7/360</f>
        <v>75.05716442227191</v>
      </c>
      <c r="J11" s="62">
        <f>-J19*Forecast!M7/360</f>
        <v>76.558307710717344</v>
      </c>
    </row>
    <row r="12" spans="2:10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  <c r="F12" s="62">
        <f>E12</f>
        <v>28.699999999999996</v>
      </c>
      <c r="G12" s="62">
        <f t="shared" ref="G12:J12" si="1">F12</f>
        <v>28.699999999999996</v>
      </c>
      <c r="H12" s="62">
        <f t="shared" si="1"/>
        <v>28.699999999999996</v>
      </c>
      <c r="I12" s="62">
        <f t="shared" si="1"/>
        <v>28.699999999999996</v>
      </c>
      <c r="J12" s="62">
        <f t="shared" si="1"/>
        <v>28.699999999999996</v>
      </c>
    </row>
    <row r="13" spans="2:10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  <c r="F13" s="62">
        <f>'Financial Liabilities'!F9</f>
        <v>565.17884560503455</v>
      </c>
      <c r="G13" s="62">
        <f>'Financial Liabilities'!G9</f>
        <v>521.77378731452222</v>
      </c>
      <c r="H13" s="62">
        <f>'Financial Liabilities'!H9</f>
        <v>474.4622737778638</v>
      </c>
      <c r="I13" s="62">
        <f>'Financial Liabilities'!I9</f>
        <v>422.89272402290612</v>
      </c>
      <c r="J13" s="62">
        <f>'Financial Liabilities'!J9</f>
        <v>366.68191479000222</v>
      </c>
    </row>
    <row r="14" spans="2:10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  <c r="F14" s="62">
        <f>F22*Forecast!I6</f>
        <v>45.309458720293307</v>
      </c>
      <c r="G14" s="62">
        <f>G22*Forecast!J6</f>
        <v>46.215647894699174</v>
      </c>
      <c r="H14" s="62">
        <f>H22*Forecast!K6</f>
        <v>47.139960852593163</v>
      </c>
      <c r="I14" s="62">
        <f>I22*Forecast!L6</f>
        <v>48.082760069645026</v>
      </c>
      <c r="J14" s="62">
        <f>J22*Forecast!M6</f>
        <v>49.044415271037927</v>
      </c>
    </row>
    <row r="15" spans="2:10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  <c r="F15" s="62">
        <f>'Equity Schedule'!F10</f>
        <v>628.17875059288531</v>
      </c>
      <c r="G15" s="62">
        <f>'Equity Schedule'!G10</f>
        <v>775.71428315642356</v>
      </c>
      <c r="H15" s="62">
        <f>'Equity Schedule'!H10</f>
        <v>928.09707818295124</v>
      </c>
      <c r="I15" s="62">
        <f>'Equity Schedule'!I10</f>
        <v>1085.5302208458647</v>
      </c>
      <c r="J15" s="62">
        <f>'Equity Schedule'!J10</f>
        <v>1248.230445376078</v>
      </c>
    </row>
    <row r="16" spans="2:10" ht="12.75" thickBot="1" x14ac:dyDescent="0.25">
      <c r="B16" s="18" t="s">
        <v>107</v>
      </c>
      <c r="C16" s="18">
        <f>SUM(C10:C15)</f>
        <v>932.09999999999991</v>
      </c>
      <c r="D16" s="18">
        <f t="shared" ref="D16:J16" si="2">SUM(D10:D15)</f>
        <v>948</v>
      </c>
      <c r="E16" s="18">
        <f t="shared" si="2"/>
        <v>1226.8</v>
      </c>
      <c r="F16" s="18">
        <f t="shared" si="2"/>
        <v>1338.0950973210897</v>
      </c>
      <c r="G16" s="18">
        <f t="shared" si="2"/>
        <v>1444.546321616579</v>
      </c>
      <c r="H16" s="18">
        <f t="shared" si="2"/>
        <v>1551.9847681293609</v>
      </c>
      <c r="I16" s="18">
        <f t="shared" si="2"/>
        <v>1660.2628693606878</v>
      </c>
      <c r="J16" s="18">
        <f t="shared" si="2"/>
        <v>1769.2150831478355</v>
      </c>
    </row>
    <row r="17" spans="2:10" ht="12.75" thickBot="1" x14ac:dyDescent="0.25">
      <c r="B17" s="18"/>
      <c r="C17" s="18"/>
      <c r="D17" s="18"/>
      <c r="E17" s="18"/>
      <c r="F17" s="18"/>
      <c r="G17" s="18"/>
      <c r="H17" s="18"/>
      <c r="I17" s="18"/>
      <c r="J17" s="18"/>
    </row>
    <row r="18" spans="2:10" x14ac:dyDescent="0.2">
      <c r="B18" s="82" t="s">
        <v>133</v>
      </c>
      <c r="C18" s="82">
        <f>C$4/Forecast!C6*360</f>
        <v>17.728952772073921</v>
      </c>
      <c r="D18" s="82">
        <f>D$4/Forecast!D6*360</f>
        <v>18.675603217158177</v>
      </c>
      <c r="E18" s="82">
        <f>E$4/Forecast!E6*360</f>
        <v>20.048684210526318</v>
      </c>
      <c r="F18" s="82">
        <f>AVERAGE($C18:$E18)</f>
        <v>18.817746733252804</v>
      </c>
      <c r="G18" s="82">
        <f t="shared" ref="G18:J22" si="3">AVERAGE($C18:$E18)</f>
        <v>18.817746733252804</v>
      </c>
      <c r="H18" s="82">
        <f t="shared" si="3"/>
        <v>18.817746733252804</v>
      </c>
      <c r="I18" s="82">
        <f t="shared" si="3"/>
        <v>18.817746733252804</v>
      </c>
      <c r="J18" s="82">
        <f t="shared" si="3"/>
        <v>18.817746733252804</v>
      </c>
    </row>
    <row r="19" spans="2:10" x14ac:dyDescent="0.2">
      <c r="B19" s="82" t="s">
        <v>134</v>
      </c>
      <c r="C19" s="82">
        <f>-C11/Forecast!C$7*360</f>
        <v>17.473233404710921</v>
      </c>
      <c r="D19" s="82">
        <f>-D11/Forecast!D$7*360</f>
        <v>17.934924078091107</v>
      </c>
      <c r="E19" s="82">
        <f>-E11/Forecast!E$7*360</f>
        <v>18.144842721287493</v>
      </c>
      <c r="F19" s="82">
        <f t="shared" ref="F19:F22" si="4">AVERAGE($C19:$E19)</f>
        <v>17.851000068029837</v>
      </c>
      <c r="G19" s="82">
        <f t="shared" si="3"/>
        <v>17.851000068029837</v>
      </c>
      <c r="H19" s="82">
        <f t="shared" si="3"/>
        <v>17.851000068029837</v>
      </c>
      <c r="I19" s="82">
        <f t="shared" si="3"/>
        <v>17.851000068029837</v>
      </c>
      <c r="J19" s="82">
        <f t="shared" si="3"/>
        <v>17.851000068029837</v>
      </c>
    </row>
    <row r="20" spans="2:10" x14ac:dyDescent="0.2">
      <c r="B20" s="82" t="s">
        <v>135</v>
      </c>
      <c r="C20" s="82">
        <f>-C5/Forecast!C$7*360</f>
        <v>21.841541755888645</v>
      </c>
      <c r="D20" s="82">
        <f>-D5/Forecast!D$7*360</f>
        <v>23.94793926247289</v>
      </c>
      <c r="E20" s="82">
        <f>-E5/Forecast!E$7*360</f>
        <v>28.96854425749817</v>
      </c>
      <c r="F20" s="82">
        <f t="shared" si="4"/>
        <v>24.919341758619904</v>
      </c>
      <c r="G20" s="82">
        <f t="shared" si="3"/>
        <v>24.919341758619904</v>
      </c>
      <c r="H20" s="82">
        <f t="shared" si="3"/>
        <v>24.919341758619904</v>
      </c>
      <c r="I20" s="82">
        <f t="shared" si="3"/>
        <v>24.919341758619904</v>
      </c>
      <c r="J20" s="82">
        <f t="shared" si="3"/>
        <v>24.919341758619904</v>
      </c>
    </row>
    <row r="21" spans="2:10" s="73" customFormat="1" x14ac:dyDescent="0.2">
      <c r="B21" s="82" t="s">
        <v>136</v>
      </c>
      <c r="C21" s="83">
        <f>C8/Forecast!C$6</f>
        <v>1.5708418891170431E-2</v>
      </c>
      <c r="D21" s="83">
        <f>D8/Forecast!D$6</f>
        <v>1.5717158176943698E-2</v>
      </c>
      <c r="E21" s="83">
        <f>E8/Forecast!E$6</f>
        <v>2.2368421052631579E-2</v>
      </c>
      <c r="F21" s="83">
        <f t="shared" si="4"/>
        <v>1.7931332706915236E-2</v>
      </c>
      <c r="G21" s="83">
        <f t="shared" si="3"/>
        <v>1.7931332706915236E-2</v>
      </c>
      <c r="H21" s="83">
        <f t="shared" si="3"/>
        <v>1.7931332706915236E-2</v>
      </c>
      <c r="I21" s="83">
        <f t="shared" si="3"/>
        <v>1.7931332706915236E-2</v>
      </c>
      <c r="J21" s="83">
        <f t="shared" si="3"/>
        <v>1.7931332706915236E-2</v>
      </c>
    </row>
    <row r="22" spans="2:10" s="73" customFormat="1" x14ac:dyDescent="0.2">
      <c r="B22" s="82" t="s">
        <v>137</v>
      </c>
      <c r="C22" s="83">
        <f>C14/Forecast!C$6</f>
        <v>1.6529774127310062E-2</v>
      </c>
      <c r="D22" s="83">
        <f>D14/Forecast!D$6</f>
        <v>1.4510723860589811E-2</v>
      </c>
      <c r="E22" s="83">
        <f>E14/Forecast!E$6</f>
        <v>1.2796052631578948E-2</v>
      </c>
      <c r="F22" s="83">
        <f t="shared" si="4"/>
        <v>1.4612183539826273E-2</v>
      </c>
      <c r="G22" s="83">
        <f t="shared" si="3"/>
        <v>1.4612183539826273E-2</v>
      </c>
      <c r="H22" s="83">
        <f t="shared" si="3"/>
        <v>1.4612183539826273E-2</v>
      </c>
      <c r="I22" s="83">
        <f t="shared" si="3"/>
        <v>1.4612183539826273E-2</v>
      </c>
      <c r="J22" s="83">
        <f t="shared" si="3"/>
        <v>1.4612183539826273E-2</v>
      </c>
    </row>
    <row r="23" spans="2:10" s="73" customFormat="1" x14ac:dyDescent="0.2">
      <c r="B23" s="82"/>
      <c r="C23" s="82"/>
      <c r="D23" s="82"/>
      <c r="E23" s="82"/>
      <c r="F23" s="82"/>
      <c r="G23" s="82"/>
      <c r="H23" s="82"/>
      <c r="I23" s="82"/>
      <c r="J23" s="82"/>
    </row>
    <row r="25" spans="2:10" x14ac:dyDescent="0.2">
      <c r="B25" s="63" t="s">
        <v>121</v>
      </c>
      <c r="C25" s="64">
        <f>C9-C16</f>
        <v>0</v>
      </c>
      <c r="D25" s="64">
        <f t="shared" ref="D25:J25" si="5">D9-D16</f>
        <v>0</v>
      </c>
      <c r="E25" s="64">
        <f t="shared" si="5"/>
        <v>0</v>
      </c>
      <c r="F25" s="64">
        <f t="shared" si="5"/>
        <v>0</v>
      </c>
      <c r="G25" s="64">
        <f t="shared" si="5"/>
        <v>0</v>
      </c>
      <c r="H25" s="64">
        <f t="shared" si="5"/>
        <v>0</v>
      </c>
      <c r="I25" s="64">
        <f t="shared" si="5"/>
        <v>0</v>
      </c>
      <c r="J25" s="64">
        <f t="shared" si="5"/>
        <v>0</v>
      </c>
    </row>
  </sheetData>
  <mergeCells count="1">
    <mergeCell ref="F2:J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workbookViewId="0">
      <selection activeCell="C3" sqref="C3"/>
    </sheetView>
  </sheetViews>
  <sheetFormatPr defaultRowHeight="12" x14ac:dyDescent="0.2"/>
  <cols>
    <col min="1" max="1" width="2" style="48" customWidth="1"/>
    <col min="2" max="2" width="17" style="48" bestFit="1" customWidth="1"/>
    <col min="3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128</v>
      </c>
    </row>
    <row r="4" spans="2:13" x14ac:dyDescent="0.2">
      <c r="I4" s="96" t="s">
        <v>122</v>
      </c>
      <c r="J4" s="96"/>
      <c r="K4" s="96"/>
      <c r="L4" s="96"/>
      <c r="M4" s="96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3100.8</v>
      </c>
      <c r="J6" s="15">
        <f>I6*(1+J20)</f>
        <v>3162.8160000000003</v>
      </c>
      <c r="K6" s="15">
        <f t="shared" ref="K6:M6" si="1">J6*(1+K20)</f>
        <v>3226.0723200000002</v>
      </c>
      <c r="L6" s="15">
        <f t="shared" si="1"/>
        <v>3290.5937664000003</v>
      </c>
      <c r="M6" s="15">
        <f t="shared" si="1"/>
        <v>3356.4056417280003</v>
      </c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-1426.3680000000002</v>
      </c>
      <c r="J7" s="15">
        <f t="shared" ref="J7:M7" si="3">J6*J26</f>
        <v>-1454.8953600000002</v>
      </c>
      <c r="K7" s="15">
        <f t="shared" si="3"/>
        <v>-1483.9932672000002</v>
      </c>
      <c r="L7" s="15">
        <f t="shared" si="3"/>
        <v>-1513.6731325440003</v>
      </c>
      <c r="M7" s="15">
        <f t="shared" si="3"/>
        <v>-1543.9465951948803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1674.432</v>
      </c>
      <c r="J8" s="16">
        <f t="shared" ref="J8:M8" si="4">SUM(J6:J7)</f>
        <v>1707.92064</v>
      </c>
      <c r="K8" s="16">
        <f t="shared" si="4"/>
        <v>1742.0790528</v>
      </c>
      <c r="L8" s="16">
        <f t="shared" si="4"/>
        <v>1776.920633856</v>
      </c>
      <c r="M8" s="16">
        <f t="shared" si="4"/>
        <v>1812.45904653312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-1209.3120000000001</v>
      </c>
      <c r="J9" s="15">
        <f t="shared" ref="J9:M9" si="5">J6*J32</f>
        <v>-1233.4982400000001</v>
      </c>
      <c r="K9" s="15">
        <f t="shared" si="5"/>
        <v>-1258.1682048000002</v>
      </c>
      <c r="L9" s="15">
        <f t="shared" si="5"/>
        <v>-1283.3315688960001</v>
      </c>
      <c r="M9" s="15">
        <f t="shared" si="5"/>
        <v>-1308.9982002739202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465.11999999999989</v>
      </c>
      <c r="J10" s="16">
        <f t="shared" ref="J10:M10" si="6">SUM(J8:J9)</f>
        <v>474.42239999999993</v>
      </c>
      <c r="K10" s="16">
        <f t="shared" si="6"/>
        <v>483.91084799999976</v>
      </c>
      <c r="L10" s="16">
        <f t="shared" si="6"/>
        <v>493.58906495999986</v>
      </c>
      <c r="M10" s="16">
        <f t="shared" si="6"/>
        <v>503.4608462591998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'PP&amp;E Forecasting'!F7</f>
        <v>-44.314229249011859</v>
      </c>
      <c r="J11" s="15">
        <f>'PP&amp;E Forecasting'!G7</f>
        <v>-45.260066553140966</v>
      </c>
      <c r="K11" s="15">
        <f>'PP&amp;E Forecasting'!H7</f>
        <v>-46.22609168905781</v>
      </c>
      <c r="L11" s="15">
        <f>'PP&amp;E Forecasting'!I7</f>
        <v>-47.212735543290663</v>
      </c>
      <c r="M11" s="15">
        <f>'PP&amp;E Forecasting'!J7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420.80577075098802</v>
      </c>
      <c r="J12" s="16">
        <f t="shared" ref="J12:M12" si="7">SUM(J10:J11)</f>
        <v>429.16233344685895</v>
      </c>
      <c r="K12" s="16">
        <f t="shared" si="7"/>
        <v>437.68475631094196</v>
      </c>
      <c r="L12" s="16">
        <f t="shared" si="7"/>
        <v>446.37632941670921</v>
      </c>
      <c r="M12" s="16">
        <f t="shared" si="7"/>
        <v>455.24040806004444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366.35577075098803</v>
      </c>
      <c r="J14" s="16">
        <f t="shared" ref="J14:M14" si="8">SUM(J12:J13)</f>
        <v>378.29623734240585</v>
      </c>
      <c r="K14" s="16">
        <f t="shared" si="8"/>
        <v>390.72511545263495</v>
      </c>
      <c r="L14" s="16">
        <f t="shared" si="8"/>
        <v>403.67472477670145</v>
      </c>
      <c r="M14" s="16">
        <f t="shared" si="8"/>
        <v>417.18006289798291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-I14*I37</f>
        <v>-128.2245197628458</v>
      </c>
      <c r="J15" s="15">
        <f>-J14*J37</f>
        <v>-132.40368306984203</v>
      </c>
      <c r="K15" s="15">
        <f t="shared" ref="K15:M15" si="9">-K14*K37</f>
        <v>-136.75379040842222</v>
      </c>
      <c r="L15" s="15">
        <f t="shared" si="9"/>
        <v>-141.28615367184551</v>
      </c>
      <c r="M15" s="15">
        <f t="shared" si="9"/>
        <v>-146.01302201429399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238.13125098814223</v>
      </c>
      <c r="J16" s="18">
        <f t="shared" ref="J16:M16" si="10">SUM(J14:J15)</f>
        <v>245.89255427256381</v>
      </c>
      <c r="K16" s="18">
        <f t="shared" si="10"/>
        <v>253.97132504421273</v>
      </c>
      <c r="L16" s="18">
        <f t="shared" si="10"/>
        <v>262.38857110485594</v>
      </c>
      <c r="M16" s="18">
        <f t="shared" si="10"/>
        <v>271.16704088368891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74" t="s">
        <v>132</v>
      </c>
      <c r="C20" s="65"/>
      <c r="D20" s="66"/>
      <c r="E20" s="65"/>
      <c r="F20" s="65"/>
      <c r="G20" s="65"/>
      <c r="H20" s="65"/>
      <c r="I20" s="77">
        <f>CHOOSE(MATCH($C$3,$B21:$B23,0),I21,I22,I23)</f>
        <v>0.02</v>
      </c>
      <c r="J20" s="77">
        <f t="shared" ref="J20:M20" si="11">CHOOSE(MATCH($C$3,$B21:$B23,0),J21,J22,J23)</f>
        <v>0.02</v>
      </c>
      <c r="K20" s="77">
        <f t="shared" si="11"/>
        <v>0.02</v>
      </c>
      <c r="L20" s="77">
        <f t="shared" si="11"/>
        <v>0.02</v>
      </c>
      <c r="M20" s="77">
        <f t="shared" si="11"/>
        <v>0.02</v>
      </c>
    </row>
    <row r="21" spans="2:13" ht="15" x14ac:dyDescent="0.25">
      <c r="B21" s="65" t="s">
        <v>126</v>
      </c>
      <c r="C21" s="75"/>
      <c r="D21" s="76"/>
      <c r="E21" s="75"/>
      <c r="F21" s="65"/>
      <c r="G21" s="65"/>
      <c r="H21" s="65"/>
      <c r="I21" s="79">
        <v>0.03</v>
      </c>
      <c r="J21" s="79">
        <v>0.03</v>
      </c>
      <c r="K21" s="79">
        <v>0.03</v>
      </c>
      <c r="L21" s="79">
        <v>0.03</v>
      </c>
      <c r="M21" s="79">
        <v>0.03</v>
      </c>
    </row>
    <row r="22" spans="2:13" ht="15" x14ac:dyDescent="0.25">
      <c r="B22" s="65" t="s">
        <v>128</v>
      </c>
      <c r="C22" s="75"/>
      <c r="D22" s="76"/>
      <c r="E22" s="75"/>
      <c r="F22" s="65"/>
      <c r="G22" s="65"/>
      <c r="H22" s="65"/>
      <c r="I22" s="79">
        <v>0.02</v>
      </c>
      <c r="J22" s="79">
        <v>0.02</v>
      </c>
      <c r="K22" s="79">
        <v>0.02</v>
      </c>
      <c r="L22" s="79">
        <v>0.02</v>
      </c>
      <c r="M22" s="79">
        <v>0.02</v>
      </c>
    </row>
    <row r="23" spans="2:13" ht="15" x14ac:dyDescent="0.25">
      <c r="B23" s="65" t="s">
        <v>127</v>
      </c>
      <c r="C23" s="75"/>
      <c r="D23" s="76"/>
      <c r="E23" s="75"/>
      <c r="F23" s="65"/>
      <c r="G23" s="65"/>
      <c r="H23" s="65"/>
      <c r="I23" s="79">
        <v>0.01</v>
      </c>
      <c r="J23" s="79">
        <v>0.01</v>
      </c>
      <c r="K23" s="79">
        <v>0.01</v>
      </c>
      <c r="L23" s="79">
        <v>0.01</v>
      </c>
      <c r="M23" s="79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80"/>
      <c r="J24" s="80"/>
      <c r="K24" s="80"/>
      <c r="L24" s="80"/>
      <c r="M24" s="80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80"/>
      <c r="J25" s="80"/>
      <c r="K25" s="80"/>
      <c r="L25" s="80"/>
      <c r="M25" s="80"/>
    </row>
    <row r="26" spans="2:13" ht="15" x14ac:dyDescent="0.25">
      <c r="B26" s="74" t="s">
        <v>132</v>
      </c>
      <c r="C26" s="65"/>
      <c r="D26" s="66"/>
      <c r="E26" s="65"/>
      <c r="F26" s="65"/>
      <c r="G26" s="65"/>
      <c r="H26" s="65"/>
      <c r="I26" s="81">
        <f>CHOOSE(MATCH($C$3,$B27:$B29,0),I27,I28,I29)</f>
        <v>-0.46</v>
      </c>
      <c r="J26" s="81">
        <f t="shared" ref="J26:M26" si="12">CHOOSE(MATCH($C$3,$B27:$B29,0),J27,J28,J29)</f>
        <v>-0.46</v>
      </c>
      <c r="K26" s="81">
        <f t="shared" si="12"/>
        <v>-0.46</v>
      </c>
      <c r="L26" s="81">
        <f t="shared" si="12"/>
        <v>-0.46</v>
      </c>
      <c r="M26" s="81">
        <f t="shared" si="12"/>
        <v>-0.46</v>
      </c>
    </row>
    <row r="27" spans="2:13" x14ac:dyDescent="0.2">
      <c r="B27" s="65" t="s">
        <v>126</v>
      </c>
      <c r="C27" s="78">
        <f>C$7/C$6</f>
        <v>-0.47946611909650921</v>
      </c>
      <c r="D27" s="78">
        <f t="shared" ref="D27:E29" si="13">D$7/D$6</f>
        <v>-0.46347184986595175</v>
      </c>
      <c r="E27" s="78">
        <f t="shared" si="13"/>
        <v>-0.44967105263157897</v>
      </c>
      <c r="F27" s="65"/>
      <c r="G27" s="65"/>
      <c r="H27" s="65"/>
      <c r="I27" s="79">
        <v>-0.45</v>
      </c>
      <c r="J27" s="79">
        <v>-0.45</v>
      </c>
      <c r="K27" s="79">
        <v>-0.45</v>
      </c>
      <c r="L27" s="79">
        <v>-0.45</v>
      </c>
      <c r="M27" s="79">
        <v>-0.45</v>
      </c>
    </row>
    <row r="28" spans="2:13" x14ac:dyDescent="0.2">
      <c r="B28" s="65" t="s">
        <v>128</v>
      </c>
      <c r="C28" s="78">
        <f t="shared" ref="C28:C29" si="14">C$7/C$6</f>
        <v>-0.47946611909650921</v>
      </c>
      <c r="D28" s="78">
        <f t="shared" si="13"/>
        <v>-0.46347184986595175</v>
      </c>
      <c r="E28" s="78">
        <f t="shared" si="13"/>
        <v>-0.44967105263157897</v>
      </c>
      <c r="F28" s="65"/>
      <c r="G28" s="65"/>
      <c r="H28" s="65"/>
      <c r="I28" s="79">
        <v>-0.46</v>
      </c>
      <c r="J28" s="79">
        <v>-0.46</v>
      </c>
      <c r="K28" s="79">
        <v>-0.46</v>
      </c>
      <c r="L28" s="79">
        <v>-0.46</v>
      </c>
      <c r="M28" s="79">
        <v>-0.46</v>
      </c>
    </row>
    <row r="29" spans="2:13" x14ac:dyDescent="0.2">
      <c r="B29" s="65" t="s">
        <v>127</v>
      </c>
      <c r="C29" s="78">
        <f t="shared" si="14"/>
        <v>-0.47946611909650921</v>
      </c>
      <c r="D29" s="78">
        <f t="shared" si="13"/>
        <v>-0.46347184986595175</v>
      </c>
      <c r="E29" s="78">
        <f t="shared" si="13"/>
        <v>-0.44967105263157897</v>
      </c>
      <c r="F29" s="65"/>
      <c r="G29" s="65"/>
      <c r="H29" s="65"/>
      <c r="I29" s="79">
        <v>-0.47</v>
      </c>
      <c r="J29" s="79">
        <v>-0.47</v>
      </c>
      <c r="K29" s="79">
        <v>-0.47</v>
      </c>
      <c r="L29" s="79">
        <v>-0.47</v>
      </c>
      <c r="M29" s="79">
        <v>-0.47</v>
      </c>
    </row>
    <row r="30" spans="2:13" ht="15" x14ac:dyDescent="0.25">
      <c r="B30" s="65"/>
      <c r="C30" s="65"/>
      <c r="D30" s="66"/>
      <c r="E30" s="65"/>
      <c r="F30" s="65"/>
      <c r="G30" s="65"/>
      <c r="H30" s="65"/>
      <c r="I30" s="80"/>
      <c r="J30" s="80"/>
      <c r="K30" s="80"/>
      <c r="L30" s="80"/>
      <c r="M30" s="80"/>
    </row>
    <row r="31" spans="2:13" ht="15" x14ac:dyDescent="0.25">
      <c r="B31" s="65" t="s">
        <v>130</v>
      </c>
      <c r="C31" s="65"/>
      <c r="D31" s="66"/>
      <c r="E31" s="65"/>
      <c r="F31" s="65"/>
      <c r="G31" s="65"/>
      <c r="H31" s="65"/>
      <c r="I31" s="80"/>
      <c r="J31" s="80"/>
      <c r="K31" s="80"/>
      <c r="L31" s="80"/>
      <c r="M31" s="80"/>
    </row>
    <row r="32" spans="2:13" ht="15" x14ac:dyDescent="0.25">
      <c r="B32" s="74" t="s">
        <v>132</v>
      </c>
      <c r="C32" s="65"/>
      <c r="D32" s="66"/>
      <c r="E32" s="65"/>
      <c r="F32" s="65"/>
      <c r="G32" s="65"/>
      <c r="H32" s="65"/>
      <c r="I32" s="77">
        <f>CHOOSE(MATCH($C$3,$B33:$B35,0),I33,I34,I35)</f>
        <v>-0.39</v>
      </c>
      <c r="J32" s="77">
        <f t="shared" ref="J32:M32" si="15">CHOOSE(MATCH($C$3,$B33:$B35,0),J33,J34,J35)</f>
        <v>-0.39</v>
      </c>
      <c r="K32" s="77">
        <f t="shared" si="15"/>
        <v>-0.39</v>
      </c>
      <c r="L32" s="77">
        <f t="shared" si="15"/>
        <v>-0.39</v>
      </c>
      <c r="M32" s="77">
        <f t="shared" si="15"/>
        <v>-0.39</v>
      </c>
    </row>
    <row r="33" spans="2:13" x14ac:dyDescent="0.2">
      <c r="B33" s="65" t="s">
        <v>126</v>
      </c>
      <c r="C33" s="78">
        <f>C$9/C$6</f>
        <v>-0.41484599589322374</v>
      </c>
      <c r="D33" s="78">
        <f t="shared" ref="D33:E33" si="16">D$9/D$6</f>
        <v>-0.4173391420911528</v>
      </c>
      <c r="E33" s="78">
        <f t="shared" si="16"/>
        <v>-0.35139473684210526</v>
      </c>
      <c r="F33" s="65"/>
      <c r="G33" s="65"/>
      <c r="H33" s="65"/>
      <c r="I33" s="79">
        <v>-0.35</v>
      </c>
      <c r="J33" s="79">
        <v>-0.35</v>
      </c>
      <c r="K33" s="79">
        <v>-0.35</v>
      </c>
      <c r="L33" s="79">
        <v>-0.35</v>
      </c>
      <c r="M33" s="79">
        <v>-0.35</v>
      </c>
    </row>
    <row r="34" spans="2:13" x14ac:dyDescent="0.2">
      <c r="B34" s="65" t="s">
        <v>128</v>
      </c>
      <c r="C34" s="78">
        <f t="shared" ref="C34:E35" si="17">C$9/C$6</f>
        <v>-0.41484599589322374</v>
      </c>
      <c r="D34" s="78">
        <f t="shared" si="17"/>
        <v>-0.4173391420911528</v>
      </c>
      <c r="E34" s="78">
        <f t="shared" si="17"/>
        <v>-0.35139473684210526</v>
      </c>
      <c r="F34" s="65"/>
      <c r="G34" s="65"/>
      <c r="H34" s="65"/>
      <c r="I34" s="79">
        <v>-0.39</v>
      </c>
      <c r="J34" s="79">
        <v>-0.39</v>
      </c>
      <c r="K34" s="79">
        <v>-0.39</v>
      </c>
      <c r="L34" s="79">
        <v>-0.39</v>
      </c>
      <c r="M34" s="79">
        <v>-0.39</v>
      </c>
    </row>
    <row r="35" spans="2:13" x14ac:dyDescent="0.2">
      <c r="B35" s="65" t="s">
        <v>127</v>
      </c>
      <c r="C35" s="78">
        <f t="shared" si="17"/>
        <v>-0.41484599589322374</v>
      </c>
      <c r="D35" s="78">
        <f t="shared" si="17"/>
        <v>-0.4173391420911528</v>
      </c>
      <c r="E35" s="78">
        <f t="shared" si="17"/>
        <v>-0.35139473684210526</v>
      </c>
      <c r="F35" s="65"/>
      <c r="G35" s="65"/>
      <c r="H35" s="65"/>
      <c r="I35" s="79">
        <v>-0.41</v>
      </c>
      <c r="J35" s="79">
        <v>-0.41</v>
      </c>
      <c r="K35" s="79">
        <v>-0.41</v>
      </c>
      <c r="L35" s="79">
        <v>-0.41</v>
      </c>
      <c r="M35" s="79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 t="s">
        <v>51</v>
      </c>
      <c r="C37" s="65"/>
      <c r="D37" s="66"/>
      <c r="E37" s="65"/>
      <c r="F37" s="65"/>
      <c r="G37" s="65"/>
      <c r="H37" s="65"/>
      <c r="I37" s="79">
        <v>0.35</v>
      </c>
      <c r="J37" s="79">
        <v>0.35</v>
      </c>
      <c r="K37" s="79">
        <v>0.35</v>
      </c>
      <c r="L37" s="79">
        <v>0.35</v>
      </c>
      <c r="M37" s="79">
        <v>0.35</v>
      </c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Forecast</vt:lpstr>
      <vt:lpstr>PP&amp;E Forecasting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2020-08-21T07:03:19Z</dcterms:modified>
</cp:coreProperties>
</file>