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dce25\Documents\R Projects\zelandica-IPO\"/>
    </mc:Choice>
  </mc:AlternateContent>
  <xr:revisionPtr revIDLastSave="0" documentId="8_{1A7A7CAA-7A53-44F7-9F42-4550C12A50F5}" xr6:coauthVersionLast="47" xr6:coauthVersionMax="47" xr10:uidLastSave="{00000000-0000-0000-0000-000000000000}"/>
  <bookViews>
    <workbookView xWindow="-120" yWindow="-120" windowWidth="29040" windowHeight="15840" xr2:uid="{00000000-000D-0000-FFFF-FFFF00000000}"/>
  </bookViews>
  <sheets>
    <sheet name="ERE-Faculty and Staff" sheetId="1" r:id="rId1"/>
    <sheet name="ERE-GRA" sheetId="2" r:id="rId2"/>
  </sheets>
  <externalReferences>
    <externalReference r:id="rId3"/>
  </externalReferences>
  <definedNames>
    <definedName name="_xlnm._FilterDatabase" localSheetId="0" hidden="1">'ERE-Faculty and Staff'!$O$42:$O$47</definedName>
    <definedName name="AllSalaries1">'[1]Budget Details'!$K$40</definedName>
    <definedName name="AllSalaries2">'[1]Budget Details'!$L$40</definedName>
    <definedName name="AllSalaries3">'[1]Budget Details'!$M$40</definedName>
    <definedName name="AllSalaries4">'[1]Budget Details'!$N$40</definedName>
    <definedName name="AllSalaries5">'[1]Budget Details'!$O$40</definedName>
    <definedName name="AllSalariesFringe1">'[1]Budget Details'!$K$41</definedName>
    <definedName name="AllSalariesFringe2">'[1]Budget Details'!$L$41</definedName>
    <definedName name="AllSalariesFringe3">'[1]Budget Details'!$M$41</definedName>
    <definedName name="AllSalariesFringe4">'[1]Budget Details'!$N$41</definedName>
    <definedName name="AllSalariesFringe5">'[1]Budget Details'!$O$41</definedName>
    <definedName name="AllSalariesFringeTOT">'[1]Budget Details'!$P$41</definedName>
    <definedName name="AllSalariesTOT">'[1]Budget Details'!$P$40</definedName>
    <definedName name="Equip1">'[1]Budget Details'!$K$48</definedName>
    <definedName name="Equip2">'[1]Budget Details'!$L$48</definedName>
    <definedName name="Equip3">'[1]Budget Details'!$M$48</definedName>
    <definedName name="Equip4">'[1]Budget Details'!$N$48</definedName>
    <definedName name="Equip5">'[1]Budget Details'!$O$48</definedName>
    <definedName name="EquipTOT">'[1]Budget Details'!$P$48</definedName>
    <definedName name="ExclSub1Yr1">'[1]Budget Details'!$K$66</definedName>
    <definedName name="ExclSub2Yr1">'[1]Budget Details'!$K$68</definedName>
    <definedName name="IDCBase1">'[1]Budget Details'!$K$81</definedName>
    <definedName name="IDCBase2">'[1]Budget Details'!$L$81</definedName>
    <definedName name="IDCBase3">'[1]Budget Details'!$M$81</definedName>
    <definedName name="IDCBase4">'[1]Budget Details'!$N$81</definedName>
    <definedName name="IDCBase5">'[1]Budget Details'!$O$81</definedName>
    <definedName name="IDCBaseTOT">'[1]Budget Details'!$P$81</definedName>
    <definedName name="IDCRate">'[1]Budget Details'!$F$82</definedName>
    <definedName name="IDCTOT">'[1]Budget Details'!$P$82</definedName>
    <definedName name="IDCYr1">'[1]Budget Details'!$K$82</definedName>
    <definedName name="IDCYr2">'[1]Budget Details'!$L$82</definedName>
    <definedName name="IDCYr3">'[1]Budget Details'!$M$82</definedName>
    <definedName name="IDCYr4">'[1]Budget Details'!$N$82</definedName>
    <definedName name="IDCYr5">'[1]Budget Details'!$O$82</definedName>
    <definedName name="OtherDirCostsTOT">'[1]Budget Details'!$P$79</definedName>
    <definedName name="OtherFringe1">'[1]Budget Details'!$K$37</definedName>
    <definedName name="OtherFringe2">'[1]Budget Details'!$L$37</definedName>
    <definedName name="OtherFringe3">'[1]Budget Details'!$M$37</definedName>
    <definedName name="OtherFringe4">'[1]Budget Details'!$N$37</definedName>
    <definedName name="OtherFringe5">'[1]Budget Details'!$O$37</definedName>
    <definedName name="OtherFringeTot">'[1]Budget Details'!$P$37</definedName>
    <definedName name="OtherSalary1">'[1]Budget Details'!$K$27</definedName>
    <definedName name="OtherSalary2">'[1]Budget Details'!$L$27</definedName>
    <definedName name="OtherSalary3">'[1]Budget Details'!$M$27</definedName>
    <definedName name="OtherSalary4">'[1]Budget Details'!$N$27</definedName>
    <definedName name="OtherSalary5">'[1]Budget Details'!$O$27</definedName>
    <definedName name="OtherSalaryTot">'[1]Budget Details'!$P$27</definedName>
    <definedName name="PISalaryTOT">'[1]Budget Details'!$P$5</definedName>
    <definedName name="_xlnm.Print_Area" localSheetId="0">'ERE-Faculty and Staff'!$A$1:$K$56</definedName>
    <definedName name="PSCTot">'[1]Budget Details'!$P$59</definedName>
    <definedName name="PSCYr1">'[1]Budget Details'!$K$59</definedName>
    <definedName name="PSCYr2">'[1]Budget Details'!$L$59</definedName>
    <definedName name="PSCYr3">'[1]Budget Details'!$M$59</definedName>
    <definedName name="PSCYr4">'[1]Budget Details'!$N$59</definedName>
    <definedName name="PSCYr5">'[1]Budget Details'!$O$59</definedName>
    <definedName name="SalFringeTuitionTOT">'[1]Budget Details'!$P$42</definedName>
    <definedName name="Sr1SalaryTOT">'[1]Budget Details'!$P$6</definedName>
    <definedName name="Sr2SalaryTOT">'[1]Budget Details'!$P$7</definedName>
    <definedName name="Sr3SalaryTOT">'[1]Budget Details'!$P$8</definedName>
    <definedName name="Sr4SalaryTOT">'[1]Budget Details'!$P$9</definedName>
    <definedName name="SrFringe1">'[1]Budget Details'!$K$18</definedName>
    <definedName name="SrFringe2">'[1]Budget Details'!$L$18</definedName>
    <definedName name="SrFringe3">'[1]Budget Details'!$M$18</definedName>
    <definedName name="Srfringe4">'[1]Budget Details'!$N$18</definedName>
    <definedName name="SrFringe5">'[1]Budget Details'!$O$18</definedName>
    <definedName name="SrFringeTot">'[1]Budget Details'!$P$18</definedName>
    <definedName name="SrSalary1">'[1]Budget Details'!$K$10</definedName>
    <definedName name="SrSalary2">'[1]Budget Details'!$L$10</definedName>
    <definedName name="srSalary3">'[1]Budget Details'!$M$10</definedName>
    <definedName name="SrSalary4">'[1]Budget Details'!$N$10</definedName>
    <definedName name="SrSalary5">'[1]Budget Details'!$O$10</definedName>
    <definedName name="SrSalaryTot">'[1]Budget Details'!$P$10</definedName>
    <definedName name="Sub1Yr1">'[1]Budget Details'!$K$65</definedName>
    <definedName name="Sub2Yr1">'[1]Budget Details'!$K$67</definedName>
    <definedName name="Sub2Yr2">'[1]Budget Details'!$L$67</definedName>
    <definedName name="Sub2Yr3">'[1]Budget Details'!$M$67</definedName>
    <definedName name="sub2Yr4">'[1]Budget Details'!$N$67</definedName>
    <definedName name="Sub2Yr5">'[1]Budget Details'!$O$67</definedName>
    <definedName name="SubsYr1Excl">'[1]Budget Details'!$K$66,'[1]Budget Details'!$K$68,'[1]Budget Details'!$K$70,'[1]Budget Details'!$K$72,'[1]Budget Details'!$K$74</definedName>
    <definedName name="SubsYr2Excl">'[1]Budget Details'!$L$66,'[1]Budget Details'!$L$68,'[1]Budget Details'!$L$70,'[1]Budget Details'!$L$72,'[1]Budget Details'!$L$74</definedName>
    <definedName name="SubsYr3Excl">'[1]Budget Details'!$M$66,'[1]Budget Details'!$M$68,'[1]Budget Details'!$M$70,'[1]Budget Details'!$M$72,'[1]Budget Details'!$M$74</definedName>
    <definedName name="SubsYr4Excl">'[1]Budget Details'!$N$66,'[1]Budget Details'!$N$68,'[1]Budget Details'!$N$70,'[1]Budget Details'!$N$72,'[1]Budget Details'!$N$74</definedName>
    <definedName name="Subsyr5Excl">'[1]Budget Details'!$O$66,'[1]Budget Details'!$O$68,'[1]Budget Details'!$O$70,'[1]Budget Details'!$O$72,'[1]Budget Details'!$O$74</definedName>
    <definedName name="TDCTOT">'[1]Budget Details'!$P$80</definedName>
    <definedName name="TDCYr1">'[1]Budget Details'!$K$80</definedName>
    <definedName name="TDCYr2">'[1]Budget Details'!$L$80</definedName>
    <definedName name="TDCYr3">'[1]Budget Details'!$M$80</definedName>
    <definedName name="TDCYr4">'[1]Budget Details'!$N$80</definedName>
    <definedName name="TDCYr5">'[1]Budget Details'!$O$80</definedName>
    <definedName name="TravelTOT">'[1]Budget Details'!$P$52</definedName>
    <definedName name="Tuition1">'[1]Budget Details'!$K$38</definedName>
    <definedName name="Tuition2">'[1]Budget Details'!$L$38</definedName>
    <definedName name="Tuition3">'[1]Budget Details'!$M$38</definedName>
    <definedName name="Tuition4">'[1]Budget Details'!$N$38</definedName>
    <definedName name="Tuition5">'[1]Budget Details'!$O$38</definedName>
    <definedName name="TuitionTot">'[1]Budget Details'!$P$38</definedName>
    <definedName name="YearlyTuitionCost">'[1]Budget Details'!$D$38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E17" i="2"/>
  <c r="D17" i="2"/>
  <c r="D23" i="2" l="1"/>
  <c r="I32" i="1"/>
  <c r="F28" i="1" l="1"/>
  <c r="G29" i="1" l="1"/>
  <c r="E35" i="2" l="1"/>
  <c r="D27" i="2"/>
  <c r="D28" i="2" s="1"/>
  <c r="D18" i="2"/>
  <c r="J45" i="1"/>
  <c r="J46" i="1"/>
  <c r="J47" i="1" s="1"/>
  <c r="J48" i="1" s="1"/>
  <c r="J49" i="1" s="1"/>
  <c r="J50" i="1" s="1"/>
  <c r="I45" i="1"/>
  <c r="I46" i="1"/>
  <c r="I47" i="1" s="1"/>
  <c r="I48" i="1" s="1"/>
  <c r="I49" i="1" s="1"/>
  <c r="I50" i="1" s="1"/>
  <c r="H45" i="1"/>
  <c r="H46" i="1" s="1"/>
  <c r="H47" i="1" s="1"/>
  <c r="H48" i="1" s="1"/>
  <c r="H49" i="1" s="1"/>
  <c r="H50" i="1" s="1"/>
  <c r="D45" i="1"/>
  <c r="D46" i="1" s="1"/>
  <c r="D47" i="1" s="1"/>
  <c r="D48" i="1" s="1"/>
  <c r="D49" i="1" s="1"/>
  <c r="D50" i="1" s="1"/>
  <c r="C45" i="1"/>
  <c r="C46" i="1"/>
  <c r="C47" i="1" s="1"/>
  <c r="C48" i="1" s="1"/>
  <c r="C49" i="1" s="1"/>
  <c r="C50" i="1" s="1"/>
  <c r="B45" i="1"/>
  <c r="B46" i="1" s="1"/>
  <c r="B47" i="1" s="1"/>
  <c r="B48" i="1" s="1"/>
  <c r="B49" i="1" s="1"/>
  <c r="B50" i="1" s="1"/>
  <c r="J44" i="1"/>
  <c r="I44" i="1"/>
  <c r="H44" i="1"/>
  <c r="D44" i="1"/>
  <c r="C44" i="1"/>
  <c r="B44" i="1"/>
  <c r="J43" i="1"/>
  <c r="I43" i="1"/>
  <c r="H43" i="1"/>
  <c r="D43" i="1"/>
  <c r="C43" i="1"/>
  <c r="B43" i="1"/>
  <c r="F35" i="1"/>
  <c r="C15" i="1"/>
  <c r="J12" i="1"/>
  <c r="J15" i="1" s="1"/>
  <c r="J16" i="1"/>
  <c r="I12" i="1"/>
  <c r="I15" i="1" s="1"/>
  <c r="I13" i="1"/>
  <c r="I16" i="1"/>
  <c r="I20" i="1"/>
  <c r="H12" i="1"/>
  <c r="H17" i="1" s="1"/>
  <c r="H13" i="1"/>
  <c r="H16" i="1"/>
  <c r="G18" i="1"/>
  <c r="G19" i="1"/>
  <c r="H20" i="1"/>
  <c r="G21" i="1"/>
  <c r="F17" i="1"/>
  <c r="F13" i="1"/>
  <c r="F16" i="1"/>
  <c r="E17" i="1"/>
  <c r="E18" i="1"/>
  <c r="E19" i="1"/>
  <c r="F20" i="1"/>
  <c r="E21" i="1"/>
  <c r="D12" i="1"/>
  <c r="D13" i="1"/>
  <c r="D16" i="1"/>
  <c r="C18" i="1"/>
  <c r="C19" i="1"/>
  <c r="D20" i="1"/>
  <c r="C21" i="1"/>
  <c r="G17" i="1"/>
  <c r="H19" i="1" l="1"/>
  <c r="H18" i="1"/>
  <c r="J17" i="1"/>
  <c r="J23" i="1" s="1"/>
  <c r="J24" i="1" s="1"/>
  <c r="H15" i="1"/>
  <c r="H21" i="1"/>
  <c r="D15" i="1"/>
  <c r="D17" i="1"/>
  <c r="F21" i="1"/>
  <c r="D18" i="1"/>
  <c r="F18" i="1"/>
  <c r="D19" i="1"/>
  <c r="F19" i="1"/>
  <c r="F15" i="1"/>
  <c r="D21" i="1"/>
  <c r="I23" i="1"/>
  <c r="I24" i="1" s="1"/>
  <c r="H23" i="1" l="1"/>
  <c r="H24" i="1" s="1"/>
  <c r="D23" i="1"/>
  <c r="D24" i="1" s="1"/>
  <c r="F23" i="1"/>
  <c r="F24" i="1" s="1"/>
</calcChain>
</file>

<file path=xl/sharedStrings.xml><?xml version="1.0" encoding="utf-8"?>
<sst xmlns="http://schemas.openxmlformats.org/spreadsheetml/2006/main" count="147" uniqueCount="104">
  <si>
    <r>
      <rPr>
        <b/>
        <sz val="16"/>
        <color rgb="FF003366"/>
        <rFont val="Arial"/>
        <family val="2"/>
      </rPr>
      <t>NAU Faculty / Staff Fringe Benefit Rate Estimates</t>
    </r>
    <r>
      <rPr>
        <b/>
        <sz val="16"/>
        <color indexed="12"/>
        <rFont val="Arial"/>
        <family val="2"/>
      </rPr>
      <t xml:space="preserve">
</t>
    </r>
    <r>
      <rPr>
        <b/>
        <sz val="16"/>
        <color indexed="10"/>
        <rFont val="Arial"/>
        <family val="2"/>
      </rPr>
      <t>FY23 (July 1, 2022 - June 30, 2023)</t>
    </r>
  </si>
  <si>
    <t>Name of Employee</t>
  </si>
  <si>
    <t>Salary</t>
  </si>
  <si>
    <t>Academic</t>
  </si>
  <si>
    <t>Benefit Plan Year 01/01/</t>
  </si>
  <si>
    <t>(Select health benefit plan year which is closest to the actual start date of the project)</t>
  </si>
  <si>
    <t>Retirement Plan</t>
  </si>
  <si>
    <t>ORP</t>
  </si>
  <si>
    <t>(For Post Doctoral Scholars, select "None"; for Service Professional Post Doctoral Research Associates, select "ORP")</t>
  </si>
  <si>
    <t>Instructions for using the rate calculator</t>
  </si>
  <si>
    <r>
      <t xml:space="preserve">To use the rate calculator, all green shaded cells except D2 must be completed! </t>
    </r>
    <r>
      <rPr>
        <sz val="12"/>
        <color indexed="12"/>
        <rFont val="Arial"/>
        <family val="2"/>
      </rPr>
      <t xml:space="preserve">  </t>
    </r>
    <r>
      <rPr>
        <sz val="12"/>
        <color indexed="10"/>
        <rFont val="Arial"/>
        <family val="2"/>
      </rPr>
      <t>Note: If the shaded areas have not been completed, the value will be reported as "FALSE" or #DIV/0!.</t>
    </r>
    <r>
      <rPr>
        <sz val="12"/>
        <color indexed="12"/>
        <rFont val="Arial"/>
        <family val="2"/>
      </rPr>
      <t xml:space="preserve"> </t>
    </r>
    <r>
      <rPr>
        <sz val="12"/>
        <color indexed="10"/>
        <rFont val="Arial"/>
        <family val="2"/>
      </rPr>
      <t xml:space="preserve"> </t>
    </r>
    <r>
      <rPr>
        <sz val="12"/>
        <color indexed="12"/>
        <rFont val="Arial"/>
        <family val="2"/>
      </rPr>
      <t xml:space="preserve">Using the salary you entered, benefits are calculated for each category (family, employee + 1, single, faculty summer, non-benefit eligible). The appropriate ERE rate appears in </t>
    </r>
    <r>
      <rPr>
        <sz val="12"/>
        <color indexed="10"/>
        <rFont val="Arial"/>
        <family val="2"/>
      </rPr>
      <t>RED</t>
    </r>
    <r>
      <rPr>
        <sz val="12"/>
        <color indexed="12"/>
        <rFont val="Arial"/>
        <family val="2"/>
      </rPr>
      <t xml:space="preserve"> at the bottom of the column, and the total cost of benefits is shown directly below the rate. If the position is "to be hired," assume that the employee will elect the family plan for benefits; otherwise, select the rate appropriate the the employee's eligibility for, and election of, benefits.</t>
    </r>
  </si>
  <si>
    <t>Family Plan</t>
  </si>
  <si>
    <t>Employee + 1</t>
  </si>
  <si>
    <t>Single Plan</t>
  </si>
  <si>
    <t>Faculty Summer</t>
  </si>
  <si>
    <t>Non-Benefit Eligible</t>
  </si>
  <si>
    <t>SALARY</t>
  </si>
  <si>
    <t>-</t>
  </si>
  <si>
    <t>Work Comp</t>
  </si>
  <si>
    <t>FICA</t>
  </si>
  <si>
    <t>Medicare</t>
  </si>
  <si>
    <t>State Unemployment Tax</t>
  </si>
  <si>
    <t>Health (BCBS PPO)</t>
  </si>
  <si>
    <t>Dental (Delta)</t>
  </si>
  <si>
    <t>Long-term Disability</t>
  </si>
  <si>
    <t>Basic Life</t>
  </si>
  <si>
    <t xml:space="preserve">Retiree Sick </t>
  </si>
  <si>
    <t>TOTAL %</t>
  </si>
  <si>
    <t>TOTAL $</t>
  </si>
  <si>
    <t>NOTES:</t>
  </si>
  <si>
    <r>
      <t>Retirement</t>
    </r>
    <r>
      <rPr>
        <sz val="12"/>
        <color indexed="12"/>
        <rFont val="Arial"/>
        <family val="2"/>
      </rPr>
      <t>:</t>
    </r>
    <r>
      <rPr>
        <sz val="12"/>
        <rFont val="Arial"/>
        <family val="2"/>
      </rPr>
      <t xml:space="preserve"> Effective July 1, 2020, the contribution rate for the AZ State Retirement System (ASRS) is 12.04%. Employees on an Optional Retirement Plan (Fidelity, TIAA/CREF, Valic) contribute 7% per pay period. For public safety employees on the Public Safety Personnel Retirement System (PSPRS) plan, the employer contribution is 53.60% for tiers 1 and 2, 52.87% for tier 3 (effective 07/01/2020). For retirees who return to work, the contribution rate for ASRS is 10.21% (employer contribution of </t>
    </r>
    <r>
      <rPr>
        <sz val="12"/>
        <color rgb="FFFF0000"/>
        <rFont val="Arial"/>
        <family val="2"/>
      </rPr>
      <t>10.35</t>
    </r>
    <r>
      <rPr>
        <sz val="12"/>
        <rFont val="Arial"/>
        <family val="2"/>
      </rPr>
      <t>% for retirement and 1.41%LTD) effective 7/1/2020.</t>
    </r>
  </si>
  <si>
    <r>
      <t>Worker's Compensation</t>
    </r>
    <r>
      <rPr>
        <sz val="12"/>
        <rFont val="Arial"/>
        <family val="2"/>
      </rPr>
      <t xml:space="preserve">: Effective 07/01/2017, the rate was changed to </t>
    </r>
  </si>
  <si>
    <t xml:space="preserve">FICA: </t>
  </si>
  <si>
    <t>Old Age Survivor Disability Insurance (OASDI) is 6.20% on the first</t>
  </si>
  <si>
    <t xml:space="preserve">Medicare: </t>
  </si>
  <si>
    <t xml:space="preserve">Medicare has no limit at 1.45%. </t>
  </si>
  <si>
    <t>Select plan</t>
  </si>
  <si>
    <t>Retirement</t>
  </si>
  <si>
    <t>FICA &amp; Medicare</t>
  </si>
  <si>
    <t>ASRS</t>
  </si>
  <si>
    <t>eff. 07/01/2020</t>
  </si>
  <si>
    <t>FICA OASDI</t>
  </si>
  <si>
    <t>FICA max =</t>
  </si>
  <si>
    <t>per annum</t>
  </si>
  <si>
    <t>eff. 01/01/2015</t>
  </si>
  <si>
    <t>PSPRS</t>
  </si>
  <si>
    <t>None</t>
  </si>
  <si>
    <t>combined</t>
  </si>
  <si>
    <t>Retirees add</t>
  </si>
  <si>
    <t>salary cap</t>
  </si>
  <si>
    <t>eff. 01/01/2020</t>
  </si>
  <si>
    <r>
      <t>State Unemployment Tax (SUT)</t>
    </r>
    <r>
      <rPr>
        <sz val="12"/>
        <rFont val="Arial"/>
        <family val="2"/>
      </rPr>
      <t xml:space="preserve">: The current rate is 2.00% ($140.00) of the first $7,000 in calendar year, effective 08/10/2020. The formula for calculating faculty summer salary assumes that this requirement has been satisfied during the spring semester; no unemployment is charged for summer salary. </t>
    </r>
    <r>
      <rPr>
        <sz val="12"/>
        <color indexed="12"/>
        <rFont val="Arial"/>
        <family val="2"/>
      </rPr>
      <t>This UI information applies only to employees who work for NAU in Arizona; rates vary from state to state.</t>
    </r>
  </si>
  <si>
    <r>
      <t>Health</t>
    </r>
    <r>
      <rPr>
        <sz val="12"/>
        <rFont val="Arial"/>
        <family val="2"/>
      </rPr>
      <t xml:space="preserve">: Plan year is based on the calendar year. Rates/costs for the 2020 calendar year are actual. Blue Cross Blue Shield rates are used for estimating health insurance costs, since most employees elect this plan. </t>
    </r>
    <r>
      <rPr>
        <sz val="12"/>
        <color indexed="12"/>
        <rFont val="Arial"/>
        <family val="2"/>
      </rPr>
      <t>We anticipate increases of 5% per plan year as indicated below.</t>
    </r>
  </si>
  <si>
    <r>
      <t>Dental</t>
    </r>
    <r>
      <rPr>
        <sz val="12"/>
        <rFont val="Arial"/>
        <family val="2"/>
      </rPr>
      <t xml:space="preserve">:Plan year is based on the calendar year. Rates/costs for the 2020 calendar year are actual. Delta Dental rates are used for estimating dental costs since this is the plan most employees elect. </t>
    </r>
    <r>
      <rPr>
        <sz val="12"/>
        <color indexed="12"/>
        <rFont val="Arial"/>
        <family val="2"/>
      </rPr>
      <t>We anticipate increases of 5% per plan year as indicated below.</t>
    </r>
  </si>
  <si>
    <t>Annual Multiplier</t>
  </si>
  <si>
    <t>To update the dropdown list above:</t>
  </si>
  <si>
    <t>BC/BS PPO Health Insurance</t>
  </si>
  <si>
    <t>Delta Dental PPO Plus Premier Insurance</t>
  </si>
  <si>
    <t>Select Year</t>
  </si>
  <si>
    <t>Select Base</t>
  </si>
  <si>
    <t>Calendar Yr</t>
  </si>
  <si>
    <t>Family</t>
  </si>
  <si>
    <t>Emp + 1</t>
  </si>
  <si>
    <t>Single</t>
  </si>
  <si>
    <t>Actual</t>
  </si>
  <si>
    <t>Estimate</t>
  </si>
  <si>
    <t>Calendar</t>
  </si>
  <si>
    <t>Fiscal</t>
  </si>
  <si>
    <t>ACTUAL</t>
  </si>
  <si>
    <r>
      <t>Basic Life</t>
    </r>
    <r>
      <rPr>
        <sz val="12"/>
        <rFont val="Arial"/>
        <family val="2"/>
      </rPr>
      <t xml:space="preserve">: Effective 07/01/2020 the rate became $0.28 per pay period (n = 26.1), which is </t>
    </r>
  </si>
  <si>
    <t>per year.</t>
  </si>
  <si>
    <r>
      <t xml:space="preserve">Long Term Disability (LTD) effective 07/01/2019 </t>
    </r>
    <r>
      <rPr>
        <sz val="12"/>
        <color indexed="8"/>
        <rFont val="Arial"/>
        <family val="2"/>
      </rPr>
      <t xml:space="preserve">for employees on the ASRS the rate is .18%; for employees on an optional retirement plan, or PSPRS the rate is .27% effective 01/01/2015. </t>
    </r>
  </si>
  <si>
    <r>
      <t>Retiree Sick</t>
    </r>
    <r>
      <rPr>
        <sz val="12"/>
        <rFont val="Arial"/>
        <family val="2"/>
      </rPr>
      <t>: The pro rata share is .4% as prescribed by ARS 38-615. Retiree sick funds are used to pay retiring employees for unused sick leave.</t>
    </r>
  </si>
  <si>
    <t>Updated September 6, 2019</t>
  </si>
  <si>
    <t>Graduate Research Assistant (GRA) Compensation and Benefits</t>
  </si>
  <si>
    <r>
      <rPr>
        <b/>
        <sz val="13"/>
        <color indexed="30"/>
        <rFont val="Arial"/>
        <family val="2"/>
      </rPr>
      <t>Graduate assistantships made for the entire academic year (38 weeks) or semester (19 weeks) qualify for benefits.</t>
    </r>
    <r>
      <rPr>
        <b/>
        <sz val="13"/>
        <color indexed="17"/>
        <rFont val="Arial"/>
        <family val="2"/>
      </rPr>
      <t xml:space="preserve"> </t>
    </r>
    <r>
      <rPr>
        <b/>
        <sz val="13"/>
        <color indexed="30"/>
        <rFont val="Arial"/>
        <family val="2"/>
      </rPr>
      <t xml:space="preserve">If a student is funded by more than one project, benefits should be charged to each sponsor proportionately to the amount paid by the sponsor.  </t>
    </r>
  </si>
  <si>
    <r>
      <t xml:space="preserve">Tuition Benefit: </t>
    </r>
    <r>
      <rPr>
        <sz val="14"/>
        <color indexed="10"/>
        <rFont val="Arial"/>
        <family val="2"/>
      </rPr>
      <t>Graduate Research and Graduate Teaching Assistants receive a full tuition benefit depending on whether they are full- (20 hours per week) or part-time (10 to 19 hours per week) assistants.</t>
    </r>
    <r>
      <rPr>
        <sz val="14"/>
        <color indexed="12"/>
        <rFont val="Arial"/>
        <family val="2"/>
      </rPr>
      <t xml:space="preserve"> FEES are not included in this amount, and are paid separately by the student. The amount </t>
    </r>
    <r>
      <rPr>
        <i/>
        <sz val="14"/>
        <color indexed="12"/>
        <rFont val="Arial"/>
        <family val="2"/>
      </rPr>
      <t xml:space="preserve">remitted </t>
    </r>
    <r>
      <rPr>
        <sz val="14"/>
        <color indexed="12"/>
        <rFont val="Arial"/>
        <family val="2"/>
      </rPr>
      <t xml:space="preserve">or </t>
    </r>
    <r>
      <rPr>
        <i/>
        <sz val="14"/>
        <color indexed="12"/>
        <rFont val="Arial"/>
        <family val="2"/>
      </rPr>
      <t>waived</t>
    </r>
    <r>
      <rPr>
        <sz val="14"/>
        <color indexed="12"/>
        <rFont val="Arial"/>
        <family val="2"/>
      </rPr>
      <t xml:space="preserve"> is based on whether the appointment is full or part time. Funding for a GRA may come from one or several sources supporting a faculty member’s research program, and the tuition benefit should be charged/allocated proportionately to the amount received from the sponsor. Graduate assistants with an appointment of 10 or more hours per week are billed tuition at resident rates.</t>
    </r>
    <r>
      <rPr>
        <sz val="14"/>
        <color indexed="10"/>
        <rFont val="Arial"/>
        <family val="2"/>
      </rPr>
      <t xml:space="preserve"> For estimating future costs, assume that graduate tuition will increase 5% per year.</t>
    </r>
  </si>
  <si>
    <r>
      <t>Graduate Research Assistants (GRA)</t>
    </r>
    <r>
      <rPr>
        <sz val="14"/>
        <color indexed="12"/>
        <rFont val="Arial"/>
        <family val="2"/>
      </rPr>
      <t xml:space="preserve">:  </t>
    </r>
  </si>
  <si>
    <t>AY 2020-2021</t>
  </si>
  <si>
    <r>
      <t xml:space="preserve">Full-time (20 hours per week or .5 FTE): 100% tuition </t>
    </r>
    <r>
      <rPr>
        <i/>
        <sz val="14"/>
        <color indexed="12"/>
        <rFont val="Arial"/>
        <family val="2"/>
      </rPr>
      <t>remission</t>
    </r>
    <r>
      <rPr>
        <sz val="14"/>
        <color indexed="12"/>
        <rFont val="Arial"/>
        <family val="2"/>
      </rPr>
      <t xml:space="preserve"> of $10,480 per year ($5,240 per semester); insurance, and stipend.</t>
    </r>
  </si>
  <si>
    <r>
      <t>Part-time (10-19 hours per week): 50% partial tuition</t>
    </r>
    <r>
      <rPr>
        <i/>
        <sz val="14"/>
        <color indexed="12"/>
        <rFont val="Arial"/>
        <family val="2"/>
      </rPr>
      <t xml:space="preserve"> remission of </t>
    </r>
    <r>
      <rPr>
        <sz val="14"/>
        <color indexed="12"/>
        <rFont val="Arial"/>
        <family val="2"/>
      </rPr>
      <t>$5,240 per year ($2,620 per semester) and stipend. Part-time GRAs do not receive an insurance benefit.</t>
    </r>
  </si>
  <si>
    <r>
      <t>Graduate Teaching Assistants (GTA)</t>
    </r>
    <r>
      <rPr>
        <sz val="14"/>
        <color indexed="12"/>
        <rFont val="Arial"/>
        <family val="2"/>
      </rPr>
      <t xml:space="preserve">: </t>
    </r>
  </si>
  <si>
    <r>
      <t xml:space="preserve">Full-time (20 hours per week or .5 FTE): 100% tuition </t>
    </r>
    <r>
      <rPr>
        <i/>
        <sz val="14"/>
        <color indexed="12"/>
        <rFont val="Arial"/>
        <family val="2"/>
      </rPr>
      <t>waiver</t>
    </r>
    <r>
      <rPr>
        <sz val="14"/>
        <color indexed="12"/>
        <rFont val="Arial"/>
        <family val="2"/>
      </rPr>
      <t xml:space="preserve"> of $10,480 per year ($5,240 per semester); insurance, and stipend. </t>
    </r>
  </si>
  <si>
    <r>
      <t>Part-time (10-19 hours per week): 50% partial tuition</t>
    </r>
    <r>
      <rPr>
        <i/>
        <sz val="14"/>
        <color indexed="12"/>
        <rFont val="Arial"/>
        <family val="2"/>
      </rPr>
      <t xml:space="preserve"> waiver of </t>
    </r>
    <r>
      <rPr>
        <sz val="14"/>
        <color indexed="12"/>
        <rFont val="Arial"/>
        <family val="2"/>
      </rPr>
      <t>$5,240 per year ($2,620 per semester) and stipend. Part-time Tas do not receive an insurance benefit.</t>
    </r>
  </si>
  <si>
    <t>NOTE: If a sponsor does not allow tuition to be paid for graduate research assistants, another source must be found for the payment (it CANNOT be waived). Please provide the project # from which the charges will be paid. This is committed cost share.</t>
  </si>
  <si>
    <r>
      <t>Insurance Benefit:</t>
    </r>
    <r>
      <rPr>
        <sz val="14"/>
        <color indexed="12"/>
        <rFont val="Arial"/>
        <family val="2"/>
      </rPr>
      <t xml:space="preserve"> </t>
    </r>
    <r>
      <rPr>
        <sz val="14"/>
        <color indexed="10"/>
        <rFont val="Arial"/>
        <family val="2"/>
      </rPr>
      <t>Only full-time (20 hrs. per week) graduate research and teaching assistants receive the insurance benefit.</t>
    </r>
    <r>
      <rPr>
        <sz val="14"/>
        <color indexed="12"/>
        <rFont val="Arial"/>
        <family val="2"/>
      </rPr>
      <t xml:space="preserve"> The cost of insurance in AY2020/2021 is $2,597 (fall $979, spring $1,618). </t>
    </r>
    <r>
      <rPr>
        <sz val="14"/>
        <color indexed="10"/>
        <rFont val="Arial"/>
        <family val="2"/>
      </rPr>
      <t xml:space="preserve">For estimating future costs, assume that graduate insurance will increase 5% per year. </t>
    </r>
  </si>
  <si>
    <r>
      <t xml:space="preserve">Students (graduate and undergraduate) who are enrolled full time pay only worker’s compensation. If the student is </t>
    </r>
    <r>
      <rPr>
        <i/>
        <sz val="14"/>
        <color indexed="12"/>
        <rFont val="Arial"/>
        <family val="2"/>
      </rPr>
      <t>not</t>
    </r>
    <r>
      <rPr>
        <sz val="14"/>
        <color indexed="12"/>
        <rFont val="Arial"/>
        <family val="2"/>
      </rPr>
      <t xml:space="preserve"> enrolled full time, the budget also should include FICA and Medicare. For budgeting purposes, assume that students are enrolled full time during the academic year (fall and spring) and part time, or not at all, during the summer. </t>
    </r>
  </si>
  <si>
    <t>Period</t>
  </si>
  <si>
    <t>Hours/Week</t>
  </si>
  <si>
    <t>Tuition</t>
  </si>
  <si>
    <t>Insurance</t>
  </si>
  <si>
    <t>AY</t>
  </si>
  <si>
    <t>20 hours</t>
  </si>
  <si>
    <t>2020-2021</t>
  </si>
  <si>
    <t>10-19 hours</t>
  </si>
  <si>
    <t>&lt; 10 hours</t>
  </si>
  <si>
    <t>Worker's Comp</t>
  </si>
  <si>
    <t>Fall</t>
  </si>
  <si>
    <t>Spring</t>
  </si>
  <si>
    <t>Summer</t>
  </si>
  <si>
    <t>SUMMER RATE:</t>
  </si>
  <si>
    <t>AY 2022-2023</t>
  </si>
  <si>
    <t>Updated 08/06/2022</t>
  </si>
  <si>
    <t>Michael Erb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</si>
</sst>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m/d;@"/>
    <numFmt numFmtId="166" formatCode="0.000%"/>
    <numFmt numFmtId="167" formatCode="_(&quot;$&quot;* #,##0.0000_);_(&quot;$&quot;* \(#,##0.0000\);_(&quot;$&quot;* &quot;-&quot;??_);_(@_)"/>
    <numFmt numFmtId="168" formatCode="&quot;$&quot;#,##0.0000000"/>
    <numFmt numFmtId="169" formatCode="&quot;$&quot;#,##0.00"/>
    <numFmt numFmtId="170" formatCode="0.0%"/>
    <numFmt numFmtId="171" formatCode="0.0000"/>
    <numFmt numFmtId="172" formatCode="_(&quot;$&quot;* #,##0_);_(&quot;$&quot;* \(#,##0\);_(&quot;$&quot;* &quot;-&quot;??_);_(@_)"/>
    <numFmt numFmtId="173" formatCode="0.0000%"/>
  </numFmts>
  <fonts count="46" x14ac:knownFonts="1">
    <font>
      <sz val="10"/>
      <name val="Arial"/>
    </font>
    <font>
      <b/>
      <sz val="16"/>
      <color indexed="12"/>
      <name val="Arial"/>
      <family val="2"/>
    </font>
    <font>
      <b/>
      <sz val="16"/>
      <color rgb="FF003366"/>
      <name val="Arial"/>
      <family val="2"/>
    </font>
    <font>
      <b/>
      <sz val="16"/>
      <color indexed="10"/>
      <name val="Arial"/>
      <family val="2"/>
    </font>
    <font>
      <b/>
      <sz val="14"/>
      <color indexed="12"/>
      <name val="Arial"/>
      <family val="2"/>
    </font>
    <font>
      <sz val="12"/>
      <color indexed="12"/>
      <name val="Arial"/>
      <family val="2"/>
    </font>
    <font>
      <sz val="14"/>
      <name val="Arial"/>
      <family val="2"/>
    </font>
    <font>
      <sz val="10"/>
      <name val="Arial"/>
      <family val="2"/>
    </font>
    <font>
      <sz val="14"/>
      <color indexed="12"/>
      <name val="Arial"/>
      <family val="2"/>
    </font>
    <font>
      <b/>
      <sz val="12"/>
      <color indexed="12"/>
      <name val="Arial"/>
      <family val="2"/>
    </font>
    <font>
      <b/>
      <sz val="12"/>
      <color indexed="17"/>
      <name val="Arial"/>
      <family val="2"/>
    </font>
    <font>
      <sz val="12"/>
      <name val="Arial"/>
      <family val="2"/>
    </font>
    <font>
      <b/>
      <sz val="14"/>
      <color indexed="17"/>
      <name val="Arial"/>
      <family val="2"/>
    </font>
    <font>
      <sz val="11"/>
      <color indexed="12"/>
      <name val="Arial"/>
      <family val="2"/>
    </font>
    <font>
      <b/>
      <sz val="14"/>
      <name val="Arial"/>
      <family val="2"/>
    </font>
    <font>
      <b/>
      <sz val="12"/>
      <color indexed="10"/>
      <name val="Arial"/>
      <family val="2"/>
    </font>
    <font>
      <b/>
      <sz val="12"/>
      <name val="Arial"/>
      <family val="2"/>
    </font>
    <font>
      <sz val="12"/>
      <color indexed="10"/>
      <name val="Arial"/>
      <family val="2"/>
    </font>
    <font>
      <b/>
      <u/>
      <sz val="12"/>
      <color indexed="12"/>
      <name val="Arial"/>
      <family val="2"/>
    </font>
    <font>
      <b/>
      <sz val="12"/>
      <color indexed="18"/>
      <name val="Arial"/>
      <family val="2"/>
    </font>
    <font>
      <b/>
      <u/>
      <sz val="12"/>
      <color indexed="21"/>
      <name val="Arial"/>
      <family val="2"/>
    </font>
    <font>
      <u/>
      <sz val="12"/>
      <color indexed="21"/>
      <name val="Arial"/>
      <family val="2"/>
    </font>
    <font>
      <u/>
      <sz val="10"/>
      <color indexed="12"/>
      <name val="Arial"/>
      <family val="2"/>
    </font>
    <font>
      <sz val="12"/>
      <color indexed="8"/>
      <name val="Arial"/>
      <family val="2"/>
    </font>
    <font>
      <sz val="10"/>
      <color rgb="FFFF0000"/>
      <name val="Arial"/>
      <family val="2"/>
    </font>
    <font>
      <sz val="10"/>
      <color indexed="12"/>
      <name val="Arial"/>
      <family val="2"/>
    </font>
    <font>
      <sz val="10"/>
      <color indexed="10"/>
      <name val="Arial"/>
      <family val="2"/>
    </font>
    <font>
      <sz val="12"/>
      <color indexed="55"/>
      <name val="Arial"/>
      <family val="2"/>
    </font>
    <font>
      <sz val="10"/>
      <color rgb="FF0000FF"/>
      <name val="Arial"/>
      <family val="2"/>
    </font>
    <font>
      <b/>
      <sz val="10"/>
      <color indexed="10"/>
      <name val="Arial"/>
      <family val="2"/>
    </font>
    <font>
      <b/>
      <sz val="10"/>
      <name val="Arial"/>
      <family val="2"/>
    </font>
    <font>
      <sz val="8"/>
      <name val="Arial"/>
      <family val="2"/>
    </font>
    <font>
      <sz val="8"/>
      <color indexed="12"/>
      <name val="Arial"/>
      <family val="2"/>
    </font>
    <font>
      <b/>
      <sz val="8"/>
      <color rgb="FF0000FF"/>
      <name val="Arial"/>
      <family val="2"/>
    </font>
    <font>
      <sz val="11"/>
      <name val="Arial"/>
      <family val="2"/>
    </font>
    <font>
      <b/>
      <sz val="18"/>
      <color indexed="12"/>
      <name val="Arial"/>
      <family val="2"/>
    </font>
    <font>
      <sz val="16"/>
      <color indexed="12"/>
      <name val="Arial"/>
      <family val="2"/>
    </font>
    <font>
      <b/>
      <sz val="13"/>
      <color rgb="FF00B050"/>
      <name val="Arial"/>
      <family val="2"/>
    </font>
    <font>
      <b/>
      <sz val="13"/>
      <color indexed="30"/>
      <name val="Arial"/>
      <family val="2"/>
    </font>
    <font>
      <b/>
      <sz val="13"/>
      <color indexed="17"/>
      <name val="Arial"/>
      <family val="2"/>
    </font>
    <font>
      <sz val="14"/>
      <color indexed="10"/>
      <name val="Arial"/>
      <family val="2"/>
    </font>
    <font>
      <i/>
      <sz val="14"/>
      <color indexed="12"/>
      <name val="Arial"/>
      <family val="2"/>
    </font>
    <font>
      <u/>
      <sz val="14"/>
      <color indexed="12"/>
      <name val="Arial"/>
      <family val="2"/>
    </font>
    <font>
      <b/>
      <sz val="14"/>
      <color rgb="FFFF0000"/>
      <name val="Arial"/>
      <family val="2"/>
    </font>
    <font>
      <b/>
      <sz val="10"/>
      <color rgb="FFFF0000"/>
      <name val="Arial"/>
      <family val="2"/>
    </font>
    <font>
      <sz val="12"/>
      <color rgb="FFFF0000"/>
      <name val="Arial"/>
      <family val="2"/>
    </font>
  </fonts>
  <fills count="3">
    <fill>
      <patternFill patternType="none"/>
    </fill>
    <fill>
      <patternFill patternType="gray125"/>
    </fill>
    <fill>
      <patternFill patternType="solid">
        <fgColor indexed="42"/>
        <bgColor indexed="64"/>
      </patternFill>
    </fill>
  </fills>
  <borders count="21">
    <border>
      <left/>
      <right/>
      <top/>
      <bottom/>
      <diagonal/>
    </border>
    <border>
      <left/>
      <right/>
      <top/>
      <bottom style="thin">
        <color indexed="12"/>
      </bottom>
      <diagonal/>
    </border>
    <border>
      <left/>
      <right/>
      <top style="thin">
        <color indexed="12"/>
      </top>
      <bottom/>
      <diagonal/>
    </border>
    <border>
      <left style="thin">
        <color indexed="12"/>
      </left>
      <right style="thin">
        <color indexed="12"/>
      </right>
      <top style="thin">
        <color indexed="12"/>
      </top>
      <bottom style="thin">
        <color indexed="12"/>
      </bottom>
      <diagonal/>
    </border>
    <border>
      <left style="thin">
        <color auto="1"/>
      </left>
      <right/>
      <top style="thin">
        <color auto="1"/>
      </top>
      <bottom/>
      <diagonal/>
    </border>
    <border>
      <left/>
      <right/>
      <top style="thin">
        <color auto="1"/>
      </top>
      <bottom/>
      <diagonal/>
    </border>
    <border>
      <left/>
      <right style="thin">
        <color indexed="64"/>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double">
        <color indexed="12"/>
      </bottom>
      <diagonal/>
    </border>
    <border>
      <left style="double">
        <color indexed="12"/>
      </left>
      <right style="thin">
        <color indexed="12"/>
      </right>
      <top style="double">
        <color indexed="12"/>
      </top>
      <bottom style="thin">
        <color indexed="12"/>
      </bottom>
      <diagonal/>
    </border>
    <border>
      <left style="thin">
        <color indexed="12"/>
      </left>
      <right style="thin">
        <color indexed="12"/>
      </right>
      <top style="double">
        <color indexed="12"/>
      </top>
      <bottom style="thin">
        <color indexed="12"/>
      </bottom>
      <diagonal/>
    </border>
    <border>
      <left style="thin">
        <color indexed="12"/>
      </left>
      <right style="double">
        <color indexed="12"/>
      </right>
      <top style="double">
        <color indexed="12"/>
      </top>
      <bottom style="thin">
        <color indexed="12"/>
      </bottom>
      <diagonal/>
    </border>
    <border>
      <left style="double">
        <color indexed="12"/>
      </left>
      <right style="thin">
        <color indexed="12"/>
      </right>
      <top style="thin">
        <color indexed="12"/>
      </top>
      <bottom style="thin">
        <color indexed="12"/>
      </bottom>
      <diagonal/>
    </border>
    <border>
      <left style="thin">
        <color indexed="12"/>
      </left>
      <right style="double">
        <color indexed="12"/>
      </right>
      <top style="thin">
        <color indexed="12"/>
      </top>
      <bottom style="thin">
        <color indexed="12"/>
      </bottom>
      <diagonal/>
    </border>
    <border>
      <left style="double">
        <color indexed="12"/>
      </left>
      <right style="thin">
        <color indexed="12"/>
      </right>
      <top style="thin">
        <color indexed="12"/>
      </top>
      <bottom style="double">
        <color indexed="12"/>
      </bottom>
      <diagonal/>
    </border>
    <border>
      <left style="thin">
        <color indexed="12"/>
      </left>
      <right style="thin">
        <color indexed="12"/>
      </right>
      <top style="thin">
        <color indexed="12"/>
      </top>
      <bottom style="double">
        <color indexed="12"/>
      </bottom>
      <diagonal/>
    </border>
    <border>
      <left style="thin">
        <color indexed="12"/>
      </left>
      <right style="double">
        <color indexed="12"/>
      </right>
      <top style="thin">
        <color indexed="12"/>
      </top>
      <bottom style="double">
        <color indexed="12"/>
      </bottom>
      <diagonal/>
    </border>
  </borders>
  <cellStyleXfs count="5">
    <xf numFmtId="0" fontId="0" fillId="0" borderId="0"/>
    <xf numFmtId="9" fontId="7" fillId="0" borderId="0" applyFont="0" applyFill="0" applyBorder="0" applyAlignment="0" applyProtection="0"/>
    <xf numFmtId="43" fontId="7" fillId="0" borderId="0" applyFont="0" applyFill="0" applyBorder="0" applyAlignment="0" applyProtection="0"/>
    <xf numFmtId="0" fontId="22" fillId="0" borderId="0" applyNumberFormat="0" applyFill="0" applyBorder="0" applyAlignment="0" applyProtection="0">
      <alignment vertical="top"/>
      <protection locked="0"/>
    </xf>
    <xf numFmtId="44" fontId="7" fillId="0" borderId="0" applyFont="0" applyFill="0" applyBorder="0" applyAlignment="0" applyProtection="0"/>
  </cellStyleXfs>
  <cellXfs count="186">
    <xf numFmtId="0" fontId="0" fillId="0" borderId="0" xfId="0"/>
    <xf numFmtId="0" fontId="5" fillId="0" borderId="0" xfId="0" applyFont="1"/>
    <xf numFmtId="0" fontId="4" fillId="0" borderId="0" xfId="0" applyFont="1" applyAlignment="1">
      <alignment horizontal="right"/>
    </xf>
    <xf numFmtId="0" fontId="6" fillId="0" borderId="0" xfId="0" applyFont="1"/>
    <xf numFmtId="0" fontId="4" fillId="0" borderId="2" xfId="0" applyFont="1" applyBorder="1"/>
    <xf numFmtId="0" fontId="4" fillId="0" borderId="0" xfId="0" applyFont="1"/>
    <xf numFmtId="164" fontId="4" fillId="2" borderId="1" xfId="2" applyNumberFormat="1" applyFont="1" applyFill="1" applyBorder="1" applyProtection="1">
      <protection locked="0"/>
    </xf>
    <xf numFmtId="0" fontId="4" fillId="2" borderId="1" xfId="0" applyFont="1" applyFill="1" applyBorder="1" applyAlignment="1" applyProtection="1">
      <alignment horizontal="center" wrapText="1"/>
      <protection locked="0"/>
    </xf>
    <xf numFmtId="0" fontId="8" fillId="0" borderId="0" xfId="0" applyFont="1"/>
    <xf numFmtId="164" fontId="9" fillId="0" borderId="0" xfId="2" applyNumberFormat="1" applyFont="1" applyFill="1" applyBorder="1" applyProtection="1"/>
    <xf numFmtId="0" fontId="10" fillId="0" borderId="0" xfId="0" applyFont="1" applyAlignment="1">
      <alignment horizontal="center" wrapText="1"/>
    </xf>
    <xf numFmtId="0" fontId="11" fillId="0" borderId="0" xfId="0" applyFont="1"/>
    <xf numFmtId="164" fontId="4" fillId="0" borderId="0" xfId="2" applyNumberFormat="1" applyFont="1" applyBorder="1" applyAlignment="1" applyProtection="1">
      <alignment horizontal="right"/>
    </xf>
    <xf numFmtId="164" fontId="4" fillId="0" borderId="0" xfId="2" applyNumberFormat="1" applyFont="1" applyFill="1" applyBorder="1" applyAlignment="1" applyProtection="1">
      <alignment horizontal="right"/>
    </xf>
    <xf numFmtId="164" fontId="4" fillId="0" borderId="2" xfId="2" applyNumberFormat="1" applyFont="1" applyFill="1" applyBorder="1" applyProtection="1"/>
    <xf numFmtId="0" fontId="12" fillId="0" borderId="0" xfId="0" applyFont="1" applyAlignment="1">
      <alignment horizontal="center" wrapText="1"/>
    </xf>
    <xf numFmtId="0" fontId="4" fillId="2" borderId="1" xfId="0" applyFont="1" applyFill="1" applyBorder="1" applyAlignment="1" applyProtection="1">
      <alignment horizontal="center"/>
      <protection locked="0"/>
    </xf>
    <xf numFmtId="165" fontId="14" fillId="0" borderId="0" xfId="0" applyNumberFormat="1" applyFont="1" applyAlignment="1">
      <alignment horizontal="right"/>
    </xf>
    <xf numFmtId="0" fontId="12" fillId="0" borderId="0" xfId="0" applyFont="1" applyAlignment="1">
      <alignment horizontal="center"/>
    </xf>
    <xf numFmtId="0" fontId="4" fillId="2" borderId="1" xfId="0" applyFont="1" applyFill="1" applyBorder="1" applyAlignment="1" applyProtection="1">
      <alignment horizontal="center" vertical="center" wrapText="1"/>
      <protection locked="0"/>
    </xf>
    <xf numFmtId="0" fontId="0" fillId="0" borderId="0" xfId="0" applyAlignment="1">
      <alignment wrapText="1"/>
    </xf>
    <xf numFmtId="0" fontId="15" fillId="0" borderId="0" xfId="0" applyFont="1" applyAlignment="1">
      <alignment horizontal="center" vertical="top" wrapText="1"/>
    </xf>
    <xf numFmtId="0" fontId="16" fillId="0" borderId="0" xfId="0" applyFont="1" applyAlignment="1">
      <alignment horizontal="center" wrapText="1"/>
    </xf>
    <xf numFmtId="0" fontId="17" fillId="0" borderId="0" xfId="0" applyFont="1" applyAlignment="1">
      <alignment horizontal="left" vertical="top" wrapText="1"/>
    </xf>
    <xf numFmtId="0" fontId="18" fillId="0" borderId="0" xfId="0" applyFont="1" applyAlignment="1">
      <alignment horizontal="center" wrapText="1"/>
    </xf>
    <xf numFmtId="0" fontId="9" fillId="0" borderId="0" xfId="0" applyFont="1" applyAlignment="1">
      <alignment horizontal="center" wrapText="1"/>
    </xf>
    <xf numFmtId="10" fontId="0" fillId="0" borderId="0" xfId="1" applyNumberFormat="1" applyFont="1" applyProtection="1"/>
    <xf numFmtId="0" fontId="20" fillId="0" borderId="0" xfId="0" applyFont="1"/>
    <xf numFmtId="164" fontId="20" fillId="0" borderId="0" xfId="0" applyNumberFormat="1" applyFont="1" applyAlignment="1">
      <alignment horizontal="right" vertical="top" wrapText="1"/>
    </xf>
    <xf numFmtId="164" fontId="21" fillId="0" borderId="0" xfId="0" applyNumberFormat="1" applyFont="1"/>
    <xf numFmtId="164" fontId="19" fillId="0" borderId="0" xfId="0" applyNumberFormat="1" applyFont="1" applyAlignment="1">
      <alignment horizontal="right" vertical="top" wrapText="1"/>
    </xf>
    <xf numFmtId="10" fontId="5" fillId="0" borderId="0" xfId="0" applyNumberFormat="1" applyFont="1" applyAlignment="1">
      <alignment horizontal="right" vertical="top"/>
    </xf>
    <xf numFmtId="10" fontId="11" fillId="0" borderId="0" xfId="0" applyNumberFormat="1" applyFont="1" applyAlignment="1">
      <alignment horizontal="right" vertical="top" wrapText="1"/>
    </xf>
    <xf numFmtId="0" fontId="11" fillId="0" borderId="0" xfId="0" applyFont="1" applyAlignment="1">
      <alignment horizontal="left"/>
    </xf>
    <xf numFmtId="0" fontId="0" fillId="0" borderId="0" xfId="0" applyAlignment="1">
      <alignment horizontal="left"/>
    </xf>
    <xf numFmtId="164" fontId="22" fillId="0" borderId="0" xfId="3" applyNumberFormat="1" applyFill="1" applyBorder="1" applyAlignment="1" applyProtection="1">
      <alignment horizontal="right"/>
    </xf>
    <xf numFmtId="10" fontId="5" fillId="0" borderId="0" xfId="1" applyNumberFormat="1" applyFont="1" applyFill="1" applyBorder="1" applyAlignment="1" applyProtection="1">
      <alignment horizontal="right" vertical="top"/>
    </xf>
    <xf numFmtId="10" fontId="23" fillId="0" borderId="0" xfId="0" applyNumberFormat="1" applyFont="1" applyAlignment="1">
      <alignment horizontal="right" vertical="top"/>
    </xf>
    <xf numFmtId="164" fontId="5" fillId="0" borderId="0" xfId="0" applyNumberFormat="1" applyFont="1" applyAlignment="1">
      <alignment horizontal="right" vertical="top"/>
    </xf>
    <xf numFmtId="166" fontId="5" fillId="0" borderId="0" xfId="1" applyNumberFormat="1" applyFont="1" applyFill="1" applyBorder="1" applyAlignment="1" applyProtection="1">
      <alignment horizontal="right" vertical="top"/>
    </xf>
    <xf numFmtId="164" fontId="5" fillId="0" borderId="0" xfId="1" applyNumberFormat="1" applyFont="1" applyFill="1" applyBorder="1" applyAlignment="1" applyProtection="1">
      <alignment horizontal="right" vertical="top"/>
    </xf>
    <xf numFmtId="167" fontId="11" fillId="0" borderId="0" xfId="4" applyNumberFormat="1" applyFont="1" applyFill="1" applyBorder="1" applyAlignment="1" applyProtection="1">
      <alignment horizontal="right" vertical="top" wrapText="1"/>
    </xf>
    <xf numFmtId="10" fontId="11" fillId="0" borderId="0" xfId="1" applyNumberFormat="1" applyFont="1" applyFill="1" applyBorder="1" applyAlignment="1" applyProtection="1">
      <alignment horizontal="right" vertical="top" wrapText="1"/>
    </xf>
    <xf numFmtId="10" fontId="5" fillId="0" borderId="0" xfId="0" applyNumberFormat="1" applyFont="1" applyAlignment="1">
      <alignment horizontal="right" vertical="top" wrapText="1"/>
    </xf>
    <xf numFmtId="10" fontId="5" fillId="0" borderId="0" xfId="1" applyNumberFormat="1" applyFont="1" applyFill="1" applyBorder="1" applyAlignment="1" applyProtection="1">
      <alignment horizontal="right" vertical="top" wrapText="1"/>
    </xf>
    <xf numFmtId="43" fontId="11" fillId="0" borderId="0" xfId="2" applyFont="1" applyFill="1" applyBorder="1" applyAlignment="1" applyProtection="1">
      <alignment horizontal="right" vertical="top" wrapText="1"/>
    </xf>
    <xf numFmtId="168" fontId="0" fillId="0" borderId="0" xfId="0" applyNumberFormat="1"/>
    <xf numFmtId="169" fontId="5" fillId="0" borderId="0" xfId="0" applyNumberFormat="1" applyFont="1" applyAlignment="1">
      <alignment horizontal="right" vertical="top"/>
    </xf>
    <xf numFmtId="166" fontId="5" fillId="0" borderId="0" xfId="0" applyNumberFormat="1" applyFont="1" applyAlignment="1">
      <alignment horizontal="right" vertical="top"/>
    </xf>
    <xf numFmtId="169" fontId="5" fillId="0" borderId="0" xfId="0" applyNumberFormat="1" applyFont="1" applyAlignment="1">
      <alignment vertical="top"/>
    </xf>
    <xf numFmtId="166" fontId="11" fillId="0" borderId="0" xfId="0" applyNumberFormat="1" applyFont="1" applyAlignment="1">
      <alignment horizontal="right" vertical="top" wrapText="1"/>
    </xf>
    <xf numFmtId="0" fontId="11" fillId="0" borderId="0" xfId="0" quotePrefix="1" applyFont="1"/>
    <xf numFmtId="170" fontId="11" fillId="0" borderId="0" xfId="0" applyNumberFormat="1" applyFont="1" applyAlignment="1">
      <alignment horizontal="right" vertical="top" wrapText="1"/>
    </xf>
    <xf numFmtId="3" fontId="11" fillId="0" borderId="0" xfId="0" applyNumberFormat="1" applyFont="1" applyAlignment="1">
      <alignment horizontal="right" vertical="top" wrapText="1"/>
    </xf>
    <xf numFmtId="171" fontId="0" fillId="0" borderId="0" xfId="0" applyNumberFormat="1"/>
    <xf numFmtId="170" fontId="15" fillId="0" borderId="0" xfId="1" applyNumberFormat="1" applyFont="1" applyFill="1" applyBorder="1" applyAlignment="1" applyProtection="1">
      <alignment horizontal="right" vertical="top" wrapText="1"/>
    </xf>
    <xf numFmtId="10" fontId="17" fillId="0" borderId="0" xfId="0" applyNumberFormat="1" applyFont="1"/>
    <xf numFmtId="170" fontId="15" fillId="0" borderId="0" xfId="0" applyNumberFormat="1" applyFont="1" applyAlignment="1">
      <alignment horizontal="right" vertical="top" wrapText="1"/>
    </xf>
    <xf numFmtId="10" fontId="15" fillId="0" borderId="0" xfId="0" applyNumberFormat="1" applyFont="1" applyAlignment="1">
      <alignment horizontal="right" vertical="top" wrapText="1"/>
    </xf>
    <xf numFmtId="10" fontId="16" fillId="0" borderId="0" xfId="0" applyNumberFormat="1" applyFont="1" applyAlignment="1">
      <alignment horizontal="right" vertical="top" wrapText="1"/>
    </xf>
    <xf numFmtId="6" fontId="16" fillId="0" borderId="0" xfId="0" applyNumberFormat="1" applyFont="1" applyAlignment="1">
      <alignment horizontal="righ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11" fillId="0" borderId="0" xfId="0" applyFont="1" applyAlignment="1">
      <alignment vertical="top"/>
    </xf>
    <xf numFmtId="8" fontId="5" fillId="0" borderId="0" xfId="0" applyNumberFormat="1" applyFont="1" applyAlignment="1">
      <alignment horizontal="right" vertical="top"/>
    </xf>
    <xf numFmtId="0" fontId="11" fillId="0" borderId="0" xfId="0" applyFont="1" applyAlignment="1">
      <alignment horizontal="right" vertical="top"/>
    </xf>
    <xf numFmtId="8" fontId="5" fillId="0" borderId="0" xfId="1" applyNumberFormat="1" applyFont="1" applyFill="1" applyBorder="1" applyAlignment="1" applyProtection="1">
      <alignment horizontal="right" vertical="top"/>
    </xf>
    <xf numFmtId="0" fontId="9" fillId="0" borderId="0" xfId="0" applyFont="1" applyAlignment="1">
      <alignment horizontal="left" vertical="top" wrapText="1"/>
    </xf>
    <xf numFmtId="0" fontId="11" fillId="0" borderId="0" xfId="0" applyFont="1" applyAlignment="1">
      <alignment wrapText="1"/>
    </xf>
    <xf numFmtId="10" fontId="24" fillId="0" borderId="0" xfId="0" applyNumberFormat="1" applyFont="1" applyAlignment="1">
      <alignment horizontal="center" vertical="center" wrapText="1"/>
    </xf>
    <xf numFmtId="0" fontId="0" fillId="0" borderId="0" xfId="0" applyAlignment="1">
      <alignment horizontal="left" vertical="center" wrapText="1"/>
    </xf>
    <xf numFmtId="0" fontId="9" fillId="0" borderId="0" xfId="0" applyFont="1" applyAlignment="1">
      <alignment horizontal="left" vertical="center" wrapText="1"/>
    </xf>
    <xf numFmtId="166" fontId="0" fillId="0" borderId="0" xfId="1" applyNumberFormat="1" applyFont="1" applyProtection="1"/>
    <xf numFmtId="164" fontId="0" fillId="0" borderId="0" xfId="0" applyNumberFormat="1"/>
    <xf numFmtId="164" fontId="24" fillId="0" borderId="0" xfId="0" applyNumberFormat="1" applyFont="1" applyAlignment="1">
      <alignment horizontal="left" vertical="top" wrapText="1"/>
    </xf>
    <xf numFmtId="0" fontId="7" fillId="0" borderId="0" xfId="0" applyFont="1" applyAlignment="1">
      <alignment horizontal="right" vertical="top"/>
    </xf>
    <xf numFmtId="164" fontId="7" fillId="0" borderId="0" xfId="0" applyNumberFormat="1" applyFont="1" applyAlignment="1">
      <alignment horizontal="center" vertical="top"/>
    </xf>
    <xf numFmtId="0" fontId="7" fillId="0" borderId="0" xfId="0" applyFont="1" applyAlignment="1">
      <alignment vertical="top"/>
    </xf>
    <xf numFmtId="0" fontId="0" fillId="0" borderId="0" xfId="0" applyAlignment="1">
      <alignment horizontal="left" vertical="top" wrapText="1"/>
    </xf>
    <xf numFmtId="0" fontId="7" fillId="0" borderId="3" xfId="0" applyFont="1" applyBorder="1" applyAlignment="1">
      <alignment horizontal="center" wrapText="1"/>
    </xf>
    <xf numFmtId="0" fontId="7" fillId="0" borderId="3" xfId="0" applyFont="1" applyBorder="1" applyAlignment="1">
      <alignment horizontal="center"/>
    </xf>
    <xf numFmtId="0" fontId="7" fillId="0" borderId="0" xfId="0" applyFont="1"/>
    <xf numFmtId="0" fontId="25" fillId="0" borderId="3" xfId="0" applyFont="1" applyBorder="1" applyAlignment="1">
      <alignment horizontal="center" vertical="center"/>
    </xf>
    <xf numFmtId="10" fontId="26" fillId="0" borderId="3" xfId="0" applyNumberFormat="1" applyFont="1" applyBorder="1" applyAlignment="1">
      <alignment horizontal="center" vertical="center"/>
    </xf>
    <xf numFmtId="10" fontId="7" fillId="0" borderId="3" xfId="0" applyNumberFormat="1" applyFont="1" applyBorder="1" applyAlignment="1">
      <alignment horizontal="center"/>
    </xf>
    <xf numFmtId="10" fontId="26" fillId="0" borderId="3" xfId="1" applyNumberFormat="1" applyFont="1" applyFill="1" applyBorder="1" applyAlignment="1" applyProtection="1">
      <alignment horizontal="center" vertical="center" wrapText="1"/>
    </xf>
    <xf numFmtId="0" fontId="25" fillId="0" borderId="3" xfId="0" applyFont="1" applyBorder="1" applyAlignment="1">
      <alignment horizontal="left" vertical="center" wrapText="1"/>
    </xf>
    <xf numFmtId="172" fontId="27" fillId="0" borderId="0" xfId="4" applyNumberFormat="1" applyFont="1" applyProtection="1"/>
    <xf numFmtId="9" fontId="26" fillId="0" borderId="3" xfId="0" applyNumberFormat="1" applyFont="1" applyBorder="1" applyAlignment="1">
      <alignment horizontal="center" vertical="center"/>
    </xf>
    <xf numFmtId="172" fontId="27" fillId="0" borderId="0" xfId="4" applyNumberFormat="1" applyFont="1" applyBorder="1" applyAlignment="1" applyProtection="1">
      <alignment vertical="top"/>
    </xf>
    <xf numFmtId="172" fontId="27" fillId="0" borderId="0" xfId="4" applyNumberFormat="1" applyFont="1" applyAlignment="1" applyProtection="1">
      <alignment vertical="top"/>
    </xf>
    <xf numFmtId="0" fontId="28" fillId="0" borderId="0" xfId="0" applyFont="1" applyAlignment="1">
      <alignment vertical="top"/>
    </xf>
    <xf numFmtId="173" fontId="28" fillId="0" borderId="0" xfId="0" applyNumberFormat="1" applyFont="1" applyAlignment="1">
      <alignment horizontal="center" vertical="top"/>
    </xf>
    <xf numFmtId="9" fontId="26" fillId="0" borderId="0" xfId="0" applyNumberFormat="1" applyFont="1" applyAlignment="1">
      <alignment horizontal="center" vertical="center"/>
    </xf>
    <xf numFmtId="0" fontId="25" fillId="0" borderId="0" xfId="0" applyFont="1" applyAlignment="1">
      <alignment vertical="center"/>
    </xf>
    <xf numFmtId="5" fontId="26" fillId="0" borderId="3" xfId="2" applyNumberFormat="1" applyFont="1" applyFill="1" applyBorder="1" applyAlignment="1" applyProtection="1">
      <alignment horizontal="center" vertical="center"/>
    </xf>
    <xf numFmtId="0" fontId="25" fillId="0" borderId="3" xfId="0" applyFont="1" applyBorder="1" applyAlignment="1">
      <alignment horizontal="left" vertical="center"/>
    </xf>
    <xf numFmtId="0" fontId="29" fillId="0" borderId="0" xfId="0" applyFont="1"/>
    <xf numFmtId="0" fontId="9" fillId="0" borderId="0" xfId="0" applyFont="1" applyAlignment="1">
      <alignment horizontal="left" wrapText="1"/>
    </xf>
    <xf numFmtId="10" fontId="0" fillId="0" borderId="0" xfId="0" applyNumberFormat="1"/>
    <xf numFmtId="0" fontId="30" fillId="0" borderId="0" xfId="0" applyFont="1" applyAlignment="1">
      <alignment horizontal="right" vertical="top"/>
    </xf>
    <xf numFmtId="2" fontId="30" fillId="0" borderId="0" xfId="0" applyNumberFormat="1" applyFont="1" applyAlignment="1">
      <alignment vertical="top"/>
    </xf>
    <xf numFmtId="9" fontId="7" fillId="0" borderId="0" xfId="0" applyNumberFormat="1" applyFont="1" applyAlignment="1">
      <alignment vertical="top"/>
    </xf>
    <xf numFmtId="0" fontId="0" fillId="0" borderId="0" xfId="0" applyAlignment="1">
      <alignment vertical="top"/>
    </xf>
    <xf numFmtId="0" fontId="30" fillId="0" borderId="0" xfId="0" applyFont="1" applyAlignment="1">
      <alignment vertical="center"/>
    </xf>
    <xf numFmtId="0" fontId="17" fillId="0" borderId="4" xfId="0" applyFont="1" applyBorder="1"/>
    <xf numFmtId="0" fontId="11" fillId="0" borderId="6" xfId="0" applyFont="1" applyBorder="1"/>
    <xf numFmtId="0" fontId="0" fillId="0" borderId="0" xfId="0" applyAlignment="1">
      <alignment horizontal="right"/>
    </xf>
    <xf numFmtId="0" fontId="17" fillId="0" borderId="7" xfId="0" applyFont="1" applyBorder="1"/>
    <xf numFmtId="0" fontId="18" fillId="0" borderId="0" xfId="0" applyFont="1" applyAlignment="1">
      <alignment horizontal="right"/>
    </xf>
    <xf numFmtId="0" fontId="11" fillId="0" borderId="8" xfId="0" applyFont="1" applyBorder="1"/>
    <xf numFmtId="0" fontId="31" fillId="0" borderId="7" xfId="0" applyFont="1" applyBorder="1" applyAlignment="1">
      <alignment horizontal="right"/>
    </xf>
    <xf numFmtId="164" fontId="32" fillId="0" borderId="0" xfId="4" applyNumberFormat="1" applyFont="1" applyBorder="1" applyAlignment="1" applyProtection="1"/>
    <xf numFmtId="0" fontId="33" fillId="0" borderId="8" xfId="0" applyFont="1" applyBorder="1" applyAlignment="1">
      <alignment horizontal="center"/>
    </xf>
    <xf numFmtId="0" fontId="30" fillId="0" borderId="7" xfId="0" applyFont="1" applyBorder="1" applyAlignment="1">
      <alignment horizontal="right"/>
    </xf>
    <xf numFmtId="164" fontId="9" fillId="0" borderId="0" xfId="4" applyNumberFormat="1" applyFont="1" applyBorder="1" applyAlignment="1" applyProtection="1"/>
    <xf numFmtId="0" fontId="15" fillId="0" borderId="8" xfId="0" applyFont="1" applyBorder="1" applyAlignment="1">
      <alignment horizontal="center"/>
    </xf>
    <xf numFmtId="0" fontId="0" fillId="0" borderId="7" xfId="0" applyBorder="1" applyAlignment="1">
      <alignment horizontal="right"/>
    </xf>
    <xf numFmtId="164" fontId="5" fillId="0" borderId="0" xfId="4" applyNumberFormat="1" applyFont="1" applyBorder="1" applyAlignment="1" applyProtection="1"/>
    <xf numFmtId="0" fontId="17" fillId="0" borderId="8" xfId="0" applyFont="1" applyBorder="1" applyAlignment="1">
      <alignment horizontal="center"/>
    </xf>
    <xf numFmtId="0" fontId="0" fillId="0" borderId="9" xfId="0" applyBorder="1" applyAlignment="1">
      <alignment horizontal="right"/>
    </xf>
    <xf numFmtId="164" fontId="5" fillId="0" borderId="10" xfId="4" applyNumberFormat="1" applyFont="1" applyBorder="1" applyAlignment="1" applyProtection="1"/>
    <xf numFmtId="0" fontId="17" fillId="0" borderId="11" xfId="0" applyFont="1" applyBorder="1" applyAlignment="1">
      <alignment horizontal="center"/>
    </xf>
    <xf numFmtId="14" fontId="17" fillId="0" borderId="0" xfId="0" applyNumberFormat="1" applyFont="1"/>
    <xf numFmtId="0" fontId="17" fillId="0" borderId="0" xfId="0" applyFont="1"/>
    <xf numFmtId="7" fontId="11" fillId="0" borderId="0" xfId="4" applyNumberFormat="1" applyFont="1" applyBorder="1" applyAlignment="1" applyProtection="1">
      <alignment horizontal="left" vertical="top" wrapText="1"/>
    </xf>
    <xf numFmtId="0" fontId="11" fillId="0" borderId="0" xfId="0" applyFont="1" applyAlignment="1">
      <alignment vertical="top" wrapText="1"/>
    </xf>
    <xf numFmtId="0" fontId="9" fillId="0" borderId="0" xfId="0" applyFont="1" applyAlignment="1">
      <alignment vertical="top" wrapText="1"/>
    </xf>
    <xf numFmtId="0" fontId="34" fillId="0" borderId="0" xfId="0" applyFont="1"/>
    <xf numFmtId="0" fontId="35" fillId="0" borderId="0" xfId="0" applyFont="1"/>
    <xf numFmtId="0" fontId="36" fillId="0" borderId="0" xfId="0" applyFont="1"/>
    <xf numFmtId="0" fontId="25" fillId="0" borderId="0" xfId="0" applyFont="1"/>
    <xf numFmtId="0" fontId="42" fillId="0" borderId="0" xfId="0" applyFont="1" applyAlignment="1">
      <alignment horizontal="left"/>
    </xf>
    <xf numFmtId="0" fontId="8" fillId="0" borderId="0" xfId="0" applyFont="1" applyAlignment="1">
      <alignment horizontal="left" indent="8"/>
    </xf>
    <xf numFmtId="10" fontId="0" fillId="0" borderId="0" xfId="1" applyNumberFormat="1" applyFont="1"/>
    <xf numFmtId="0" fontId="4" fillId="0" borderId="13" xfId="0" applyFont="1" applyBorder="1" applyAlignment="1">
      <alignment horizontal="center"/>
    </xf>
    <xf numFmtId="0" fontId="4" fillId="0" borderId="14" xfId="0" applyFont="1" applyBorder="1"/>
    <xf numFmtId="0" fontId="4" fillId="0" borderId="14" xfId="0" applyFont="1" applyBorder="1" applyAlignment="1">
      <alignment horizontal="right"/>
    </xf>
    <xf numFmtId="0" fontId="4" fillId="0" borderId="15" xfId="0" applyFont="1" applyBorder="1" applyAlignment="1">
      <alignment horizontal="right"/>
    </xf>
    <xf numFmtId="0" fontId="4" fillId="0" borderId="16" xfId="0" applyFont="1" applyBorder="1" applyAlignment="1">
      <alignment horizontal="center"/>
    </xf>
    <xf numFmtId="0" fontId="8" fillId="0" borderId="3" xfId="0" applyFont="1" applyBorder="1"/>
    <xf numFmtId="44" fontId="8" fillId="0" borderId="3" xfId="4" applyFont="1" applyBorder="1"/>
    <xf numFmtId="44" fontId="8" fillId="0" borderId="17" xfId="4" applyFont="1" applyBorder="1"/>
    <xf numFmtId="16" fontId="8" fillId="0" borderId="3" xfId="0" applyNumberFormat="1" applyFont="1" applyBorder="1"/>
    <xf numFmtId="10" fontId="8" fillId="0" borderId="3" xfId="1" applyNumberFormat="1" applyFont="1" applyBorder="1"/>
    <xf numFmtId="10" fontId="8" fillId="0" borderId="17" xfId="1" applyNumberFormat="1" applyFont="1" applyBorder="1"/>
    <xf numFmtId="9" fontId="8" fillId="0" borderId="3" xfId="1" applyFont="1" applyBorder="1"/>
    <xf numFmtId="4" fontId="8" fillId="0" borderId="17" xfId="0" applyNumberFormat="1" applyFont="1" applyBorder="1"/>
    <xf numFmtId="44" fontId="0" fillId="0" borderId="0" xfId="0" applyNumberFormat="1"/>
    <xf numFmtId="4" fontId="8" fillId="0" borderId="3" xfId="0" applyNumberFormat="1" applyFont="1" applyBorder="1"/>
    <xf numFmtId="0" fontId="8" fillId="0" borderId="18" xfId="0" applyFont="1" applyBorder="1" applyAlignment="1">
      <alignment horizontal="center"/>
    </xf>
    <xf numFmtId="0" fontId="8" fillId="0" borderId="19" xfId="0" applyFont="1" applyBorder="1"/>
    <xf numFmtId="10" fontId="8" fillId="0" borderId="19" xfId="1" applyNumberFormat="1" applyFont="1" applyBorder="1"/>
    <xf numFmtId="10" fontId="8" fillId="0" borderId="20" xfId="1" applyNumberFormat="1" applyFont="1" applyBorder="1"/>
    <xf numFmtId="10" fontId="44" fillId="0" borderId="0" xfId="0" applyNumberFormat="1" applyFont="1"/>
    <xf numFmtId="0" fontId="7" fillId="0" borderId="7" xfId="0" applyFont="1" applyBorder="1" applyAlignment="1">
      <alignment horizontal="right"/>
    </xf>
    <xf numFmtId="0" fontId="4" fillId="0" borderId="0" xfId="0" applyFont="1" applyAlignment="1">
      <alignment horizontal="right"/>
    </xf>
    <xf numFmtId="0" fontId="13" fillId="0" borderId="0" xfId="0" applyFont="1"/>
    <xf numFmtId="0" fontId="0" fillId="0" borderId="0" xfId="0"/>
    <xf numFmtId="0" fontId="1" fillId="0" borderId="0" xfId="0" applyFont="1" applyAlignment="1">
      <alignment horizontal="center" vertical="center" wrapText="1"/>
    </xf>
    <xf numFmtId="0" fontId="4" fillId="2" borderId="1" xfId="0" applyFont="1" applyFill="1" applyBorder="1" applyProtection="1">
      <protection locked="0"/>
    </xf>
    <xf numFmtId="164" fontId="4" fillId="0" borderId="0" xfId="2" applyNumberFormat="1" applyFont="1" applyBorder="1" applyAlignment="1" applyProtection="1">
      <alignment horizontal="right"/>
    </xf>
    <xf numFmtId="0" fontId="11" fillId="0" borderId="0" xfId="0" applyFont="1" applyAlignment="1">
      <alignment horizontal="left" vertical="top" wrapText="1"/>
    </xf>
    <xf numFmtId="0" fontId="13" fillId="0" borderId="0" xfId="0" applyFont="1" applyAlignment="1">
      <alignment wrapText="1"/>
    </xf>
    <xf numFmtId="0" fontId="9"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horizontal="center" wrapText="1"/>
    </xf>
    <xf numFmtId="0" fontId="19" fillId="0" borderId="0" xfId="0" applyFont="1" applyAlignment="1">
      <alignment horizontal="left" vertical="top" wrapText="1"/>
    </xf>
    <xf numFmtId="0" fontId="11" fillId="0" borderId="0" xfId="0" applyFont="1"/>
    <xf numFmtId="0" fontId="7" fillId="0" borderId="3" xfId="0" applyFont="1" applyBorder="1" applyAlignment="1">
      <alignment horizontal="center" wrapText="1"/>
    </xf>
    <xf numFmtId="0" fontId="16"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center" wrapText="1"/>
    </xf>
    <xf numFmtId="0" fontId="0" fillId="0" borderId="0" xfId="0" applyAlignment="1">
      <alignment horizontal="left" vertical="center" wrapText="1"/>
    </xf>
    <xf numFmtId="0" fontId="9" fillId="0" borderId="0" xfId="0" applyFont="1" applyAlignment="1">
      <alignment horizontal="left" wrapText="1"/>
    </xf>
    <xf numFmtId="0" fontId="9" fillId="0" borderId="5" xfId="0" applyFont="1" applyBorder="1" applyAlignment="1">
      <alignment horizontal="left"/>
    </xf>
    <xf numFmtId="0" fontId="8" fillId="0" borderId="0" xfId="0" applyFont="1" applyAlignment="1">
      <alignment horizontal="left" wrapText="1" indent="8"/>
    </xf>
    <xf numFmtId="0" fontId="0" fillId="0" borderId="0" xfId="0" applyAlignment="1">
      <alignment horizontal="left" wrapText="1" indent="8"/>
    </xf>
    <xf numFmtId="0" fontId="37" fillId="0" borderId="0" xfId="0" applyFont="1" applyAlignment="1">
      <alignment vertical="top" wrapText="1"/>
    </xf>
    <xf numFmtId="0" fontId="0" fillId="0" borderId="0" xfId="0" applyAlignment="1">
      <alignment vertical="top" wrapText="1"/>
    </xf>
    <xf numFmtId="0" fontId="4" fillId="0" borderId="0" xfId="0" applyFont="1" applyAlignment="1">
      <alignment horizontal="left" vertical="top" wrapText="1"/>
    </xf>
    <xf numFmtId="0" fontId="8" fillId="0" borderId="0" xfId="0" applyFont="1" applyAlignment="1">
      <alignment horizontal="left" vertical="top" wrapText="1"/>
    </xf>
    <xf numFmtId="0" fontId="12" fillId="0" borderId="0" xfId="0" applyFont="1" applyAlignment="1">
      <alignment vertical="top" wrapText="1"/>
    </xf>
    <xf numFmtId="0" fontId="30" fillId="0" borderId="0" xfId="0" applyFont="1" applyAlignment="1">
      <alignment vertical="top" wrapText="1"/>
    </xf>
    <xf numFmtId="0" fontId="43" fillId="0" borderId="12" xfId="0" applyFont="1" applyBorder="1" applyAlignment="1">
      <alignment horizontal="center"/>
    </xf>
    <xf numFmtId="0" fontId="40" fillId="0" borderId="0" xfId="0" applyFont="1" applyAlignment="1">
      <alignment vertical="top" wrapText="1"/>
    </xf>
  </cellXfs>
  <cellStyles count="5">
    <cellStyle name="Comma 3" xfId="2" xr:uid="{00000000-0005-0000-0000-000000000000}"/>
    <cellStyle name="Currency 3" xfId="4" xr:uid="{00000000-0005-0000-0000-000001000000}"/>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323851</xdr:colOff>
      <xdr:row>0</xdr:row>
      <xdr:rowOff>352426</xdr:rowOff>
    </xdr:from>
    <xdr:ext cx="3352800" cy="6223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1" y="352426"/>
          <a:ext cx="3352800" cy="6223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Desktop%20References\FY19Trial_New%20Budge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Details"/>
      <sheetName val="ERE-Faculty and Staff"/>
      <sheetName val="ERE-GRA"/>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pageSetUpPr fitToPage="1"/>
  </sheetPr>
  <dimension ref="A1:Q58"/>
  <sheetViews>
    <sheetView tabSelected="1" zoomScaleNormal="100" workbookViewId="0">
      <selection activeCell="F18" sqref="F18"/>
    </sheetView>
  </sheetViews>
  <sheetFormatPr defaultColWidth="9.140625" defaultRowHeight="12.75" x14ac:dyDescent="0.2"/>
  <cols>
    <col min="1" max="2" width="13.140625" customWidth="1"/>
    <col min="3" max="3" width="14.28515625" customWidth="1"/>
    <col min="4" max="4" width="17.7109375" customWidth="1"/>
    <col min="5" max="5" width="16.7109375" customWidth="1"/>
    <col min="6" max="6" width="12" customWidth="1"/>
    <col min="7" max="7" width="12.42578125" customWidth="1"/>
    <col min="8" max="8" width="15.42578125" customWidth="1"/>
    <col min="9" max="9" width="13.42578125" bestFit="1" customWidth="1"/>
    <col min="10" max="10" width="16" customWidth="1"/>
    <col min="11" max="11" width="13.7109375" customWidth="1"/>
    <col min="12" max="12" width="9.140625" customWidth="1"/>
    <col min="14" max="14" width="12.42578125" bestFit="1" customWidth="1"/>
    <col min="15" max="15" width="10.7109375" customWidth="1"/>
  </cols>
  <sheetData>
    <row r="1" spans="1:17" ht="105" customHeight="1" x14ac:dyDescent="0.2">
      <c r="A1" s="158"/>
      <c r="B1" s="158"/>
      <c r="C1" s="158"/>
      <c r="D1" s="158"/>
      <c r="E1" s="158"/>
      <c r="F1" s="159" t="s">
        <v>0</v>
      </c>
      <c r="G1" s="159"/>
      <c r="H1" s="159"/>
      <c r="I1" s="159"/>
      <c r="J1" s="159"/>
      <c r="K1" s="159"/>
    </row>
    <row r="2" spans="1:17" ht="25.15" customHeight="1" x14ac:dyDescent="0.25">
      <c r="A2" s="156" t="s">
        <v>1</v>
      </c>
      <c r="B2" s="156"/>
      <c r="C2" s="156"/>
      <c r="D2" s="160" t="s">
        <v>103</v>
      </c>
      <c r="E2" s="160"/>
      <c r="F2" s="160"/>
      <c r="G2" s="160"/>
      <c r="H2" s="160"/>
      <c r="I2" s="160"/>
      <c r="J2" s="1"/>
      <c r="K2" s="1"/>
      <c r="L2" s="1"/>
      <c r="M2" s="1"/>
    </row>
    <row r="3" spans="1:17" ht="7.5" customHeight="1" x14ac:dyDescent="0.25">
      <c r="A3" s="2"/>
      <c r="B3" s="2"/>
      <c r="C3" s="3"/>
      <c r="D3" s="4"/>
      <c r="E3" s="4"/>
      <c r="F3" s="5"/>
      <c r="G3" s="5"/>
      <c r="H3" s="5"/>
      <c r="I3" s="5"/>
      <c r="J3" s="1"/>
      <c r="K3" s="1"/>
      <c r="L3" s="1"/>
      <c r="M3" s="1"/>
    </row>
    <row r="4" spans="1:17" ht="25.15" customHeight="1" x14ac:dyDescent="0.25">
      <c r="A4" s="161" t="s">
        <v>2</v>
      </c>
      <c r="B4" s="161"/>
      <c r="C4" s="161"/>
      <c r="D4" s="6">
        <v>64187</v>
      </c>
      <c r="E4" s="7" t="s">
        <v>3</v>
      </c>
      <c r="F4" s="3"/>
      <c r="G4" s="8"/>
      <c r="H4" s="8"/>
      <c r="I4" s="8"/>
      <c r="J4" s="9"/>
      <c r="K4" s="10"/>
      <c r="L4" s="11"/>
      <c r="M4" s="11"/>
    </row>
    <row r="5" spans="1:17" ht="6.75" customHeight="1" x14ac:dyDescent="0.25">
      <c r="A5" s="12"/>
      <c r="B5" s="12"/>
      <c r="C5" s="13"/>
      <c r="D5" s="14"/>
      <c r="E5" s="15"/>
      <c r="F5" s="3"/>
      <c r="G5" s="8"/>
      <c r="H5" s="8"/>
      <c r="I5" s="8"/>
      <c r="J5" s="9"/>
      <c r="K5" s="10"/>
      <c r="L5" s="11"/>
      <c r="M5" s="11"/>
    </row>
    <row r="6" spans="1:17" ht="25.15" customHeight="1" x14ac:dyDescent="0.25">
      <c r="A6" s="156" t="s">
        <v>4</v>
      </c>
      <c r="B6" s="156"/>
      <c r="C6" s="156"/>
      <c r="D6" s="16">
        <v>2024</v>
      </c>
      <c r="E6" s="157" t="s">
        <v>5</v>
      </c>
      <c r="F6" s="157"/>
      <c r="G6" s="157"/>
      <c r="H6" s="157"/>
      <c r="I6" s="157"/>
      <c r="J6" s="157"/>
      <c r="K6" s="10"/>
      <c r="L6" s="11"/>
      <c r="M6" s="11"/>
    </row>
    <row r="7" spans="1:17" ht="5.25" customHeight="1" x14ac:dyDescent="0.25">
      <c r="A7" s="2"/>
      <c r="B7" s="2"/>
      <c r="C7" s="2"/>
      <c r="D7" s="17"/>
      <c r="E7" s="18"/>
      <c r="F7" s="3"/>
      <c r="G7" s="8"/>
      <c r="H7" s="8"/>
      <c r="I7" s="8"/>
      <c r="J7" s="9"/>
      <c r="K7" s="10"/>
      <c r="L7" s="11"/>
      <c r="M7" s="11"/>
    </row>
    <row r="8" spans="1:17" ht="28.5" customHeight="1" x14ac:dyDescent="0.25">
      <c r="A8" s="156" t="s">
        <v>6</v>
      </c>
      <c r="B8" s="156"/>
      <c r="C8" s="156"/>
      <c r="D8" s="19" t="s">
        <v>39</v>
      </c>
      <c r="E8" s="163" t="s">
        <v>8</v>
      </c>
      <c r="F8" s="163"/>
      <c r="G8" s="163"/>
      <c r="H8" s="163"/>
      <c r="I8" s="163"/>
      <c r="J8" s="163"/>
      <c r="K8" s="20"/>
      <c r="L8" s="20"/>
      <c r="M8" s="11"/>
    </row>
    <row r="9" spans="1:17" ht="15" customHeight="1" x14ac:dyDescent="0.25">
      <c r="A9" s="11"/>
      <c r="B9" s="21"/>
      <c r="C9" s="21"/>
      <c r="D9" s="21"/>
      <c r="E9" s="21"/>
      <c r="F9" s="21"/>
      <c r="G9" s="21"/>
      <c r="H9" s="21"/>
      <c r="I9" s="21"/>
      <c r="J9" s="22"/>
      <c r="K9" s="22"/>
      <c r="L9" s="11"/>
      <c r="M9" s="11"/>
    </row>
    <row r="10" spans="1:17" ht="91.5" customHeight="1" x14ac:dyDescent="0.2">
      <c r="A10" s="164" t="s">
        <v>9</v>
      </c>
      <c r="B10" s="164"/>
      <c r="C10" s="165" t="s">
        <v>10</v>
      </c>
      <c r="D10" s="165"/>
      <c r="E10" s="165"/>
      <c r="F10" s="165"/>
      <c r="G10" s="165"/>
      <c r="H10" s="165"/>
      <c r="I10" s="165"/>
      <c r="J10" s="165"/>
      <c r="K10" s="165"/>
      <c r="L10" s="23"/>
      <c r="M10" s="11"/>
    </row>
    <row r="11" spans="1:17" ht="31.5" x14ac:dyDescent="0.25">
      <c r="A11" s="11"/>
      <c r="B11" s="11"/>
      <c r="C11" s="166" t="s">
        <v>11</v>
      </c>
      <c r="D11" s="166"/>
      <c r="E11" s="166" t="s">
        <v>12</v>
      </c>
      <c r="F11" s="166"/>
      <c r="G11" s="166" t="s">
        <v>13</v>
      </c>
      <c r="H11" s="166"/>
      <c r="I11" s="24" t="s">
        <v>14</v>
      </c>
      <c r="J11" s="24" t="s">
        <v>15</v>
      </c>
      <c r="K11" s="25"/>
      <c r="L11" s="25"/>
      <c r="M11" s="11"/>
      <c r="N11" s="26"/>
    </row>
    <row r="12" spans="1:17" ht="15.75" x14ac:dyDescent="0.25">
      <c r="A12" s="167" t="s">
        <v>16</v>
      </c>
      <c r="B12" s="167"/>
      <c r="C12" s="27"/>
      <c r="D12" s="28">
        <f>D4</f>
        <v>64187</v>
      </c>
      <c r="E12" s="29"/>
      <c r="F12" s="28">
        <f>D4</f>
        <v>64187</v>
      </c>
      <c r="G12" s="29"/>
      <c r="H12" s="28">
        <f>D4</f>
        <v>64187</v>
      </c>
      <c r="I12" s="28">
        <f>D4</f>
        <v>64187</v>
      </c>
      <c r="J12" s="28">
        <f>D4</f>
        <v>64187</v>
      </c>
      <c r="K12" s="30"/>
      <c r="L12" s="30"/>
      <c r="M12" s="11"/>
    </row>
    <row r="13" spans="1:17" ht="15" x14ac:dyDescent="0.2">
      <c r="A13" s="168" t="s">
        <v>6</v>
      </c>
      <c r="B13" s="168"/>
      <c r="C13" s="11"/>
      <c r="D13" s="31">
        <f>IF($D8=$B32,C32,IF($D8=$B33,$C33,IF($D8=$B34,$C34,IF($D8=$B35,$C35))))</f>
        <v>0.12039999999999999</v>
      </c>
      <c r="E13" s="11"/>
      <c r="F13" s="31">
        <f>IF($D8=$B32, $C32, IF($D8=$B33,$C33,IF($D8=$B34,$C34, IF($D8=$B35,$C35))))</f>
        <v>0.12039999999999999</v>
      </c>
      <c r="G13" s="11"/>
      <c r="H13" s="31">
        <f>IF($D8=$B32, $C32, IF($D8=$B33,$C33, IF($D8=$B34,$C34,IF($D8=$B35,$C35))))</f>
        <v>0.12039999999999999</v>
      </c>
      <c r="I13" s="31">
        <f>IF($D8=$B32, $C32, IF($D8=$B33,$C33, IF($D8=$B35,$C35)))</f>
        <v>0.12039999999999999</v>
      </c>
      <c r="J13" s="32" t="s">
        <v>17</v>
      </c>
      <c r="K13" s="33"/>
      <c r="L13" s="33"/>
      <c r="M13" s="33"/>
      <c r="N13" s="34"/>
      <c r="O13" s="34"/>
      <c r="P13" s="34"/>
      <c r="Q13" s="34"/>
    </row>
    <row r="14" spans="1:17" ht="15" x14ac:dyDescent="0.2">
      <c r="A14" s="162" t="s">
        <v>18</v>
      </c>
      <c r="B14" s="162"/>
      <c r="C14" s="11"/>
      <c r="D14" s="32">
        <v>4.1000000000000003E-3</v>
      </c>
      <c r="E14" s="11"/>
      <c r="F14" s="32">
        <v>4.1000000000000003E-3</v>
      </c>
      <c r="G14" s="11"/>
      <c r="H14" s="32">
        <v>4.1000000000000003E-3</v>
      </c>
      <c r="I14" s="32">
        <v>4.1000000000000003E-3</v>
      </c>
      <c r="J14" s="32">
        <v>4.1000000000000003E-3</v>
      </c>
      <c r="K14" s="32"/>
      <c r="L14" s="32"/>
      <c r="M14" s="11"/>
    </row>
    <row r="15" spans="1:17" ht="15" x14ac:dyDescent="0.2">
      <c r="A15" s="162" t="s">
        <v>19</v>
      </c>
      <c r="B15" s="162"/>
      <c r="C15" s="35">
        <f>I32</f>
        <v>8537.4</v>
      </c>
      <c r="D15" s="36">
        <f>(IF($D$12&gt;=$F$36,$F$32*$F$36,($D$12*$F$32)))/$D12</f>
        <v>6.2E-2</v>
      </c>
      <c r="E15" s="11"/>
      <c r="F15" s="36">
        <f>(IF($F$12&gt;=$F$36,$F$32*$F$36,($F$12*$F$32)))/$F12</f>
        <v>6.2E-2</v>
      </c>
      <c r="G15" s="11"/>
      <c r="H15" s="36">
        <f>(IF($H$12&gt;=$F$36,$F$32*$F$36,($H$12*$F$32)))/$H12</f>
        <v>6.2E-2</v>
      </c>
      <c r="I15" s="36">
        <f>(IF($I$12&gt;=$F$36,$F$32*$F$36,($I$12*$F$32)))/$I12</f>
        <v>6.2E-2</v>
      </c>
      <c r="J15" s="36">
        <f>(IF($J$12&gt;=$F$36,$F$32*$F$36,($J$12*$F$32)))/$J12</f>
        <v>6.2E-2</v>
      </c>
      <c r="K15" s="32"/>
      <c r="L15" s="32"/>
      <c r="M15" s="11"/>
    </row>
    <row r="16" spans="1:17" ht="15" x14ac:dyDescent="0.2">
      <c r="A16" s="162" t="s">
        <v>20</v>
      </c>
      <c r="B16" s="162"/>
      <c r="C16" s="31"/>
      <c r="D16" s="37">
        <f>F33</f>
        <v>1.4500000000000001E-2</v>
      </c>
      <c r="E16" s="31"/>
      <c r="F16" s="32">
        <f>F33</f>
        <v>1.4500000000000001E-2</v>
      </c>
      <c r="G16" s="31"/>
      <c r="H16" s="32">
        <f>F33</f>
        <v>1.4500000000000001E-2</v>
      </c>
      <c r="I16" s="32">
        <f>F33</f>
        <v>1.4500000000000001E-2</v>
      </c>
      <c r="J16" s="32">
        <f>F33</f>
        <v>1.4500000000000001E-2</v>
      </c>
      <c r="K16" s="32"/>
      <c r="L16" s="32"/>
      <c r="M16" s="11"/>
    </row>
    <row r="17" spans="1:16" ht="15" x14ac:dyDescent="0.2">
      <c r="A17" s="162" t="s">
        <v>21</v>
      </c>
      <c r="B17" s="162"/>
      <c r="C17" s="38">
        <v>10.5</v>
      </c>
      <c r="D17" s="39">
        <f>(IF($D$12&lt;=$M$37,($D$12*$N$37)/$D$12,($C$17/$D$12)))</f>
        <v>1.635845264617446E-4</v>
      </c>
      <c r="E17" s="40">
        <f>+C17</f>
        <v>10.5</v>
      </c>
      <c r="F17" s="39">
        <f>(IF($F$12&lt;=$M$37,($F$12*$N$37)/$F$12,($E$17/$F$12)))</f>
        <v>1.635845264617446E-4</v>
      </c>
      <c r="G17" s="40">
        <f>C17</f>
        <v>10.5</v>
      </c>
      <c r="H17" s="39">
        <f>(IF($H$12&lt;=$M$37,($H$12*$N$37)/$H$12,($C$17/$H$12)))</f>
        <v>1.635845264617446E-4</v>
      </c>
      <c r="I17" s="32" t="s">
        <v>17</v>
      </c>
      <c r="J17" s="39">
        <f>(IF($J$12&lt;=$M$37,($J$12*$N$37)/$J$12,($C$17/$J$12)))</f>
        <v>1.635845264617446E-4</v>
      </c>
      <c r="K17" s="41"/>
      <c r="L17" s="42"/>
      <c r="M17" s="11"/>
    </row>
    <row r="18" spans="1:16" ht="15" x14ac:dyDescent="0.2">
      <c r="A18" s="162" t="s">
        <v>22</v>
      </c>
      <c r="B18" s="162"/>
      <c r="C18" s="38">
        <f>IF($D$6=$O$42,$B$43,IF($D$6=$O$43,$B$44,IF($D$6=$O$44,$B$45,IF($D$6=$O$45,$B$46,IF($D$6=$O$46,$B$47,IF($D$6=$O$47,$B$48,IF($D$6=$O$48,$B$49,IF($D$6=$O$49,$B$50))))))))</f>
        <v>24897.777298143759</v>
      </c>
      <c r="D18" s="43">
        <f>C18/D12</f>
        <v>0.38789439135874493</v>
      </c>
      <c r="E18" s="38">
        <f>IF($D$6=$O$42,$C$43,IF($D$6=$O$43,$C$44,IF($D$6=$O$44,$C$45,IF($D$6=$O$45,$C$46,IF($D$6=$O$46,$C$47,IF($D$6=$O$47,$C$48,IF($D$6=$O$48,$C$49,IF($D$6=$O$49,$C$50))))))))</f>
        <v>19953.462525018753</v>
      </c>
      <c r="F18" s="43">
        <f>E18/F12</f>
        <v>0.31086454461212942</v>
      </c>
      <c r="G18" s="38">
        <f>IF($D$6=$O$42,$D$43,IF($D$6=$O$43,$D$44,IF($D$6=$O$44,$D$45,IF($D$6=$O$45,$D$46,IF($D$6=$O$46,$D$47,IF($D$6=$O$47,$D$48,IF($D$6=$O$48,$D$49,IF($D$6=$O$49,$D$50))))))))</f>
        <v>9916.1717023687524</v>
      </c>
      <c r="H18" s="44">
        <f>+G18/H12</f>
        <v>0.15448878592812801</v>
      </c>
      <c r="I18" s="32" t="s">
        <v>17</v>
      </c>
      <c r="J18" s="32" t="s">
        <v>17</v>
      </c>
      <c r="K18" s="45"/>
      <c r="L18" s="42"/>
      <c r="M18" s="11"/>
    </row>
    <row r="19" spans="1:16" ht="15" x14ac:dyDescent="0.2">
      <c r="A19" s="162" t="s">
        <v>23</v>
      </c>
      <c r="B19" s="162"/>
      <c r="C19" s="38">
        <f>IF($D$6=$O$42,$H$43,IF($D$6=$O$43,$H$44,IF($D$6=$O$44,$H$45,IF($D$6=$O$45,$H$46,IF($D$6=$O$46,$H$47,IF($D$6=$O$47,$H$48,IF($D$6=$O$48,$H$49,IF($D$6=$O$49,$H$50))))))))</f>
        <v>209.71858635000004</v>
      </c>
      <c r="D19" s="43">
        <f>C19/D12</f>
        <v>3.2673062512658334E-3</v>
      </c>
      <c r="E19" s="38">
        <f>IF($D$6=$O$42,$I$43,IF($D$6=$O$43,$I$44,IF($D$6=$O$44,$I$45,IF($D$6=$O$45,$I$46,IF($D$6=$O$46,$I$47,IF($D$6=$O$47,$I$48,IF($D$6=$O$48,$I$49,IF($D$6=$O$49,$I$50))))))))</f>
        <v>151.97960846250007</v>
      </c>
      <c r="F19" s="44">
        <f>+E19/F12</f>
        <v>2.3677630744932785E-3</v>
      </c>
      <c r="G19" s="38">
        <f>IF($D$6=$O$42,$J$43,IF($D$6=$O$43,$J$44,IF($D$6=$O$44,$J$45,IF($D$6=$O$45,$J$46,IF($D$6=$O$46,$J$47,IF($D$6=$O$47,$J$48,IF($D$6=$O$48,$J$49,IF($D$6=$O$49,$J$50))))))))</f>
        <v>75.989804231250034</v>
      </c>
      <c r="H19" s="44">
        <f>+G19/H12</f>
        <v>1.1838815372466392E-3</v>
      </c>
      <c r="I19" s="32" t="s">
        <v>17</v>
      </c>
      <c r="J19" s="32" t="s">
        <v>17</v>
      </c>
      <c r="K19" s="32"/>
      <c r="L19" s="32"/>
      <c r="M19" s="11"/>
      <c r="N19" s="46"/>
    </row>
    <row r="20" spans="1:16" ht="15" x14ac:dyDescent="0.2">
      <c r="A20" s="162" t="s">
        <v>24</v>
      </c>
      <c r="B20" s="162"/>
      <c r="C20" s="47"/>
      <c r="D20" s="48">
        <f>IF($D8=$B32, $D$32, IF($D8=$B33,$D$33, IF($D8=$B34,$D$34,IF($D8=$B35,$D$35))))</f>
        <v>1.6999999999999999E-3</v>
      </c>
      <c r="E20" s="49"/>
      <c r="F20" s="48">
        <f>IF($D8=$B32, $D$32, IF($D8=$B33,$D$33,IF($D8=$B34,$D$34, IF($D8=$B35,$D$35))))</f>
        <v>1.6999999999999999E-3</v>
      </c>
      <c r="G20" s="49"/>
      <c r="H20" s="48">
        <f>IF($D8=$B32, $D$32, IF($D8=$B33,$D$33,IF($D$8=$B34,$D$34, IF($D8=$B35,$D$35))))</f>
        <v>1.6999999999999999E-3</v>
      </c>
      <c r="I20" s="48">
        <f>IF($D8=$B32, $D$32, IF($D8=$B33,$D$33, IF($D8=$B35,$D$35)))</f>
        <v>1.6999999999999999E-3</v>
      </c>
      <c r="J20" s="50" t="s">
        <v>17</v>
      </c>
      <c r="K20" s="50"/>
      <c r="L20" s="50"/>
      <c r="M20" s="11"/>
    </row>
    <row r="21" spans="1:16" ht="15" x14ac:dyDescent="0.2">
      <c r="A21" s="162" t="s">
        <v>25</v>
      </c>
      <c r="B21" s="162"/>
      <c r="C21" s="38">
        <f>$H$53</f>
        <v>18.010000000000002</v>
      </c>
      <c r="D21" s="32">
        <f>+$C$21/D12</f>
        <v>2.8058641157866859E-4</v>
      </c>
      <c r="E21" s="38">
        <f>$H$53</f>
        <v>18.010000000000002</v>
      </c>
      <c r="F21" s="42">
        <f>+$E$21/F12</f>
        <v>2.8058641157866859E-4</v>
      </c>
      <c r="G21" s="38">
        <f>$H$53</f>
        <v>18.010000000000002</v>
      </c>
      <c r="H21" s="32">
        <f>+$G$21/H12</f>
        <v>2.8058641157866859E-4</v>
      </c>
      <c r="I21" s="32" t="s">
        <v>17</v>
      </c>
      <c r="J21" s="32" t="s">
        <v>17</v>
      </c>
      <c r="K21" s="32"/>
      <c r="L21" s="32"/>
      <c r="M21" s="11"/>
    </row>
    <row r="22" spans="1:16" ht="15" x14ac:dyDescent="0.2">
      <c r="A22" s="162" t="s">
        <v>26</v>
      </c>
      <c r="B22" s="162"/>
      <c r="C22" s="51"/>
      <c r="D22" s="52">
        <v>4.0000000000000001E-3</v>
      </c>
      <c r="E22" s="11"/>
      <c r="F22" s="52">
        <v>4.0000000000000001E-3</v>
      </c>
      <c r="G22" s="11"/>
      <c r="H22" s="52">
        <v>4.0000000000000001E-3</v>
      </c>
      <c r="I22" s="52" t="s">
        <v>17</v>
      </c>
      <c r="J22" s="52" t="s">
        <v>17</v>
      </c>
      <c r="K22" s="52"/>
      <c r="L22" s="53"/>
      <c r="M22" s="11"/>
      <c r="N22" s="54"/>
    </row>
    <row r="23" spans="1:16" ht="15.75" x14ac:dyDescent="0.2">
      <c r="A23" s="170" t="s">
        <v>27</v>
      </c>
      <c r="B23" s="170"/>
      <c r="C23" s="11"/>
      <c r="D23" s="55">
        <f>SUM(D13:D22)</f>
        <v>0.59830586854805123</v>
      </c>
      <c r="E23" s="56"/>
      <c r="F23" s="57">
        <f>SUM(F13:F22)</f>
        <v>0.52037647862466319</v>
      </c>
      <c r="G23" s="56"/>
      <c r="H23" s="57">
        <f>SUM(H13:H22)</f>
        <v>0.36281683840341505</v>
      </c>
      <c r="I23" s="57">
        <f>SUM(I13:I22)</f>
        <v>0.20270000000000002</v>
      </c>
      <c r="J23" s="58">
        <f>SUM(J13:J22)</f>
        <v>8.0763584526461749E-2</v>
      </c>
      <c r="K23" s="59"/>
      <c r="L23" s="53"/>
      <c r="M23" s="11"/>
    </row>
    <row r="24" spans="1:16" ht="15.75" x14ac:dyDescent="0.2">
      <c r="A24" s="170" t="s">
        <v>28</v>
      </c>
      <c r="B24" s="170"/>
      <c r="C24" s="11"/>
      <c r="D24" s="60">
        <f>+D12*D23</f>
        <v>38403.458784493763</v>
      </c>
      <c r="E24" s="11"/>
      <c r="F24" s="60">
        <f>SUM(F12*F23)</f>
        <v>33401.405033481256</v>
      </c>
      <c r="G24" s="11"/>
      <c r="H24" s="60">
        <f>SUM(H12*H23)</f>
        <v>23288.124406600004</v>
      </c>
      <c r="I24" s="60">
        <f>SUM(I12*I23)</f>
        <v>13010.704900000001</v>
      </c>
      <c r="J24" s="60">
        <f>SUM(J12*J23)</f>
        <v>5183.9722000000002</v>
      </c>
      <c r="K24" s="60"/>
      <c r="L24" s="53"/>
      <c r="M24" s="11"/>
    </row>
    <row r="25" spans="1:16" ht="15.75" x14ac:dyDescent="0.2">
      <c r="A25" s="11"/>
      <c r="B25" s="61"/>
      <c r="C25" s="61"/>
      <c r="D25" s="11"/>
      <c r="E25" s="60"/>
      <c r="F25" s="11"/>
      <c r="G25" s="60"/>
      <c r="H25" s="60"/>
      <c r="I25" s="60"/>
      <c r="J25" s="60"/>
      <c r="K25" s="60"/>
      <c r="L25" s="60"/>
      <c r="M25" s="11"/>
    </row>
    <row r="26" spans="1:16" ht="20.25" customHeight="1" x14ac:dyDescent="0.2">
      <c r="A26" s="62" t="s">
        <v>29</v>
      </c>
      <c r="B26" s="11"/>
      <c r="C26" s="62"/>
      <c r="D26" s="63"/>
      <c r="E26" s="64"/>
      <c r="F26" s="65"/>
      <c r="G26" s="66"/>
      <c r="H26" s="65"/>
      <c r="I26" s="65"/>
      <c r="J26" s="65"/>
      <c r="K26" s="65"/>
      <c r="L26" s="11"/>
      <c r="M26" s="11"/>
    </row>
    <row r="27" spans="1:16" ht="60" customHeight="1" x14ac:dyDescent="0.2">
      <c r="A27" s="171" t="s">
        <v>30</v>
      </c>
      <c r="B27" s="171"/>
      <c r="C27" s="171"/>
      <c r="D27" s="171"/>
      <c r="E27" s="171"/>
      <c r="F27" s="171"/>
      <c r="G27" s="171"/>
      <c r="H27" s="171"/>
      <c r="I27" s="171"/>
      <c r="J27" s="171"/>
      <c r="K27" s="171"/>
      <c r="L27" s="67"/>
      <c r="M27" s="68"/>
      <c r="O27" s="26"/>
    </row>
    <row r="28" spans="1:16" ht="31.5" customHeight="1" x14ac:dyDescent="0.2">
      <c r="A28" s="172" t="s">
        <v>31</v>
      </c>
      <c r="B28" s="173"/>
      <c r="C28" s="173"/>
      <c r="D28" s="173"/>
      <c r="E28" s="173"/>
      <c r="F28" s="69">
        <f>0.0037</f>
        <v>3.7000000000000002E-3</v>
      </c>
      <c r="G28" s="70"/>
      <c r="H28" s="70"/>
      <c r="I28" s="71"/>
      <c r="J28" s="71"/>
      <c r="K28" s="71"/>
      <c r="L28" s="71"/>
      <c r="M28" s="68"/>
      <c r="O28" s="72"/>
      <c r="P28" s="73"/>
    </row>
    <row r="29" spans="1:16" ht="15.75" x14ac:dyDescent="0.2">
      <c r="A29" s="67" t="s">
        <v>32</v>
      </c>
      <c r="B29" s="162" t="s">
        <v>33</v>
      </c>
      <c r="C29" s="162"/>
      <c r="D29" s="162"/>
      <c r="E29" s="162"/>
      <c r="F29" s="158"/>
      <c r="G29" s="74">
        <f>F36</f>
        <v>137700</v>
      </c>
      <c r="H29" s="75"/>
      <c r="I29" s="76"/>
      <c r="J29" s="77"/>
      <c r="K29" s="67"/>
      <c r="L29" s="67"/>
      <c r="M29" s="68"/>
    </row>
    <row r="30" spans="1:16" ht="15.75" x14ac:dyDescent="0.2">
      <c r="A30" s="67" t="s">
        <v>34</v>
      </c>
      <c r="B30" s="162" t="s">
        <v>35</v>
      </c>
      <c r="C30" s="162"/>
      <c r="D30" s="162"/>
      <c r="E30" s="162"/>
      <c r="F30" s="162"/>
      <c r="G30" s="162"/>
      <c r="H30" s="78"/>
      <c r="I30" s="78"/>
      <c r="J30" s="78"/>
      <c r="K30" s="78"/>
      <c r="L30" s="67"/>
      <c r="M30" s="68"/>
    </row>
    <row r="31" spans="1:16" ht="15" x14ac:dyDescent="0.2">
      <c r="A31" s="11"/>
      <c r="B31" s="79" t="s">
        <v>36</v>
      </c>
      <c r="C31" s="79" t="s">
        <v>37</v>
      </c>
      <c r="D31" s="80" t="s">
        <v>24</v>
      </c>
      <c r="E31" s="81"/>
      <c r="F31" s="169" t="s">
        <v>38</v>
      </c>
      <c r="G31" s="169"/>
      <c r="H31" s="11"/>
      <c r="I31" s="11"/>
      <c r="J31" s="68"/>
      <c r="K31" s="11"/>
      <c r="L31" s="68"/>
      <c r="M31" s="68"/>
    </row>
    <row r="32" spans="1:16" ht="15" x14ac:dyDescent="0.2">
      <c r="A32" s="11"/>
      <c r="B32" s="82" t="s">
        <v>39</v>
      </c>
      <c r="C32" s="83">
        <v>0.12039999999999999</v>
      </c>
      <c r="D32" s="84">
        <v>1.6999999999999999E-3</v>
      </c>
      <c r="E32" s="81" t="s">
        <v>40</v>
      </c>
      <c r="F32" s="85">
        <v>6.2E-2</v>
      </c>
      <c r="G32" s="86" t="s">
        <v>41</v>
      </c>
      <c r="H32" s="75" t="s">
        <v>42</v>
      </c>
      <c r="I32" s="76">
        <f>+F32*F36</f>
        <v>8537.4</v>
      </c>
      <c r="J32" s="77" t="s">
        <v>43</v>
      </c>
      <c r="K32" s="11"/>
      <c r="L32" s="87"/>
      <c r="M32" s="11"/>
    </row>
    <row r="33" spans="1:17" ht="15" x14ac:dyDescent="0.2">
      <c r="A33" s="11"/>
      <c r="B33" s="82" t="s">
        <v>7</v>
      </c>
      <c r="C33" s="88">
        <v>7.0000000000000007E-2</v>
      </c>
      <c r="D33" s="84">
        <v>1.92E-3</v>
      </c>
      <c r="E33" s="81" t="s">
        <v>44</v>
      </c>
      <c r="F33" s="85">
        <v>1.4500000000000001E-2</v>
      </c>
      <c r="G33" s="86" t="s">
        <v>20</v>
      </c>
      <c r="H33" s="81"/>
      <c r="J33" s="89"/>
      <c r="K33" s="11"/>
      <c r="L33" s="90"/>
      <c r="M33" s="11"/>
    </row>
    <row r="34" spans="1:17" ht="15" x14ac:dyDescent="0.2">
      <c r="A34" s="11"/>
      <c r="B34" s="82" t="s">
        <v>45</v>
      </c>
      <c r="C34" s="83">
        <v>0.11650000000000001</v>
      </c>
      <c r="D34" s="84">
        <v>1.41E-2</v>
      </c>
      <c r="E34" s="81"/>
      <c r="F34" s="85"/>
      <c r="G34" s="86"/>
      <c r="H34" s="81"/>
      <c r="J34" s="89"/>
      <c r="K34" s="11"/>
      <c r="L34" s="90"/>
      <c r="M34" s="11"/>
    </row>
    <row r="35" spans="1:17" ht="15" x14ac:dyDescent="0.2">
      <c r="A35" s="11"/>
      <c r="B35" s="82" t="s">
        <v>46</v>
      </c>
      <c r="C35" s="88">
        <v>0</v>
      </c>
      <c r="D35" s="84">
        <v>0</v>
      </c>
      <c r="E35" s="81"/>
      <c r="F35" s="85">
        <f>SUM(F32+F33)</f>
        <v>7.6499999999999999E-2</v>
      </c>
      <c r="G35" s="86" t="s">
        <v>47</v>
      </c>
      <c r="H35" s="63"/>
      <c r="I35" s="11"/>
      <c r="J35" s="11"/>
      <c r="K35" s="11"/>
      <c r="L35" s="11"/>
      <c r="M35" s="11"/>
    </row>
    <row r="36" spans="1:17" ht="12.75" customHeight="1" x14ac:dyDescent="0.2">
      <c r="A36" s="11"/>
      <c r="B36" s="91" t="s">
        <v>48</v>
      </c>
      <c r="C36" s="92">
        <v>8.6399999999999997E-4</v>
      </c>
      <c r="D36" s="93"/>
      <c r="E36" s="94"/>
      <c r="F36" s="95">
        <v>137700</v>
      </c>
      <c r="G36" s="96" t="s">
        <v>49</v>
      </c>
      <c r="H36" s="81" t="s">
        <v>50</v>
      </c>
      <c r="I36" s="11"/>
      <c r="J36" s="11"/>
      <c r="K36" s="11"/>
      <c r="L36" s="11"/>
      <c r="M36" s="97" t="b">
        <v>0</v>
      </c>
    </row>
    <row r="37" spans="1:17" ht="52.5" customHeight="1" x14ac:dyDescent="0.25">
      <c r="A37" s="174" t="s">
        <v>51</v>
      </c>
      <c r="B37" s="174"/>
      <c r="C37" s="174"/>
      <c r="D37" s="174"/>
      <c r="E37" s="174"/>
      <c r="F37" s="174"/>
      <c r="G37" s="174"/>
      <c r="H37" s="174"/>
      <c r="I37" s="174"/>
      <c r="J37" s="174"/>
      <c r="K37" s="174"/>
      <c r="L37" s="98"/>
      <c r="M37">
        <v>7000</v>
      </c>
      <c r="N37" s="99">
        <v>1.5E-3</v>
      </c>
      <c r="O37" s="99"/>
    </row>
    <row r="38" spans="1:17" ht="54.4" customHeight="1" x14ac:dyDescent="0.2">
      <c r="A38" s="172" t="s">
        <v>52</v>
      </c>
      <c r="B38" s="172"/>
      <c r="C38" s="172"/>
      <c r="D38" s="172"/>
      <c r="E38" s="172"/>
      <c r="F38" s="172"/>
      <c r="G38" s="172"/>
      <c r="H38" s="172"/>
      <c r="I38" s="172"/>
      <c r="J38" s="172"/>
      <c r="K38" s="172"/>
      <c r="L38" s="71"/>
      <c r="M38" s="68"/>
    </row>
    <row r="39" spans="1:17" ht="49.5" customHeight="1" x14ac:dyDescent="0.2">
      <c r="A39" s="172" t="s">
        <v>53</v>
      </c>
      <c r="B39" s="172"/>
      <c r="C39" s="172"/>
      <c r="D39" s="172"/>
      <c r="E39" s="172"/>
      <c r="F39" s="172"/>
      <c r="G39" s="172"/>
      <c r="H39" s="172"/>
      <c r="I39" s="172"/>
      <c r="J39" s="172"/>
      <c r="K39" s="172"/>
      <c r="L39" s="71"/>
      <c r="M39" s="11"/>
    </row>
    <row r="40" spans="1:17" s="103" customFormat="1" ht="16.5" customHeight="1" x14ac:dyDescent="0.2">
      <c r="A40" s="63"/>
      <c r="B40" s="100"/>
      <c r="C40" s="100" t="s">
        <v>54</v>
      </c>
      <c r="D40" s="101">
        <v>1.05</v>
      </c>
      <c r="E40" s="102">
        <v>0.05</v>
      </c>
      <c r="F40" s="63"/>
      <c r="G40" s="63"/>
      <c r="H40" s="63"/>
      <c r="I40" s="63"/>
      <c r="J40" s="63"/>
      <c r="K40" s="63"/>
      <c r="L40" s="63"/>
      <c r="M40" s="63"/>
      <c r="O40" s="104" t="s">
        <v>55</v>
      </c>
    </row>
    <row r="41" spans="1:17" ht="15.75" x14ac:dyDescent="0.25">
      <c r="A41" s="105"/>
      <c r="B41" s="175" t="s">
        <v>56</v>
      </c>
      <c r="C41" s="175"/>
      <c r="D41" s="175"/>
      <c r="E41" s="106"/>
      <c r="G41" s="105"/>
      <c r="H41" s="175" t="s">
        <v>57</v>
      </c>
      <c r="I41" s="175"/>
      <c r="J41" s="175"/>
      <c r="K41" s="106"/>
      <c r="O41" s="107" t="s">
        <v>58</v>
      </c>
      <c r="Q41" t="s">
        <v>59</v>
      </c>
    </row>
    <row r="42" spans="1:17" ht="15.75" x14ac:dyDescent="0.25">
      <c r="A42" s="108" t="s">
        <v>60</v>
      </c>
      <c r="B42" s="109" t="s">
        <v>61</v>
      </c>
      <c r="C42" s="109" t="s">
        <v>62</v>
      </c>
      <c r="D42" s="109" t="s">
        <v>63</v>
      </c>
      <c r="E42" s="110"/>
      <c r="G42" s="108" t="s">
        <v>60</v>
      </c>
      <c r="H42" s="109" t="s">
        <v>61</v>
      </c>
      <c r="I42" s="109" t="s">
        <v>62</v>
      </c>
      <c r="J42" s="109" t="s">
        <v>63</v>
      </c>
      <c r="K42" s="110"/>
      <c r="O42" s="107">
        <v>2017</v>
      </c>
      <c r="Q42" t="s">
        <v>3</v>
      </c>
    </row>
    <row r="43" spans="1:17" x14ac:dyDescent="0.2">
      <c r="A43" s="111">
        <v>2017</v>
      </c>
      <c r="B43" s="112">
        <f>763.49*26</f>
        <v>19850.740000000002</v>
      </c>
      <c r="C43" s="112">
        <f>533.29*26</f>
        <v>13865.539999999999</v>
      </c>
      <c r="D43" s="112">
        <f>264.81*26</f>
        <v>6885.06</v>
      </c>
      <c r="E43" s="113" t="s">
        <v>64</v>
      </c>
      <c r="G43" s="111">
        <v>2017</v>
      </c>
      <c r="H43" s="112">
        <f>6.32*26</f>
        <v>164.32</v>
      </c>
      <c r="I43" s="112">
        <f>4.58*26</f>
        <v>119.08</v>
      </c>
      <c r="J43" s="112">
        <f>2.29*26</f>
        <v>59.54</v>
      </c>
      <c r="K43" s="113" t="s">
        <v>65</v>
      </c>
      <c r="O43" s="107">
        <v>2018</v>
      </c>
      <c r="Q43" t="s">
        <v>66</v>
      </c>
    </row>
    <row r="44" spans="1:17" x14ac:dyDescent="0.2">
      <c r="A44" s="111">
        <v>2018</v>
      </c>
      <c r="B44" s="112">
        <f>803.82*26</f>
        <v>20899.32</v>
      </c>
      <c r="C44" s="112">
        <f>561.06*26</f>
        <v>14587.559999999998</v>
      </c>
      <c r="D44" s="112">
        <f>278.83*26</f>
        <v>7249.58</v>
      </c>
      <c r="E44" s="113" t="s">
        <v>64</v>
      </c>
      <c r="G44" s="111">
        <v>2018</v>
      </c>
      <c r="H44" s="112">
        <f>6.32*26</f>
        <v>164.32</v>
      </c>
      <c r="I44" s="112">
        <f>4.58*26</f>
        <v>119.08</v>
      </c>
      <c r="J44" s="112">
        <f>2.29*26</f>
        <v>59.54</v>
      </c>
      <c r="K44" s="113" t="s">
        <v>64</v>
      </c>
      <c r="O44" s="107">
        <v>2019</v>
      </c>
      <c r="Q44" t="s">
        <v>67</v>
      </c>
    </row>
    <row r="45" spans="1:17" ht="15" x14ac:dyDescent="0.2">
      <c r="A45" s="155">
        <v>2019</v>
      </c>
      <c r="B45" s="118">
        <f>750.31*26</f>
        <v>19508.059999999998</v>
      </c>
      <c r="C45" s="118">
        <f>601.31*26</f>
        <v>15634.059999999998</v>
      </c>
      <c r="D45" s="118">
        <f>298.83*26</f>
        <v>7769.58</v>
      </c>
      <c r="E45" s="113" t="s">
        <v>64</v>
      </c>
      <c r="G45" s="155">
        <v>2019</v>
      </c>
      <c r="H45" s="118">
        <f>6.32*26</f>
        <v>164.32</v>
      </c>
      <c r="I45" s="118">
        <f>4.58*26</f>
        <v>119.08</v>
      </c>
      <c r="J45" s="118">
        <f>2.29*26</f>
        <v>59.54</v>
      </c>
      <c r="K45" s="113" t="s">
        <v>64</v>
      </c>
      <c r="O45" s="107">
        <v>2020</v>
      </c>
    </row>
    <row r="46" spans="1:17" ht="15.75" x14ac:dyDescent="0.25">
      <c r="A46" s="114">
        <v>2020</v>
      </c>
      <c r="B46" s="115">
        <f t="shared" ref="B46:D50" si="0">+B45*$D$40</f>
        <v>20483.463</v>
      </c>
      <c r="C46" s="115">
        <f t="shared" si="0"/>
        <v>16415.762999999999</v>
      </c>
      <c r="D46" s="115">
        <f t="shared" si="0"/>
        <v>8158.0590000000002</v>
      </c>
      <c r="E46" s="116" t="s">
        <v>68</v>
      </c>
      <c r="G46" s="114">
        <v>2020</v>
      </c>
      <c r="H46" s="115">
        <f>H45*1.05</f>
        <v>172.536</v>
      </c>
      <c r="I46" s="115">
        <f t="shared" ref="I46:J50" si="1">+I45*$D$40</f>
        <v>125.03400000000001</v>
      </c>
      <c r="J46" s="115">
        <f t="shared" si="1"/>
        <v>62.517000000000003</v>
      </c>
      <c r="K46" s="116" t="s">
        <v>68</v>
      </c>
      <c r="O46" s="107">
        <v>2021</v>
      </c>
    </row>
    <row r="47" spans="1:17" ht="15" x14ac:dyDescent="0.2">
      <c r="A47" s="117">
        <v>2021</v>
      </c>
      <c r="B47" s="118">
        <f t="shared" si="0"/>
        <v>21507.636150000002</v>
      </c>
      <c r="C47" s="118">
        <f t="shared" si="0"/>
        <v>17236.551149999999</v>
      </c>
      <c r="D47" s="118">
        <f t="shared" si="0"/>
        <v>8565.9619500000008</v>
      </c>
      <c r="E47" s="119" t="s">
        <v>65</v>
      </c>
      <c r="G47" s="117">
        <v>2021</v>
      </c>
      <c r="H47" s="118">
        <f>H46*1.05</f>
        <v>181.1628</v>
      </c>
      <c r="I47" s="118">
        <f t="shared" si="1"/>
        <v>131.28570000000002</v>
      </c>
      <c r="J47" s="118">
        <f t="shared" si="1"/>
        <v>65.64285000000001</v>
      </c>
      <c r="K47" s="119" t="s">
        <v>65</v>
      </c>
      <c r="O47" s="107">
        <v>2022</v>
      </c>
    </row>
    <row r="48" spans="1:17" ht="15" x14ac:dyDescent="0.2">
      <c r="A48" s="117">
        <v>2022</v>
      </c>
      <c r="B48" s="118">
        <f t="shared" si="0"/>
        <v>22583.017957500004</v>
      </c>
      <c r="C48" s="118">
        <f t="shared" si="0"/>
        <v>18098.3787075</v>
      </c>
      <c r="D48" s="118">
        <f t="shared" si="0"/>
        <v>8994.2600475000017</v>
      </c>
      <c r="E48" s="119" t="s">
        <v>65</v>
      </c>
      <c r="G48" s="117">
        <v>2022</v>
      </c>
      <c r="H48" s="118">
        <f>H47*1.05</f>
        <v>190.22094000000001</v>
      </c>
      <c r="I48" s="118">
        <f t="shared" si="1"/>
        <v>137.84998500000003</v>
      </c>
      <c r="J48" s="118">
        <f t="shared" si="1"/>
        <v>68.924992500000016</v>
      </c>
      <c r="K48" s="119" t="s">
        <v>65</v>
      </c>
      <c r="O48" s="107">
        <v>2023</v>
      </c>
    </row>
    <row r="49" spans="1:15" ht="15" x14ac:dyDescent="0.2">
      <c r="A49" s="117">
        <v>2023</v>
      </c>
      <c r="B49" s="118">
        <f t="shared" si="0"/>
        <v>23712.168855375006</v>
      </c>
      <c r="C49" s="118">
        <f t="shared" si="0"/>
        <v>19003.297642875001</v>
      </c>
      <c r="D49" s="118">
        <f t="shared" si="0"/>
        <v>9443.9730498750014</v>
      </c>
      <c r="E49" s="119" t="s">
        <v>65</v>
      </c>
      <c r="G49" s="117">
        <v>2023</v>
      </c>
      <c r="H49" s="118">
        <f>H48*1.05</f>
        <v>199.73198700000003</v>
      </c>
      <c r="I49" s="118">
        <f t="shared" si="1"/>
        <v>144.74248425000005</v>
      </c>
      <c r="J49" s="118">
        <f t="shared" si="1"/>
        <v>72.371242125000023</v>
      </c>
      <c r="K49" s="119" t="s">
        <v>65</v>
      </c>
      <c r="L49" s="11"/>
      <c r="M49" s="11"/>
      <c r="O49" s="107">
        <v>2024</v>
      </c>
    </row>
    <row r="50" spans="1:15" ht="15" x14ac:dyDescent="0.2">
      <c r="A50" s="120">
        <v>2024</v>
      </c>
      <c r="B50" s="121">
        <f t="shared" si="0"/>
        <v>24897.777298143759</v>
      </c>
      <c r="C50" s="121">
        <f t="shared" si="0"/>
        <v>19953.462525018753</v>
      </c>
      <c r="D50" s="121">
        <f t="shared" si="0"/>
        <v>9916.1717023687524</v>
      </c>
      <c r="E50" s="122" t="s">
        <v>65</v>
      </c>
      <c r="G50" s="120">
        <v>2024</v>
      </c>
      <c r="H50" s="121">
        <f>H49*1.05</f>
        <v>209.71858635000004</v>
      </c>
      <c r="I50" s="121">
        <f t="shared" si="1"/>
        <v>151.97960846250007</v>
      </c>
      <c r="J50" s="121">
        <f t="shared" si="1"/>
        <v>75.989804231250034</v>
      </c>
      <c r="K50" s="122" t="s">
        <v>65</v>
      </c>
      <c r="L50" s="11"/>
      <c r="M50" s="11"/>
    </row>
    <row r="51" spans="1:15" ht="15" x14ac:dyDescent="0.2">
      <c r="A51" s="11"/>
      <c r="L51" s="11"/>
      <c r="M51" s="11"/>
    </row>
    <row r="52" spans="1:15" ht="15" x14ac:dyDescent="0.2">
      <c r="A52" s="11"/>
      <c r="B52" s="123"/>
      <c r="C52" s="123"/>
      <c r="D52" s="118"/>
      <c r="E52" s="118"/>
      <c r="F52" s="124"/>
      <c r="G52" s="11"/>
      <c r="H52" s="123"/>
      <c r="I52" s="118"/>
      <c r="J52" s="118"/>
      <c r="K52" s="124"/>
      <c r="L52" s="11"/>
      <c r="M52" s="11"/>
    </row>
    <row r="53" spans="1:15" ht="23.25" customHeight="1" x14ac:dyDescent="0.2">
      <c r="A53" s="171" t="s">
        <v>69</v>
      </c>
      <c r="B53" s="171"/>
      <c r="C53" s="171"/>
      <c r="D53" s="171"/>
      <c r="E53" s="171"/>
      <c r="F53" s="171"/>
      <c r="G53" s="171"/>
      <c r="H53" s="125">
        <v>18.010000000000002</v>
      </c>
      <c r="I53" s="126" t="s">
        <v>70</v>
      </c>
      <c r="J53" s="11"/>
      <c r="K53" s="68"/>
      <c r="L53" s="68"/>
      <c r="M53" s="68"/>
    </row>
    <row r="54" spans="1:15" ht="37.5" customHeight="1" x14ac:dyDescent="0.2">
      <c r="A54" s="171" t="s">
        <v>71</v>
      </c>
      <c r="B54" s="171"/>
      <c r="C54" s="171"/>
      <c r="D54" s="171"/>
      <c r="E54" s="171"/>
      <c r="F54" s="171"/>
      <c r="G54" s="171"/>
      <c r="H54" s="171"/>
      <c r="I54" s="171"/>
      <c r="J54" s="171"/>
      <c r="K54" s="171"/>
      <c r="L54" s="67"/>
      <c r="M54" s="67"/>
    </row>
    <row r="55" spans="1:15" ht="20.25" customHeight="1" x14ac:dyDescent="0.2">
      <c r="A55" s="164" t="s">
        <v>72</v>
      </c>
      <c r="B55" s="164"/>
      <c r="C55" s="164"/>
      <c r="D55" s="164"/>
      <c r="E55" s="164"/>
      <c r="F55" s="164"/>
      <c r="G55" s="164"/>
      <c r="H55" s="164"/>
      <c r="I55" s="164"/>
      <c r="J55" s="164"/>
      <c r="K55" s="164"/>
      <c r="L55" s="127"/>
      <c r="M55" s="68"/>
    </row>
    <row r="56" spans="1:15" x14ac:dyDescent="0.2">
      <c r="A56" s="81" t="s">
        <v>73</v>
      </c>
      <c r="B56" s="20"/>
      <c r="C56" s="20"/>
      <c r="D56" s="20"/>
      <c r="E56" s="20"/>
      <c r="F56" s="20"/>
      <c r="G56" s="20"/>
      <c r="H56" s="20"/>
      <c r="I56" s="20"/>
      <c r="J56" s="20"/>
      <c r="K56" s="20"/>
      <c r="L56" s="20"/>
      <c r="M56" s="20"/>
    </row>
    <row r="57" spans="1:15" ht="14.25" customHeight="1" x14ac:dyDescent="0.2"/>
    <row r="58" spans="1:15" ht="14.25" x14ac:dyDescent="0.2">
      <c r="B58" s="128"/>
      <c r="C58" s="128"/>
      <c r="D58" s="128"/>
      <c r="E58" s="128"/>
      <c r="F58" s="128"/>
      <c r="G58" s="128"/>
      <c r="H58" s="128"/>
      <c r="I58" s="128"/>
    </row>
  </sheetData>
  <sheetProtection selectLockedCells="1"/>
  <mergeCells count="40">
    <mergeCell ref="A54:K54"/>
    <mergeCell ref="A55:K55"/>
    <mergeCell ref="A37:K37"/>
    <mergeCell ref="A38:K38"/>
    <mergeCell ref="A39:K39"/>
    <mergeCell ref="B41:D41"/>
    <mergeCell ref="H41:J41"/>
    <mergeCell ref="A53:G53"/>
    <mergeCell ref="F31:G31"/>
    <mergeCell ref="A18:B18"/>
    <mergeCell ref="A19:B19"/>
    <mergeCell ref="A20:B20"/>
    <mergeCell ref="A21:B21"/>
    <mergeCell ref="A22:B22"/>
    <mergeCell ref="A23:B23"/>
    <mergeCell ref="A24:B24"/>
    <mergeCell ref="A27:K27"/>
    <mergeCell ref="A28:E28"/>
    <mergeCell ref="B29:F29"/>
    <mergeCell ref="B30:G30"/>
    <mergeCell ref="A17:B17"/>
    <mergeCell ref="A8:C8"/>
    <mergeCell ref="E8:J8"/>
    <mergeCell ref="A10:B10"/>
    <mergeCell ref="C10:K10"/>
    <mergeCell ref="C11:D11"/>
    <mergeCell ref="E11:F11"/>
    <mergeCell ref="G11:H11"/>
    <mergeCell ref="A12:B12"/>
    <mergeCell ref="A13:B13"/>
    <mergeCell ref="A14:B14"/>
    <mergeCell ref="A15:B15"/>
    <mergeCell ref="A16:B16"/>
    <mergeCell ref="A6:C6"/>
    <mergeCell ref="E6:J6"/>
    <mergeCell ref="A1:E1"/>
    <mergeCell ref="F1:K1"/>
    <mergeCell ref="A2:C2"/>
    <mergeCell ref="D2:I2"/>
    <mergeCell ref="A4:C4"/>
  </mergeCells>
  <dataValidations count="5">
    <dataValidation type="list" showInputMessage="1" showErrorMessage="1" sqref="D8" xr:uid="{00000000-0002-0000-0000-000000000000}">
      <formula1>$B$31:$B$35</formula1>
    </dataValidation>
    <dataValidation type="list" showInputMessage="1" showErrorMessage="1" promptTitle="Period" sqref="E5 K4:K7" xr:uid="{00000000-0002-0000-0000-000001000000}">
      <formula1>#REF!</formula1>
    </dataValidation>
    <dataValidation type="list" showInputMessage="1" showErrorMessage="1" promptTitle="Period" sqref="E4" xr:uid="{00000000-0002-0000-0000-000002000000}">
      <formula1>$Q$41:$Q$44</formula1>
    </dataValidation>
    <dataValidation type="list" allowBlank="1" showInputMessage="1" showErrorMessage="1" sqref="E7" xr:uid="{00000000-0002-0000-0000-000003000000}">
      <formula1>$O$41:$O$45</formula1>
    </dataValidation>
    <dataValidation type="list" allowBlank="1" showInputMessage="1" showErrorMessage="1" sqref="D6" xr:uid="{00000000-0002-0000-0000-000004000000}">
      <formula1>$O$41:$O$49</formula1>
    </dataValidation>
  </dataValidations>
  <hyperlinks>
    <hyperlink ref="C15" location="'ERE-Faculty and Staff'!I32" tooltip="Max" display="'ERE-Faculty and Staff'!I32" xr:uid="{00000000-0004-0000-0000-000000000000}"/>
  </hyperlinks>
  <pageMargins left="0.5" right="0.5" top="0.5" bottom="0.5" header="0.5" footer="0.5"/>
  <pageSetup scale="5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A1:N37"/>
  <sheetViews>
    <sheetView view="pageLayout" topLeftCell="A3" zoomScaleNormal="100" workbookViewId="0">
      <selection activeCell="A3" sqref="A3:J3"/>
    </sheetView>
  </sheetViews>
  <sheetFormatPr defaultColWidth="8.7109375" defaultRowHeight="12.75" x14ac:dyDescent="0.2"/>
  <cols>
    <col min="1" max="1" width="5.7109375" customWidth="1"/>
    <col min="2" max="2" width="13.28515625" customWidth="1"/>
    <col min="3" max="3" width="21" customWidth="1"/>
    <col min="4" max="5" width="20.42578125" customWidth="1"/>
    <col min="6" max="6" width="16.42578125" customWidth="1"/>
    <col min="7" max="7" width="10.42578125" customWidth="1"/>
    <col min="8" max="8" width="0.7109375" customWidth="1"/>
    <col min="9" max="9" width="10.140625" customWidth="1"/>
  </cols>
  <sheetData>
    <row r="1" spans="1:14" ht="23.25" x14ac:dyDescent="0.35">
      <c r="A1" s="129" t="s">
        <v>74</v>
      </c>
      <c r="B1" s="130"/>
      <c r="C1" s="8"/>
      <c r="D1" s="8"/>
      <c r="E1" s="8"/>
      <c r="F1" s="8"/>
      <c r="G1" s="8"/>
      <c r="H1" s="131"/>
      <c r="I1" s="8" t="s">
        <v>102</v>
      </c>
      <c r="J1" s="8"/>
    </row>
    <row r="2" spans="1:14" ht="71.25" customHeight="1" x14ac:dyDescent="0.2">
      <c r="A2" s="178" t="s">
        <v>75</v>
      </c>
      <c r="B2" s="179"/>
      <c r="C2" s="179"/>
      <c r="D2" s="179"/>
      <c r="E2" s="179"/>
      <c r="F2" s="179"/>
      <c r="G2" s="179"/>
      <c r="H2" s="179"/>
      <c r="I2" s="179"/>
      <c r="J2" s="179"/>
    </row>
    <row r="3" spans="1:14" ht="150.75" customHeight="1" x14ac:dyDescent="0.2">
      <c r="A3" s="180" t="s">
        <v>76</v>
      </c>
      <c r="B3" s="181"/>
      <c r="C3" s="181"/>
      <c r="D3" s="181"/>
      <c r="E3" s="181"/>
      <c r="F3" s="181"/>
      <c r="G3" s="181"/>
      <c r="H3" s="181"/>
      <c r="I3" s="181"/>
      <c r="J3" s="181"/>
      <c r="K3" s="20"/>
      <c r="L3" s="20"/>
      <c r="M3" s="20"/>
      <c r="N3" s="20"/>
    </row>
    <row r="4" spans="1:14" ht="18" x14ac:dyDescent="0.25">
      <c r="A4" s="8"/>
      <c r="B4" s="132" t="s">
        <v>77</v>
      </c>
      <c r="C4" s="8"/>
      <c r="D4" s="8"/>
      <c r="E4" s="8" t="s">
        <v>78</v>
      </c>
      <c r="F4" s="8"/>
      <c r="G4" s="8"/>
      <c r="H4" s="8"/>
      <c r="I4" s="8"/>
      <c r="J4" s="8"/>
    </row>
    <row r="5" spans="1:14" ht="38.25" customHeight="1" x14ac:dyDescent="0.25">
      <c r="A5" s="176" t="s">
        <v>79</v>
      </c>
      <c r="B5" s="177"/>
      <c r="C5" s="177"/>
      <c r="D5" s="177"/>
      <c r="E5" s="177"/>
      <c r="F5" s="177"/>
      <c r="G5" s="177"/>
      <c r="H5" s="177"/>
      <c r="I5" s="177"/>
      <c r="J5" s="177"/>
    </row>
    <row r="6" spans="1:14" ht="36.75" customHeight="1" x14ac:dyDescent="0.25">
      <c r="A6" s="176" t="s">
        <v>80</v>
      </c>
      <c r="B6" s="177"/>
      <c r="C6" s="177"/>
      <c r="D6" s="177"/>
      <c r="E6" s="177"/>
      <c r="F6" s="177"/>
      <c r="G6" s="177"/>
      <c r="H6" s="177"/>
      <c r="I6" s="177"/>
      <c r="J6" s="177"/>
    </row>
    <row r="7" spans="1:14" ht="18" x14ac:dyDescent="0.25">
      <c r="A7" s="8"/>
      <c r="B7" s="132" t="s">
        <v>81</v>
      </c>
      <c r="C7" s="8"/>
      <c r="D7" s="8"/>
      <c r="E7" s="8"/>
      <c r="F7" s="8"/>
      <c r="G7" s="8"/>
      <c r="H7" s="8"/>
      <c r="I7" s="8"/>
      <c r="J7" s="8"/>
    </row>
    <row r="8" spans="1:14" ht="36.75" customHeight="1" x14ac:dyDescent="0.25">
      <c r="A8" s="176" t="s">
        <v>82</v>
      </c>
      <c r="B8" s="177"/>
      <c r="C8" s="177"/>
      <c r="D8" s="177"/>
      <c r="E8" s="177"/>
      <c r="F8" s="177"/>
      <c r="G8" s="177"/>
      <c r="H8" s="177"/>
      <c r="I8" s="177"/>
      <c r="J8" s="177"/>
    </row>
    <row r="9" spans="1:14" ht="36.75" customHeight="1" x14ac:dyDescent="0.25">
      <c r="A9" s="176" t="s">
        <v>83</v>
      </c>
      <c r="B9" s="177"/>
      <c r="C9" s="177"/>
      <c r="D9" s="177"/>
      <c r="E9" s="177"/>
      <c r="F9" s="177"/>
      <c r="G9" s="177"/>
      <c r="H9" s="177"/>
      <c r="I9" s="177"/>
      <c r="J9" s="177"/>
    </row>
    <row r="10" spans="1:14" ht="18" x14ac:dyDescent="0.25">
      <c r="A10" s="133"/>
      <c r="B10" s="8"/>
      <c r="C10" s="8"/>
      <c r="D10" s="8"/>
      <c r="E10" s="8"/>
      <c r="F10" s="8"/>
      <c r="G10" s="8"/>
      <c r="H10" s="8"/>
      <c r="I10" s="8"/>
      <c r="J10" s="8"/>
    </row>
    <row r="11" spans="1:14" ht="57" customHeight="1" x14ac:dyDescent="0.25">
      <c r="A11" s="133"/>
      <c r="B11" s="182" t="s">
        <v>84</v>
      </c>
      <c r="C11" s="183"/>
      <c r="D11" s="183"/>
      <c r="E11" s="183"/>
      <c r="F11" s="183"/>
      <c r="G11" s="183"/>
      <c r="H11" s="183"/>
      <c r="I11" s="183"/>
      <c r="J11" s="183"/>
    </row>
    <row r="12" spans="1:14" ht="18" customHeight="1" x14ac:dyDescent="0.25">
      <c r="A12" s="133"/>
      <c r="B12" s="8"/>
      <c r="C12" s="8"/>
      <c r="D12" s="8"/>
      <c r="E12" s="8"/>
      <c r="F12" s="8"/>
      <c r="G12" s="8"/>
      <c r="H12" s="8"/>
      <c r="I12" s="8"/>
      <c r="J12" s="8"/>
    </row>
    <row r="13" spans="1:14" ht="66.400000000000006" customHeight="1" x14ac:dyDescent="0.2">
      <c r="A13" s="180" t="s">
        <v>85</v>
      </c>
      <c r="B13" s="181"/>
      <c r="C13" s="181"/>
      <c r="D13" s="181"/>
      <c r="E13" s="181"/>
      <c r="F13" s="181"/>
      <c r="G13" s="181"/>
      <c r="H13" s="181"/>
      <c r="I13" s="181"/>
      <c r="J13" s="181"/>
      <c r="N13" s="134"/>
    </row>
    <row r="14" spans="1:14" ht="85.15" customHeight="1" x14ac:dyDescent="0.2">
      <c r="A14" s="181" t="s">
        <v>86</v>
      </c>
      <c r="B14" s="181"/>
      <c r="C14" s="181"/>
      <c r="D14" s="181"/>
      <c r="E14" s="181"/>
      <c r="F14" s="181"/>
      <c r="G14" s="181"/>
      <c r="H14" s="181"/>
      <c r="I14" s="181"/>
      <c r="J14" s="181"/>
      <c r="K14" s="78"/>
      <c r="N14" s="134"/>
    </row>
    <row r="15" spans="1:14" ht="18.75" thickBot="1" x14ac:dyDescent="0.3">
      <c r="D15" s="184" t="s">
        <v>101</v>
      </c>
      <c r="E15" s="184"/>
    </row>
    <row r="16" spans="1:14" ht="18.75" thickTop="1" x14ac:dyDescent="0.25">
      <c r="B16" s="135" t="s">
        <v>87</v>
      </c>
      <c r="C16" s="136" t="s">
        <v>88</v>
      </c>
      <c r="D16" s="137" t="s">
        <v>89</v>
      </c>
      <c r="E16" s="138" t="s">
        <v>90</v>
      </c>
      <c r="F16" s="81"/>
    </row>
    <row r="17" spans="2:6" ht="18" x14ac:dyDescent="0.25">
      <c r="B17" s="139" t="s">
        <v>91</v>
      </c>
      <c r="C17" s="140" t="s">
        <v>92</v>
      </c>
      <c r="D17" s="141">
        <f>5695*2</f>
        <v>11390</v>
      </c>
      <c r="E17" s="142">
        <f>1045+1720</f>
        <v>2765</v>
      </c>
    </row>
    <row r="18" spans="2:6" ht="18" x14ac:dyDescent="0.25">
      <c r="B18" s="139" t="s">
        <v>93</v>
      </c>
      <c r="C18" s="143" t="s">
        <v>94</v>
      </c>
      <c r="D18" s="141">
        <f>D17/2</f>
        <v>5695</v>
      </c>
      <c r="E18" s="142">
        <v>0</v>
      </c>
    </row>
    <row r="19" spans="2:6" ht="18" x14ac:dyDescent="0.25">
      <c r="B19" s="139"/>
      <c r="C19" s="140" t="s">
        <v>95</v>
      </c>
      <c r="D19" s="141">
        <v>0</v>
      </c>
      <c r="E19" s="142">
        <v>0</v>
      </c>
    </row>
    <row r="20" spans="2:6" ht="18" x14ac:dyDescent="0.25">
      <c r="B20" s="139"/>
      <c r="C20" s="140" t="s">
        <v>96</v>
      </c>
      <c r="D20" s="144">
        <v>4.1000000000000003E-3</v>
      </c>
      <c r="E20" s="144">
        <v>4.1000000000000003E-3</v>
      </c>
    </row>
    <row r="21" spans="2:6" ht="18" x14ac:dyDescent="0.25">
      <c r="B21" s="139"/>
      <c r="C21" s="140"/>
      <c r="D21" s="146"/>
      <c r="E21" s="147"/>
    </row>
    <row r="22" spans="2:6" ht="18" x14ac:dyDescent="0.25">
      <c r="B22" s="139" t="s">
        <v>97</v>
      </c>
      <c r="C22" s="140" t="s">
        <v>92</v>
      </c>
      <c r="D22" s="141">
        <v>5695</v>
      </c>
      <c r="E22" s="142">
        <v>1045</v>
      </c>
      <c r="F22" s="148"/>
    </row>
    <row r="23" spans="2:6" ht="18" x14ac:dyDescent="0.25">
      <c r="B23" s="139">
        <v>2020</v>
      </c>
      <c r="C23" s="143" t="s">
        <v>94</v>
      </c>
      <c r="D23" s="141">
        <f>(ROUND(D22/2,0))</f>
        <v>2848</v>
      </c>
      <c r="E23" s="142">
        <v>0</v>
      </c>
    </row>
    <row r="24" spans="2:6" ht="18" x14ac:dyDescent="0.25">
      <c r="B24" s="139"/>
      <c r="C24" s="140" t="s">
        <v>95</v>
      </c>
      <c r="D24" s="141">
        <v>0</v>
      </c>
      <c r="E24" s="142">
        <v>0</v>
      </c>
    </row>
    <row r="25" spans="2:6" ht="18" x14ac:dyDescent="0.25">
      <c r="B25" s="139"/>
      <c r="C25" s="140" t="s">
        <v>96</v>
      </c>
      <c r="D25" s="144">
        <v>4.1000000000000003E-3</v>
      </c>
      <c r="E25" s="145">
        <v>4.1000000000000003E-3</v>
      </c>
    </row>
    <row r="26" spans="2:6" ht="18" x14ac:dyDescent="0.25">
      <c r="B26" s="139"/>
      <c r="C26" s="140"/>
      <c r="D26" s="149"/>
      <c r="E26" s="147"/>
    </row>
    <row r="27" spans="2:6" ht="18" x14ac:dyDescent="0.25">
      <c r="B27" s="139" t="s">
        <v>98</v>
      </c>
      <c r="C27" s="140" t="s">
        <v>92</v>
      </c>
      <c r="D27" s="141">
        <f>D22</f>
        <v>5695</v>
      </c>
      <c r="E27" s="142">
        <v>1720</v>
      </c>
    </row>
    <row r="28" spans="2:6" ht="18" x14ac:dyDescent="0.25">
      <c r="B28" s="139">
        <v>2021</v>
      </c>
      <c r="C28" s="143" t="s">
        <v>94</v>
      </c>
      <c r="D28" s="141">
        <f>(ROUND(+D27/2,0))</f>
        <v>2848</v>
      </c>
      <c r="E28" s="142">
        <v>0</v>
      </c>
    </row>
    <row r="29" spans="2:6" ht="18" x14ac:dyDescent="0.25">
      <c r="B29" s="139"/>
      <c r="C29" s="140" t="s">
        <v>95</v>
      </c>
      <c r="D29" s="141">
        <v>0</v>
      </c>
      <c r="E29" s="142">
        <v>0</v>
      </c>
    </row>
    <row r="30" spans="2:6" ht="18" x14ac:dyDescent="0.25">
      <c r="B30" s="139"/>
      <c r="C30" s="140" t="s">
        <v>96</v>
      </c>
      <c r="D30" s="144">
        <v>4.1000000000000003E-3</v>
      </c>
      <c r="E30" s="145">
        <v>4.1000000000000003E-3</v>
      </c>
    </row>
    <row r="31" spans="2:6" ht="18" x14ac:dyDescent="0.25">
      <c r="B31" s="139"/>
      <c r="C31" s="140"/>
      <c r="D31" s="149"/>
      <c r="E31" s="147"/>
    </row>
    <row r="32" spans="2:6" ht="18" x14ac:dyDescent="0.25">
      <c r="B32" s="139" t="s">
        <v>99</v>
      </c>
      <c r="C32" s="140" t="s">
        <v>96</v>
      </c>
      <c r="D32" s="144">
        <v>4.1000000000000003E-3</v>
      </c>
      <c r="E32" s="145">
        <v>4.1000000000000003E-3</v>
      </c>
    </row>
    <row r="33" spans="1:10" ht="18" x14ac:dyDescent="0.25">
      <c r="B33" s="139">
        <v>2021</v>
      </c>
      <c r="C33" s="140" t="s">
        <v>19</v>
      </c>
      <c r="D33" s="144">
        <v>6.2E-2</v>
      </c>
      <c r="E33" s="144">
        <v>6.2E-2</v>
      </c>
    </row>
    <row r="34" spans="1:10" ht="18.75" thickBot="1" x14ac:dyDescent="0.3">
      <c r="B34" s="150"/>
      <c r="C34" s="151" t="s">
        <v>20</v>
      </c>
      <c r="D34" s="152">
        <v>1.4500000000000001E-2</v>
      </c>
      <c r="E34" s="153">
        <v>1.4500000000000001E-2</v>
      </c>
    </row>
    <row r="35" spans="1:10" ht="13.5" thickTop="1" x14ac:dyDescent="0.2">
      <c r="D35" s="154" t="s">
        <v>100</v>
      </c>
      <c r="E35" s="154">
        <f>SUM(E32:E34)</f>
        <v>8.0600000000000005E-2</v>
      </c>
    </row>
    <row r="36" spans="1:10" x14ac:dyDescent="0.2">
      <c r="A36" s="81"/>
    </row>
    <row r="37" spans="1:10" ht="90" customHeight="1" x14ac:dyDescent="0.2">
      <c r="A37" s="185"/>
      <c r="B37" s="179"/>
      <c r="C37" s="179"/>
      <c r="D37" s="179"/>
      <c r="E37" s="179"/>
      <c r="F37" s="179"/>
      <c r="G37" s="179"/>
      <c r="H37" s="179"/>
      <c r="I37" s="179"/>
      <c r="J37" s="179"/>
    </row>
  </sheetData>
  <sheetProtection selectLockedCells="1"/>
  <protectedRanges>
    <protectedRange sqref="K11:R37" name="k1..437"/>
  </protectedRanges>
  <mergeCells count="11">
    <mergeCell ref="B11:J11"/>
    <mergeCell ref="A13:J13"/>
    <mergeCell ref="A14:J14"/>
    <mergeCell ref="D15:E15"/>
    <mergeCell ref="A37:J37"/>
    <mergeCell ref="A9:J9"/>
    <mergeCell ref="A2:J2"/>
    <mergeCell ref="A3:J3"/>
    <mergeCell ref="A5:J5"/>
    <mergeCell ref="A6:J6"/>
    <mergeCell ref="A8:J8"/>
  </mergeCells>
  <pageMargins left="0.75" right="0.75" top="0.73624999999999996" bottom="1" header="0.5" footer="0.5"/>
  <pageSetup scale="59" orientation="portrait" r:id="rId1"/>
  <headerFooter alignWithMargins="0">
    <oddHeader>&amp;C&amp;G</oddHeader>
    <oddFooter>&amp;C&amp;Z&amp;F</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ERE-Faculty and Staff</vt:lpstr>
      <vt:lpstr>ERE-GRA</vt:lpstr>
      <vt:lpstr>'ERE-Faculty and Staff'!Print_Area</vt:lpstr>
    </vt:vector>
  </TitlesOfParts>
  <Manager/>
  <Company>Northern Arizona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Northern Arizona University</dc:creator>
  <cp:keywords/>
  <dc:description/>
  <cp:lastModifiedBy>David Charles Edge</cp:lastModifiedBy>
  <cp:revision/>
  <dcterms:created xsi:type="dcterms:W3CDTF">2019-07-19T20:50:55Z</dcterms:created>
  <dcterms:modified xsi:type="dcterms:W3CDTF">2023-10-02T23:08:06Z</dcterms:modified>
  <cp:category/>
  <cp:contentStatus/>
</cp:coreProperties>
</file>