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79f60f082a0a3209/Desktop/"/>
    </mc:Choice>
  </mc:AlternateContent>
  <xr:revisionPtr revIDLastSave="0" documentId="8_{D36DBA28-8168-458E-8642-658700163C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rp FP&amp;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" l="1"/>
  <c r="AE28" i="1" l="1"/>
  <c r="AD28" i="1"/>
  <c r="AD23" i="1"/>
  <c r="AA15" i="1"/>
  <c r="AD15" i="1"/>
  <c r="Y21" i="1"/>
  <c r="Z21" i="1"/>
  <c r="X21" i="1"/>
  <c r="V21" i="1"/>
  <c r="W21" i="1"/>
  <c r="U21" i="1"/>
  <c r="S21" i="1"/>
  <c r="T21" i="1"/>
  <c r="R21" i="1"/>
  <c r="P21" i="1"/>
  <c r="Q21" i="1"/>
  <c r="O21" i="1"/>
  <c r="P25" i="1"/>
  <c r="Q25" i="1"/>
  <c r="R25" i="1"/>
  <c r="S25" i="1"/>
  <c r="T25" i="1"/>
  <c r="U25" i="1"/>
  <c r="V25" i="1"/>
  <c r="W25" i="1"/>
  <c r="X25" i="1"/>
  <c r="Y25" i="1"/>
  <c r="Z25" i="1"/>
  <c r="P26" i="1"/>
  <c r="Q26" i="1"/>
  <c r="R26" i="1"/>
  <c r="S26" i="1"/>
  <c r="T26" i="1"/>
  <c r="U26" i="1"/>
  <c r="V26" i="1"/>
  <c r="W26" i="1"/>
  <c r="X26" i="1"/>
  <c r="Y26" i="1"/>
  <c r="Z26" i="1"/>
  <c r="P27" i="1"/>
  <c r="Q27" i="1"/>
  <c r="R27" i="1"/>
  <c r="S27" i="1"/>
  <c r="T27" i="1"/>
  <c r="U27" i="1"/>
  <c r="V27" i="1"/>
  <c r="W27" i="1"/>
  <c r="X27" i="1"/>
  <c r="Y27" i="1"/>
  <c r="Z27" i="1"/>
  <c r="O27" i="1"/>
  <c r="O25" i="1"/>
  <c r="AC26" i="1"/>
  <c r="AC27" i="1"/>
  <c r="AC25" i="1"/>
  <c r="P19" i="1"/>
  <c r="Q19" i="1"/>
  <c r="R19" i="1"/>
  <c r="S19" i="1"/>
  <c r="T19" i="1"/>
  <c r="U19" i="1"/>
  <c r="U17" i="1" s="1"/>
  <c r="V19" i="1"/>
  <c r="V17" i="1" s="1"/>
  <c r="W19" i="1"/>
  <c r="W17" i="1" s="1"/>
  <c r="X19" i="1"/>
  <c r="Y19" i="1"/>
  <c r="Z19" i="1"/>
  <c r="O19" i="1"/>
  <c r="O17" i="1" s="1"/>
  <c r="P17" i="1"/>
  <c r="Q17" i="1"/>
  <c r="R17" i="1"/>
  <c r="S17" i="1"/>
  <c r="T17" i="1"/>
  <c r="X17" i="1"/>
  <c r="Y17" i="1"/>
  <c r="Z17" i="1"/>
  <c r="D18" i="1"/>
  <c r="E18" i="1"/>
  <c r="F18" i="1"/>
  <c r="G18" i="1"/>
  <c r="H18" i="1"/>
  <c r="I18" i="1"/>
  <c r="J18" i="1"/>
  <c r="K18" i="1"/>
  <c r="L18" i="1"/>
  <c r="M18" i="1"/>
  <c r="N18" i="1"/>
  <c r="C18" i="1"/>
  <c r="F16" i="1"/>
  <c r="E16" i="1"/>
  <c r="D16" i="1"/>
  <c r="C16" i="1"/>
  <c r="AC9" i="1"/>
  <c r="AC15" i="1"/>
  <c r="O9" i="1"/>
  <c r="AD12" i="1"/>
  <c r="W13" i="1"/>
  <c r="X13" i="1"/>
  <c r="U11" i="1"/>
  <c r="AB11" i="1"/>
  <c r="AC11" i="1" s="1"/>
  <c r="V11" i="1" s="1"/>
  <c r="AB12" i="1"/>
  <c r="AC12" i="1" s="1"/>
  <c r="S12" i="1" s="1"/>
  <c r="AB13" i="1"/>
  <c r="AC13" i="1" s="1"/>
  <c r="AD13" i="1" s="1"/>
  <c r="AB21" i="1"/>
  <c r="AB19" i="1"/>
  <c r="AB25" i="1"/>
  <c r="AC19" i="1" l="1"/>
  <c r="AC22" i="1" s="1"/>
  <c r="R12" i="1"/>
  <c r="T11" i="1"/>
  <c r="O11" i="1"/>
  <c r="V13" i="1"/>
  <c r="P12" i="1"/>
  <c r="U13" i="1"/>
  <c r="W12" i="1"/>
  <c r="Y11" i="1"/>
  <c r="Q11" i="1"/>
  <c r="T13" i="1"/>
  <c r="V12" i="1"/>
  <c r="O13" i="1"/>
  <c r="Z12" i="1"/>
  <c r="Y12" i="1"/>
  <c r="S11" i="1"/>
  <c r="X12" i="1"/>
  <c r="R11" i="1"/>
  <c r="X11" i="1"/>
  <c r="P11" i="1"/>
  <c r="S13" i="1"/>
  <c r="U12" i="1"/>
  <c r="P13" i="1"/>
  <c r="Z11" i="1"/>
  <c r="O12" i="1"/>
  <c r="W11" i="1"/>
  <c r="Z13" i="1"/>
  <c r="R13" i="1"/>
  <c r="T12" i="1"/>
  <c r="AD11" i="1"/>
  <c r="Q12" i="1"/>
  <c r="Y13" i="1"/>
  <c r="Q13" i="1"/>
  <c r="AB22" i="1"/>
  <c r="AB26" i="1"/>
  <c r="L22" i="1"/>
  <c r="D28" i="1"/>
  <c r="E28" i="1"/>
  <c r="F28" i="1"/>
  <c r="G28" i="1"/>
  <c r="H28" i="1"/>
  <c r="I28" i="1"/>
  <c r="J28" i="1"/>
  <c r="K28" i="1"/>
  <c r="L28" i="1"/>
  <c r="M28" i="1"/>
  <c r="N28" i="1"/>
  <c r="C28" i="1"/>
  <c r="AB23" i="1" l="1"/>
  <c r="AC28" i="1"/>
  <c r="AC30" i="1"/>
  <c r="AC31" i="1" s="1"/>
  <c r="AC23" i="1"/>
  <c r="U28" i="1"/>
  <c r="Q28" i="1"/>
  <c r="Y28" i="1"/>
  <c r="R28" i="1"/>
  <c r="Z28" i="1"/>
  <c r="W28" i="1"/>
  <c r="V28" i="1"/>
  <c r="T28" i="1"/>
  <c r="S28" i="1"/>
  <c r="O28" i="1"/>
  <c r="X28" i="1"/>
  <c r="P28" i="1"/>
  <c r="AB27" i="1"/>
  <c r="AB28" i="1" s="1"/>
  <c r="D22" i="1"/>
  <c r="D23" i="1" s="1"/>
  <c r="E22" i="1"/>
  <c r="E30" i="1" s="1"/>
  <c r="E31" i="1" s="1"/>
  <c r="F22" i="1"/>
  <c r="F23" i="1" s="1"/>
  <c r="G22" i="1"/>
  <c r="G30" i="1" s="1"/>
  <c r="G31" i="1" s="1"/>
  <c r="H22" i="1"/>
  <c r="H30" i="1" s="1"/>
  <c r="H31" i="1" s="1"/>
  <c r="I22" i="1"/>
  <c r="I30" i="1" s="1"/>
  <c r="I31" i="1" s="1"/>
  <c r="J22" i="1"/>
  <c r="K22" i="1"/>
  <c r="K30" i="1" s="1"/>
  <c r="K31" i="1" s="1"/>
  <c r="L30" i="1"/>
  <c r="L31" i="1" s="1"/>
  <c r="M22" i="1"/>
  <c r="M23" i="1" s="1"/>
  <c r="N22" i="1"/>
  <c r="C22" i="1"/>
  <c r="C23" i="1" s="1"/>
  <c r="C15" i="1"/>
  <c r="C17" i="1" l="1"/>
  <c r="N30" i="1"/>
  <c r="N31" i="1" s="1"/>
  <c r="N23" i="1"/>
  <c r="AB30" i="1"/>
  <c r="AB31" i="1" s="1"/>
  <c r="J30" i="1"/>
  <c r="J31" i="1" s="1"/>
  <c r="J23" i="1"/>
  <c r="D9" i="1"/>
  <c r="H23" i="1"/>
  <c r="G23" i="1"/>
  <c r="I23" i="1"/>
  <c r="F30" i="1"/>
  <c r="F31" i="1" s="1"/>
  <c r="E23" i="1"/>
  <c r="L23" i="1"/>
  <c r="D30" i="1"/>
  <c r="D31" i="1" s="1"/>
  <c r="K23" i="1"/>
  <c r="M30" i="1"/>
  <c r="M31" i="1" s="1"/>
  <c r="C30" i="1"/>
  <c r="D15" i="1" l="1"/>
  <c r="C31" i="1"/>
  <c r="E9" i="1" l="1"/>
  <c r="D17" i="1"/>
  <c r="E15" i="1" l="1"/>
  <c r="F9" i="1" l="1"/>
  <c r="E17" i="1"/>
  <c r="F15" i="1" l="1"/>
  <c r="F17" i="1" l="1"/>
  <c r="G9" i="1"/>
  <c r="G15" i="1" l="1"/>
  <c r="G17" i="1" l="1"/>
  <c r="H9" i="1"/>
  <c r="H15" i="1" l="1"/>
  <c r="H17" i="1" l="1"/>
  <c r="I9" i="1"/>
  <c r="I15" i="1" s="1"/>
  <c r="I17" i="1" l="1"/>
  <c r="J9" i="1"/>
  <c r="J15" i="1" s="1"/>
  <c r="O22" i="1"/>
  <c r="O23" i="1" s="1"/>
  <c r="K9" i="1" l="1"/>
  <c r="K15" i="1" s="1"/>
  <c r="J17" i="1"/>
  <c r="P22" i="1"/>
  <c r="P23" i="1" s="1"/>
  <c r="O30" i="1"/>
  <c r="O31" i="1" s="1"/>
  <c r="L9" i="1" l="1"/>
  <c r="L15" i="1" s="1"/>
  <c r="K17" i="1"/>
  <c r="P30" i="1"/>
  <c r="P31" i="1" s="1"/>
  <c r="Q22" i="1"/>
  <c r="Q23" i="1" s="1"/>
  <c r="L17" i="1" l="1"/>
  <c r="M9" i="1"/>
  <c r="M15" i="1" s="1"/>
  <c r="R22" i="1"/>
  <c r="R23" i="1" s="1"/>
  <c r="Q30" i="1"/>
  <c r="Q31" i="1" s="1"/>
  <c r="N9" i="1" l="1"/>
  <c r="M17" i="1"/>
  <c r="S22" i="1"/>
  <c r="S23" i="1" s="1"/>
  <c r="R30" i="1"/>
  <c r="R31" i="1" s="1"/>
  <c r="O39" i="1" l="1"/>
  <c r="AB9" i="1"/>
  <c r="N15" i="1"/>
  <c r="S30" i="1"/>
  <c r="S31" i="1" s="1"/>
  <c r="T22" i="1"/>
  <c r="AD9" i="1" l="1"/>
  <c r="AB15" i="1"/>
  <c r="N17" i="1"/>
  <c r="T30" i="1"/>
  <c r="T31" i="1" s="1"/>
  <c r="T23" i="1"/>
  <c r="U22" i="1"/>
  <c r="U23" i="1" s="1"/>
  <c r="V22" i="1" l="1"/>
  <c r="V23" i="1" s="1"/>
  <c r="U30" i="1"/>
  <c r="U31" i="1" s="1"/>
  <c r="V30" i="1" l="1"/>
  <c r="V31" i="1" s="1"/>
  <c r="W22" i="1"/>
  <c r="W23" i="1" s="1"/>
  <c r="W30" i="1" l="1"/>
  <c r="W31" i="1" s="1"/>
  <c r="X22" i="1"/>
  <c r="X23" i="1" s="1"/>
  <c r="X30" i="1" l="1"/>
  <c r="X31" i="1" s="1"/>
  <c r="Y22" i="1"/>
  <c r="Y23" i="1" s="1"/>
  <c r="Z22" i="1" l="1"/>
  <c r="Z23" i="1" s="1"/>
  <c r="Y30" i="1"/>
  <c r="Y31" i="1" s="1"/>
  <c r="Z30" i="1" l="1"/>
  <c r="Z31" i="1" s="1"/>
  <c r="O15" i="1"/>
  <c r="P9" i="1" s="1"/>
  <c r="P15" i="1" s="1"/>
  <c r="Q9" i="1" l="1"/>
  <c r="Q15" i="1" s="1"/>
  <c r="R9" i="1" l="1"/>
  <c r="R15" i="1" s="1"/>
  <c r="S9" i="1" l="1"/>
  <c r="S15" i="1" s="1"/>
  <c r="T9" i="1" l="1"/>
  <c r="T15" i="1" s="1"/>
  <c r="U9" i="1" l="1"/>
  <c r="U15" i="1" s="1"/>
  <c r="V9" i="1" l="1"/>
  <c r="V15" i="1" s="1"/>
  <c r="W9" i="1" l="1"/>
  <c r="W15" i="1" s="1"/>
  <c r="X9" i="1" l="1"/>
  <c r="X15" i="1" s="1"/>
  <c r="Y9" i="1" l="1"/>
  <c r="Y15" i="1" s="1"/>
  <c r="Z9" i="1" l="1"/>
  <c r="Z15" i="1" s="1"/>
</calcChain>
</file>

<file path=xl/sharedStrings.xml><?xml version="1.0" encoding="utf-8"?>
<sst xmlns="http://schemas.openxmlformats.org/spreadsheetml/2006/main" count="42" uniqueCount="42">
  <si>
    <t>Instructions:</t>
  </si>
  <si>
    <t>- You will have 25-30 minutes to complete this test to the best of your ability.</t>
  </si>
  <si>
    <t>- Please keep all formulas and avoid hard coding when possible to allow us to understand how you derived your answers.</t>
  </si>
  <si>
    <t>Good luck!</t>
  </si>
  <si>
    <t>Note: All data is fictious and not representative of Klaviyo's metrics</t>
  </si>
  <si>
    <t>New ARR YoY Growth</t>
  </si>
  <si>
    <t>Upgrades/Downgrades ARR YoY Growth</t>
  </si>
  <si>
    <t>Churn ARR YoY Growth</t>
  </si>
  <si>
    <t xml:space="preserve"> </t>
  </si>
  <si>
    <t>$M</t>
  </si>
  <si>
    <t>Beginning ARR</t>
  </si>
  <si>
    <t>New ARR</t>
  </si>
  <si>
    <t>Upgrades/Downgrades ARR</t>
  </si>
  <si>
    <t>Gross Churn ARR</t>
  </si>
  <si>
    <t>Ending ARR</t>
  </si>
  <si>
    <t>Revenue</t>
  </si>
  <si>
    <t>Assumptions:</t>
  </si>
  <si>
    <t>MRR = Monthly Recuring Revenue (Ending ARR / 12)</t>
  </si>
  <si>
    <t>COGS</t>
  </si>
  <si>
    <t>S&amp;M</t>
  </si>
  <si>
    <t>R&amp;D</t>
  </si>
  <si>
    <t>G&amp;A</t>
  </si>
  <si>
    <t>OI</t>
  </si>
  <si>
    <t>OI%</t>
  </si>
  <si>
    <t>GM%</t>
  </si>
  <si>
    <t>Gross Margin</t>
  </si>
  <si>
    <t>FY 2023</t>
  </si>
  <si>
    <t>CASE STUDY QUESTIONS:</t>
  </si>
  <si>
    <t>ARR = Annual Recurring Revenue (MRR * 12)</t>
  </si>
  <si>
    <t>Total OpEx</t>
  </si>
  <si>
    <t>FY 2024</t>
  </si>
  <si>
    <t>1.  Forecast 2024 Beginning and Ending ARR using the assumptions provided above</t>
  </si>
  <si>
    <t>4.  COGS forecast target for 2024 is $150M. 15% evenly spread in Q1, 20% evenly in Q2, 25% evenly in Q3, 40% evenly in Q4.</t>
  </si>
  <si>
    <t>5.  All Operating Expenses in 2024 grow by the same assumption as New ARR YoY growth</t>
  </si>
  <si>
    <t>6.  How many points did you pick up in GM% YoY?</t>
  </si>
  <si>
    <t>7.  For Operating Expenses did you create leverage (expense to Revenue ratio) in total for YoY? If so, how much?</t>
  </si>
  <si>
    <r>
      <t xml:space="preserve">9.  Create a </t>
    </r>
    <r>
      <rPr>
        <u/>
        <sz val="11"/>
        <color theme="1"/>
        <rFont val="Arial"/>
        <family val="2"/>
      </rPr>
      <t>simple</t>
    </r>
    <r>
      <rPr>
        <sz val="11"/>
        <color theme="1"/>
        <rFont val="Arial"/>
        <family val="2"/>
      </rPr>
      <t xml:space="preserve"> graph off the data to present your forecast to key stakeholders.</t>
    </r>
  </si>
  <si>
    <r>
      <t xml:space="preserve">3.  How much did 2024 </t>
    </r>
    <r>
      <rPr>
        <u/>
        <sz val="11"/>
        <color theme="1"/>
        <rFont val="Arial"/>
        <family val="2"/>
      </rPr>
      <t>Ending</t>
    </r>
    <r>
      <rPr>
        <sz val="11"/>
        <color theme="1"/>
        <rFont val="Arial"/>
        <family val="2"/>
      </rPr>
      <t xml:space="preserve"> ARR grow from a % perspective compared to 2023?</t>
    </r>
  </si>
  <si>
    <t xml:space="preserve">2.  Forecast 2024 Revenue using 2023 monthly Realization Rates (found in row 17) </t>
  </si>
  <si>
    <t>*Realization Rates</t>
  </si>
  <si>
    <t>8.  If your Manager asked you to hold 2024 OI % flat to 2023. What would you do?</t>
  </si>
  <si>
    <t>*Realization Rates = defined as the amount of revenue recognized in-period divided by MRR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</si>
</sst>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\ yyyy"/>
    <numFmt numFmtId="165" formatCode="0.0%"/>
    <numFmt numFmtId="166" formatCode="&quot;$&quot;#,##0.0"/>
    <numFmt numFmtId="167" formatCode="#,##0.0"/>
    <numFmt numFmtId="168" formatCode="&quot;$&quot;#,##0.00"/>
  </numFmts>
  <fonts count="1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u/>
      <sz val="11"/>
      <color theme="0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BC7B6"/>
        <bgColor rgb="FFBBC7B6"/>
      </patternFill>
    </fill>
    <fill>
      <patternFill patternType="solid">
        <fgColor theme="6" tint="0.39997558519241921"/>
        <bgColor rgb="FFBBC7B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0">
    <xf numFmtId="0" fontId="0" fillId="0" borderId="0" xfId="0"/>
    <xf numFmtId="9" fontId="6" fillId="0" borderId="0" xfId="0" applyNumberFormat="1" applyFont="1"/>
    <xf numFmtId="0" fontId="5" fillId="0" borderId="0" xfId="0" applyFont="1"/>
    <xf numFmtId="9" fontId="5" fillId="0" borderId="0" xfId="0" applyNumberFormat="1" applyFont="1"/>
    <xf numFmtId="164" fontId="5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5" fontId="13" fillId="0" borderId="0" xfId="0" applyNumberFormat="1" applyFont="1"/>
    <xf numFmtId="164" fontId="14" fillId="2" borderId="1" xfId="0" applyNumberFormat="1" applyFont="1" applyFill="1" applyBorder="1"/>
    <xf numFmtId="164" fontId="14" fillId="3" borderId="1" xfId="0" applyNumberFormat="1" applyFont="1" applyFill="1" applyBorder="1"/>
    <xf numFmtId="164" fontId="14" fillId="3" borderId="4" xfId="0" applyNumberFormat="1" applyFont="1" applyFill="1" applyBorder="1"/>
    <xf numFmtId="0" fontId="8" fillId="0" borderId="0" xfId="0" applyFont="1"/>
    <xf numFmtId="166" fontId="8" fillId="0" borderId="0" xfId="0" applyNumberFormat="1" applyFont="1"/>
    <xf numFmtId="166" fontId="8" fillId="4" borderId="0" xfId="0" applyNumberFormat="1" applyFont="1" applyFill="1"/>
    <xf numFmtId="166" fontId="5" fillId="0" borderId="0" xfId="0" applyNumberFormat="1" applyFont="1"/>
    <xf numFmtId="3" fontId="5" fillId="0" borderId="0" xfId="0" applyNumberFormat="1" applyFont="1"/>
    <xf numFmtId="0" fontId="5" fillId="0" borderId="0" xfId="0" applyFont="1" applyAlignment="1">
      <alignment horizontal="left" indent="1"/>
    </xf>
    <xf numFmtId="166" fontId="5" fillId="4" borderId="0" xfId="0" applyNumberFormat="1" applyFont="1" applyFill="1"/>
    <xf numFmtId="0" fontId="8" fillId="0" borderId="2" xfId="0" applyFont="1" applyBorder="1"/>
    <xf numFmtId="166" fontId="8" fillId="0" borderId="2" xfId="0" applyNumberFormat="1" applyFont="1" applyBorder="1"/>
    <xf numFmtId="165" fontId="5" fillId="0" borderId="0" xfId="0" applyNumberFormat="1" applyFont="1"/>
    <xf numFmtId="166" fontId="5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67" fontId="8" fillId="4" borderId="0" xfId="0" applyNumberFormat="1" applyFont="1" applyFill="1" applyAlignment="1">
      <alignment horizontal="center"/>
    </xf>
    <xf numFmtId="0" fontId="5" fillId="0" borderId="3" xfId="0" applyFont="1" applyBorder="1" applyAlignment="1">
      <alignment horizontal="left" indent="1"/>
    </xf>
    <xf numFmtId="166" fontId="5" fillId="0" borderId="3" xfId="0" applyNumberFormat="1" applyFont="1" applyBorder="1"/>
    <xf numFmtId="165" fontId="9" fillId="0" borderId="0" xfId="0" applyNumberFormat="1" applyFont="1"/>
    <xf numFmtId="0" fontId="9" fillId="0" borderId="0" xfId="0" applyFont="1" applyAlignment="1">
      <alignment horizontal="left" indent="1"/>
    </xf>
    <xf numFmtId="164" fontId="15" fillId="0" borderId="0" xfId="0" applyNumberFormat="1" applyFont="1"/>
    <xf numFmtId="0" fontId="16" fillId="5" borderId="0" xfId="0" applyFont="1" applyFill="1"/>
    <xf numFmtId="0" fontId="9" fillId="5" borderId="0" xfId="0" applyFont="1" applyFill="1"/>
    <xf numFmtId="9" fontId="5" fillId="0" borderId="0" xfId="0" applyNumberFormat="1" applyFont="1" applyAlignment="1">
      <alignment horizontal="center"/>
    </xf>
    <xf numFmtId="0" fontId="17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/>
    <xf numFmtId="9" fontId="5" fillId="0" borderId="0" xfId="1" applyFont="1"/>
    <xf numFmtId="0" fontId="14" fillId="0" borderId="1" xfId="0" applyFont="1" applyBorder="1"/>
    <xf numFmtId="0" fontId="3" fillId="0" borderId="0" xfId="0" applyFont="1" applyAlignment="1">
      <alignment horizontal="left" indent="1"/>
    </xf>
    <xf numFmtId="0" fontId="2" fillId="0" borderId="0" xfId="0" applyFont="1"/>
    <xf numFmtId="4" fontId="5" fillId="0" borderId="0" xfId="0" applyNumberFormat="1" applyFont="1"/>
    <xf numFmtId="166" fontId="9" fillId="0" borderId="0" xfId="0" applyNumberFormat="1" applyFont="1"/>
    <xf numFmtId="168" fontId="9" fillId="0" borderId="0" xfId="0" applyNumberFormat="1" applyFont="1"/>
    <xf numFmtId="4" fontId="9" fillId="0" borderId="0" xfId="0" applyNumberFormat="1" applyFont="1"/>
    <xf numFmtId="9" fontId="9" fillId="0" borderId="0" xfId="0" applyNumberFormat="1" applyFont="1"/>
    <xf numFmtId="0" fontId="1" fillId="0" borderId="0" xfId="0" applyFont="1"/>
    <xf numFmtId="9" fontId="1" fillId="0" borderId="0" xfId="0" applyNumberFormat="1" applyFont="1"/>
    <xf numFmtId="164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E60"/>
  <sheetViews>
    <sheetView showGridLines="0" tabSelected="1" zoomScale="80" zoomScaleNormal="80" workbookViewId="0">
      <selection activeCell="G5" sqref="G5"/>
    </sheetView>
  </sheetViews>
  <sheetFormatPr defaultColWidth="12.5703125" defaultRowHeight="15.75" customHeight="1" x14ac:dyDescent="0.2"/>
  <cols>
    <col min="1" max="1" width="7.28515625" customWidth="1"/>
    <col min="2" max="2" width="38.5703125" customWidth="1"/>
    <col min="3" max="18" width="10.28515625" customWidth="1"/>
    <col min="19" max="19" width="10.85546875" bestFit="1" customWidth="1"/>
    <col min="20" max="26" width="10.28515625" customWidth="1"/>
    <col min="27" max="27" width="11.140625" customWidth="1"/>
    <col min="28" max="29" width="10.28515625" customWidth="1"/>
  </cols>
  <sheetData>
    <row r="1" spans="2:30" s="5" customFormat="1" ht="15" x14ac:dyDescent="0.25">
      <c r="B1" s="6" t="s">
        <v>0</v>
      </c>
    </row>
    <row r="2" spans="2:30" s="5" customFormat="1" ht="14.25" x14ac:dyDescent="0.2">
      <c r="B2" s="7" t="s">
        <v>1</v>
      </c>
    </row>
    <row r="3" spans="2:30" s="5" customFormat="1" ht="14.25" x14ac:dyDescent="0.2">
      <c r="B3" s="7" t="s">
        <v>2</v>
      </c>
    </row>
    <row r="4" spans="2:30" s="5" customFormat="1" ht="15" x14ac:dyDescent="0.25">
      <c r="B4" s="8" t="s">
        <v>3</v>
      </c>
    </row>
    <row r="5" spans="2:30" s="5" customFormat="1" ht="15" x14ac:dyDescent="0.25">
      <c r="B5" s="8"/>
    </row>
    <row r="6" spans="2:30" s="5" customFormat="1" ht="14.25" x14ac:dyDescent="0.2">
      <c r="B6" s="2" t="s">
        <v>4</v>
      </c>
    </row>
    <row r="7" spans="2:30" s="5" customFormat="1" ht="15" thickBot="1" x14ac:dyDescent="0.25">
      <c r="C7" s="2" t="s">
        <v>8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2:30" s="5" customFormat="1" ht="16.5" thickTop="1" thickBot="1" x14ac:dyDescent="0.3">
      <c r="B8" s="39" t="s">
        <v>9</v>
      </c>
      <c r="C8" s="10">
        <v>44927</v>
      </c>
      <c r="D8" s="10">
        <v>44958</v>
      </c>
      <c r="E8" s="10">
        <v>44986</v>
      </c>
      <c r="F8" s="10">
        <v>45017</v>
      </c>
      <c r="G8" s="10">
        <v>45047</v>
      </c>
      <c r="H8" s="10">
        <v>45078</v>
      </c>
      <c r="I8" s="10">
        <v>45108</v>
      </c>
      <c r="J8" s="10">
        <v>45139</v>
      </c>
      <c r="K8" s="10">
        <v>45170</v>
      </c>
      <c r="L8" s="10">
        <v>45200</v>
      </c>
      <c r="M8" s="10">
        <v>45231</v>
      </c>
      <c r="N8" s="10">
        <v>45261</v>
      </c>
      <c r="O8" s="11">
        <v>45292</v>
      </c>
      <c r="P8" s="12">
        <v>45323</v>
      </c>
      <c r="Q8" s="11">
        <v>45352</v>
      </c>
      <c r="R8" s="12">
        <v>45383</v>
      </c>
      <c r="S8" s="11">
        <v>45413</v>
      </c>
      <c r="T8" s="12">
        <v>45444</v>
      </c>
      <c r="U8" s="11">
        <v>45474</v>
      </c>
      <c r="V8" s="12">
        <v>45505</v>
      </c>
      <c r="W8" s="11">
        <v>45536</v>
      </c>
      <c r="X8" s="12">
        <v>45566</v>
      </c>
      <c r="Y8" s="11">
        <v>45597</v>
      </c>
      <c r="Z8" s="12">
        <v>45627</v>
      </c>
      <c r="AB8" s="10" t="s">
        <v>26</v>
      </c>
      <c r="AC8" s="10" t="s">
        <v>30</v>
      </c>
    </row>
    <row r="9" spans="2:30" s="5" customFormat="1" thickTop="1" x14ac:dyDescent="0.25">
      <c r="B9" s="13" t="s">
        <v>10</v>
      </c>
      <c r="C9" s="14">
        <v>299.2</v>
      </c>
      <c r="D9" s="14">
        <f t="shared" ref="D9:M9" si="0">C15</f>
        <v>302.89999999999998</v>
      </c>
      <c r="E9" s="14">
        <f t="shared" si="0"/>
        <v>312.89999999999998</v>
      </c>
      <c r="F9" s="14">
        <f t="shared" si="0"/>
        <v>326.2</v>
      </c>
      <c r="G9" s="14">
        <f t="shared" si="0"/>
        <v>331.8</v>
      </c>
      <c r="H9" s="14">
        <f t="shared" si="0"/>
        <v>343.79999999999995</v>
      </c>
      <c r="I9" s="14">
        <f t="shared" si="0"/>
        <v>356.29999999999995</v>
      </c>
      <c r="J9" s="14">
        <f t="shared" si="0"/>
        <v>363.2</v>
      </c>
      <c r="K9" s="14">
        <f t="shared" si="0"/>
        <v>372.4</v>
      </c>
      <c r="L9" s="14">
        <f>K15</f>
        <v>393.4</v>
      </c>
      <c r="M9" s="14">
        <f t="shared" si="0"/>
        <v>416.7</v>
      </c>
      <c r="N9" s="14">
        <f>M15</f>
        <v>462.59999999999997</v>
      </c>
      <c r="O9" s="15">
        <f>N15</f>
        <v>470.7</v>
      </c>
      <c r="P9" s="15">
        <f>O15</f>
        <v>490.00083333333328</v>
      </c>
      <c r="Q9" s="15">
        <f t="shared" ref="Q9:Z9" si="1">P15</f>
        <v>509.30166666666656</v>
      </c>
      <c r="R9" s="15">
        <f t="shared" si="1"/>
        <v>528.60249999999996</v>
      </c>
      <c r="S9" s="15">
        <f t="shared" si="1"/>
        <v>547.90333333333342</v>
      </c>
      <c r="T9" s="15">
        <f t="shared" si="1"/>
        <v>567.20416666666688</v>
      </c>
      <c r="U9" s="15">
        <f t="shared" si="1"/>
        <v>586.50500000000034</v>
      </c>
      <c r="V9" s="15">
        <f t="shared" si="1"/>
        <v>605.80583333333379</v>
      </c>
      <c r="W9" s="15">
        <f t="shared" si="1"/>
        <v>625.10666666666725</v>
      </c>
      <c r="X9" s="15">
        <f t="shared" si="1"/>
        <v>644.40750000000071</v>
      </c>
      <c r="Y9" s="15">
        <f t="shared" si="1"/>
        <v>663.70833333333417</v>
      </c>
      <c r="Z9" s="15">
        <f t="shared" si="1"/>
        <v>683.00916666666762</v>
      </c>
      <c r="AA9" s="45"/>
      <c r="AB9" s="14">
        <f>SUM(C9:N9)</f>
        <v>4281.3999999999996</v>
      </c>
      <c r="AC9" s="14">
        <f>SUM(O9:Z9)</f>
        <v>6922.2550000000037</v>
      </c>
      <c r="AD9" s="46">
        <f>(AC9-AB9)/AB9</f>
        <v>0.61682043256878694</v>
      </c>
    </row>
    <row r="10" spans="2:30" s="5" customFormat="1" ht="15" x14ac:dyDescent="0.25"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B10" s="14"/>
    </row>
    <row r="11" spans="2:30" s="5" customFormat="1" ht="15" x14ac:dyDescent="0.25">
      <c r="B11" s="18" t="s">
        <v>11</v>
      </c>
      <c r="C11" s="16">
        <v>8.6999999999999993</v>
      </c>
      <c r="D11" s="16">
        <v>10.199999999999999</v>
      </c>
      <c r="E11" s="16">
        <v>15.5</v>
      </c>
      <c r="F11" s="16">
        <v>8.5</v>
      </c>
      <c r="G11" s="16">
        <v>12.2</v>
      </c>
      <c r="H11" s="16">
        <v>10.199999999999999</v>
      </c>
      <c r="I11" s="16">
        <v>8.8000000000000007</v>
      </c>
      <c r="J11" s="16">
        <v>10</v>
      </c>
      <c r="K11" s="16">
        <v>11.7</v>
      </c>
      <c r="L11" s="16">
        <v>13.5</v>
      </c>
      <c r="M11" s="16">
        <v>15.5</v>
      </c>
      <c r="N11" s="16">
        <v>9.1999999999999993</v>
      </c>
      <c r="O11" s="19">
        <f>$AC11/12</f>
        <v>15.075000000000001</v>
      </c>
      <c r="P11" s="19">
        <f t="shared" ref="P11:Z13" si="2">$AC11/12</f>
        <v>15.075000000000001</v>
      </c>
      <c r="Q11" s="19">
        <f t="shared" si="2"/>
        <v>15.075000000000001</v>
      </c>
      <c r="R11" s="19">
        <f t="shared" si="2"/>
        <v>15.075000000000001</v>
      </c>
      <c r="S11" s="19">
        <f t="shared" si="2"/>
        <v>15.075000000000001</v>
      </c>
      <c r="T11" s="19">
        <f t="shared" si="2"/>
        <v>15.075000000000001</v>
      </c>
      <c r="U11" s="19">
        <f t="shared" si="2"/>
        <v>15.075000000000001</v>
      </c>
      <c r="V11" s="19">
        <f t="shared" si="2"/>
        <v>15.075000000000001</v>
      </c>
      <c r="W11" s="19">
        <f t="shared" si="2"/>
        <v>15.075000000000001</v>
      </c>
      <c r="X11" s="19">
        <f t="shared" si="2"/>
        <v>15.075000000000001</v>
      </c>
      <c r="Y11" s="19">
        <f t="shared" si="2"/>
        <v>15.075000000000001</v>
      </c>
      <c r="Z11" s="19">
        <f t="shared" si="2"/>
        <v>15.075000000000001</v>
      </c>
      <c r="AB11" s="14">
        <f t="shared" ref="AB11:AB13" si="3">SUM(C11:N11)</f>
        <v>134</v>
      </c>
      <c r="AC11" s="44">
        <f>AB11*(1+$C34)</f>
        <v>180.9</v>
      </c>
      <c r="AD11" s="46">
        <f>(AC11-AB11)/AB11</f>
        <v>0.35000000000000003</v>
      </c>
    </row>
    <row r="12" spans="2:30" s="5" customFormat="1" ht="15" x14ac:dyDescent="0.25">
      <c r="B12" s="18" t="s">
        <v>12</v>
      </c>
      <c r="C12" s="16">
        <v>-1.5</v>
      </c>
      <c r="D12" s="16">
        <v>4.2</v>
      </c>
      <c r="E12" s="16">
        <v>3</v>
      </c>
      <c r="F12" s="16">
        <v>2.2999999999999998</v>
      </c>
      <c r="G12" s="16">
        <v>6.4</v>
      </c>
      <c r="H12" s="16">
        <v>8.1</v>
      </c>
      <c r="I12" s="16">
        <v>3.5</v>
      </c>
      <c r="J12" s="16">
        <v>7.4</v>
      </c>
      <c r="K12" s="16">
        <v>18</v>
      </c>
      <c r="L12" s="16">
        <v>16</v>
      </c>
      <c r="M12" s="16">
        <v>38</v>
      </c>
      <c r="N12" s="16">
        <v>8.8000000000000007</v>
      </c>
      <c r="O12" s="19">
        <f>$AC12/12</f>
        <v>11.895833333333334</v>
      </c>
      <c r="P12" s="19">
        <f t="shared" si="2"/>
        <v>11.895833333333334</v>
      </c>
      <c r="Q12" s="19">
        <f t="shared" si="2"/>
        <v>11.895833333333334</v>
      </c>
      <c r="R12" s="19">
        <f t="shared" si="2"/>
        <v>11.895833333333334</v>
      </c>
      <c r="S12" s="19">
        <f t="shared" si="2"/>
        <v>11.895833333333334</v>
      </c>
      <c r="T12" s="19">
        <f t="shared" si="2"/>
        <v>11.895833333333334</v>
      </c>
      <c r="U12" s="19">
        <f t="shared" si="2"/>
        <v>11.895833333333334</v>
      </c>
      <c r="V12" s="19">
        <f t="shared" si="2"/>
        <v>11.895833333333334</v>
      </c>
      <c r="W12" s="19">
        <f t="shared" si="2"/>
        <v>11.895833333333334</v>
      </c>
      <c r="X12" s="19">
        <f t="shared" si="2"/>
        <v>11.895833333333334</v>
      </c>
      <c r="Y12" s="19">
        <f t="shared" si="2"/>
        <v>11.895833333333334</v>
      </c>
      <c r="Z12" s="19">
        <f t="shared" si="2"/>
        <v>11.895833333333334</v>
      </c>
      <c r="AB12" s="14">
        <f t="shared" si="3"/>
        <v>114.2</v>
      </c>
      <c r="AC12" s="44">
        <f>AB12*(1+$C35)</f>
        <v>142.75</v>
      </c>
      <c r="AD12" s="46">
        <f t="shared" ref="AD12:AD15" si="4">(AC12-AB12)/AB12</f>
        <v>0.24999999999999997</v>
      </c>
    </row>
    <row r="13" spans="2:30" s="5" customFormat="1" ht="15" x14ac:dyDescent="0.25">
      <c r="B13" s="18" t="s">
        <v>13</v>
      </c>
      <c r="C13" s="16">
        <v>-3.5</v>
      </c>
      <c r="D13" s="16">
        <v>-4.4000000000000004</v>
      </c>
      <c r="E13" s="16">
        <v>-5.2</v>
      </c>
      <c r="F13" s="16">
        <v>-5.2</v>
      </c>
      <c r="G13" s="16">
        <v>-6.6</v>
      </c>
      <c r="H13" s="16">
        <v>-5.8</v>
      </c>
      <c r="I13" s="16">
        <v>-5.4</v>
      </c>
      <c r="J13" s="16">
        <v>-8.1999999999999993</v>
      </c>
      <c r="K13" s="16">
        <v>-8.6999999999999993</v>
      </c>
      <c r="L13" s="16">
        <v>-6.2</v>
      </c>
      <c r="M13" s="16">
        <v>-7.6</v>
      </c>
      <c r="N13" s="16">
        <v>-9.9</v>
      </c>
      <c r="O13" s="19">
        <f>$AC13/12</f>
        <v>-7.6700000000000008</v>
      </c>
      <c r="P13" s="19">
        <f>$AC13/12</f>
        <v>-7.6700000000000008</v>
      </c>
      <c r="Q13" s="19">
        <f t="shared" si="2"/>
        <v>-7.6700000000000008</v>
      </c>
      <c r="R13" s="19">
        <f t="shared" si="2"/>
        <v>-7.6700000000000008</v>
      </c>
      <c r="S13" s="19">
        <f t="shared" si="2"/>
        <v>-7.6700000000000008</v>
      </c>
      <c r="T13" s="19">
        <f t="shared" si="2"/>
        <v>-7.6700000000000008</v>
      </c>
      <c r="U13" s="19">
        <f t="shared" si="2"/>
        <v>-7.6700000000000008</v>
      </c>
      <c r="V13" s="19">
        <f t="shared" si="2"/>
        <v>-7.6700000000000008</v>
      </c>
      <c r="W13" s="19">
        <f t="shared" si="2"/>
        <v>-7.6700000000000008</v>
      </c>
      <c r="X13" s="19">
        <f t="shared" si="2"/>
        <v>-7.6700000000000008</v>
      </c>
      <c r="Y13" s="19">
        <f t="shared" si="2"/>
        <v>-7.6700000000000008</v>
      </c>
      <c r="Z13" s="19">
        <f t="shared" si="2"/>
        <v>-7.6700000000000008</v>
      </c>
      <c r="AB13" s="14">
        <f t="shared" si="3"/>
        <v>-76.7</v>
      </c>
      <c r="AC13" s="44">
        <f>AB13*(1+$C36)</f>
        <v>-92.04</v>
      </c>
      <c r="AD13" s="46">
        <f t="shared" si="4"/>
        <v>0.20000000000000004</v>
      </c>
    </row>
    <row r="14" spans="2:30" s="5" customFormat="1" ht="15" x14ac:dyDescent="0.25"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B14" s="14"/>
    </row>
    <row r="15" spans="2:30" s="5" customFormat="1" ht="15" x14ac:dyDescent="0.25">
      <c r="B15" s="13" t="s">
        <v>14</v>
      </c>
      <c r="C15" s="14">
        <f>SUM(C9:C14)</f>
        <v>302.89999999999998</v>
      </c>
      <c r="D15" s="14">
        <f t="shared" ref="D15:M15" si="5">SUM(D9:D14)</f>
        <v>312.89999999999998</v>
      </c>
      <c r="E15" s="14">
        <f t="shared" si="5"/>
        <v>326.2</v>
      </c>
      <c r="F15" s="14">
        <f t="shared" si="5"/>
        <v>331.8</v>
      </c>
      <c r="G15" s="14">
        <f t="shared" si="5"/>
        <v>343.79999999999995</v>
      </c>
      <c r="H15" s="14">
        <f t="shared" si="5"/>
        <v>356.29999999999995</v>
      </c>
      <c r="I15" s="14">
        <f t="shared" si="5"/>
        <v>363.2</v>
      </c>
      <c r="J15" s="14">
        <f t="shared" si="5"/>
        <v>372.4</v>
      </c>
      <c r="K15" s="14">
        <f t="shared" si="5"/>
        <v>393.4</v>
      </c>
      <c r="L15" s="14">
        <f>SUM(L9:L14)</f>
        <v>416.7</v>
      </c>
      <c r="M15" s="14">
        <f t="shared" si="5"/>
        <v>462.59999999999997</v>
      </c>
      <c r="N15" s="14">
        <f>SUM(N9:N14)</f>
        <v>470.7</v>
      </c>
      <c r="O15" s="14">
        <f>SUM(O9:O14)</f>
        <v>490.00083333333328</v>
      </c>
      <c r="P15" s="14">
        <f>SUM(P9:P14)</f>
        <v>509.30166666666656</v>
      </c>
      <c r="Q15" s="14">
        <f>SUM(Q9:Q14)</f>
        <v>528.60249999999996</v>
      </c>
      <c r="R15" s="14">
        <f>SUM(R9:R14)</f>
        <v>547.90333333333342</v>
      </c>
      <c r="S15" s="14">
        <f>SUM(S9:S14)</f>
        <v>567.20416666666688</v>
      </c>
      <c r="T15" s="14">
        <f>SUM(T9:T14)</f>
        <v>586.50500000000034</v>
      </c>
      <c r="U15" s="14">
        <f>SUM(U9:U14)</f>
        <v>605.80583333333379</v>
      </c>
      <c r="V15" s="14">
        <f>SUM(V9:V14)</f>
        <v>625.10666666666725</v>
      </c>
      <c r="W15" s="14">
        <f>SUM(W9:W14)</f>
        <v>644.40750000000071</v>
      </c>
      <c r="X15" s="14">
        <f>SUM(X9:X14)</f>
        <v>663.70833333333417</v>
      </c>
      <c r="Y15" s="14">
        <f>SUM(Y9:Y14)</f>
        <v>683.00916666666762</v>
      </c>
      <c r="Z15" s="14">
        <f>SUM(Z9:Z14)</f>
        <v>702.31000000000108</v>
      </c>
      <c r="AA15" s="28">
        <f>(Z15-N15)/Z15</f>
        <v>0.32978314419558419</v>
      </c>
      <c r="AB15" s="14">
        <f>SUM(C15:N15)</f>
        <v>4452.8999999999996</v>
      </c>
      <c r="AC15" s="43">
        <f>SUM(O15:Z15)</f>
        <v>7153.8650000000061</v>
      </c>
      <c r="AD15" s="46">
        <f>(AC15-AB15)/AC15</f>
        <v>0.3775532526822919</v>
      </c>
    </row>
    <row r="16" spans="2:30" s="5" customFormat="1" ht="15" x14ac:dyDescent="0.25">
      <c r="C16" s="23">
        <f>C15/12</f>
        <v>25.241666666666664</v>
      </c>
      <c r="D16" s="23">
        <f>D15/12</f>
        <v>26.074999999999999</v>
      </c>
      <c r="E16" s="23">
        <f>E15/12</f>
        <v>27.183333333333334</v>
      </c>
      <c r="F16" s="23">
        <f>F15/12</f>
        <v>27.650000000000002</v>
      </c>
      <c r="G16" s="23"/>
      <c r="H16" s="23"/>
      <c r="I16" s="23"/>
      <c r="J16" s="23"/>
      <c r="K16" s="23"/>
      <c r="L16" s="23"/>
      <c r="M16" s="23"/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2:31" s="5" customFormat="1" ht="14.25" x14ac:dyDescent="0.2">
      <c r="B17" s="40" t="s">
        <v>39</v>
      </c>
      <c r="C17" s="22">
        <f>C19/(C15/12)</f>
        <v>1.004</v>
      </c>
      <c r="D17" s="22">
        <f t="shared" ref="D17:Z17" si="6">D19/(D15/12)</f>
        <v>0.95799999999999996</v>
      </c>
      <c r="E17" s="22">
        <f t="shared" si="6"/>
        <v>1.056</v>
      </c>
      <c r="F17" s="22">
        <f t="shared" si="6"/>
        <v>0.97599999999999987</v>
      </c>
      <c r="G17" s="22">
        <f>G19/(G15/12)</f>
        <v>1.0169999999999999</v>
      </c>
      <c r="H17" s="22">
        <f t="shared" si="6"/>
        <v>0.98599999999999999</v>
      </c>
      <c r="I17" s="22">
        <f t="shared" si="6"/>
        <v>0.999</v>
      </c>
      <c r="J17" s="22">
        <f t="shared" si="6"/>
        <v>0.98799999999999999</v>
      </c>
      <c r="K17" s="22">
        <f t="shared" si="6"/>
        <v>0.96499999999999997</v>
      </c>
      <c r="L17" s="22">
        <f>L19/(L15/12)</f>
        <v>0.98599999999999999</v>
      </c>
      <c r="M17" s="22">
        <f t="shared" si="6"/>
        <v>0.92800000000000005</v>
      </c>
      <c r="N17" s="22">
        <f t="shared" si="6"/>
        <v>1.02</v>
      </c>
      <c r="O17" s="22">
        <f t="shared" si="6"/>
        <v>1.004</v>
      </c>
      <c r="P17" s="22">
        <f t="shared" si="6"/>
        <v>0.95799999999999996</v>
      </c>
      <c r="Q17" s="22">
        <f t="shared" si="6"/>
        <v>1.056</v>
      </c>
      <c r="R17" s="22">
        <f t="shared" si="6"/>
        <v>0.97599999999999987</v>
      </c>
      <c r="S17" s="22">
        <f t="shared" si="6"/>
        <v>1.0169999999999999</v>
      </c>
      <c r="T17" s="22">
        <f t="shared" si="6"/>
        <v>0.9860000000000001</v>
      </c>
      <c r="U17" s="22">
        <f t="shared" si="6"/>
        <v>0.999</v>
      </c>
      <c r="V17" s="22">
        <f t="shared" si="6"/>
        <v>0.9880000000000001</v>
      </c>
      <c r="W17" s="22">
        <f t="shared" si="6"/>
        <v>0.96499999999999997</v>
      </c>
      <c r="X17" s="22">
        <f t="shared" si="6"/>
        <v>0.98599999999999988</v>
      </c>
      <c r="Y17" s="22">
        <f t="shared" si="6"/>
        <v>0.92800000000000005</v>
      </c>
      <c r="Z17" s="22">
        <f t="shared" si="6"/>
        <v>1.02</v>
      </c>
    </row>
    <row r="18" spans="2:31" s="47" customFormat="1" ht="14.25" x14ac:dyDescent="0.2">
      <c r="C18" s="48">
        <f>C19/C15</f>
        <v>8.3666666666666667E-2</v>
      </c>
      <c r="D18" s="48">
        <f t="shared" ref="D18:N18" si="7">D19/D15</f>
        <v>7.9833333333333339E-2</v>
      </c>
      <c r="E18" s="48">
        <f t="shared" si="7"/>
        <v>8.8000000000000009E-2</v>
      </c>
      <c r="F18" s="48">
        <f t="shared" si="7"/>
        <v>8.1333333333333327E-2</v>
      </c>
      <c r="G18" s="48">
        <f t="shared" si="7"/>
        <v>8.4749999999999992E-2</v>
      </c>
      <c r="H18" s="48">
        <f t="shared" si="7"/>
        <v>8.2166666666666666E-2</v>
      </c>
      <c r="I18" s="48">
        <f t="shared" si="7"/>
        <v>8.3250000000000005E-2</v>
      </c>
      <c r="J18" s="48">
        <f t="shared" si="7"/>
        <v>8.2333333333333342E-2</v>
      </c>
      <c r="K18" s="48">
        <f t="shared" si="7"/>
        <v>8.0416666666666664E-2</v>
      </c>
      <c r="L18" s="48">
        <f t="shared" si="7"/>
        <v>8.2166666666666666E-2</v>
      </c>
      <c r="M18" s="48">
        <f t="shared" si="7"/>
        <v>7.7333333333333337E-2</v>
      </c>
      <c r="N18" s="48">
        <f t="shared" si="7"/>
        <v>8.5000000000000006E-2</v>
      </c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2:31" s="5" customFormat="1" ht="15" x14ac:dyDescent="0.25">
      <c r="B19" s="13" t="s">
        <v>15</v>
      </c>
      <c r="C19" s="14">
        <v>25.342633333333332</v>
      </c>
      <c r="D19" s="14">
        <v>24.979849999999999</v>
      </c>
      <c r="E19" s="14">
        <v>28.7056</v>
      </c>
      <c r="F19" s="14">
        <v>26.9864</v>
      </c>
      <c r="G19" s="14">
        <v>29.137049999999991</v>
      </c>
      <c r="H19" s="14">
        <v>29.275983333333329</v>
      </c>
      <c r="I19" s="14">
        <v>30.2364</v>
      </c>
      <c r="J19" s="14">
        <v>30.660933333333332</v>
      </c>
      <c r="K19" s="14">
        <v>31.635916666666663</v>
      </c>
      <c r="L19" s="14">
        <v>34.238849999999999</v>
      </c>
      <c r="M19" s="14">
        <v>35.7744</v>
      </c>
      <c r="N19" s="14">
        <v>40.009500000000003</v>
      </c>
      <c r="O19" s="25">
        <f>C18*O15</f>
        <v>40.996736388888884</v>
      </c>
      <c r="P19" s="25">
        <f t="shared" ref="P19:Z19" si="8">D18*P15</f>
        <v>40.659249722222214</v>
      </c>
      <c r="Q19" s="25">
        <f t="shared" si="8"/>
        <v>46.517020000000002</v>
      </c>
      <c r="R19" s="25">
        <f t="shared" si="8"/>
        <v>44.562804444444446</v>
      </c>
      <c r="S19" s="25">
        <f t="shared" si="8"/>
        <v>48.070553125000011</v>
      </c>
      <c r="T19" s="25">
        <f t="shared" si="8"/>
        <v>48.191160833333363</v>
      </c>
      <c r="U19" s="25">
        <f t="shared" si="8"/>
        <v>50.433335625000041</v>
      </c>
      <c r="V19" s="25">
        <f t="shared" si="8"/>
        <v>51.467115555555608</v>
      </c>
      <c r="W19" s="25">
        <f t="shared" si="8"/>
        <v>51.821103125000057</v>
      </c>
      <c r="X19" s="25">
        <f t="shared" si="8"/>
        <v>54.534701388888955</v>
      </c>
      <c r="Y19" s="25">
        <f t="shared" si="8"/>
        <v>52.819375555555631</v>
      </c>
      <c r="Z19" s="25">
        <f t="shared" si="8"/>
        <v>59.696350000000095</v>
      </c>
      <c r="AB19" s="14">
        <f>SUM(C19:N19)</f>
        <v>366.98351666666667</v>
      </c>
      <c r="AC19" s="14">
        <f>SUM(O19:Z19)</f>
        <v>589.76950576388924</v>
      </c>
    </row>
    <row r="20" spans="2:31" s="5" customFormat="1" ht="14.25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B20" s="4"/>
      <c r="AC20" s="4"/>
    </row>
    <row r="21" spans="2:31" s="5" customFormat="1" ht="14.25" x14ac:dyDescent="0.2">
      <c r="B21" s="26" t="s">
        <v>18</v>
      </c>
      <c r="C21" s="27">
        <v>5</v>
      </c>
      <c r="D21" s="27">
        <v>6</v>
      </c>
      <c r="E21" s="27">
        <v>7</v>
      </c>
      <c r="F21" s="27">
        <v>8</v>
      </c>
      <c r="G21" s="27">
        <v>9</v>
      </c>
      <c r="H21" s="27">
        <v>10</v>
      </c>
      <c r="I21" s="27">
        <v>11</v>
      </c>
      <c r="J21" s="27">
        <v>12</v>
      </c>
      <c r="K21" s="27">
        <v>13</v>
      </c>
      <c r="L21" s="27">
        <v>14</v>
      </c>
      <c r="M21" s="27">
        <v>15</v>
      </c>
      <c r="N21" s="27">
        <v>16</v>
      </c>
      <c r="O21" s="27">
        <f>(SUM($AC$21)*0.15)/3</f>
        <v>7.5</v>
      </c>
      <c r="P21" s="27">
        <f t="shared" ref="P21:Q21" si="9">(SUM($AC$21)*0.15)/3</f>
        <v>7.5</v>
      </c>
      <c r="Q21" s="27">
        <f t="shared" si="9"/>
        <v>7.5</v>
      </c>
      <c r="R21" s="27">
        <f>(SUM($AC$21)*0.2)/3</f>
        <v>10</v>
      </c>
      <c r="S21" s="27">
        <f t="shared" ref="S21:T21" si="10">(SUM($AC$21)*0.2)/3</f>
        <v>10</v>
      </c>
      <c r="T21" s="27">
        <f t="shared" si="10"/>
        <v>10</v>
      </c>
      <c r="U21" s="27">
        <f>(SUM($AC$21)*0.25)/3</f>
        <v>12.5</v>
      </c>
      <c r="V21" s="27">
        <f t="shared" ref="V21:W21" si="11">(SUM($AC$21)*0.25)/3</f>
        <v>12.5</v>
      </c>
      <c r="W21" s="27">
        <f t="shared" si="11"/>
        <v>12.5</v>
      </c>
      <c r="X21" s="27">
        <f>(SUM($AC$21)*0.4)/3</f>
        <v>20</v>
      </c>
      <c r="Y21" s="27">
        <f t="shared" ref="Y21:Z21" si="12">(SUM($AC$21)*0.4)/3</f>
        <v>20</v>
      </c>
      <c r="Z21" s="27">
        <f t="shared" si="12"/>
        <v>20</v>
      </c>
      <c r="AB21" s="27">
        <f>SUM(C21:N21)</f>
        <v>126</v>
      </c>
      <c r="AC21" s="27">
        <v>150</v>
      </c>
      <c r="AD21" s="16"/>
    </row>
    <row r="22" spans="2:31" s="5" customFormat="1" ht="15" x14ac:dyDescent="0.25">
      <c r="B22" s="13" t="s">
        <v>25</v>
      </c>
      <c r="C22" s="14">
        <f>C19-C21</f>
        <v>20.342633333333332</v>
      </c>
      <c r="D22" s="14">
        <f t="shared" ref="D22:Z22" si="13">D19-D21</f>
        <v>18.979849999999999</v>
      </c>
      <c r="E22" s="14">
        <f t="shared" si="13"/>
        <v>21.7056</v>
      </c>
      <c r="F22" s="14">
        <f t="shared" si="13"/>
        <v>18.9864</v>
      </c>
      <c r="G22" s="14">
        <f t="shared" si="13"/>
        <v>20.137049999999991</v>
      </c>
      <c r="H22" s="14">
        <f t="shared" si="13"/>
        <v>19.275983333333329</v>
      </c>
      <c r="I22" s="14">
        <f t="shared" si="13"/>
        <v>19.2364</v>
      </c>
      <c r="J22" s="14">
        <f t="shared" si="13"/>
        <v>18.660933333333332</v>
      </c>
      <c r="K22" s="14">
        <f t="shared" si="13"/>
        <v>18.635916666666663</v>
      </c>
      <c r="L22" s="14">
        <f>L19-L21</f>
        <v>20.238849999999999</v>
      </c>
      <c r="M22" s="14">
        <f t="shared" si="13"/>
        <v>20.7744</v>
      </c>
      <c r="N22" s="14">
        <f t="shared" si="13"/>
        <v>24.009500000000003</v>
      </c>
      <c r="O22" s="14">
        <f t="shared" si="13"/>
        <v>33.496736388888884</v>
      </c>
      <c r="P22" s="14">
        <f t="shared" si="13"/>
        <v>33.159249722222214</v>
      </c>
      <c r="Q22" s="14">
        <f t="shared" si="13"/>
        <v>39.017020000000002</v>
      </c>
      <c r="R22" s="14">
        <f t="shared" si="13"/>
        <v>34.562804444444446</v>
      </c>
      <c r="S22" s="14">
        <f t="shared" si="13"/>
        <v>38.070553125000011</v>
      </c>
      <c r="T22" s="14">
        <f t="shared" si="13"/>
        <v>38.191160833333363</v>
      </c>
      <c r="U22" s="14">
        <f t="shared" si="13"/>
        <v>37.933335625000041</v>
      </c>
      <c r="V22" s="14">
        <f t="shared" si="13"/>
        <v>38.967115555555608</v>
      </c>
      <c r="W22" s="14">
        <f t="shared" si="13"/>
        <v>39.321103125000057</v>
      </c>
      <c r="X22" s="14">
        <f t="shared" si="13"/>
        <v>34.534701388888955</v>
      </c>
      <c r="Y22" s="14">
        <f t="shared" si="13"/>
        <v>32.819375555555631</v>
      </c>
      <c r="Z22" s="14">
        <f t="shared" si="13"/>
        <v>39.696350000000095</v>
      </c>
      <c r="AB22" s="14">
        <f>AB19-AB21</f>
        <v>240.98351666666667</v>
      </c>
      <c r="AC22" s="14">
        <f>AC19-AC21</f>
        <v>439.76950576388924</v>
      </c>
    </row>
    <row r="23" spans="2:31" s="5" customFormat="1" ht="14.25" x14ac:dyDescent="0.2">
      <c r="B23" s="2" t="s">
        <v>24</v>
      </c>
      <c r="C23" s="3">
        <f>C22/C19</f>
        <v>0.80270400734467218</v>
      </c>
      <c r="D23" s="3">
        <f t="shared" ref="D23:Z23" si="14">D22/D19</f>
        <v>0.75980640396159305</v>
      </c>
      <c r="E23" s="3">
        <f t="shared" si="14"/>
        <v>0.75614514241123687</v>
      </c>
      <c r="F23" s="3">
        <f t="shared" si="14"/>
        <v>0.70355438294844808</v>
      </c>
      <c r="G23" s="3">
        <f t="shared" si="14"/>
        <v>0.6911149206937558</v>
      </c>
      <c r="H23" s="3">
        <f t="shared" si="14"/>
        <v>0.65842308741123978</v>
      </c>
      <c r="I23" s="3">
        <f t="shared" si="14"/>
        <v>0.63620007672871104</v>
      </c>
      <c r="J23" s="3">
        <f>J22/J19</f>
        <v>0.60862248159438503</v>
      </c>
      <c r="K23" s="3">
        <f t="shared" si="14"/>
        <v>0.58907465407198034</v>
      </c>
      <c r="L23" s="3">
        <f t="shared" si="14"/>
        <v>0.59110776208897198</v>
      </c>
      <c r="M23" s="3">
        <f t="shared" si="14"/>
        <v>0.58070575607138064</v>
      </c>
      <c r="N23" s="3">
        <f t="shared" si="14"/>
        <v>0.60009497744285734</v>
      </c>
      <c r="O23" s="3">
        <f t="shared" si="14"/>
        <v>0.81705860854737</v>
      </c>
      <c r="P23" s="3">
        <f t="shared" si="14"/>
        <v>0.81554012798468112</v>
      </c>
      <c r="Q23" s="3">
        <f t="shared" si="14"/>
        <v>0.83876869154558908</v>
      </c>
      <c r="R23" s="3">
        <f t="shared" si="14"/>
        <v>0.77559760601542038</v>
      </c>
      <c r="S23" s="3">
        <f t="shared" si="14"/>
        <v>0.79197243738809175</v>
      </c>
      <c r="T23" s="3">
        <f t="shared" si="14"/>
        <v>0.79249306663135832</v>
      </c>
      <c r="U23" s="3">
        <f t="shared" si="14"/>
        <v>0.7521480614936028</v>
      </c>
      <c r="V23" s="3">
        <f t="shared" si="14"/>
        <v>0.75712647065858951</v>
      </c>
      <c r="W23" s="3">
        <f t="shared" si="14"/>
        <v>0.75878552855487891</v>
      </c>
      <c r="X23" s="3">
        <f t="shared" si="14"/>
        <v>0.63326103397212596</v>
      </c>
      <c r="Y23" s="3">
        <f t="shared" si="14"/>
        <v>0.62135107070768147</v>
      </c>
      <c r="Z23" s="3">
        <f t="shared" si="14"/>
        <v>0.66497114145169733</v>
      </c>
      <c r="AB23" s="3">
        <f>AB22/AB19</f>
        <v>0.65666032865872137</v>
      </c>
      <c r="AC23" s="3">
        <f>AC22/AC19</f>
        <v>0.74566335062421552</v>
      </c>
      <c r="AD23" s="45">
        <f>(AC23-AB23)*10000</f>
        <v>890.03021965494145</v>
      </c>
    </row>
    <row r="24" spans="2:31" s="5" customFormat="1" ht="14.25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B24" s="4"/>
      <c r="AC24" s="4"/>
    </row>
    <row r="25" spans="2:31" s="5" customFormat="1" ht="14.25" x14ac:dyDescent="0.2">
      <c r="B25" s="18" t="s">
        <v>19</v>
      </c>
      <c r="C25" s="16">
        <v>2</v>
      </c>
      <c r="D25" s="16">
        <v>2</v>
      </c>
      <c r="E25" s="16">
        <v>2</v>
      </c>
      <c r="F25" s="16">
        <v>2</v>
      </c>
      <c r="G25" s="16">
        <v>2</v>
      </c>
      <c r="H25" s="16">
        <v>2</v>
      </c>
      <c r="I25" s="16">
        <v>2</v>
      </c>
      <c r="J25" s="16">
        <v>2</v>
      </c>
      <c r="K25" s="16">
        <v>2</v>
      </c>
      <c r="L25" s="16">
        <v>2</v>
      </c>
      <c r="M25" s="16">
        <v>2</v>
      </c>
      <c r="N25" s="16">
        <v>2</v>
      </c>
      <c r="O25" s="16">
        <f>$AC$25/12</f>
        <v>2.7000000000000006</v>
      </c>
      <c r="P25" s="16">
        <f t="shared" ref="P25:Z25" si="15">$AC$25/12</f>
        <v>2.7000000000000006</v>
      </c>
      <c r="Q25" s="16">
        <f t="shared" si="15"/>
        <v>2.7000000000000006</v>
      </c>
      <c r="R25" s="16">
        <f t="shared" si="15"/>
        <v>2.7000000000000006</v>
      </c>
      <c r="S25" s="16">
        <f t="shared" si="15"/>
        <v>2.7000000000000006</v>
      </c>
      <c r="T25" s="16">
        <f t="shared" si="15"/>
        <v>2.7000000000000006</v>
      </c>
      <c r="U25" s="16">
        <f t="shared" si="15"/>
        <v>2.7000000000000006</v>
      </c>
      <c r="V25" s="16">
        <f t="shared" si="15"/>
        <v>2.7000000000000006</v>
      </c>
      <c r="W25" s="16">
        <f t="shared" si="15"/>
        <v>2.7000000000000006</v>
      </c>
      <c r="X25" s="16">
        <f t="shared" si="15"/>
        <v>2.7000000000000006</v>
      </c>
      <c r="Y25" s="16">
        <f t="shared" si="15"/>
        <v>2.7000000000000006</v>
      </c>
      <c r="Z25" s="16">
        <f t="shared" si="15"/>
        <v>2.7000000000000006</v>
      </c>
      <c r="AB25" s="16">
        <f>SUM(C25:N25)</f>
        <v>24</v>
      </c>
      <c r="AC25" s="44">
        <f>AB25*(1+$C$34)</f>
        <v>32.400000000000006</v>
      </c>
    </row>
    <row r="26" spans="2:31" s="5" customFormat="1" ht="14.25" x14ac:dyDescent="0.2">
      <c r="B26" s="29" t="s">
        <v>20</v>
      </c>
      <c r="C26" s="16">
        <v>6</v>
      </c>
      <c r="D26" s="16">
        <v>6</v>
      </c>
      <c r="E26" s="16">
        <v>6</v>
      </c>
      <c r="F26" s="16">
        <v>6</v>
      </c>
      <c r="G26" s="16">
        <v>6</v>
      </c>
      <c r="H26" s="16">
        <v>6</v>
      </c>
      <c r="I26" s="16">
        <v>6</v>
      </c>
      <c r="J26" s="16">
        <v>6</v>
      </c>
      <c r="K26" s="16">
        <v>6</v>
      </c>
      <c r="L26" s="16">
        <v>6</v>
      </c>
      <c r="M26" s="16">
        <v>6</v>
      </c>
      <c r="N26" s="16">
        <v>6</v>
      </c>
      <c r="O26" s="16">
        <f>$AC$26/12</f>
        <v>8.1</v>
      </c>
      <c r="P26" s="16">
        <f t="shared" ref="P26:Z26" si="16">$AC$26/12</f>
        <v>8.1</v>
      </c>
      <c r="Q26" s="16">
        <f t="shared" si="16"/>
        <v>8.1</v>
      </c>
      <c r="R26" s="16">
        <f t="shared" si="16"/>
        <v>8.1</v>
      </c>
      <c r="S26" s="16">
        <f t="shared" si="16"/>
        <v>8.1</v>
      </c>
      <c r="T26" s="16">
        <f t="shared" si="16"/>
        <v>8.1</v>
      </c>
      <c r="U26" s="16">
        <f t="shared" si="16"/>
        <v>8.1</v>
      </c>
      <c r="V26" s="16">
        <f t="shared" si="16"/>
        <v>8.1</v>
      </c>
      <c r="W26" s="16">
        <f t="shared" si="16"/>
        <v>8.1</v>
      </c>
      <c r="X26" s="16">
        <f t="shared" si="16"/>
        <v>8.1</v>
      </c>
      <c r="Y26" s="16">
        <f t="shared" si="16"/>
        <v>8.1</v>
      </c>
      <c r="Z26" s="16">
        <f t="shared" si="16"/>
        <v>8.1</v>
      </c>
      <c r="AB26" s="16">
        <f>SUM(C26:N26)</f>
        <v>72</v>
      </c>
      <c r="AC26" s="44">
        <f t="shared" ref="AC26:AC27" si="17">AB26*(1+$C$34)</f>
        <v>97.2</v>
      </c>
    </row>
    <row r="27" spans="2:31" s="5" customFormat="1" ht="14.25" x14ac:dyDescent="0.2">
      <c r="B27" s="26" t="s">
        <v>21</v>
      </c>
      <c r="C27" s="27">
        <v>4</v>
      </c>
      <c r="D27" s="27">
        <v>4</v>
      </c>
      <c r="E27" s="27">
        <v>4</v>
      </c>
      <c r="F27" s="27">
        <v>4</v>
      </c>
      <c r="G27" s="27">
        <v>4</v>
      </c>
      <c r="H27" s="27">
        <v>4</v>
      </c>
      <c r="I27" s="27">
        <v>4</v>
      </c>
      <c r="J27" s="27">
        <v>4</v>
      </c>
      <c r="K27" s="27">
        <v>4</v>
      </c>
      <c r="L27" s="27">
        <v>4</v>
      </c>
      <c r="M27" s="27">
        <v>4</v>
      </c>
      <c r="N27" s="27">
        <v>4</v>
      </c>
      <c r="O27" s="27">
        <f>$AC$27/12</f>
        <v>5.4000000000000012</v>
      </c>
      <c r="P27" s="27">
        <f t="shared" ref="P27:Z27" si="18">$AC$27/12</f>
        <v>5.4000000000000012</v>
      </c>
      <c r="Q27" s="27">
        <f t="shared" si="18"/>
        <v>5.4000000000000012</v>
      </c>
      <c r="R27" s="27">
        <f t="shared" si="18"/>
        <v>5.4000000000000012</v>
      </c>
      <c r="S27" s="27">
        <f t="shared" si="18"/>
        <v>5.4000000000000012</v>
      </c>
      <c r="T27" s="27">
        <f t="shared" si="18"/>
        <v>5.4000000000000012</v>
      </c>
      <c r="U27" s="27">
        <f t="shared" si="18"/>
        <v>5.4000000000000012</v>
      </c>
      <c r="V27" s="27">
        <f t="shared" si="18"/>
        <v>5.4000000000000012</v>
      </c>
      <c r="W27" s="27">
        <f t="shared" si="18"/>
        <v>5.4000000000000012</v>
      </c>
      <c r="X27" s="27">
        <f t="shared" si="18"/>
        <v>5.4000000000000012</v>
      </c>
      <c r="Y27" s="27">
        <f t="shared" si="18"/>
        <v>5.4000000000000012</v>
      </c>
      <c r="Z27" s="27">
        <f t="shared" si="18"/>
        <v>5.4000000000000012</v>
      </c>
      <c r="AB27" s="27">
        <f>SUM(C27:N27)</f>
        <v>48</v>
      </c>
      <c r="AC27" s="44">
        <f t="shared" si="17"/>
        <v>64.800000000000011</v>
      </c>
    </row>
    <row r="28" spans="2:31" s="5" customFormat="1" ht="15" x14ac:dyDescent="0.25">
      <c r="B28" s="13" t="s">
        <v>29</v>
      </c>
      <c r="C28" s="14">
        <f>SUM(C25:C27)</f>
        <v>12</v>
      </c>
      <c r="D28" s="14">
        <f t="shared" ref="D28:Z28" si="19">SUM(D25:D27)</f>
        <v>12</v>
      </c>
      <c r="E28" s="14">
        <f t="shared" si="19"/>
        <v>12</v>
      </c>
      <c r="F28" s="14">
        <f t="shared" si="19"/>
        <v>12</v>
      </c>
      <c r="G28" s="14">
        <f t="shared" si="19"/>
        <v>12</v>
      </c>
      <c r="H28" s="14">
        <f t="shared" si="19"/>
        <v>12</v>
      </c>
      <c r="I28" s="14">
        <f t="shared" si="19"/>
        <v>12</v>
      </c>
      <c r="J28" s="14">
        <f t="shared" si="19"/>
        <v>12</v>
      </c>
      <c r="K28" s="14">
        <f t="shared" si="19"/>
        <v>12</v>
      </c>
      <c r="L28" s="14">
        <f t="shared" si="19"/>
        <v>12</v>
      </c>
      <c r="M28" s="14">
        <f t="shared" si="19"/>
        <v>12</v>
      </c>
      <c r="N28" s="14">
        <f t="shared" si="19"/>
        <v>12</v>
      </c>
      <c r="O28" s="14">
        <f t="shared" si="19"/>
        <v>16.200000000000003</v>
      </c>
      <c r="P28" s="14">
        <f t="shared" si="19"/>
        <v>16.200000000000003</v>
      </c>
      <c r="Q28" s="14">
        <f t="shared" si="19"/>
        <v>16.200000000000003</v>
      </c>
      <c r="R28" s="14">
        <f t="shared" si="19"/>
        <v>16.200000000000003</v>
      </c>
      <c r="S28" s="14">
        <f t="shared" si="19"/>
        <v>16.200000000000003</v>
      </c>
      <c r="T28" s="14">
        <f t="shared" si="19"/>
        <v>16.200000000000003</v>
      </c>
      <c r="U28" s="14">
        <f t="shared" si="19"/>
        <v>16.200000000000003</v>
      </c>
      <c r="V28" s="14">
        <f t="shared" si="19"/>
        <v>16.200000000000003</v>
      </c>
      <c r="W28" s="14">
        <f t="shared" si="19"/>
        <v>16.200000000000003</v>
      </c>
      <c r="X28" s="14">
        <f t="shared" si="19"/>
        <v>16.200000000000003</v>
      </c>
      <c r="Y28" s="14">
        <f t="shared" si="19"/>
        <v>16.200000000000003</v>
      </c>
      <c r="Z28" s="14">
        <f t="shared" si="19"/>
        <v>16.200000000000003</v>
      </c>
      <c r="AB28" s="14">
        <f>SUM(AB25:AB27)</f>
        <v>144</v>
      </c>
      <c r="AC28" s="14">
        <f>SUM(AC25:AC27)</f>
        <v>194.40000000000003</v>
      </c>
      <c r="AD28" s="28">
        <f>AB28/AB19</f>
        <v>0.39238819581860418</v>
      </c>
      <c r="AE28" s="28">
        <f>AC28/AC19</f>
        <v>0.32962029759101674</v>
      </c>
    </row>
    <row r="29" spans="2:31" s="5" customFormat="1" ht="14.25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B29" s="4"/>
      <c r="AC29" s="4"/>
    </row>
    <row r="30" spans="2:31" s="5" customFormat="1" ht="15" x14ac:dyDescent="0.25">
      <c r="B30" s="13" t="s">
        <v>22</v>
      </c>
      <c r="C30" s="14">
        <f>C22-C25-C26-C27</f>
        <v>8.3426333333333318</v>
      </c>
      <c r="D30" s="14">
        <f t="shared" ref="D30:Z30" si="20">D22-D25-D26-D27</f>
        <v>6.979849999999999</v>
      </c>
      <c r="E30" s="14">
        <f t="shared" si="20"/>
        <v>9.7056000000000004</v>
      </c>
      <c r="F30" s="14">
        <f t="shared" si="20"/>
        <v>6.9863999999999997</v>
      </c>
      <c r="G30" s="14">
        <f t="shared" si="20"/>
        <v>8.1370499999999915</v>
      </c>
      <c r="H30" s="14">
        <f t="shared" si="20"/>
        <v>7.275983333333329</v>
      </c>
      <c r="I30" s="14">
        <f t="shared" si="20"/>
        <v>7.2363999999999997</v>
      </c>
      <c r="J30" s="14">
        <f t="shared" si="20"/>
        <v>6.6609333333333325</v>
      </c>
      <c r="K30" s="14">
        <f t="shared" si="20"/>
        <v>6.6359166666666631</v>
      </c>
      <c r="L30" s="14">
        <f t="shared" si="20"/>
        <v>8.2388499999999993</v>
      </c>
      <c r="M30" s="14">
        <f t="shared" si="20"/>
        <v>8.7744</v>
      </c>
      <c r="N30" s="14">
        <f t="shared" si="20"/>
        <v>12.009500000000003</v>
      </c>
      <c r="O30" s="14">
        <f t="shared" si="20"/>
        <v>17.296736388888885</v>
      </c>
      <c r="P30" s="14">
        <f t="shared" si="20"/>
        <v>16.959249722222214</v>
      </c>
      <c r="Q30" s="14">
        <f t="shared" si="20"/>
        <v>22.817019999999996</v>
      </c>
      <c r="R30" s="14">
        <f t="shared" si="20"/>
        <v>18.362804444444446</v>
      </c>
      <c r="S30" s="14">
        <f t="shared" si="20"/>
        <v>21.870553125000004</v>
      </c>
      <c r="T30" s="14">
        <f>T22-T25-T26-T27</f>
        <v>21.991160833333357</v>
      </c>
      <c r="U30" s="14">
        <f t="shared" si="20"/>
        <v>21.733335625000034</v>
      </c>
      <c r="V30" s="14">
        <f t="shared" si="20"/>
        <v>22.767115555555602</v>
      </c>
      <c r="W30" s="14">
        <f t="shared" si="20"/>
        <v>23.121103125000051</v>
      </c>
      <c r="X30" s="14">
        <f t="shared" si="20"/>
        <v>18.334701388888956</v>
      </c>
      <c r="Y30" s="14">
        <f t="shared" si="20"/>
        <v>16.619375555555632</v>
      </c>
      <c r="Z30" s="14">
        <f t="shared" si="20"/>
        <v>23.496350000000088</v>
      </c>
      <c r="AB30" s="14">
        <f>AB22-AB25-AB26-AB27</f>
        <v>96.983516666666674</v>
      </c>
      <c r="AC30" s="14">
        <f>AC22-AC25-AC26-AC27</f>
        <v>245.36950576388926</v>
      </c>
    </row>
    <row r="31" spans="2:31" s="5" customFormat="1" ht="14.25" x14ac:dyDescent="0.2">
      <c r="B31" s="5" t="s">
        <v>23</v>
      </c>
      <c r="C31" s="3">
        <f>C30/C19</f>
        <v>0.32919362497188526</v>
      </c>
      <c r="D31" s="3">
        <f t="shared" ref="D31:Z31" si="21">D30/D19</f>
        <v>0.27941921188477908</v>
      </c>
      <c r="E31" s="3">
        <f t="shared" si="21"/>
        <v>0.33810824368764286</v>
      </c>
      <c r="F31" s="3">
        <f t="shared" si="21"/>
        <v>0.25888595737112025</v>
      </c>
      <c r="G31" s="3">
        <f t="shared" si="21"/>
        <v>0.27926814828543017</v>
      </c>
      <c r="H31" s="3">
        <f t="shared" si="21"/>
        <v>0.24853079230472749</v>
      </c>
      <c r="I31" s="3">
        <f t="shared" si="21"/>
        <v>0.23932743316003227</v>
      </c>
      <c r="J31" s="3">
        <f t="shared" si="21"/>
        <v>0.21724496318877004</v>
      </c>
      <c r="K31" s="3">
        <f t="shared" si="21"/>
        <v>0.2097589501384238</v>
      </c>
      <c r="L31" s="3">
        <f t="shared" si="21"/>
        <v>0.2406287010223766</v>
      </c>
      <c r="M31" s="3">
        <f t="shared" si="21"/>
        <v>0.24527036092848517</v>
      </c>
      <c r="N31" s="3">
        <f t="shared" si="21"/>
        <v>0.30016621052500037</v>
      </c>
      <c r="O31" s="3">
        <f t="shared" si="21"/>
        <v>0.42190520300968937</v>
      </c>
      <c r="P31" s="3">
        <f t="shared" si="21"/>
        <v>0.41710680443159232</v>
      </c>
      <c r="Q31" s="3">
        <f t="shared" si="21"/>
        <v>0.49050906528406152</v>
      </c>
      <c r="R31" s="3">
        <f t="shared" si="21"/>
        <v>0.41206572776040129</v>
      </c>
      <c r="S31" s="3">
        <f t="shared" si="21"/>
        <v>0.45496778595680032</v>
      </c>
      <c r="T31" s="3">
        <f t="shared" si="21"/>
        <v>0.45633183457415871</v>
      </c>
      <c r="U31" s="3">
        <f t="shared" si="21"/>
        <v>0.43093194918931194</v>
      </c>
      <c r="V31" s="3">
        <f t="shared" si="21"/>
        <v>0.44236237663212136</v>
      </c>
      <c r="W31" s="3">
        <f t="shared" si="21"/>
        <v>0.44617157356200193</v>
      </c>
      <c r="X31" s="3">
        <f t="shared" si="21"/>
        <v>0.33620247148954807</v>
      </c>
      <c r="Y31" s="3">
        <f t="shared" si="21"/>
        <v>0.31464543798090355</v>
      </c>
      <c r="Z31" s="3">
        <f t="shared" si="21"/>
        <v>0.39359776602757207</v>
      </c>
      <c r="AB31" s="3">
        <f>AB30/AB19</f>
        <v>0.26427213284011714</v>
      </c>
      <c r="AC31" s="3">
        <f>AC30/AC19</f>
        <v>0.41604305303319888</v>
      </c>
    </row>
    <row r="32" spans="2:31" s="5" customFormat="1" ht="15" x14ac:dyDescent="0.25"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B32" s="3"/>
      <c r="AC32" s="3"/>
    </row>
    <row r="33" spans="2:26" s="5" customFormat="1" ht="15" x14ac:dyDescent="0.25">
      <c r="B33" s="6" t="s">
        <v>16</v>
      </c>
      <c r="C33" s="4"/>
      <c r="D33" s="4"/>
      <c r="E33" s="4"/>
      <c r="F33" s="38"/>
      <c r="G33" s="38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2:26" s="5" customFormat="1" ht="14.25" x14ac:dyDescent="0.2">
      <c r="B34" s="2" t="s">
        <v>5</v>
      </c>
      <c r="C34" s="3">
        <v>0.35</v>
      </c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2:26" s="5" customFormat="1" ht="14.25" x14ac:dyDescent="0.2">
      <c r="B35" s="2" t="s">
        <v>6</v>
      </c>
      <c r="C35" s="3">
        <v>0.25</v>
      </c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2:26" s="5" customFormat="1" ht="14.25" x14ac:dyDescent="0.2">
      <c r="B36" s="2" t="s">
        <v>7</v>
      </c>
      <c r="C36" s="3">
        <v>0.2</v>
      </c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2:26" s="5" customFormat="1" ht="14.25" x14ac:dyDescent="0.2">
      <c r="B37" s="37" t="s">
        <v>28</v>
      </c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2:26" s="5" customFormat="1" ht="14.25" x14ac:dyDescent="0.2">
      <c r="B38" s="2" t="s">
        <v>17</v>
      </c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2:26" s="5" customFormat="1" ht="14.25" x14ac:dyDescent="0.2">
      <c r="B39" s="41" t="s">
        <v>41</v>
      </c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2">
        <f>N9*(1+C34)</f>
        <v>624.51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2:26" s="5" customFormat="1" ht="15" x14ac:dyDescent="0.25"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2:26" s="5" customFormat="1" ht="15" x14ac:dyDescent="0.25">
      <c r="B41" s="31" t="s">
        <v>27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2:26" s="5" customFormat="1" ht="15" x14ac:dyDescent="0.25">
      <c r="B42" s="34" t="s">
        <v>31</v>
      </c>
      <c r="N42" s="1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2:26" s="5" customFormat="1" ht="14.25" x14ac:dyDescent="0.2">
      <c r="B43" s="34" t="s">
        <v>38</v>
      </c>
      <c r="Y43" s="35"/>
      <c r="Z43" s="36"/>
    </row>
    <row r="44" spans="2:26" s="5" customFormat="1" ht="14.25" x14ac:dyDescent="0.2">
      <c r="B44" s="34" t="s">
        <v>37</v>
      </c>
      <c r="Y44" s="35"/>
      <c r="Z44" s="36"/>
    </row>
    <row r="45" spans="2:26" s="5" customFormat="1" ht="14.25" x14ac:dyDescent="0.2">
      <c r="B45" s="34" t="s">
        <v>32</v>
      </c>
    </row>
    <row r="46" spans="2:26" s="5" customFormat="1" ht="14.25" x14ac:dyDescent="0.2">
      <c r="B46" s="34" t="s">
        <v>33</v>
      </c>
    </row>
    <row r="47" spans="2:26" s="5" customFormat="1" ht="14.25" x14ac:dyDescent="0.2">
      <c r="B47" s="34" t="s">
        <v>34</v>
      </c>
    </row>
    <row r="48" spans="2:26" s="5" customFormat="1" ht="14.25" x14ac:dyDescent="0.2">
      <c r="B48" s="34" t="s">
        <v>35</v>
      </c>
    </row>
    <row r="49" spans="2:14" s="5" customFormat="1" ht="14.25" x14ac:dyDescent="0.2">
      <c r="B49" s="34" t="s">
        <v>40</v>
      </c>
    </row>
    <row r="50" spans="2:14" s="5" customFormat="1" ht="14.25" x14ac:dyDescent="0.2">
      <c r="B50" s="34" t="s">
        <v>36</v>
      </c>
    </row>
    <row r="51" spans="2:14" s="5" customFormat="1" ht="14.25" x14ac:dyDescent="0.2"/>
    <row r="52" spans="2:14" s="5" customFormat="1" ht="14.25" x14ac:dyDescent="0.2"/>
    <row r="53" spans="2:14" ht="12.75" x14ac:dyDescent="0.2"/>
    <row r="54" spans="2:14" ht="12.75" x14ac:dyDescent="0.2"/>
    <row r="55" spans="2:14" ht="12.75" x14ac:dyDescent="0.2"/>
    <row r="56" spans="2:14" ht="12.75" x14ac:dyDescent="0.2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ht="12.75" x14ac:dyDescent="0.2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60" spans="2:14" ht="12.75" x14ac:dyDescent="0.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pageMargins left="0.7" right="0.7" top="0.75" bottom="0.75" header="0.3" footer="0.3"/>
  <pageSetup orientation="portrait" r:id="rId1"/>
  <ignoredErrors>
    <ignoredError sqref="C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 FP&amp;A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Marino</dc:creator>
  <cp:lastModifiedBy>Dave Chery</cp:lastModifiedBy>
  <dcterms:created xsi:type="dcterms:W3CDTF">2024-03-05T18:10:48Z</dcterms:created>
  <dcterms:modified xsi:type="dcterms:W3CDTF">2024-03-16T22:31:27Z</dcterms:modified>
</cp:coreProperties>
</file>