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vec\Downloads\Medely\Nurseville\"/>
    </mc:Choice>
  </mc:AlternateContent>
  <xr:revisionPtr revIDLastSave="0" documentId="13_ncr:1_{B00B2D21-11B1-439B-9278-96B851C5DB5F}" xr6:coauthVersionLast="47" xr6:coauthVersionMax="47" xr10:uidLastSave="{00000000-0000-0000-0000-000000000000}"/>
  <bookViews>
    <workbookView xWindow="28680" yWindow="1545" windowWidth="29040" windowHeight="15720" xr2:uid="{00000000-000D-0000-FFFF-FFFF00000000}"/>
  </bookViews>
  <sheets>
    <sheet name="Summary" sheetId="4" r:id="rId1"/>
    <sheet name="PnL" sheetId="1" r:id="rId2"/>
    <sheet name="Assumptions" sheetId="2" r:id="rId3"/>
    <sheet name="Seasonality" sheetId="8" r:id="rId4"/>
    <sheet name="Mapping" sheetId="5" r:id="rId5"/>
    <sheet name="Visuals" sheetId="6" state="hidden" r:id="rId6"/>
    <sheet name="Assumptions and Seasonality (2)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ZPZeJlUe039pWouuESHo1XtgsZw=="/>
    </ext>
  </extLst>
</workbook>
</file>

<file path=xl/calcChain.xml><?xml version="1.0" encoding="utf-8"?>
<calcChain xmlns="http://schemas.openxmlformats.org/spreadsheetml/2006/main">
  <c r="B4" i="2" l="1"/>
  <c r="D4" i="2" s="1"/>
  <c r="D5" i="2" s="1"/>
  <c r="D7" i="2" s="1"/>
  <c r="C26" i="2" s="1"/>
  <c r="E10" i="4"/>
  <c r="D10" i="4"/>
  <c r="L31" i="1"/>
  <c r="Q31" i="1"/>
  <c r="V31" i="1"/>
  <c r="AA31" i="1"/>
  <c r="AR31" i="1"/>
  <c r="BE31" i="1"/>
  <c r="AH7" i="8"/>
  <c r="AH6" i="8" s="1"/>
  <c r="AG7" i="8"/>
  <c r="AF7" i="8"/>
  <c r="AF6" i="8" s="1"/>
  <c r="AD7" i="8"/>
  <c r="AD6" i="8" s="1"/>
  <c r="AC7" i="8"/>
  <c r="AC6" i="8" s="1"/>
  <c r="AB7" i="8"/>
  <c r="AB6" i="8" s="1"/>
  <c r="Z7" i="8"/>
  <c r="Z6" i="8" s="1"/>
  <c r="Y7" i="8"/>
  <c r="Y6" i="8" s="1"/>
  <c r="X7" i="8"/>
  <c r="X6" i="8" s="1"/>
  <c r="U7" i="8"/>
  <c r="U6" i="8" s="1"/>
  <c r="V7" i="8"/>
  <c r="V6" i="8" s="1"/>
  <c r="T7" i="8"/>
  <c r="AK7" i="8" s="1"/>
  <c r="AI5" i="8"/>
  <c r="F5" i="8"/>
  <c r="J5" i="8"/>
  <c r="N5" i="8"/>
  <c r="R5" i="8"/>
  <c r="W5" i="8"/>
  <c r="AA5" i="8"/>
  <c r="F6" i="8"/>
  <c r="J6" i="8"/>
  <c r="N6" i="8"/>
  <c r="R6" i="8"/>
  <c r="AZ5" i="8"/>
  <c r="AV5" i="8"/>
  <c r="AR5" i="8"/>
  <c r="AN5" i="8"/>
  <c r="AE5" i="8"/>
  <c r="R7" i="8"/>
  <c r="N7" i="8"/>
  <c r="J7" i="8"/>
  <c r="F7" i="8"/>
  <c r="N34" i="7"/>
  <c r="M34" i="7"/>
  <c r="L34" i="7"/>
  <c r="K34" i="7"/>
  <c r="J34" i="7"/>
  <c r="I34" i="7"/>
  <c r="H34" i="7"/>
  <c r="G34" i="7"/>
  <c r="F34" i="7"/>
  <c r="E34" i="7"/>
  <c r="D34" i="7"/>
  <c r="C34" i="7"/>
  <c r="AD24" i="7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Q24" i="7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E24" i="7"/>
  <c r="F24" i="7" s="1"/>
  <c r="D24" i="7"/>
  <c r="B21" i="7"/>
  <c r="J17" i="7"/>
  <c r="R15" i="7"/>
  <c r="R17" i="7" s="1"/>
  <c r="Q15" i="7"/>
  <c r="Q17" i="7" s="1"/>
  <c r="N15" i="7"/>
  <c r="N17" i="7" s="1"/>
  <c r="M15" i="7"/>
  <c r="M17" i="7" s="1"/>
  <c r="O17" i="7" s="1"/>
  <c r="J15" i="7"/>
  <c r="I15" i="7"/>
  <c r="I17" i="7" s="1"/>
  <c r="K17" i="7" s="1"/>
  <c r="E15" i="7"/>
  <c r="E17" i="7" s="1"/>
  <c r="R12" i="7"/>
  <c r="Q12" i="7"/>
  <c r="Q13" i="7" s="1"/>
  <c r="R13" i="7" s="1"/>
  <c r="N12" i="7"/>
  <c r="M12" i="7"/>
  <c r="M13" i="7" s="1"/>
  <c r="N13" i="7" s="1"/>
  <c r="J12" i="7"/>
  <c r="I12" i="7"/>
  <c r="I13" i="7" s="1"/>
  <c r="J13" i="7" s="1"/>
  <c r="F12" i="7"/>
  <c r="E12" i="7"/>
  <c r="E13" i="7" s="1"/>
  <c r="F13" i="7" s="1"/>
  <c r="F4" i="7"/>
  <c r="F11" i="7" s="1"/>
  <c r="D4" i="7"/>
  <c r="D11" i="7" s="1"/>
  <c r="B4" i="7"/>
  <c r="E4" i="7" s="1"/>
  <c r="F3" i="7"/>
  <c r="F5" i="7" s="1"/>
  <c r="F7" i="7" s="1"/>
  <c r="B21" i="2"/>
  <c r="W34" i="2" s="1"/>
  <c r="C34" i="2"/>
  <c r="P30" i="6"/>
  <c r="BT29" i="6"/>
  <c r="Y28" i="6"/>
  <c r="X28" i="6"/>
  <c r="W28" i="6"/>
  <c r="Z28" i="6" s="1"/>
  <c r="U28" i="6"/>
  <c r="T28" i="6"/>
  <c r="S28" i="6"/>
  <c r="R28" i="6"/>
  <c r="O28" i="6"/>
  <c r="N28" i="6"/>
  <c r="M28" i="6"/>
  <c r="P28" i="6" s="1"/>
  <c r="K28" i="6"/>
  <c r="J28" i="6"/>
  <c r="I28" i="6"/>
  <c r="H28" i="6"/>
  <c r="BS27" i="6"/>
  <c r="BM27" i="6"/>
  <c r="BN27" i="6" s="1"/>
  <c r="BI27" i="6"/>
  <c r="BD27" i="6"/>
  <c r="AW27" i="6"/>
  <c r="AP27" i="6"/>
  <c r="AQ27" i="6" s="1"/>
  <c r="AL27" i="6"/>
  <c r="AG27" i="6"/>
  <c r="AB27" i="6"/>
  <c r="Z27" i="6"/>
  <c r="T27" i="6"/>
  <c r="U27" i="6" s="1"/>
  <c r="P27" i="6"/>
  <c r="K27" i="6"/>
  <c r="BR26" i="6"/>
  <c r="BQ26" i="6"/>
  <c r="BP26" i="6"/>
  <c r="BM26" i="6"/>
  <c r="BN26" i="6" s="1"/>
  <c r="BL26" i="6"/>
  <c r="BK26" i="6"/>
  <c r="BH26" i="6"/>
  <c r="BG26" i="6"/>
  <c r="BF26" i="6"/>
  <c r="BC26" i="6"/>
  <c r="BB26" i="6"/>
  <c r="BA26" i="6"/>
  <c r="AU26" i="6"/>
  <c r="AT26" i="6"/>
  <c r="AS26" i="6"/>
  <c r="AW26" i="6" s="1"/>
  <c r="AP26" i="6"/>
  <c r="AO26" i="6"/>
  <c r="AN26" i="6"/>
  <c r="AL26" i="6"/>
  <c r="AK26" i="6"/>
  <c r="AJ26" i="6"/>
  <c r="AI26" i="6"/>
  <c r="AF26" i="6"/>
  <c r="AE26" i="6"/>
  <c r="AD26" i="6"/>
  <c r="Z26" i="6"/>
  <c r="Y26" i="6"/>
  <c r="X26" i="6"/>
  <c r="W26" i="6"/>
  <c r="T26" i="6"/>
  <c r="S26" i="6"/>
  <c r="R26" i="6"/>
  <c r="U26" i="6" s="1"/>
  <c r="AB26" i="6" s="1"/>
  <c r="P26" i="6"/>
  <c r="O26" i="6"/>
  <c r="N26" i="6"/>
  <c r="M26" i="6"/>
  <c r="J26" i="6"/>
  <c r="I26" i="6"/>
  <c r="H26" i="6"/>
  <c r="K26" i="6" s="1"/>
  <c r="BR25" i="6"/>
  <c r="BQ25" i="6"/>
  <c r="BP25" i="6"/>
  <c r="BM25" i="6"/>
  <c r="BL25" i="6"/>
  <c r="BK25" i="6"/>
  <c r="BH25" i="6"/>
  <c r="BG25" i="6"/>
  <c r="BF25" i="6"/>
  <c r="BI25" i="6" s="1"/>
  <c r="BC25" i="6"/>
  <c r="BB25" i="6"/>
  <c r="BA25" i="6"/>
  <c r="AU25" i="6"/>
  <c r="AT25" i="6"/>
  <c r="AS25" i="6"/>
  <c r="AP25" i="6"/>
  <c r="AO25" i="6"/>
  <c r="AQ25" i="6" s="1"/>
  <c r="AN25" i="6"/>
  <c r="AK25" i="6"/>
  <c r="AJ25" i="6"/>
  <c r="AI25" i="6"/>
  <c r="AF25" i="6"/>
  <c r="AE25" i="6"/>
  <c r="AD25" i="6"/>
  <c r="Y25" i="6"/>
  <c r="Z25" i="6" s="1"/>
  <c r="X25" i="6"/>
  <c r="W25" i="6"/>
  <c r="T25" i="6"/>
  <c r="U25" i="6" s="1"/>
  <c r="S25" i="6"/>
  <c r="R25" i="6"/>
  <c r="O25" i="6"/>
  <c r="P25" i="6" s="1"/>
  <c r="N25" i="6"/>
  <c r="M25" i="6"/>
  <c r="J25" i="6"/>
  <c r="K25" i="6" s="1"/>
  <c r="I25" i="6"/>
  <c r="H25" i="6"/>
  <c r="BR24" i="6"/>
  <c r="BQ24" i="6"/>
  <c r="BP24" i="6"/>
  <c r="BM24" i="6"/>
  <c r="BL24" i="6"/>
  <c r="BK24" i="6"/>
  <c r="BN24" i="6" s="1"/>
  <c r="BH24" i="6"/>
  <c r="BG24" i="6"/>
  <c r="BF24" i="6"/>
  <c r="BC24" i="6"/>
  <c r="BB24" i="6"/>
  <c r="BA24" i="6"/>
  <c r="AU24" i="6"/>
  <c r="AT24" i="6"/>
  <c r="AS24" i="6"/>
  <c r="AP24" i="6"/>
  <c r="AO24" i="6"/>
  <c r="AN24" i="6"/>
  <c r="AK24" i="6"/>
  <c r="AJ24" i="6"/>
  <c r="AI24" i="6"/>
  <c r="AF24" i="6"/>
  <c r="AE24" i="6"/>
  <c r="AD24" i="6"/>
  <c r="Y24" i="6"/>
  <c r="X24" i="6"/>
  <c r="W24" i="6"/>
  <c r="U24" i="6"/>
  <c r="T24" i="6"/>
  <c r="S24" i="6"/>
  <c r="R24" i="6"/>
  <c r="O24" i="6"/>
  <c r="N24" i="6"/>
  <c r="M24" i="6"/>
  <c r="K24" i="6"/>
  <c r="J24" i="6"/>
  <c r="I24" i="6"/>
  <c r="H24" i="6"/>
  <c r="BR23" i="6"/>
  <c r="BQ23" i="6"/>
  <c r="BP23" i="6"/>
  <c r="BM23" i="6"/>
  <c r="BL23" i="6"/>
  <c r="BK23" i="6"/>
  <c r="BH23" i="6"/>
  <c r="BG23" i="6"/>
  <c r="BF23" i="6"/>
  <c r="BC23" i="6"/>
  <c r="BB23" i="6"/>
  <c r="BA23" i="6"/>
  <c r="AU23" i="6"/>
  <c r="AT23" i="6"/>
  <c r="AS23" i="6"/>
  <c r="AP23" i="6"/>
  <c r="AO23" i="6"/>
  <c r="AN23" i="6"/>
  <c r="AK23" i="6"/>
  <c r="AJ23" i="6"/>
  <c r="AI23" i="6"/>
  <c r="AL23" i="6" s="1"/>
  <c r="AF23" i="6"/>
  <c r="AE23" i="6"/>
  <c r="AD23" i="6"/>
  <c r="Y23" i="6"/>
  <c r="Y29" i="6" s="1"/>
  <c r="X23" i="6"/>
  <c r="W23" i="6"/>
  <c r="T23" i="6"/>
  <c r="S23" i="6"/>
  <c r="S29" i="6" s="1"/>
  <c r="R23" i="6"/>
  <c r="U23" i="6" s="1"/>
  <c r="O23" i="6"/>
  <c r="N23" i="6"/>
  <c r="M23" i="6"/>
  <c r="P23" i="6" s="1"/>
  <c r="J23" i="6"/>
  <c r="J29" i="6" s="1"/>
  <c r="I23" i="6"/>
  <c r="I29" i="6" s="1"/>
  <c r="H23" i="6"/>
  <c r="K23" i="6" s="1"/>
  <c r="BT20" i="6"/>
  <c r="BO20" i="6"/>
  <c r="BJ20" i="6"/>
  <c r="BE20" i="6"/>
  <c r="AX20" i="6"/>
  <c r="AV20" i="6"/>
  <c r="AR20" i="6"/>
  <c r="AM20" i="6"/>
  <c r="AH20" i="6"/>
  <c r="D16" i="6"/>
  <c r="D15" i="6"/>
  <c r="D14" i="6"/>
  <c r="D13" i="6"/>
  <c r="D12" i="6"/>
  <c r="D11" i="6"/>
  <c r="D10" i="6"/>
  <c r="H8" i="6"/>
  <c r="D8" i="6"/>
  <c r="BU7" i="6"/>
  <c r="BF7" i="6"/>
  <c r="BC7" i="6"/>
  <c r="BD7" i="6" s="1"/>
  <c r="BA7" i="6"/>
  <c r="BB7" i="6" s="1"/>
  <c r="AY7" i="6"/>
  <c r="AW7" i="6"/>
  <c r="AU7" i="6"/>
  <c r="AT7" i="6"/>
  <c r="AS7" i="6"/>
  <c r="AQ7" i="6"/>
  <c r="AP7" i="6"/>
  <c r="AO7" i="6"/>
  <c r="AN7" i="6"/>
  <c r="AL7" i="6"/>
  <c r="AK7" i="6"/>
  <c r="AJ7" i="6"/>
  <c r="AI7" i="6"/>
  <c r="AG7" i="6"/>
  <c r="AF7" i="6"/>
  <c r="AE7" i="6"/>
  <c r="AD7" i="6"/>
  <c r="D7" i="6"/>
  <c r="H6" i="6"/>
  <c r="H4" i="6" s="1"/>
  <c r="D6" i="6"/>
  <c r="H5" i="6"/>
  <c r="D5" i="6"/>
  <c r="BC3" i="6"/>
  <c r="BC1" i="6" s="1"/>
  <c r="BB3" i="6"/>
  <c r="AF3" i="6"/>
  <c r="AI3" i="6" s="1"/>
  <c r="AE3" i="6"/>
  <c r="I3" i="6"/>
  <c r="BU1" i="6"/>
  <c r="BT1" i="6"/>
  <c r="BS1" i="6"/>
  <c r="BO1" i="6"/>
  <c r="BN1" i="6"/>
  <c r="BJ1" i="6"/>
  <c r="BI1" i="6"/>
  <c r="BE1" i="6"/>
  <c r="BD1" i="6"/>
  <c r="BB1" i="6"/>
  <c r="BA1" i="6"/>
  <c r="AY1" i="6"/>
  <c r="AX1" i="6"/>
  <c r="AW1" i="6"/>
  <c r="AV1" i="6"/>
  <c r="AR1" i="6"/>
  <c r="AQ1" i="6"/>
  <c r="AM1" i="6"/>
  <c r="AL1" i="6"/>
  <c r="AH1" i="6"/>
  <c r="AG1" i="6"/>
  <c r="AF1" i="6"/>
  <c r="AE1" i="6"/>
  <c r="AD1" i="6"/>
  <c r="AB1" i="6"/>
  <c r="AA1" i="6"/>
  <c r="Z1" i="6"/>
  <c r="V1" i="6"/>
  <c r="U1" i="6"/>
  <c r="Q1" i="6"/>
  <c r="P1" i="6"/>
  <c r="L1" i="6"/>
  <c r="K1" i="6"/>
  <c r="H1" i="6"/>
  <c r="F5" i="4"/>
  <c r="F7" i="4" s="1"/>
  <c r="D10" i="5"/>
  <c r="D11" i="5"/>
  <c r="D12" i="5" s="1"/>
  <c r="D15" i="5" s="1"/>
  <c r="D16" i="5" s="1"/>
  <c r="D17" i="5" s="1"/>
  <c r="D20" i="5" s="1"/>
  <c r="D21" i="5" s="1"/>
  <c r="D22" i="5" s="1"/>
  <c r="D25" i="5" s="1"/>
  <c r="D26" i="5" s="1"/>
  <c r="D27" i="5" s="1"/>
  <c r="F11" i="5"/>
  <c r="F12" i="5" s="1"/>
  <c r="F15" i="5" s="1"/>
  <c r="F16" i="5" s="1"/>
  <c r="F17" i="5" s="1"/>
  <c r="F20" i="5" s="1"/>
  <c r="F21" i="5" s="1"/>
  <c r="F22" i="5" s="1"/>
  <c r="F25" i="5" s="1"/>
  <c r="F26" i="5" s="1"/>
  <c r="F27" i="5" s="1"/>
  <c r="E11" i="5"/>
  <c r="E12" i="5" s="1"/>
  <c r="E15" i="5" s="1"/>
  <c r="E16" i="5" s="1"/>
  <c r="E17" i="5" s="1"/>
  <c r="E20" i="5" s="1"/>
  <c r="E21" i="5" s="1"/>
  <c r="E22" i="5" s="1"/>
  <c r="E25" i="5" s="1"/>
  <c r="E26" i="5" s="1"/>
  <c r="E27" i="5" s="1"/>
  <c r="BU1" i="1"/>
  <c r="BT1" i="1"/>
  <c r="BS1" i="1"/>
  <c r="BO1" i="1"/>
  <c r="BN1" i="1"/>
  <c r="BJ1" i="1"/>
  <c r="BI1" i="1"/>
  <c r="BE1" i="1"/>
  <c r="BD1" i="1"/>
  <c r="BA1" i="1"/>
  <c r="AY1" i="1"/>
  <c r="AX1" i="1"/>
  <c r="AW1" i="1"/>
  <c r="AV1" i="1"/>
  <c r="AR1" i="1"/>
  <c r="AQ1" i="1"/>
  <c r="AM1" i="1"/>
  <c r="AL1" i="1"/>
  <c r="AH1" i="1"/>
  <c r="AG1" i="1"/>
  <c r="AD1" i="1"/>
  <c r="K1" i="1"/>
  <c r="L1" i="1"/>
  <c r="P1" i="1"/>
  <c r="Q1" i="1"/>
  <c r="U1" i="1"/>
  <c r="V1" i="1"/>
  <c r="Z1" i="1"/>
  <c r="AA1" i="1"/>
  <c r="AB1" i="1"/>
  <c r="H1" i="1"/>
  <c r="E5" i="4"/>
  <c r="E7" i="4" s="1"/>
  <c r="G5" i="4"/>
  <c r="G7" i="4" s="1"/>
  <c r="D13" i="4"/>
  <c r="D12" i="4"/>
  <c r="D11" i="4"/>
  <c r="D9" i="4"/>
  <c r="D8" i="4"/>
  <c r="BT29" i="1"/>
  <c r="BT31" i="1" s="1"/>
  <c r="BT20" i="1"/>
  <c r="BO20" i="1"/>
  <c r="BO31" i="1" s="1"/>
  <c r="BJ20" i="1"/>
  <c r="BJ31" i="1" s="1"/>
  <c r="BE20" i="1"/>
  <c r="AX20" i="1"/>
  <c r="AX31" i="1" s="1"/>
  <c r="AV20" i="1"/>
  <c r="AV31" i="1" s="1"/>
  <c r="AR20" i="1"/>
  <c r="AM20" i="1"/>
  <c r="AM31" i="1" s="1"/>
  <c r="AH20" i="1"/>
  <c r="AH31" i="1" s="1"/>
  <c r="BU7" i="1"/>
  <c r="BS27" i="1"/>
  <c r="BI27" i="1"/>
  <c r="BD27" i="1"/>
  <c r="AW27" i="1"/>
  <c r="AL27" i="1"/>
  <c r="AG27" i="1"/>
  <c r="H28" i="1"/>
  <c r="E34" i="2"/>
  <c r="F34" i="2"/>
  <c r="G34" i="2"/>
  <c r="H34" i="2"/>
  <c r="I34" i="2"/>
  <c r="J34" i="2"/>
  <c r="K34" i="2"/>
  <c r="L34" i="2"/>
  <c r="M34" i="2"/>
  <c r="N34" i="2"/>
  <c r="D34" i="2"/>
  <c r="Y28" i="1"/>
  <c r="X28" i="1"/>
  <c r="W28" i="1"/>
  <c r="T28" i="1"/>
  <c r="S28" i="1"/>
  <c r="R28" i="1"/>
  <c r="O28" i="1"/>
  <c r="N28" i="1"/>
  <c r="M28" i="1"/>
  <c r="J28" i="1"/>
  <c r="I28" i="1"/>
  <c r="BM27" i="1"/>
  <c r="BN27" i="1" s="1"/>
  <c r="AP27" i="1"/>
  <c r="AQ27" i="1" s="1"/>
  <c r="T27" i="1"/>
  <c r="U27" i="1" s="1"/>
  <c r="AK33" i="2"/>
  <c r="X33" i="2"/>
  <c r="O17" i="2"/>
  <c r="K17" i="2"/>
  <c r="G17" i="2"/>
  <c r="R17" i="2"/>
  <c r="Q17" i="2"/>
  <c r="N17" i="2"/>
  <c r="M17" i="2"/>
  <c r="J17" i="2"/>
  <c r="I17" i="2"/>
  <c r="F17" i="2"/>
  <c r="E17" i="2"/>
  <c r="E15" i="2"/>
  <c r="R15" i="2"/>
  <c r="Q15" i="2"/>
  <c r="J15" i="2"/>
  <c r="I15" i="2"/>
  <c r="N15" i="2"/>
  <c r="M15" i="2"/>
  <c r="R12" i="2"/>
  <c r="Q12" i="2"/>
  <c r="Q13" i="2" s="1"/>
  <c r="N12" i="2"/>
  <c r="M12" i="2"/>
  <c r="J12" i="2"/>
  <c r="I12" i="2"/>
  <c r="I13" i="2" s="1"/>
  <c r="F12" i="2"/>
  <c r="E12" i="2"/>
  <c r="E13" i="2" s="1"/>
  <c r="AT23" i="1" s="1"/>
  <c r="AJ25" i="1"/>
  <c r="M13" i="2"/>
  <c r="AU25" i="1" s="1"/>
  <c r="AY7" i="1"/>
  <c r="AW7" i="1"/>
  <c r="AQ7" i="1"/>
  <c r="AL7" i="1"/>
  <c r="AG7" i="1"/>
  <c r="BA7" i="1"/>
  <c r="BB7" i="1" s="1"/>
  <c r="BC7" i="1" s="1"/>
  <c r="BD7" i="1" s="1"/>
  <c r="AD24" i="2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I7" i="1"/>
  <c r="AJ7" i="1"/>
  <c r="AK7" i="1"/>
  <c r="AN7" i="1"/>
  <c r="AO7" i="1"/>
  <c r="AP7" i="1"/>
  <c r="AS7" i="1"/>
  <c r="AT7" i="1"/>
  <c r="AU7" i="1"/>
  <c r="AE7" i="1"/>
  <c r="AF7" i="1"/>
  <c r="AD7" i="1"/>
  <c r="Q24" i="2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F3" i="2"/>
  <c r="F15" i="2" s="1"/>
  <c r="BB3" i="1"/>
  <c r="BC3" i="1" s="1"/>
  <c r="BF3" i="1" s="1"/>
  <c r="BG3" i="1" s="1"/>
  <c r="BH3" i="1" s="1"/>
  <c r="BK3" i="1" s="1"/>
  <c r="BL3" i="1" s="1"/>
  <c r="BM3" i="1" s="1"/>
  <c r="BP3" i="1" s="1"/>
  <c r="BQ3" i="1" s="1"/>
  <c r="BR3" i="1" s="1"/>
  <c r="BR1" i="1" s="1"/>
  <c r="AE3" i="1"/>
  <c r="AF3" i="1" s="1"/>
  <c r="AI3" i="1" s="1"/>
  <c r="AJ3" i="1" s="1"/>
  <c r="AK3" i="1" s="1"/>
  <c r="AN3" i="1" s="1"/>
  <c r="AO3" i="1" s="1"/>
  <c r="AP3" i="1" s="1"/>
  <c r="AS3" i="1" s="1"/>
  <c r="AT3" i="1" s="1"/>
  <c r="AU3" i="1" s="1"/>
  <c r="AU1" i="1" s="1"/>
  <c r="Z27" i="1"/>
  <c r="P27" i="1"/>
  <c r="K27" i="1"/>
  <c r="O24" i="1"/>
  <c r="H6" i="1"/>
  <c r="Y26" i="1"/>
  <c r="X26" i="1"/>
  <c r="W26" i="1"/>
  <c r="T26" i="1"/>
  <c r="S26" i="1"/>
  <c r="R26" i="1"/>
  <c r="O26" i="1"/>
  <c r="N26" i="1"/>
  <c r="M26" i="1"/>
  <c r="J26" i="1"/>
  <c r="I26" i="1"/>
  <c r="H26" i="1"/>
  <c r="Y25" i="1"/>
  <c r="X25" i="1"/>
  <c r="W25" i="1"/>
  <c r="T25" i="1"/>
  <c r="S25" i="1"/>
  <c r="R25" i="1"/>
  <c r="O25" i="1"/>
  <c r="N25" i="1"/>
  <c r="M25" i="1"/>
  <c r="J25" i="1"/>
  <c r="I25" i="1"/>
  <c r="H25" i="1"/>
  <c r="Y24" i="1"/>
  <c r="X24" i="1"/>
  <c r="W24" i="1"/>
  <c r="T24" i="1"/>
  <c r="S24" i="1"/>
  <c r="R24" i="1"/>
  <c r="N24" i="1"/>
  <c r="M24" i="1"/>
  <c r="J24" i="1"/>
  <c r="I24" i="1"/>
  <c r="H24" i="1"/>
  <c r="Y23" i="1"/>
  <c r="X23" i="1"/>
  <c r="W23" i="1"/>
  <c r="T23" i="1"/>
  <c r="S23" i="1"/>
  <c r="R23" i="1"/>
  <c r="O23" i="1"/>
  <c r="N23" i="1"/>
  <c r="M23" i="1"/>
  <c r="J23" i="1"/>
  <c r="I23" i="1"/>
  <c r="H23" i="1"/>
  <c r="D16" i="1"/>
  <c r="D15" i="1"/>
  <c r="D14" i="1"/>
  <c r="D13" i="1"/>
  <c r="D12" i="1"/>
  <c r="D11" i="1"/>
  <c r="D10" i="1"/>
  <c r="H8" i="1"/>
  <c r="H12" i="1" s="1"/>
  <c r="D8" i="1"/>
  <c r="D7" i="1"/>
  <c r="D6" i="1"/>
  <c r="H5" i="1"/>
  <c r="C27" i="2" s="1"/>
  <c r="D5" i="1"/>
  <c r="I3" i="1"/>
  <c r="I5" i="1" s="1"/>
  <c r="BP1" i="1" l="1"/>
  <c r="AE1" i="1"/>
  <c r="BQ1" i="1"/>
  <c r="BH1" i="1"/>
  <c r="AI1" i="1"/>
  <c r="AJ1" i="1"/>
  <c r="BL1" i="1"/>
  <c r="AF1" i="1"/>
  <c r="AN1" i="1"/>
  <c r="BM1" i="1"/>
  <c r="D27" i="7"/>
  <c r="AO1" i="1"/>
  <c r="BF1" i="1"/>
  <c r="AP1" i="1"/>
  <c r="BG1" i="1"/>
  <c r="C27" i="7"/>
  <c r="I1" i="1"/>
  <c r="AK1" i="1"/>
  <c r="AS1" i="1"/>
  <c r="BB1" i="1"/>
  <c r="AT1" i="1"/>
  <c r="BC1" i="1"/>
  <c r="BK1" i="1"/>
  <c r="AI7" i="8"/>
  <c r="AE6" i="8"/>
  <c r="T6" i="8"/>
  <c r="AP7" i="8"/>
  <c r="AP6" i="8" s="1"/>
  <c r="AW7" i="8"/>
  <c r="AW6" i="8" s="1"/>
  <c r="AK6" i="8"/>
  <c r="AS7" i="8"/>
  <c r="AT7" i="8"/>
  <c r="AT6" i="8" s="1"/>
  <c r="AX7" i="8"/>
  <c r="AX6" i="8" s="1"/>
  <c r="AY7" i="8"/>
  <c r="AY6" i="8" s="1"/>
  <c r="AA7" i="8"/>
  <c r="AL7" i="8"/>
  <c r="AL6" i="8" s="1"/>
  <c r="AU7" i="8"/>
  <c r="AU6" i="8" s="1"/>
  <c r="AQ7" i="8"/>
  <c r="AQ6" i="8" s="1"/>
  <c r="AG6" i="8"/>
  <c r="AI6" i="8" s="1"/>
  <c r="AM7" i="8"/>
  <c r="AM6" i="8" s="1"/>
  <c r="AO7" i="8"/>
  <c r="AO6" i="8" s="1"/>
  <c r="AE7" i="8"/>
  <c r="AA6" i="8"/>
  <c r="W7" i="8"/>
  <c r="W6" i="8"/>
  <c r="W34" i="7"/>
  <c r="G24" i="7"/>
  <c r="AL26" i="7"/>
  <c r="AD26" i="7"/>
  <c r="AK26" i="7"/>
  <c r="AC26" i="7"/>
  <c r="AJ26" i="7"/>
  <c r="AI26" i="7"/>
  <c r="AH26" i="7"/>
  <c r="AG26" i="7"/>
  <c r="AN26" i="7"/>
  <c r="AF26" i="7"/>
  <c r="AM26" i="7"/>
  <c r="AE26" i="7"/>
  <c r="E11" i="7"/>
  <c r="E5" i="7"/>
  <c r="E7" i="7" s="1"/>
  <c r="X33" i="7"/>
  <c r="P34" i="7"/>
  <c r="X34" i="7"/>
  <c r="B5" i="7"/>
  <c r="Q34" i="7"/>
  <c r="Y34" i="7"/>
  <c r="D5" i="7"/>
  <c r="D7" i="7" s="1"/>
  <c r="F15" i="7"/>
  <c r="F17" i="7" s="1"/>
  <c r="AK33" i="7" s="1"/>
  <c r="R34" i="7"/>
  <c r="Z34" i="7"/>
  <c r="S34" i="7"/>
  <c r="AA34" i="7"/>
  <c r="T34" i="7"/>
  <c r="U34" i="7"/>
  <c r="V34" i="7"/>
  <c r="Q34" i="2"/>
  <c r="AE28" i="6" s="1"/>
  <c r="AE29" i="6" s="1"/>
  <c r="R34" i="2"/>
  <c r="AF28" i="1" s="1"/>
  <c r="AO28" i="1"/>
  <c r="AO28" i="6"/>
  <c r="AO29" i="6" s="1"/>
  <c r="Y34" i="2"/>
  <c r="AS28" i="1" s="1"/>
  <c r="X34" i="2"/>
  <c r="AP28" i="1" s="1"/>
  <c r="AW23" i="6"/>
  <c r="AQ24" i="6"/>
  <c r="BD24" i="6"/>
  <c r="BS24" i="6"/>
  <c r="AW25" i="6"/>
  <c r="BI24" i="6"/>
  <c r="BU24" i="6" s="1"/>
  <c r="AG24" i="6"/>
  <c r="AL25" i="6"/>
  <c r="BD26" i="6"/>
  <c r="BS26" i="6"/>
  <c r="BN25" i="6"/>
  <c r="U34" i="2"/>
  <c r="P34" i="2"/>
  <c r="T34" i="2"/>
  <c r="BI23" i="6"/>
  <c r="AY27" i="6"/>
  <c r="AQ26" i="6"/>
  <c r="V34" i="2"/>
  <c r="AG26" i="6"/>
  <c r="AA34" i="2"/>
  <c r="S34" i="2"/>
  <c r="BD25" i="6"/>
  <c r="BU27" i="6"/>
  <c r="Z34" i="2"/>
  <c r="BS25" i="6"/>
  <c r="BU25" i="6" s="1"/>
  <c r="AJ3" i="6"/>
  <c r="AI1" i="6"/>
  <c r="I8" i="6"/>
  <c r="I5" i="6"/>
  <c r="BF3" i="6"/>
  <c r="AL24" i="6"/>
  <c r="H29" i="6"/>
  <c r="I1" i="6"/>
  <c r="J3" i="6"/>
  <c r="AQ23" i="6"/>
  <c r="BI26" i="6"/>
  <c r="R29" i="6"/>
  <c r="O29" i="6"/>
  <c r="AG23" i="6"/>
  <c r="U29" i="6"/>
  <c r="X29" i="6"/>
  <c r="Z24" i="6"/>
  <c r="AB28" i="6"/>
  <c r="H12" i="6"/>
  <c r="H11" i="6"/>
  <c r="H7" i="6"/>
  <c r="N29" i="6"/>
  <c r="P24" i="6"/>
  <c r="P29" i="6" s="1"/>
  <c r="AB25" i="6"/>
  <c r="BG7" i="6"/>
  <c r="K29" i="6"/>
  <c r="T29" i="6"/>
  <c r="I6" i="6"/>
  <c r="Z23" i="6"/>
  <c r="BS23" i="6"/>
  <c r="AW24" i="6"/>
  <c r="AG25" i="6"/>
  <c r="AY25" i="6" s="1"/>
  <c r="BD23" i="6"/>
  <c r="BN23" i="6"/>
  <c r="M29" i="6"/>
  <c r="W29" i="6"/>
  <c r="O29" i="1"/>
  <c r="H29" i="1"/>
  <c r="K28" i="1"/>
  <c r="T29" i="1"/>
  <c r="I29" i="1"/>
  <c r="W29" i="1"/>
  <c r="J29" i="1"/>
  <c r="X29" i="1"/>
  <c r="R29" i="1"/>
  <c r="S29" i="1"/>
  <c r="M29" i="1"/>
  <c r="Y29" i="1"/>
  <c r="N29" i="1"/>
  <c r="Z28" i="1"/>
  <c r="U28" i="1"/>
  <c r="BU27" i="1"/>
  <c r="AY27" i="1"/>
  <c r="P28" i="1"/>
  <c r="AO26" i="1"/>
  <c r="R13" i="2"/>
  <c r="AP26" i="1"/>
  <c r="AK26" i="1"/>
  <c r="AD26" i="1"/>
  <c r="AN26" i="1"/>
  <c r="AI26" i="1"/>
  <c r="AE26" i="1"/>
  <c r="AU26" i="1"/>
  <c r="D27" i="2"/>
  <c r="AT25" i="1"/>
  <c r="AF26" i="1"/>
  <c r="AJ26" i="1"/>
  <c r="AS25" i="1"/>
  <c r="AF25" i="1"/>
  <c r="AN25" i="1"/>
  <c r="N13" i="2"/>
  <c r="AE25" i="1"/>
  <c r="AO25" i="1"/>
  <c r="AS26" i="1"/>
  <c r="AI25" i="1"/>
  <c r="AP25" i="1"/>
  <c r="AT26" i="1"/>
  <c r="AD25" i="1"/>
  <c r="AK25" i="1"/>
  <c r="AU24" i="1"/>
  <c r="AT24" i="1"/>
  <c r="AP24" i="1"/>
  <c r="J13" i="2"/>
  <c r="AD24" i="1"/>
  <c r="AF24" i="1"/>
  <c r="AS24" i="1"/>
  <c r="AO24" i="1"/>
  <c r="AK24" i="1"/>
  <c r="AE24" i="1"/>
  <c r="AN24" i="1"/>
  <c r="AJ24" i="1"/>
  <c r="AI24" i="1"/>
  <c r="AP23" i="1"/>
  <c r="AF23" i="1"/>
  <c r="AE23" i="1"/>
  <c r="AU23" i="1"/>
  <c r="AJ23" i="1"/>
  <c r="AD23" i="1"/>
  <c r="AS23" i="1"/>
  <c r="AK23" i="1"/>
  <c r="F13" i="2"/>
  <c r="AN23" i="1"/>
  <c r="AI23" i="1"/>
  <c r="AO23" i="1"/>
  <c r="E4" i="2"/>
  <c r="E11" i="2" s="1"/>
  <c r="F4" i="2"/>
  <c r="F11" i="2" s="1"/>
  <c r="B5" i="2"/>
  <c r="BF7" i="1"/>
  <c r="H4" i="1"/>
  <c r="Z23" i="1"/>
  <c r="U24" i="1"/>
  <c r="D11" i="2"/>
  <c r="P25" i="1"/>
  <c r="P23" i="1"/>
  <c r="Z24" i="1"/>
  <c r="Z26" i="1"/>
  <c r="U26" i="1"/>
  <c r="U25" i="1"/>
  <c r="U23" i="1"/>
  <c r="P26" i="1"/>
  <c r="Z25" i="1"/>
  <c r="P24" i="1"/>
  <c r="K25" i="1"/>
  <c r="AB27" i="1"/>
  <c r="K23" i="1"/>
  <c r="K24" i="1"/>
  <c r="K26" i="1"/>
  <c r="H11" i="1"/>
  <c r="J3" i="1"/>
  <c r="J1" i="1" s="1"/>
  <c r="I6" i="1"/>
  <c r="I4" i="1" s="1"/>
  <c r="I8" i="1"/>
  <c r="H7" i="1"/>
  <c r="BP19" i="6" l="1"/>
  <c r="BB19" i="6"/>
  <c r="BK19" i="6"/>
  <c r="BG19" i="6"/>
  <c r="BG20" i="6" s="1"/>
  <c r="BM19" i="6"/>
  <c r="BM20" i="6" s="1"/>
  <c r="BA19" i="6"/>
  <c r="BR19" i="6"/>
  <c r="BR20" i="6" s="1"/>
  <c r="BF19" i="6"/>
  <c r="BQ19" i="6"/>
  <c r="BQ20" i="6" s="1"/>
  <c r="BC19" i="6"/>
  <c r="BL19" i="6"/>
  <c r="BL20" i="6" s="1"/>
  <c r="BH19" i="6"/>
  <c r="BH20" i="6" s="1"/>
  <c r="W19" i="6"/>
  <c r="I19" i="6"/>
  <c r="I20" i="6" s="1"/>
  <c r="S19" i="6"/>
  <c r="S20" i="6" s="1"/>
  <c r="T19" i="6"/>
  <c r="T20" i="6" s="1"/>
  <c r="H19" i="6"/>
  <c r="R19" i="6"/>
  <c r="N19" i="6"/>
  <c r="N20" i="6" s="1"/>
  <c r="Y19" i="6"/>
  <c r="Y20" i="6" s="1"/>
  <c r="M19" i="6"/>
  <c r="X19" i="6"/>
  <c r="X20" i="6" s="1"/>
  <c r="J19" i="6"/>
  <c r="J20" i="6" s="1"/>
  <c r="O19" i="6"/>
  <c r="O20" i="6" s="1"/>
  <c r="AK19" i="6"/>
  <c r="AK20" i="6" s="1"/>
  <c r="AU19" i="6"/>
  <c r="AU20" i="6" s="1"/>
  <c r="AI19" i="6"/>
  <c r="AT19" i="6"/>
  <c r="AT20" i="6" s="1"/>
  <c r="AF19" i="6"/>
  <c r="AP19" i="6"/>
  <c r="AP20" i="6" s="1"/>
  <c r="AD19" i="6"/>
  <c r="AG19" i="6" s="1"/>
  <c r="AG20" i="6" s="1"/>
  <c r="AJ19" i="6"/>
  <c r="AJ20" i="6" s="1"/>
  <c r="AO19" i="6"/>
  <c r="AO20" i="6" s="1"/>
  <c r="AN19" i="6"/>
  <c r="AS19" i="6"/>
  <c r="AE19" i="6"/>
  <c r="AN6" i="8"/>
  <c r="AH34" i="2"/>
  <c r="AI34" i="2"/>
  <c r="AJ34" i="2"/>
  <c r="AK34" i="2"/>
  <c r="AG34" i="2"/>
  <c r="AC34" i="2"/>
  <c r="AD34" i="2"/>
  <c r="AL34" i="2"/>
  <c r="AF34" i="2"/>
  <c r="AN34" i="2"/>
  <c r="AE34" i="2"/>
  <c r="AM34" i="2"/>
  <c r="AZ6" i="8"/>
  <c r="AN7" i="8"/>
  <c r="AZ7" i="8"/>
  <c r="AR7" i="8"/>
  <c r="AR6" i="8"/>
  <c r="AS6" i="8"/>
  <c r="AV6" i="8" s="1"/>
  <c r="AV7" i="8"/>
  <c r="AN34" i="7"/>
  <c r="AF34" i="7"/>
  <c r="AM34" i="7"/>
  <c r="AE34" i="7"/>
  <c r="AL34" i="7"/>
  <c r="AD34" i="7"/>
  <c r="AK34" i="7"/>
  <c r="AC34" i="7"/>
  <c r="AJ34" i="7"/>
  <c r="AI34" i="7"/>
  <c r="AH34" i="7"/>
  <c r="AG34" i="7"/>
  <c r="L26" i="7"/>
  <c r="D26" i="7"/>
  <c r="D28" i="7" s="1"/>
  <c r="Q28" i="7" s="1"/>
  <c r="AD28" i="7" s="1"/>
  <c r="AD27" i="7" s="1"/>
  <c r="K26" i="7"/>
  <c r="C26" i="7"/>
  <c r="C28" i="7" s="1"/>
  <c r="J26" i="7"/>
  <c r="I26" i="7"/>
  <c r="H26" i="7"/>
  <c r="G26" i="7"/>
  <c r="N26" i="7"/>
  <c r="F26" i="7"/>
  <c r="M26" i="7"/>
  <c r="E26" i="7"/>
  <c r="U26" i="7"/>
  <c r="T26" i="7"/>
  <c r="AA26" i="7"/>
  <c r="S26" i="7"/>
  <c r="Z26" i="7"/>
  <c r="R26" i="7"/>
  <c r="Y26" i="7"/>
  <c r="Q26" i="7"/>
  <c r="X26" i="7"/>
  <c r="P26" i="7"/>
  <c r="W26" i="7"/>
  <c r="V26" i="7"/>
  <c r="H24" i="7"/>
  <c r="G17" i="7"/>
  <c r="AE28" i="1"/>
  <c r="AE29" i="1" s="1"/>
  <c r="AP28" i="6"/>
  <c r="AP29" i="6" s="1"/>
  <c r="AF28" i="6"/>
  <c r="AF29" i="6" s="1"/>
  <c r="AS28" i="6"/>
  <c r="AS29" i="6" s="1"/>
  <c r="BU26" i="6"/>
  <c r="AY26" i="6"/>
  <c r="AO29" i="1"/>
  <c r="AY24" i="6"/>
  <c r="AT28" i="6"/>
  <c r="AT29" i="6" s="1"/>
  <c r="AT28" i="1"/>
  <c r="AT29" i="1" s="1"/>
  <c r="AN28" i="6"/>
  <c r="AN28" i="1"/>
  <c r="AQ28" i="1" s="1"/>
  <c r="AJ28" i="1"/>
  <c r="AJ29" i="1" s="1"/>
  <c r="AJ28" i="6"/>
  <c r="AJ29" i="6" s="1"/>
  <c r="AD28" i="1"/>
  <c r="AD28" i="6"/>
  <c r="AK28" i="1"/>
  <c r="AK29" i="1" s="1"/>
  <c r="AK28" i="6"/>
  <c r="AK29" i="6" s="1"/>
  <c r="AI28" i="1"/>
  <c r="AI29" i="1" s="1"/>
  <c r="AI28" i="6"/>
  <c r="AU28" i="1"/>
  <c r="AU29" i="1" s="1"/>
  <c r="AU28" i="6"/>
  <c r="AU29" i="6" s="1"/>
  <c r="BU23" i="6"/>
  <c r="BG3" i="6"/>
  <c r="BF1" i="6"/>
  <c r="I7" i="6"/>
  <c r="I12" i="6"/>
  <c r="I11" i="6"/>
  <c r="I13" i="6" s="1"/>
  <c r="I15" i="6" s="1"/>
  <c r="AJ1" i="6"/>
  <c r="AK3" i="6"/>
  <c r="I4" i="6"/>
  <c r="Z29" i="6"/>
  <c r="AB23" i="6"/>
  <c r="H13" i="6"/>
  <c r="BH7" i="6"/>
  <c r="AB24" i="6"/>
  <c r="J8" i="6"/>
  <c r="J5" i="6"/>
  <c r="K5" i="6" s="1"/>
  <c r="M3" i="6"/>
  <c r="J1" i="6"/>
  <c r="J6" i="6"/>
  <c r="J4" i="6" s="1"/>
  <c r="AY23" i="6"/>
  <c r="AS29" i="1"/>
  <c r="AF29" i="1"/>
  <c r="AP29" i="1"/>
  <c r="K29" i="1"/>
  <c r="U29" i="1"/>
  <c r="Z29" i="1"/>
  <c r="P29" i="1"/>
  <c r="AB28" i="1"/>
  <c r="AL26" i="1"/>
  <c r="AG25" i="1"/>
  <c r="AW25" i="1"/>
  <c r="AQ26" i="1"/>
  <c r="AG23" i="1"/>
  <c r="AQ24" i="1"/>
  <c r="AG26" i="1"/>
  <c r="BP19" i="1"/>
  <c r="BP20" i="1" s="1"/>
  <c r="BC19" i="1"/>
  <c r="BL19" i="1"/>
  <c r="BL20" i="1" s="1"/>
  <c r="BQ19" i="1"/>
  <c r="BQ20" i="1" s="1"/>
  <c r="BB19" i="1"/>
  <c r="BH19" i="1"/>
  <c r="BH20" i="1" s="1"/>
  <c r="BA19" i="1"/>
  <c r="BR19" i="1"/>
  <c r="BR20" i="1" s="1"/>
  <c r="BF19" i="1"/>
  <c r="BF20" i="1" s="1"/>
  <c r="BK19" i="1"/>
  <c r="BK20" i="1" s="1"/>
  <c r="BM19" i="1"/>
  <c r="BM20" i="1" s="1"/>
  <c r="BG19" i="1"/>
  <c r="BG20" i="1" s="1"/>
  <c r="BH26" i="1"/>
  <c r="BM26" i="1"/>
  <c r="BG26" i="1"/>
  <c r="BB26" i="1"/>
  <c r="BQ26" i="1"/>
  <c r="BK26" i="1"/>
  <c r="BA26" i="1"/>
  <c r="BR26" i="1"/>
  <c r="BL26" i="1"/>
  <c r="BF26" i="1"/>
  <c r="BC26" i="1"/>
  <c r="BP26" i="1"/>
  <c r="BB23" i="1"/>
  <c r="BH23" i="1"/>
  <c r="BA23" i="1"/>
  <c r="BR23" i="1"/>
  <c r="BL23" i="1"/>
  <c r="BF23" i="1"/>
  <c r="BC23" i="1"/>
  <c r="BM23" i="1"/>
  <c r="BG23" i="1"/>
  <c r="BQ23" i="1"/>
  <c r="BK23" i="1"/>
  <c r="BP23" i="1"/>
  <c r="BC25" i="1"/>
  <c r="BH25" i="1"/>
  <c r="BP25" i="1"/>
  <c r="BM25" i="1"/>
  <c r="BG25" i="1"/>
  <c r="BA25" i="1"/>
  <c r="BQ25" i="1"/>
  <c r="BK25" i="1"/>
  <c r="BB25" i="1"/>
  <c r="BR25" i="1"/>
  <c r="BL25" i="1"/>
  <c r="BF25" i="1"/>
  <c r="AL24" i="1"/>
  <c r="BR24" i="1"/>
  <c r="BL24" i="1"/>
  <c r="BF24" i="1"/>
  <c r="BQ24" i="1"/>
  <c r="BK24" i="1"/>
  <c r="BC24" i="1"/>
  <c r="BM24" i="1"/>
  <c r="BG24" i="1"/>
  <c r="BP24" i="1"/>
  <c r="BH24" i="1"/>
  <c r="BB24" i="1"/>
  <c r="BA24" i="1"/>
  <c r="AW23" i="1"/>
  <c r="AL23" i="1"/>
  <c r="AQ23" i="1"/>
  <c r="AQ25" i="1"/>
  <c r="AL25" i="1"/>
  <c r="AW26" i="1"/>
  <c r="AW24" i="1"/>
  <c r="AG24" i="1"/>
  <c r="E5" i="2"/>
  <c r="W19" i="1"/>
  <c r="W20" i="1" s="1"/>
  <c r="W31" i="1" s="1"/>
  <c r="J19" i="1"/>
  <c r="J20" i="1" s="1"/>
  <c r="J31" i="1" s="1"/>
  <c r="T19" i="1"/>
  <c r="T20" i="1" s="1"/>
  <c r="T31" i="1" s="1"/>
  <c r="H19" i="1"/>
  <c r="H20" i="1" s="1"/>
  <c r="H31" i="1" s="1"/>
  <c r="S19" i="1"/>
  <c r="S20" i="1" s="1"/>
  <c r="S31" i="1" s="1"/>
  <c r="O19" i="1"/>
  <c r="O20" i="1" s="1"/>
  <c r="O31" i="1" s="1"/>
  <c r="N19" i="1"/>
  <c r="N20" i="1" s="1"/>
  <c r="N31" i="1" s="1"/>
  <c r="X19" i="1"/>
  <c r="X20" i="1" s="1"/>
  <c r="X31" i="1" s="1"/>
  <c r="I19" i="1"/>
  <c r="I20" i="1" s="1"/>
  <c r="I31" i="1" s="1"/>
  <c r="R19" i="1"/>
  <c r="R20" i="1" s="1"/>
  <c r="R31" i="1" s="1"/>
  <c r="Y19" i="1"/>
  <c r="Y20" i="1" s="1"/>
  <c r="Y31" i="1" s="1"/>
  <c r="M19" i="1"/>
  <c r="M20" i="1" s="1"/>
  <c r="M31" i="1" s="1"/>
  <c r="AK19" i="1"/>
  <c r="AK20" i="1" s="1"/>
  <c r="AJ19" i="1"/>
  <c r="AJ20" i="1" s="1"/>
  <c r="AD19" i="1"/>
  <c r="AU19" i="1"/>
  <c r="AU20" i="1" s="1"/>
  <c r="AI19" i="1"/>
  <c r="AI20" i="1" s="1"/>
  <c r="AS19" i="1"/>
  <c r="AS20" i="1" s="1"/>
  <c r="AP19" i="1"/>
  <c r="AP20" i="1" s="1"/>
  <c r="AN19" i="1"/>
  <c r="AN20" i="1" s="1"/>
  <c r="AT19" i="1"/>
  <c r="AT20" i="1" s="1"/>
  <c r="AE19" i="1"/>
  <c r="AF19" i="1"/>
  <c r="AO19" i="1"/>
  <c r="AO20" i="1" s="1"/>
  <c r="F26" i="2"/>
  <c r="N26" i="2"/>
  <c r="H26" i="2"/>
  <c r="K26" i="2"/>
  <c r="I26" i="2"/>
  <c r="J26" i="2"/>
  <c r="D26" i="2"/>
  <c r="L26" i="2"/>
  <c r="E26" i="2"/>
  <c r="M26" i="2"/>
  <c r="G26" i="2"/>
  <c r="F5" i="2"/>
  <c r="F7" i="2" s="1"/>
  <c r="BG7" i="1"/>
  <c r="AB26" i="1"/>
  <c r="AB23" i="1"/>
  <c r="AB25" i="1"/>
  <c r="AB24" i="1"/>
  <c r="H13" i="1"/>
  <c r="I11" i="1"/>
  <c r="I12" i="1"/>
  <c r="I7" i="1"/>
  <c r="J5" i="1"/>
  <c r="J6" i="1"/>
  <c r="J8" i="1"/>
  <c r="K8" i="1" s="1"/>
  <c r="M3" i="1"/>
  <c r="AT31" i="1" l="1"/>
  <c r="AU31" i="1"/>
  <c r="AJ31" i="1"/>
  <c r="E7" i="2"/>
  <c r="P26" i="2" s="1"/>
  <c r="BF20" i="6"/>
  <c r="BI19" i="6"/>
  <c r="BI20" i="6" s="1"/>
  <c r="BD19" i="6"/>
  <c r="BD20" i="6" s="1"/>
  <c r="P19" i="6"/>
  <c r="P20" i="6" s="1"/>
  <c r="M20" i="6"/>
  <c r="W20" i="6"/>
  <c r="Z19" i="6"/>
  <c r="AW19" i="6"/>
  <c r="AS20" i="6"/>
  <c r="AL19" i="6"/>
  <c r="AL20" i="6" s="1"/>
  <c r="AI20" i="6"/>
  <c r="BK20" i="6"/>
  <c r="BN19" i="6"/>
  <c r="BN20" i="6" s="1"/>
  <c r="H20" i="6"/>
  <c r="K19" i="6"/>
  <c r="K20" i="6" s="1"/>
  <c r="AN20" i="6"/>
  <c r="AQ19" i="6"/>
  <c r="AQ20" i="6" s="1"/>
  <c r="R20" i="6"/>
  <c r="U19" i="6"/>
  <c r="U20" i="6" s="1"/>
  <c r="BP20" i="6"/>
  <c r="BS19" i="6"/>
  <c r="AK31" i="1"/>
  <c r="AP31" i="1"/>
  <c r="AS31" i="1"/>
  <c r="AI31" i="1"/>
  <c r="AO31" i="1"/>
  <c r="M1" i="1"/>
  <c r="E27" i="2"/>
  <c r="E28" i="2" s="1"/>
  <c r="R28" i="2" s="1"/>
  <c r="AE28" i="2" s="1"/>
  <c r="E27" i="7"/>
  <c r="E28" i="7" s="1"/>
  <c r="R28" i="7" s="1"/>
  <c r="AE28" i="7" s="1"/>
  <c r="AE27" i="7" s="1"/>
  <c r="P28" i="7"/>
  <c r="AC28" i="7" s="1"/>
  <c r="AC27" i="7" s="1"/>
  <c r="AG28" i="1"/>
  <c r="AG29" i="1" s="1"/>
  <c r="I24" i="7"/>
  <c r="Q27" i="7"/>
  <c r="AD29" i="1"/>
  <c r="AN29" i="1"/>
  <c r="AN31" i="1" s="1"/>
  <c r="BB28" i="6"/>
  <c r="BB29" i="6" s="1"/>
  <c r="BB28" i="1"/>
  <c r="BB29" i="1" s="1"/>
  <c r="BA28" i="1"/>
  <c r="BA29" i="1" s="1"/>
  <c r="BA31" i="1" s="1"/>
  <c r="BA28" i="6"/>
  <c r="BM28" i="1"/>
  <c r="BM29" i="1" s="1"/>
  <c r="BM31" i="1" s="1"/>
  <c r="BM28" i="6"/>
  <c r="BM29" i="6" s="1"/>
  <c r="BG28" i="1"/>
  <c r="BG29" i="1" s="1"/>
  <c r="BG31" i="1" s="1"/>
  <c r="BG28" i="6"/>
  <c r="BG29" i="6" s="1"/>
  <c r="BK28" i="1"/>
  <c r="BK28" i="6"/>
  <c r="AG28" i="6"/>
  <c r="AG29" i="6" s="1"/>
  <c r="AD29" i="6"/>
  <c r="AW28" i="1"/>
  <c r="BP28" i="6"/>
  <c r="BP28" i="1"/>
  <c r="BP29" i="1" s="1"/>
  <c r="BP31" i="1" s="1"/>
  <c r="BF28" i="6"/>
  <c r="BF28" i="1"/>
  <c r="AQ28" i="6"/>
  <c r="AQ29" i="6" s="1"/>
  <c r="AN29" i="6"/>
  <c r="BR28" i="6"/>
  <c r="BR29" i="6" s="1"/>
  <c r="BR28" i="1"/>
  <c r="BR29" i="1" s="1"/>
  <c r="BR31" i="1" s="1"/>
  <c r="AL28" i="6"/>
  <c r="AL29" i="6" s="1"/>
  <c r="AI29" i="6"/>
  <c r="BC28" i="6"/>
  <c r="BC29" i="6" s="1"/>
  <c r="BC28" i="1"/>
  <c r="BC29" i="1" s="1"/>
  <c r="BL28" i="1"/>
  <c r="BL29" i="1" s="1"/>
  <c r="BL31" i="1" s="1"/>
  <c r="BL28" i="6"/>
  <c r="BL29" i="6" s="1"/>
  <c r="BH28" i="1"/>
  <c r="BH29" i="1" s="1"/>
  <c r="BH31" i="1" s="1"/>
  <c r="BH28" i="6"/>
  <c r="BH29" i="6" s="1"/>
  <c r="BQ28" i="1"/>
  <c r="BQ28" i="6"/>
  <c r="BQ29" i="6" s="1"/>
  <c r="AL28" i="1"/>
  <c r="AL29" i="1" s="1"/>
  <c r="AW28" i="6"/>
  <c r="I31" i="6"/>
  <c r="I16" i="6"/>
  <c r="J11" i="6"/>
  <c r="J12" i="6"/>
  <c r="K12" i="6" s="1"/>
  <c r="J7" i="6"/>
  <c r="K8" i="6"/>
  <c r="BI7" i="6"/>
  <c r="BK7" i="6"/>
  <c r="M8" i="6"/>
  <c r="M6" i="6"/>
  <c r="M5" i="6"/>
  <c r="M1" i="6"/>
  <c r="N3" i="6"/>
  <c r="H15" i="6"/>
  <c r="AB29" i="6"/>
  <c r="K6" i="6"/>
  <c r="K4" i="6" s="1"/>
  <c r="AK1" i="6"/>
  <c r="AN3" i="6"/>
  <c r="BH3" i="6"/>
  <c r="BG1" i="6"/>
  <c r="BQ29" i="1"/>
  <c r="BQ31" i="1" s="1"/>
  <c r="AQ29" i="1"/>
  <c r="BS24" i="1"/>
  <c r="BD25" i="1"/>
  <c r="AB29" i="1"/>
  <c r="AY26" i="1"/>
  <c r="AY24" i="1"/>
  <c r="BI24" i="1"/>
  <c r="BI19" i="1"/>
  <c r="BI20" i="1" s="1"/>
  <c r="BN23" i="1"/>
  <c r="BS25" i="1"/>
  <c r="BD19" i="1"/>
  <c r="BD20" i="1" s="1"/>
  <c r="BN24" i="1"/>
  <c r="BI23" i="1"/>
  <c r="BD24" i="1"/>
  <c r="BI26" i="1"/>
  <c r="BN25" i="1"/>
  <c r="BS23" i="1"/>
  <c r="C28" i="2"/>
  <c r="P28" i="2" s="1"/>
  <c r="AC28" i="2" s="1"/>
  <c r="BS26" i="1"/>
  <c r="BD26" i="1"/>
  <c r="BD23" i="1"/>
  <c r="BN26" i="1"/>
  <c r="BN19" i="1"/>
  <c r="BN20" i="1" s="1"/>
  <c r="BI25" i="1"/>
  <c r="D28" i="2"/>
  <c r="Q28" i="2" s="1"/>
  <c r="AD28" i="2" s="1"/>
  <c r="BS19" i="1"/>
  <c r="BS20" i="1" s="1"/>
  <c r="AY23" i="1"/>
  <c r="AY25" i="1"/>
  <c r="X26" i="2"/>
  <c r="S26" i="2"/>
  <c r="AQ19" i="1"/>
  <c r="AQ20" i="1" s="1"/>
  <c r="AA26" i="2"/>
  <c r="Q26" i="2"/>
  <c r="AW19" i="1"/>
  <c r="AW20" i="1" s="1"/>
  <c r="AL19" i="1"/>
  <c r="AL20" i="1" s="1"/>
  <c r="U26" i="2"/>
  <c r="T26" i="2"/>
  <c r="AG19" i="1"/>
  <c r="AG20" i="1" s="1"/>
  <c r="AK26" i="2"/>
  <c r="AH26" i="2"/>
  <c r="AF26" i="2"/>
  <c r="AJ26" i="2"/>
  <c r="AN26" i="2"/>
  <c r="AD26" i="2"/>
  <c r="AE26" i="2"/>
  <c r="AL26" i="2"/>
  <c r="AM26" i="2"/>
  <c r="AI26" i="2"/>
  <c r="AG26" i="2"/>
  <c r="AC26" i="2"/>
  <c r="BH7" i="1"/>
  <c r="BI7" i="1" s="1"/>
  <c r="K6" i="1"/>
  <c r="K7" i="1" s="1"/>
  <c r="J4" i="1"/>
  <c r="K5" i="1"/>
  <c r="Z19" i="1"/>
  <c r="Z20" i="1" s="1"/>
  <c r="Z31" i="1" s="1"/>
  <c r="P19" i="1"/>
  <c r="P20" i="1" s="1"/>
  <c r="P31" i="1" s="1"/>
  <c r="K19" i="1"/>
  <c r="K20" i="1" s="1"/>
  <c r="K31" i="1" s="1"/>
  <c r="U19" i="1"/>
  <c r="U20" i="1" s="1"/>
  <c r="U31" i="1" s="1"/>
  <c r="H15" i="1"/>
  <c r="M8" i="1"/>
  <c r="N3" i="1"/>
  <c r="N1" i="1" s="1"/>
  <c r="M6" i="1"/>
  <c r="M5" i="1"/>
  <c r="F27" i="2" s="1"/>
  <c r="I13" i="1"/>
  <c r="I15" i="1" s="1"/>
  <c r="J11" i="1"/>
  <c r="K11" i="1" s="1"/>
  <c r="J12" i="1"/>
  <c r="K12" i="1" s="1"/>
  <c r="J7" i="1"/>
  <c r="R26" i="2" l="1"/>
  <c r="R27" i="2" s="1"/>
  <c r="V26" i="2"/>
  <c r="Z26" i="2"/>
  <c r="W26" i="2"/>
  <c r="Y26" i="2"/>
  <c r="AB19" i="6"/>
  <c r="AB20" i="6" s="1"/>
  <c r="Z20" i="6"/>
  <c r="BS20" i="6"/>
  <c r="BU19" i="6"/>
  <c r="BU20" i="6" s="1"/>
  <c r="AW20" i="6"/>
  <c r="AY19" i="6"/>
  <c r="AY20" i="6" s="1"/>
  <c r="AG31" i="1"/>
  <c r="AL31" i="1"/>
  <c r="AQ31" i="1"/>
  <c r="F27" i="7"/>
  <c r="F28" i="7" s="1"/>
  <c r="S28" i="7" s="1"/>
  <c r="R27" i="7"/>
  <c r="P27" i="7"/>
  <c r="J24" i="7"/>
  <c r="BI28" i="1"/>
  <c r="BI29" i="1" s="1"/>
  <c r="BI31" i="1" s="1"/>
  <c r="BN28" i="6"/>
  <c r="BN29" i="6" s="1"/>
  <c r="BK29" i="6"/>
  <c r="BA29" i="6"/>
  <c r="BD28" i="6"/>
  <c r="AY28" i="6"/>
  <c r="AY29" i="6" s="1"/>
  <c r="AW29" i="6"/>
  <c r="BN28" i="1"/>
  <c r="BN29" i="1" s="1"/>
  <c r="BN31" i="1" s="1"/>
  <c r="BK29" i="1"/>
  <c r="BK31" i="1" s="1"/>
  <c r="BI28" i="6"/>
  <c r="BI29" i="6" s="1"/>
  <c r="BF29" i="6"/>
  <c r="BS28" i="1"/>
  <c r="BS29" i="1" s="1"/>
  <c r="BS31" i="1" s="1"/>
  <c r="BS28" i="6"/>
  <c r="BS29" i="6" s="1"/>
  <c r="BP29" i="6"/>
  <c r="BD28" i="1"/>
  <c r="BD29" i="1" s="1"/>
  <c r="BD31" i="1" s="1"/>
  <c r="AY28" i="1"/>
  <c r="AW29" i="1"/>
  <c r="AW31" i="1" s="1"/>
  <c r="BF29" i="1"/>
  <c r="BF31" i="1" s="1"/>
  <c r="BL7" i="6"/>
  <c r="K7" i="6"/>
  <c r="AN1" i="6"/>
  <c r="AO3" i="6"/>
  <c r="N8" i="6"/>
  <c r="N6" i="6"/>
  <c r="N1" i="6"/>
  <c r="N5" i="6"/>
  <c r="O3" i="6"/>
  <c r="H31" i="6"/>
  <c r="H16" i="6"/>
  <c r="BH1" i="6"/>
  <c r="BK3" i="6"/>
  <c r="J13" i="6"/>
  <c r="K11" i="6"/>
  <c r="M4" i="6"/>
  <c r="M11" i="6"/>
  <c r="M12" i="6"/>
  <c r="M7" i="6"/>
  <c r="BU24" i="1"/>
  <c r="P27" i="2"/>
  <c r="BU25" i="1"/>
  <c r="BU26" i="1"/>
  <c r="Q27" i="2"/>
  <c r="BU23" i="1"/>
  <c r="BU19" i="1"/>
  <c r="BU20" i="1" s="1"/>
  <c r="AC27" i="2"/>
  <c r="F28" i="2"/>
  <c r="S28" i="2" s="1"/>
  <c r="AF28" i="2" s="1"/>
  <c r="AY19" i="1"/>
  <c r="AY20" i="1" s="1"/>
  <c r="AE27" i="2"/>
  <c r="AD27" i="2"/>
  <c r="BK7" i="1"/>
  <c r="M4" i="1"/>
  <c r="K4" i="1"/>
  <c r="AB19" i="1"/>
  <c r="AB20" i="1" s="1"/>
  <c r="AB31" i="1" s="1"/>
  <c r="H16" i="1"/>
  <c r="H33" i="1"/>
  <c r="J13" i="1"/>
  <c r="I33" i="1"/>
  <c r="I16" i="1"/>
  <c r="O3" i="1"/>
  <c r="N6" i="1"/>
  <c r="N5" i="1"/>
  <c r="G27" i="7" s="1"/>
  <c r="G28" i="7" s="1"/>
  <c r="T28" i="7" s="1"/>
  <c r="N8" i="1"/>
  <c r="M11" i="1"/>
  <c r="M12" i="1"/>
  <c r="M7" i="1"/>
  <c r="AY29" i="1" l="1"/>
  <c r="AY31" i="1" s="1"/>
  <c r="AG28" i="7"/>
  <c r="AG27" i="7" s="1"/>
  <c r="T27" i="7"/>
  <c r="AF28" i="7"/>
  <c r="AF27" i="7" s="1"/>
  <c r="S27" i="7"/>
  <c r="O1" i="1"/>
  <c r="K24" i="7"/>
  <c r="BU28" i="1"/>
  <c r="BA5" i="1"/>
  <c r="BA6" i="1" s="1"/>
  <c r="BA8" i="1" s="1"/>
  <c r="BA5" i="6"/>
  <c r="BC5" i="1"/>
  <c r="BC6" i="1" s="1"/>
  <c r="BC8" i="1" s="1"/>
  <c r="BC12" i="1" s="1"/>
  <c r="BC5" i="6"/>
  <c r="BC6" i="6" s="1"/>
  <c r="BC8" i="6" s="1"/>
  <c r="BB5" i="1"/>
  <c r="BB6" i="1" s="1"/>
  <c r="BB8" i="1" s="1"/>
  <c r="BB12" i="1" s="1"/>
  <c r="BB5" i="6"/>
  <c r="BB6" i="6" s="1"/>
  <c r="BB8" i="6" s="1"/>
  <c r="AE5" i="1"/>
  <c r="AE5" i="6"/>
  <c r="BU28" i="6"/>
  <c r="BU29" i="6" s="1"/>
  <c r="BD29" i="6"/>
  <c r="AF5" i="1"/>
  <c r="AF6" i="1" s="1"/>
  <c r="AF8" i="1" s="1"/>
  <c r="AF12" i="1" s="1"/>
  <c r="AF5" i="6"/>
  <c r="AF6" i="6" s="1"/>
  <c r="AF8" i="6" s="1"/>
  <c r="AD5" i="1"/>
  <c r="AD5" i="6"/>
  <c r="AD6" i="6" s="1"/>
  <c r="N4" i="6"/>
  <c r="N7" i="6"/>
  <c r="N12" i="6"/>
  <c r="N11" i="6"/>
  <c r="BM7" i="6"/>
  <c r="AP3" i="6"/>
  <c r="AO1" i="6"/>
  <c r="BK1" i="6"/>
  <c r="BL3" i="6"/>
  <c r="M13" i="6"/>
  <c r="K13" i="6"/>
  <c r="J15" i="6"/>
  <c r="O1" i="6"/>
  <c r="R3" i="6"/>
  <c r="O6" i="6"/>
  <c r="O8" i="6"/>
  <c r="O5" i="6"/>
  <c r="P5" i="6" s="1"/>
  <c r="S27" i="2"/>
  <c r="AF27" i="2"/>
  <c r="BL7" i="1"/>
  <c r="G27" i="2"/>
  <c r="N4" i="1"/>
  <c r="J15" i="1"/>
  <c r="J16" i="1" s="1"/>
  <c r="K13" i="1"/>
  <c r="M13" i="1"/>
  <c r="O6" i="1"/>
  <c r="R3" i="1"/>
  <c r="R1" i="1" s="1"/>
  <c r="O5" i="1"/>
  <c r="H27" i="7" s="1"/>
  <c r="H28" i="7" s="1"/>
  <c r="U28" i="7" s="1"/>
  <c r="O8" i="1"/>
  <c r="P8" i="1" s="1"/>
  <c r="N11" i="1"/>
  <c r="N12" i="1"/>
  <c r="N7" i="1"/>
  <c r="BU29" i="1" l="1"/>
  <c r="BU31" i="1" s="1"/>
  <c r="AH28" i="7"/>
  <c r="AH27" i="7" s="1"/>
  <c r="U27" i="7"/>
  <c r="P5" i="1"/>
  <c r="AG5" i="1"/>
  <c r="BC11" i="1"/>
  <c r="BC13" i="1" s="1"/>
  <c r="BC15" i="1" s="1"/>
  <c r="BC33" i="1" s="1"/>
  <c r="L24" i="7"/>
  <c r="BD5" i="1"/>
  <c r="BD6" i="1"/>
  <c r="AF11" i="1"/>
  <c r="AF13" i="1" s="1"/>
  <c r="AF15" i="1" s="1"/>
  <c r="AF33" i="1" s="1"/>
  <c r="BB11" i="1"/>
  <c r="BB13" i="1" s="1"/>
  <c r="BB15" i="1" s="1"/>
  <c r="BF5" i="1"/>
  <c r="BF6" i="1" s="1"/>
  <c r="BF8" i="1" s="1"/>
  <c r="BF5" i="6"/>
  <c r="AD8" i="6"/>
  <c r="BB11" i="6"/>
  <c r="BB12" i="6"/>
  <c r="AI5" i="1"/>
  <c r="AI6" i="1" s="1"/>
  <c r="AI8" i="1" s="1"/>
  <c r="AI5" i="6"/>
  <c r="AF12" i="6"/>
  <c r="AF11" i="6"/>
  <c r="BA6" i="6"/>
  <c r="BD5" i="6"/>
  <c r="BC11" i="6"/>
  <c r="BC12" i="6"/>
  <c r="AG5" i="6"/>
  <c r="AE6" i="6"/>
  <c r="AE8" i="6" s="1"/>
  <c r="O12" i="6"/>
  <c r="P12" i="6" s="1"/>
  <c r="O11" i="6"/>
  <c r="O7" i="6"/>
  <c r="J31" i="6"/>
  <c r="K31" i="6" s="1"/>
  <c r="J16" i="6"/>
  <c r="K15" i="6"/>
  <c r="K16" i="6" s="1"/>
  <c r="R5" i="6"/>
  <c r="S3" i="6"/>
  <c r="R1" i="6"/>
  <c r="R6" i="6"/>
  <c r="R8" i="6"/>
  <c r="AS3" i="6"/>
  <c r="AP1" i="6"/>
  <c r="O4" i="6"/>
  <c r="M15" i="6"/>
  <c r="BL1" i="6"/>
  <c r="BM3" i="6"/>
  <c r="N13" i="6"/>
  <c r="N15" i="6" s="1"/>
  <c r="BN7" i="6"/>
  <c r="BP7" i="6"/>
  <c r="P8" i="6"/>
  <c r="P7" i="6" s="1"/>
  <c r="P6" i="6"/>
  <c r="P4" i="6" s="1"/>
  <c r="G28" i="2"/>
  <c r="T28" i="2" s="1"/>
  <c r="AG28" i="2" s="1"/>
  <c r="BD8" i="1"/>
  <c r="BA11" i="1"/>
  <c r="BA12" i="1"/>
  <c r="BD12" i="1" s="1"/>
  <c r="BM7" i="1"/>
  <c r="BN7" i="1" s="1"/>
  <c r="P6" i="1"/>
  <c r="O4" i="1"/>
  <c r="M15" i="1"/>
  <c r="N13" i="1"/>
  <c r="N15" i="1" s="1"/>
  <c r="N16" i="1" s="1"/>
  <c r="J33" i="1"/>
  <c r="K33" i="1" s="1"/>
  <c r="K15" i="1"/>
  <c r="K16" i="1" s="1"/>
  <c r="S3" i="1"/>
  <c r="S1" i="1" s="1"/>
  <c r="R5" i="1"/>
  <c r="R8" i="1"/>
  <c r="R6" i="1"/>
  <c r="O11" i="1"/>
  <c r="P11" i="1" s="1"/>
  <c r="O7" i="1"/>
  <c r="O12" i="1"/>
  <c r="P12" i="1" s="1"/>
  <c r="P4" i="1" l="1"/>
  <c r="I27" i="7"/>
  <c r="I28" i="7" s="1"/>
  <c r="V28" i="7" s="1"/>
  <c r="BC16" i="1"/>
  <c r="AF16" i="1"/>
  <c r="M24" i="7"/>
  <c r="BD4" i="1"/>
  <c r="BC13" i="6"/>
  <c r="BC15" i="6" s="1"/>
  <c r="BB13" i="6"/>
  <c r="BB15" i="6" s="1"/>
  <c r="BA8" i="6"/>
  <c r="BD6" i="6"/>
  <c r="BD4" i="6" s="1"/>
  <c r="AD12" i="6"/>
  <c r="AG8" i="6"/>
  <c r="AD11" i="6"/>
  <c r="AF13" i="6"/>
  <c r="AF15" i="6" s="1"/>
  <c r="AG6" i="6"/>
  <c r="AG4" i="6" s="1"/>
  <c r="BF6" i="6"/>
  <c r="AE11" i="6"/>
  <c r="AE12" i="6"/>
  <c r="AI6" i="6"/>
  <c r="BQ7" i="6"/>
  <c r="S8" i="6"/>
  <c r="S6" i="6"/>
  <c r="S4" i="6" s="1"/>
  <c r="S5" i="6"/>
  <c r="S1" i="6"/>
  <c r="T3" i="6"/>
  <c r="BP3" i="6"/>
  <c r="BM1" i="6"/>
  <c r="M31" i="6"/>
  <c r="M16" i="6"/>
  <c r="N31" i="6"/>
  <c r="N16" i="6"/>
  <c r="AS1" i="6"/>
  <c r="AT3" i="6"/>
  <c r="R12" i="6"/>
  <c r="R11" i="6"/>
  <c r="R7" i="6"/>
  <c r="R4" i="6"/>
  <c r="O13" i="6"/>
  <c r="P11" i="6"/>
  <c r="T27" i="2"/>
  <c r="AG27" i="2"/>
  <c r="BB16" i="1"/>
  <c r="BB33" i="1"/>
  <c r="BF11" i="1"/>
  <c r="BF12" i="1"/>
  <c r="BD11" i="1"/>
  <c r="BA13" i="1"/>
  <c r="AI12" i="1"/>
  <c r="AI11" i="1"/>
  <c r="BP7" i="1"/>
  <c r="R4" i="1"/>
  <c r="P7" i="1"/>
  <c r="M33" i="1"/>
  <c r="M16" i="1"/>
  <c r="N33" i="1"/>
  <c r="O13" i="1"/>
  <c r="O15" i="1" s="1"/>
  <c r="O33" i="1" s="1"/>
  <c r="H27" i="2" s="1"/>
  <c r="H28" i="2" s="1"/>
  <c r="U28" i="2" s="1"/>
  <c r="AH28" i="2" s="1"/>
  <c r="R12" i="1"/>
  <c r="R7" i="1"/>
  <c r="R11" i="1"/>
  <c r="S5" i="1"/>
  <c r="J27" i="7" s="1"/>
  <c r="J28" i="7" s="1"/>
  <c r="W28" i="7" s="1"/>
  <c r="S8" i="1"/>
  <c r="S6" i="1"/>
  <c r="T3" i="1"/>
  <c r="AI28" i="7" l="1"/>
  <c r="AI27" i="7" s="1"/>
  <c r="V27" i="7"/>
  <c r="T1" i="1"/>
  <c r="AJ28" i="7"/>
  <c r="AJ27" i="7" s="1"/>
  <c r="W27" i="7"/>
  <c r="N24" i="7"/>
  <c r="AG11" i="6"/>
  <c r="AD13" i="6"/>
  <c r="AJ5" i="1"/>
  <c r="AJ6" i="1" s="1"/>
  <c r="AJ8" i="1" s="1"/>
  <c r="AJ5" i="6"/>
  <c r="AE13" i="6"/>
  <c r="AE15" i="6" s="1"/>
  <c r="AG12" i="6"/>
  <c r="BG5" i="1"/>
  <c r="BG6" i="1" s="1"/>
  <c r="BG8" i="1" s="1"/>
  <c r="BG5" i="6"/>
  <c r="BF8" i="6"/>
  <c r="BA12" i="6"/>
  <c r="BD12" i="6" s="1"/>
  <c r="BA11" i="6"/>
  <c r="BD8" i="6"/>
  <c r="AF16" i="6"/>
  <c r="AF31" i="6"/>
  <c r="BB16" i="6"/>
  <c r="BB31" i="6"/>
  <c r="AI8" i="6"/>
  <c r="BC16" i="6"/>
  <c r="BC31" i="6"/>
  <c r="U5" i="6"/>
  <c r="BP1" i="6"/>
  <c r="BQ3" i="6"/>
  <c r="P13" i="6"/>
  <c r="O15" i="6"/>
  <c r="AU3" i="6"/>
  <c r="AU1" i="6" s="1"/>
  <c r="AT1" i="6"/>
  <c r="T1" i="6"/>
  <c r="T6" i="6"/>
  <c r="T4" i="6" s="1"/>
  <c r="T5" i="6"/>
  <c r="T8" i="6"/>
  <c r="W3" i="6"/>
  <c r="R13" i="6"/>
  <c r="BR7" i="6"/>
  <c r="BS7" i="6" s="1"/>
  <c r="S7" i="6"/>
  <c r="S12" i="6"/>
  <c r="S11" i="6"/>
  <c r="BF13" i="1"/>
  <c r="BA15" i="1"/>
  <c r="BD13" i="1"/>
  <c r="AI13" i="1"/>
  <c r="BQ7" i="1"/>
  <c r="U27" i="2"/>
  <c r="AH27" i="2"/>
  <c r="O16" i="1"/>
  <c r="S4" i="1"/>
  <c r="P15" i="1"/>
  <c r="P16" i="1" s="1"/>
  <c r="P33" i="1"/>
  <c r="P13" i="1"/>
  <c r="R13" i="1"/>
  <c r="S12" i="1"/>
  <c r="S7" i="1"/>
  <c r="S11" i="1"/>
  <c r="T5" i="1"/>
  <c r="T8" i="1"/>
  <c r="U8" i="1" s="1"/>
  <c r="T6" i="1"/>
  <c r="W3" i="1"/>
  <c r="W1" i="1" s="1"/>
  <c r="U5" i="1" l="1"/>
  <c r="K27" i="7"/>
  <c r="K28" i="7" s="1"/>
  <c r="X28" i="7" s="1"/>
  <c r="BH5" i="1"/>
  <c r="BI5" i="1" s="1"/>
  <c r="BH5" i="6"/>
  <c r="BH6" i="6" s="1"/>
  <c r="BH8" i="6" s="1"/>
  <c r="AE16" i="6"/>
  <c r="AE31" i="6"/>
  <c r="AI12" i="6"/>
  <c r="AI11" i="6"/>
  <c r="BD11" i="6"/>
  <c r="BA13" i="6"/>
  <c r="AJ6" i="6"/>
  <c r="BG6" i="6"/>
  <c r="AK5" i="1"/>
  <c r="AL5" i="1" s="1"/>
  <c r="AK5" i="6"/>
  <c r="AK6" i="6" s="1"/>
  <c r="AK8" i="6" s="1"/>
  <c r="BF12" i="6"/>
  <c r="BF11" i="6"/>
  <c r="AG13" i="6"/>
  <c r="AD15" i="6"/>
  <c r="S13" i="6"/>
  <c r="S15" i="6" s="1"/>
  <c r="O31" i="6"/>
  <c r="P31" i="6" s="1"/>
  <c r="O16" i="6"/>
  <c r="P15" i="6"/>
  <c r="P16" i="6" s="1"/>
  <c r="R15" i="6"/>
  <c r="W8" i="6"/>
  <c r="W6" i="6"/>
  <c r="W1" i="6"/>
  <c r="W5" i="6"/>
  <c r="X3" i="6"/>
  <c r="BQ1" i="6"/>
  <c r="BR3" i="6"/>
  <c r="BR1" i="6" s="1"/>
  <c r="U6" i="6"/>
  <c r="U4" i="6" s="1"/>
  <c r="T11" i="6"/>
  <c r="T7" i="6"/>
  <c r="T12" i="6"/>
  <c r="U12" i="6" s="1"/>
  <c r="U8" i="6"/>
  <c r="BA16" i="1"/>
  <c r="BD15" i="1"/>
  <c r="BD16" i="1" s="1"/>
  <c r="BA33" i="1"/>
  <c r="BD33" i="1" s="1"/>
  <c r="BF15" i="1"/>
  <c r="BG11" i="1"/>
  <c r="BG12" i="1"/>
  <c r="AI15" i="1"/>
  <c r="AI33" i="1" s="1"/>
  <c r="AJ12" i="1"/>
  <c r="AJ11" i="1"/>
  <c r="BR7" i="1"/>
  <c r="BS7" i="1" s="1"/>
  <c r="U6" i="1"/>
  <c r="T4" i="1"/>
  <c r="R15" i="1"/>
  <c r="S13" i="1"/>
  <c r="S15" i="1" s="1"/>
  <c r="S16" i="1" s="1"/>
  <c r="T12" i="1"/>
  <c r="U12" i="1" s="1"/>
  <c r="T7" i="1"/>
  <c r="T11" i="1"/>
  <c r="U11" i="1" s="1"/>
  <c r="W5" i="1"/>
  <c r="W8" i="1"/>
  <c r="W6" i="1"/>
  <c r="X3" i="1"/>
  <c r="X1" i="1" s="1"/>
  <c r="U4" i="1" l="1"/>
  <c r="AK28" i="7"/>
  <c r="AK27" i="7" s="1"/>
  <c r="X27" i="7"/>
  <c r="L27" i="7"/>
  <c r="L28" i="7" s="1"/>
  <c r="Y28" i="7" s="1"/>
  <c r="AK6" i="1"/>
  <c r="AK8" i="1" s="1"/>
  <c r="BH6" i="1"/>
  <c r="BH8" i="1" s="1"/>
  <c r="BI5" i="6"/>
  <c r="AI13" i="6"/>
  <c r="BG8" i="6"/>
  <c r="BI6" i="6"/>
  <c r="AD31" i="6"/>
  <c r="AG31" i="6" s="1"/>
  <c r="AG15" i="6"/>
  <c r="AG16" i="6" s="1"/>
  <c r="AD16" i="6"/>
  <c r="AL5" i="6"/>
  <c r="AK11" i="6"/>
  <c r="AK12" i="6"/>
  <c r="AJ8" i="6"/>
  <c r="AL6" i="6"/>
  <c r="BD13" i="6"/>
  <c r="BA15" i="6"/>
  <c r="BH12" i="6"/>
  <c r="BH11" i="6"/>
  <c r="BF13" i="6"/>
  <c r="R31" i="6"/>
  <c r="R16" i="6"/>
  <c r="U7" i="6"/>
  <c r="T13" i="6"/>
  <c r="U11" i="6"/>
  <c r="X8" i="6"/>
  <c r="X6" i="6"/>
  <c r="X4" i="6" s="1"/>
  <c r="Y3" i="6"/>
  <c r="X5" i="6"/>
  <c r="X1" i="6"/>
  <c r="W4" i="6"/>
  <c r="S31" i="6"/>
  <c r="S16" i="6"/>
  <c r="W11" i="6"/>
  <c r="W12" i="6"/>
  <c r="W7" i="6"/>
  <c r="BF16" i="1"/>
  <c r="BF33" i="1"/>
  <c r="BG13" i="1"/>
  <c r="AI16" i="1"/>
  <c r="AJ13" i="1"/>
  <c r="W4" i="1"/>
  <c r="S33" i="1"/>
  <c r="J27" i="2" s="1"/>
  <c r="J28" i="2" s="1"/>
  <c r="W28" i="2" s="1"/>
  <c r="AJ28" i="2" s="1"/>
  <c r="U7" i="1"/>
  <c r="R16" i="1"/>
  <c r="R33" i="1"/>
  <c r="I27" i="2" s="1"/>
  <c r="I28" i="2" s="1"/>
  <c r="V28" i="2" s="1"/>
  <c r="AI28" i="2" s="1"/>
  <c r="T13" i="1"/>
  <c r="T15" i="1" s="1"/>
  <c r="U15" i="1" s="1"/>
  <c r="U16" i="1" s="1"/>
  <c r="W11" i="1"/>
  <c r="W12" i="1"/>
  <c r="W7" i="1"/>
  <c r="X5" i="1"/>
  <c r="X6" i="1"/>
  <c r="X8" i="1"/>
  <c r="Y3" i="1"/>
  <c r="M27" i="7" l="1"/>
  <c r="M28" i="7" s="1"/>
  <c r="Z28" i="7" s="1"/>
  <c r="Y1" i="1"/>
  <c r="Y27" i="7"/>
  <c r="AL28" i="7"/>
  <c r="AL27" i="7" s="1"/>
  <c r="AL6" i="1"/>
  <c r="AL4" i="1" s="1"/>
  <c r="BI6" i="1"/>
  <c r="BI4" i="1" s="1"/>
  <c r="BI4" i="6"/>
  <c r="AL4" i="6"/>
  <c r="BD15" i="6"/>
  <c r="BD16" i="6" s="1"/>
  <c r="BA16" i="6"/>
  <c r="BA31" i="6"/>
  <c r="BD31" i="6" s="1"/>
  <c r="BF15" i="6"/>
  <c r="AJ12" i="6"/>
  <c r="AL12" i="6" s="1"/>
  <c r="AJ11" i="6"/>
  <c r="AL8" i="6"/>
  <c r="BG11" i="6"/>
  <c r="BG12" i="6"/>
  <c r="BI12" i="6" s="1"/>
  <c r="BI8" i="6"/>
  <c r="BH13" i="6"/>
  <c r="BH15" i="6" s="1"/>
  <c r="AK13" i="6"/>
  <c r="AK15" i="6" s="1"/>
  <c r="AI15" i="6"/>
  <c r="U13" i="6"/>
  <c r="T15" i="6"/>
  <c r="W13" i="6"/>
  <c r="Y6" i="6"/>
  <c r="Z6" i="6" s="1"/>
  <c r="Y5" i="6"/>
  <c r="Z5" i="6" s="1"/>
  <c r="AB5" i="6" s="1"/>
  <c r="Y8" i="6"/>
  <c r="Y1" i="6"/>
  <c r="X7" i="6"/>
  <c r="X11" i="6"/>
  <c r="X12" i="6"/>
  <c r="BG15" i="1"/>
  <c r="BH11" i="1"/>
  <c r="BH12" i="1"/>
  <c r="BI12" i="1" s="1"/>
  <c r="BI8" i="1"/>
  <c r="AJ15" i="1"/>
  <c r="AJ33" i="1" s="1"/>
  <c r="AK11" i="1"/>
  <c r="AL11" i="1" s="1"/>
  <c r="AL8" i="1"/>
  <c r="AK12" i="1"/>
  <c r="V27" i="2"/>
  <c r="AI27" i="2"/>
  <c r="W27" i="2"/>
  <c r="AJ27" i="2"/>
  <c r="X4" i="1"/>
  <c r="L27" i="2"/>
  <c r="L28" i="2" s="1"/>
  <c r="Y28" i="2" s="1"/>
  <c r="AL28" i="2" s="1"/>
  <c r="M27" i="2"/>
  <c r="M28" i="2" s="1"/>
  <c r="Z28" i="2" s="1"/>
  <c r="AM28" i="2" s="1"/>
  <c r="K27" i="2"/>
  <c r="K28" i="2" s="1"/>
  <c r="X28" i="2" s="1"/>
  <c r="AK28" i="2" s="1"/>
  <c r="U13" i="1"/>
  <c r="X11" i="1"/>
  <c r="X12" i="1"/>
  <c r="X7" i="1"/>
  <c r="W13" i="1"/>
  <c r="Y8" i="1"/>
  <c r="Z8" i="1" s="1"/>
  <c r="Y6" i="1"/>
  <c r="Y5" i="1"/>
  <c r="Z5" i="1" s="1"/>
  <c r="AB5" i="1" s="1"/>
  <c r="T16" i="1"/>
  <c r="T33" i="1"/>
  <c r="U33" i="1" s="1"/>
  <c r="E27" i="4" l="1"/>
  <c r="F25" i="4"/>
  <c r="G23" i="4"/>
  <c r="E24" i="4"/>
  <c r="E26" i="4"/>
  <c r="E25" i="4"/>
  <c r="E23" i="4"/>
  <c r="G25" i="4"/>
  <c r="G22" i="4"/>
  <c r="F24" i="4"/>
  <c r="G20" i="4"/>
  <c r="F20" i="4"/>
  <c r="E22" i="4"/>
  <c r="G24" i="4"/>
  <c r="G21" i="4"/>
  <c r="E20" i="4"/>
  <c r="G26" i="4"/>
  <c r="E21" i="4"/>
  <c r="F27" i="4"/>
  <c r="F22" i="4"/>
  <c r="F26" i="4"/>
  <c r="G27" i="4"/>
  <c r="F21" i="4"/>
  <c r="F23" i="4"/>
  <c r="AM28" i="7"/>
  <c r="AM27" i="7" s="1"/>
  <c r="Z27" i="7"/>
  <c r="N27" i="7"/>
  <c r="N28" i="7" s="1"/>
  <c r="AA28" i="7" s="1"/>
  <c r="E12" i="4"/>
  <c r="E16" i="4"/>
  <c r="G12" i="4"/>
  <c r="E11" i="4"/>
  <c r="F12" i="4"/>
  <c r="G11" i="4"/>
  <c r="F11" i="4"/>
  <c r="D8" i="7"/>
  <c r="D9" i="7" s="1"/>
  <c r="E9" i="7" s="1"/>
  <c r="AI31" i="6"/>
  <c r="AI16" i="6"/>
  <c r="AJ13" i="6"/>
  <c r="AL11" i="6"/>
  <c r="BK5" i="1"/>
  <c r="BK6" i="1" s="1"/>
  <c r="BK5" i="6"/>
  <c r="AK16" i="6"/>
  <c r="AK31" i="6"/>
  <c r="BF31" i="6"/>
  <c r="BF16" i="6"/>
  <c r="BL5" i="1"/>
  <c r="BL6" i="1" s="1"/>
  <c r="BL8" i="1" s="1"/>
  <c r="BL12" i="1" s="1"/>
  <c r="BL5" i="6"/>
  <c r="BL6" i="6" s="1"/>
  <c r="BL8" i="6" s="1"/>
  <c r="AO5" i="1"/>
  <c r="AO6" i="1" s="1"/>
  <c r="AO8" i="1" s="1"/>
  <c r="AO12" i="1" s="1"/>
  <c r="AO5" i="6"/>
  <c r="AO6" i="6" s="1"/>
  <c r="AO8" i="6" s="1"/>
  <c r="AN5" i="1"/>
  <c r="AN6" i="1" s="1"/>
  <c r="AN5" i="6"/>
  <c r="BH31" i="6"/>
  <c r="BH16" i="6"/>
  <c r="BG13" i="6"/>
  <c r="BI11" i="6"/>
  <c r="AB6" i="6"/>
  <c r="AB4" i="6" s="1"/>
  <c r="Z4" i="6"/>
  <c r="W15" i="6"/>
  <c r="X13" i="6"/>
  <c r="X15" i="6" s="1"/>
  <c r="T31" i="6"/>
  <c r="U31" i="6" s="1"/>
  <c r="T16" i="6"/>
  <c r="U15" i="6"/>
  <c r="U16" i="6" s="1"/>
  <c r="Y12" i="6"/>
  <c r="Z12" i="6" s="1"/>
  <c r="AB12" i="6" s="1"/>
  <c r="Y7" i="6"/>
  <c r="Y11" i="6"/>
  <c r="Y13" i="6" s="1"/>
  <c r="Z13" i="6" s="1"/>
  <c r="AB13" i="6" s="1"/>
  <c r="Y4" i="6"/>
  <c r="Z8" i="6"/>
  <c r="BH13" i="1"/>
  <c r="BI11" i="1"/>
  <c r="BG16" i="1"/>
  <c r="BG33" i="1"/>
  <c r="AK13" i="1"/>
  <c r="AL12" i="1"/>
  <c r="AJ16" i="1"/>
  <c r="Y27" i="2"/>
  <c r="AL27" i="2"/>
  <c r="Z27" i="2"/>
  <c r="AM27" i="2"/>
  <c r="X27" i="2"/>
  <c r="AK27" i="2"/>
  <c r="N27" i="2"/>
  <c r="N28" i="2" s="1"/>
  <c r="AA28" i="2" s="1"/>
  <c r="AN28" i="2" s="1"/>
  <c r="Z6" i="1"/>
  <c r="Y4" i="1"/>
  <c r="D8" i="2"/>
  <c r="AB8" i="1"/>
  <c r="E8" i="4" s="1"/>
  <c r="W15" i="1"/>
  <c r="X13" i="1"/>
  <c r="X15" i="1" s="1"/>
  <c r="X16" i="1" s="1"/>
  <c r="Y11" i="1"/>
  <c r="Z11" i="1" s="1"/>
  <c r="AB11" i="1" s="1"/>
  <c r="Y12" i="1"/>
  <c r="Z12" i="1" s="1"/>
  <c r="AB12" i="1" s="1"/>
  <c r="Y7" i="1"/>
  <c r="F9" i="7" l="1"/>
  <c r="F8" i="7" s="1"/>
  <c r="E8" i="7"/>
  <c r="AN28" i="7"/>
  <c r="AN27" i="7" s="1"/>
  <c r="AA27" i="7"/>
  <c r="BL11" i="1"/>
  <c r="AO11" i="1"/>
  <c r="AO13" i="1" s="1"/>
  <c r="AO15" i="1" s="1"/>
  <c r="BG15" i="6"/>
  <c r="BI13" i="6"/>
  <c r="BM5" i="1"/>
  <c r="BM6" i="1" s="1"/>
  <c r="BM8" i="1" s="1"/>
  <c r="BM11" i="1" s="1"/>
  <c r="BM5" i="6"/>
  <c r="BM6" i="6" s="1"/>
  <c r="BM8" i="6" s="1"/>
  <c r="AS5" i="1"/>
  <c r="AS6" i="1" s="1"/>
  <c r="AS5" i="6"/>
  <c r="AP5" i="1"/>
  <c r="AP6" i="1" s="1"/>
  <c r="AP8" i="1" s="1"/>
  <c r="AP12" i="1" s="1"/>
  <c r="AP5" i="6"/>
  <c r="AP6" i="6" s="1"/>
  <c r="AP8" i="6" s="1"/>
  <c r="BQ5" i="1"/>
  <c r="BQ6" i="1" s="1"/>
  <c r="BQ8" i="1" s="1"/>
  <c r="BQ12" i="1" s="1"/>
  <c r="BQ5" i="6"/>
  <c r="BQ6" i="6" s="1"/>
  <c r="BQ8" i="6" s="1"/>
  <c r="AN6" i="6"/>
  <c r="AJ15" i="6"/>
  <c r="AL13" i="6"/>
  <c r="AT5" i="1"/>
  <c r="AT6" i="1" s="1"/>
  <c r="AT8" i="1" s="1"/>
  <c r="AT12" i="1" s="1"/>
  <c r="AT5" i="6"/>
  <c r="AT6" i="6" s="1"/>
  <c r="AT8" i="6" s="1"/>
  <c r="BL12" i="6"/>
  <c r="BL11" i="6"/>
  <c r="BP5" i="1"/>
  <c r="BP6" i="1" s="1"/>
  <c r="BP5" i="6"/>
  <c r="AO11" i="6"/>
  <c r="AO12" i="6"/>
  <c r="BK6" i="6"/>
  <c r="Z11" i="6"/>
  <c r="AB11" i="6" s="1"/>
  <c r="Y15" i="6"/>
  <c r="Z15" i="6"/>
  <c r="W31" i="6"/>
  <c r="W16" i="6"/>
  <c r="AB8" i="6"/>
  <c r="AB7" i="6" s="1"/>
  <c r="Z7" i="6"/>
  <c r="X31" i="6"/>
  <c r="X16" i="6"/>
  <c r="BH15" i="1"/>
  <c r="BI13" i="1"/>
  <c r="BK8" i="1"/>
  <c r="D9" i="2"/>
  <c r="AN8" i="1"/>
  <c r="AK15" i="1"/>
  <c r="AK33" i="1" s="1"/>
  <c r="AL33" i="1" s="1"/>
  <c r="AL13" i="1"/>
  <c r="BL13" i="1"/>
  <c r="BL15" i="1" s="1"/>
  <c r="AA27" i="2"/>
  <c r="AN27" i="2"/>
  <c r="AB6" i="1"/>
  <c r="Z4" i="1"/>
  <c r="Z7" i="1"/>
  <c r="W33" i="1"/>
  <c r="W16" i="1"/>
  <c r="X33" i="1"/>
  <c r="Y13" i="1"/>
  <c r="Y15" i="1" s="1"/>
  <c r="Z15" i="1" s="1"/>
  <c r="AB4" i="1" l="1"/>
  <c r="E15" i="4" s="1"/>
  <c r="E17" i="4"/>
  <c r="E9" i="2"/>
  <c r="F9" i="2" s="1"/>
  <c r="F8" i="2" s="1"/>
  <c r="BL13" i="6"/>
  <c r="BL15" i="6" s="1"/>
  <c r="BL16" i="6" s="1"/>
  <c r="BN5" i="1"/>
  <c r="BN6" i="1"/>
  <c r="BM12" i="1"/>
  <c r="BM13" i="1" s="1"/>
  <c r="BM15" i="1" s="1"/>
  <c r="BQ11" i="1"/>
  <c r="BQ13" i="1" s="1"/>
  <c r="BQ15" i="1" s="1"/>
  <c r="BN5" i="6"/>
  <c r="AT11" i="1"/>
  <c r="AT13" i="1" s="1"/>
  <c r="AT15" i="1" s="1"/>
  <c r="AT16" i="1" s="1"/>
  <c r="AO13" i="6"/>
  <c r="AO15" i="6" s="1"/>
  <c r="AO31" i="6" s="1"/>
  <c r="AQ6" i="1"/>
  <c r="AP11" i="1"/>
  <c r="AP13" i="1" s="1"/>
  <c r="AP15" i="1" s="1"/>
  <c r="AP16" i="1" s="1"/>
  <c r="AQ5" i="1"/>
  <c r="BP6" i="6"/>
  <c r="AJ31" i="6"/>
  <c r="AL31" i="6" s="1"/>
  <c r="AJ16" i="6"/>
  <c r="AL15" i="6"/>
  <c r="AL16" i="6" s="1"/>
  <c r="AP11" i="6"/>
  <c r="AP12" i="6"/>
  <c r="AQ5" i="6"/>
  <c r="AS6" i="6"/>
  <c r="BR5" i="1"/>
  <c r="BR6" i="1" s="1"/>
  <c r="BR8" i="1" s="1"/>
  <c r="BR11" i="1" s="1"/>
  <c r="BR5" i="6"/>
  <c r="BR6" i="6" s="1"/>
  <c r="BR8" i="6" s="1"/>
  <c r="AN8" i="6"/>
  <c r="AQ6" i="6"/>
  <c r="BM11" i="6"/>
  <c r="BM12" i="6"/>
  <c r="BN6" i="6"/>
  <c r="BK8" i="6"/>
  <c r="BQ11" i="6"/>
  <c r="BQ12" i="6"/>
  <c r="AU5" i="1"/>
  <c r="AU6" i="1" s="1"/>
  <c r="AU8" i="1" s="1"/>
  <c r="AU12" i="1" s="1"/>
  <c r="AU5" i="6"/>
  <c r="AU6" i="6" s="1"/>
  <c r="AU8" i="6" s="1"/>
  <c r="AT12" i="6"/>
  <c r="AT11" i="6"/>
  <c r="BG31" i="6"/>
  <c r="BI31" i="6" s="1"/>
  <c r="BG16" i="6"/>
  <c r="BI15" i="6"/>
  <c r="BI16" i="6" s="1"/>
  <c r="Z16" i="6"/>
  <c r="AB15" i="6"/>
  <c r="AB16" i="6" s="1"/>
  <c r="Y31" i="6"/>
  <c r="Z31" i="6" s="1"/>
  <c r="AB31" i="6" s="1"/>
  <c r="Y16" i="6"/>
  <c r="AB7" i="1"/>
  <c r="BN8" i="1"/>
  <c r="BK12" i="1"/>
  <c r="BK11" i="1"/>
  <c r="BH16" i="1"/>
  <c r="BH33" i="1"/>
  <c r="BI33" i="1" s="1"/>
  <c r="BI15" i="1"/>
  <c r="BI16" i="1" s="1"/>
  <c r="BP8" i="1"/>
  <c r="BL16" i="1"/>
  <c r="BL33" i="1"/>
  <c r="AO16" i="1"/>
  <c r="AO33" i="1"/>
  <c r="AK16" i="1"/>
  <c r="AL15" i="1"/>
  <c r="AL16" i="1" s="1"/>
  <c r="AS8" i="1"/>
  <c r="AN12" i="1"/>
  <c r="AQ12" i="1" s="1"/>
  <c r="AQ8" i="1"/>
  <c r="AN11" i="1"/>
  <c r="Z16" i="1"/>
  <c r="AB15" i="1"/>
  <c r="AB16" i="1" s="1"/>
  <c r="Z13" i="1"/>
  <c r="AB13" i="1" s="1"/>
  <c r="E9" i="4" s="1"/>
  <c r="Y33" i="1"/>
  <c r="Z33" i="1" s="1"/>
  <c r="AB33" i="1" s="1"/>
  <c r="E13" i="4" s="1"/>
  <c r="Y16" i="1"/>
  <c r="AE6" i="1"/>
  <c r="AE8" i="1" s="1"/>
  <c r="AE11" i="1" s="1"/>
  <c r="AD6" i="1"/>
  <c r="BN4" i="1" l="1"/>
  <c r="BL31" i="6"/>
  <c r="AO16" i="6"/>
  <c r="AQ4" i="1"/>
  <c r="AQ4" i="6"/>
  <c r="BN12" i="1"/>
  <c r="BS6" i="1"/>
  <c r="BU6" i="1" s="1"/>
  <c r="AP33" i="1"/>
  <c r="BS5" i="1"/>
  <c r="BU5" i="1" s="1"/>
  <c r="G16" i="4" s="1"/>
  <c r="BN4" i="6"/>
  <c r="AT33" i="1"/>
  <c r="BR12" i="1"/>
  <c r="BR13" i="1" s="1"/>
  <c r="BR15" i="1" s="1"/>
  <c r="AW6" i="1"/>
  <c r="AU11" i="1"/>
  <c r="AU13" i="1" s="1"/>
  <c r="AU15" i="1" s="1"/>
  <c r="AU16" i="1" s="1"/>
  <c r="AW5" i="1"/>
  <c r="AY5" i="1" s="1"/>
  <c r="F16" i="4" s="1"/>
  <c r="BQ13" i="6"/>
  <c r="BQ15" i="6" s="1"/>
  <c r="BQ16" i="6" s="1"/>
  <c r="AT13" i="6"/>
  <c r="AT15" i="6" s="1"/>
  <c r="AT31" i="6" s="1"/>
  <c r="AW5" i="6"/>
  <c r="AY5" i="6" s="1"/>
  <c r="AN12" i="6"/>
  <c r="AQ12" i="6" s="1"/>
  <c r="AQ8" i="6"/>
  <c r="AN11" i="6"/>
  <c r="AP13" i="6"/>
  <c r="AP15" i="6" s="1"/>
  <c r="BR12" i="6"/>
  <c r="BR11" i="6"/>
  <c r="BK11" i="6"/>
  <c r="BK12" i="6"/>
  <c r="BN12" i="6" s="1"/>
  <c r="BN8" i="6"/>
  <c r="AU12" i="6"/>
  <c r="AU11" i="6"/>
  <c r="AW6" i="6"/>
  <c r="AS8" i="6"/>
  <c r="BS6" i="6"/>
  <c r="BP8" i="6"/>
  <c r="BS5" i="6"/>
  <c r="BU5" i="6" s="1"/>
  <c r="BM13" i="6"/>
  <c r="BM15" i="6" s="1"/>
  <c r="BN11" i="1"/>
  <c r="BK13" i="1"/>
  <c r="BS8" i="1"/>
  <c r="BU8" i="1" s="1"/>
  <c r="G8" i="4" s="1"/>
  <c r="BP11" i="1"/>
  <c r="BP12" i="1"/>
  <c r="BQ16" i="1"/>
  <c r="BQ33" i="1"/>
  <c r="BM16" i="1"/>
  <c r="BM33" i="1"/>
  <c r="AS11" i="1"/>
  <c r="AW8" i="1"/>
  <c r="AS12" i="1"/>
  <c r="AN13" i="1"/>
  <c r="AQ11" i="1"/>
  <c r="AD8" i="1"/>
  <c r="AG8" i="1" s="1"/>
  <c r="AG6" i="1"/>
  <c r="AE12" i="1"/>
  <c r="AW11" i="1" l="1"/>
  <c r="AU13" i="6"/>
  <c r="AU15" i="6" s="1"/>
  <c r="AU31" i="6" s="1"/>
  <c r="AU33" i="1"/>
  <c r="BQ31" i="6"/>
  <c r="BR13" i="6"/>
  <c r="BR15" i="6" s="1"/>
  <c r="BR31" i="6" s="1"/>
  <c r="BS4" i="1"/>
  <c r="BS12" i="1"/>
  <c r="BU12" i="1" s="1"/>
  <c r="AT16" i="6"/>
  <c r="AW4" i="1"/>
  <c r="AS12" i="6"/>
  <c r="AW12" i="6" s="1"/>
  <c r="AY12" i="6" s="1"/>
  <c r="AS11" i="6"/>
  <c r="AW8" i="6"/>
  <c r="AY8" i="6" s="1"/>
  <c r="AY6" i="1"/>
  <c r="AG4" i="1"/>
  <c r="AP16" i="6"/>
  <c r="AP31" i="6"/>
  <c r="AY6" i="6"/>
  <c r="AY4" i="6" s="1"/>
  <c r="AW4" i="6"/>
  <c r="AQ11" i="6"/>
  <c r="AN13" i="6"/>
  <c r="BK13" i="6"/>
  <c r="BN11" i="6"/>
  <c r="BM31" i="6"/>
  <c r="BM16" i="6"/>
  <c r="BP11" i="6"/>
  <c r="BP12" i="6"/>
  <c r="BS12" i="6" s="1"/>
  <c r="BU12" i="6" s="1"/>
  <c r="BS8" i="6"/>
  <c r="BU8" i="6" s="1"/>
  <c r="BS4" i="6"/>
  <c r="BU6" i="6"/>
  <c r="BU4" i="6" s="1"/>
  <c r="G17" i="4"/>
  <c r="BU4" i="1"/>
  <c r="G15" i="4" s="1"/>
  <c r="BS11" i="1"/>
  <c r="BU11" i="1" s="1"/>
  <c r="BP13" i="1"/>
  <c r="BR16" i="1"/>
  <c r="BR33" i="1"/>
  <c r="BK15" i="1"/>
  <c r="BN13" i="1"/>
  <c r="AY8" i="1"/>
  <c r="F8" i="4" s="1"/>
  <c r="AD11" i="1"/>
  <c r="AG11" i="1" s="1"/>
  <c r="AN15" i="1"/>
  <c r="AN33" i="1" s="1"/>
  <c r="AQ33" i="1" s="1"/>
  <c r="AQ13" i="1"/>
  <c r="AD12" i="1"/>
  <c r="AG12" i="1" s="1"/>
  <c r="AS13" i="1"/>
  <c r="AW12" i="1"/>
  <c r="AE13" i="1"/>
  <c r="AE15" i="1" s="1"/>
  <c r="E8" i="2"/>
  <c r="AY11" i="1" l="1"/>
  <c r="AU16" i="6"/>
  <c r="BR16" i="6"/>
  <c r="F17" i="4"/>
  <c r="AY4" i="1"/>
  <c r="F15" i="4" s="1"/>
  <c r="AQ13" i="6"/>
  <c r="AN15" i="6"/>
  <c r="BP13" i="6"/>
  <c r="BS11" i="6"/>
  <c r="BU11" i="6" s="1"/>
  <c r="AW11" i="6"/>
  <c r="AY11" i="6" s="1"/>
  <c r="AS13" i="6"/>
  <c r="BN13" i="6"/>
  <c r="BK15" i="6"/>
  <c r="BP15" i="1"/>
  <c r="BS13" i="1"/>
  <c r="BU13" i="1" s="1"/>
  <c r="G9" i="4" s="1"/>
  <c r="BK16" i="1"/>
  <c r="BK33" i="1"/>
  <c r="BN33" i="1" s="1"/>
  <c r="BN15" i="1"/>
  <c r="BN16" i="1" s="1"/>
  <c r="AE16" i="1"/>
  <c r="AE33" i="1"/>
  <c r="AY12" i="1"/>
  <c r="AD13" i="1"/>
  <c r="AG13" i="1" s="1"/>
  <c r="AS15" i="1"/>
  <c r="AS33" i="1" s="1"/>
  <c r="AW33" i="1" s="1"/>
  <c r="AW13" i="1"/>
  <c r="AN16" i="1"/>
  <c r="AQ15" i="1"/>
  <c r="AQ16" i="1" s="1"/>
  <c r="AW13" i="6" l="1"/>
  <c r="AY13" i="6" s="1"/>
  <c r="AS15" i="6"/>
  <c r="BS13" i="6"/>
  <c r="BU13" i="6" s="1"/>
  <c r="BP15" i="6"/>
  <c r="AN31" i="6"/>
  <c r="AQ31" i="6" s="1"/>
  <c r="AN16" i="6"/>
  <c r="AQ15" i="6"/>
  <c r="AQ16" i="6" s="1"/>
  <c r="BK31" i="6"/>
  <c r="BN31" i="6" s="1"/>
  <c r="BK16" i="6"/>
  <c r="BN15" i="6"/>
  <c r="BN16" i="6" s="1"/>
  <c r="BP16" i="1"/>
  <c r="BP33" i="1"/>
  <c r="BS33" i="1" s="1"/>
  <c r="BU33" i="1" s="1"/>
  <c r="G13" i="4" s="1"/>
  <c r="BS15" i="1"/>
  <c r="AY13" i="1"/>
  <c r="F9" i="4" s="1"/>
  <c r="AD15" i="1"/>
  <c r="AD33" i="1" s="1"/>
  <c r="AG33" i="1" s="1"/>
  <c r="AS16" i="1"/>
  <c r="AW15" i="1"/>
  <c r="BP31" i="6" l="1"/>
  <c r="BS31" i="6" s="1"/>
  <c r="BU31" i="6" s="1"/>
  <c r="BP16" i="6"/>
  <c r="BS15" i="6"/>
  <c r="AS16" i="6"/>
  <c r="AW15" i="6"/>
  <c r="AS31" i="6"/>
  <c r="AW31" i="6" s="1"/>
  <c r="AY31" i="6" s="1"/>
  <c r="AY33" i="1"/>
  <c r="F13" i="4" s="1"/>
  <c r="BS16" i="1"/>
  <c r="BU15" i="1"/>
  <c r="AD16" i="1"/>
  <c r="AW16" i="1"/>
  <c r="AG15" i="1"/>
  <c r="AG16" i="1" s="1"/>
  <c r="BU16" i="1" l="1"/>
  <c r="G10" i="4"/>
  <c r="AW16" i="6"/>
  <c r="AY15" i="6"/>
  <c r="AY16" i="6" s="1"/>
  <c r="BS16" i="6"/>
  <c r="BU15" i="6"/>
  <c r="BU16" i="6" s="1"/>
  <c r="AY15" i="1"/>
  <c r="AY16" i="1" l="1"/>
  <c r="F10" i="4"/>
</calcChain>
</file>

<file path=xl/sharedStrings.xml><?xml version="1.0" encoding="utf-8"?>
<sst xmlns="http://schemas.openxmlformats.org/spreadsheetml/2006/main" count="433" uniqueCount="77">
  <si>
    <t>Completed Jobs</t>
  </si>
  <si>
    <t>GSV</t>
  </si>
  <si>
    <t>Take Rate</t>
  </si>
  <si>
    <t>Net Revenue</t>
  </si>
  <si>
    <t>CC Processing fee 2%</t>
  </si>
  <si>
    <t xml:space="preserve">Insurance </t>
  </si>
  <si>
    <t>Gross Profit</t>
  </si>
  <si>
    <t>Variable Cost</t>
  </si>
  <si>
    <t>Commission per Signee</t>
  </si>
  <si>
    <t>Fixed Cost</t>
  </si>
  <si>
    <t>Account Executive</t>
  </si>
  <si>
    <t>Clinical Specialist</t>
  </si>
  <si>
    <t>Engineering</t>
  </si>
  <si>
    <t>Marketing</t>
  </si>
  <si>
    <t>C&amp;E</t>
  </si>
  <si>
    <t>Other Opex</t>
  </si>
  <si>
    <t>OP Income</t>
  </si>
  <si>
    <t>Account Executives</t>
  </si>
  <si>
    <t>HC</t>
  </si>
  <si>
    <t>Facilities</t>
  </si>
  <si>
    <t>Facilities(Quotas)</t>
  </si>
  <si>
    <t>Total Facility Sign up</t>
  </si>
  <si>
    <t>Total Job Postings</t>
  </si>
  <si>
    <t>Commission</t>
  </si>
  <si>
    <t>5 facilities = 1 sign up per Accout executive - 200 commission</t>
  </si>
  <si>
    <t>Q12021</t>
  </si>
  <si>
    <t>Q22021</t>
  </si>
  <si>
    <t>Q42021</t>
  </si>
  <si>
    <t>Q32021</t>
  </si>
  <si>
    <t>Price per job</t>
  </si>
  <si>
    <t>FY1</t>
  </si>
  <si>
    <t>FY2</t>
  </si>
  <si>
    <t>Definitions</t>
  </si>
  <si>
    <t># of Facilities(Hospitals, clinics and etc.)</t>
  </si>
  <si>
    <t>Total Job posting for all facilities</t>
  </si>
  <si>
    <t>Average Completed Jobs</t>
  </si>
  <si>
    <t>Actuals</t>
  </si>
  <si>
    <t># of Facilities(Hospitals, clinics and etc.)Ramp to 5</t>
  </si>
  <si>
    <t>5 facilities = 1 sign up per Accout executive - 200 commission - (15account execs *5 avg Quota)</t>
  </si>
  <si>
    <t>Total of Facilities signed up - Facilities post 5 jobs</t>
  </si>
  <si>
    <t>Q22022</t>
  </si>
  <si>
    <t>Q12022</t>
  </si>
  <si>
    <t>Q32023</t>
  </si>
  <si>
    <t>Q42023</t>
  </si>
  <si>
    <t>FY 2022</t>
  </si>
  <si>
    <t>Q42024</t>
  </si>
  <si>
    <t>Q12023</t>
  </si>
  <si>
    <t>Q22023</t>
  </si>
  <si>
    <t>% of Avg completed Jobs</t>
  </si>
  <si>
    <t>Forecast Y1</t>
  </si>
  <si>
    <t>Forecast Y2</t>
  </si>
  <si>
    <t>Salary</t>
  </si>
  <si>
    <t>Wage Growth</t>
  </si>
  <si>
    <t>Seasonality</t>
  </si>
  <si>
    <t>Standard 5% rate increase</t>
  </si>
  <si>
    <t>Engineers</t>
  </si>
  <si>
    <t>City Growth Rate</t>
  </si>
  <si>
    <t>Increase Employees</t>
  </si>
  <si>
    <t>Other OPEX</t>
  </si>
  <si>
    <t>COGs</t>
  </si>
  <si>
    <t>Total COGs</t>
  </si>
  <si>
    <t>% of Net Rev</t>
  </si>
  <si>
    <t>Total Fixed Cost</t>
  </si>
  <si>
    <t>Total Variable Cost</t>
  </si>
  <si>
    <t>FY 2021</t>
  </si>
  <si>
    <t>FY 2023</t>
  </si>
  <si>
    <t>($'s in Thousands, except for Price per Job)</t>
  </si>
  <si>
    <t>Q32022</t>
  </si>
  <si>
    <t>Q42022</t>
  </si>
  <si>
    <t>Q12024</t>
  </si>
  <si>
    <t>Q22024</t>
  </si>
  <si>
    <t>Q32024</t>
  </si>
  <si>
    <t>Key Items Nurseville</t>
  </si>
  <si>
    <t>Insurance 3%</t>
  </si>
  <si>
    <t>Total Opex</t>
  </si>
  <si>
    <t>Opex</t>
  </si>
  <si>
    <t>Total of Facilities signed up - Facilities post 5 jobs exceeding 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</si>
</sst>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73" formatCode="&quot;$&quot;#,##0.00,_);[Red]&quot;$&quot;\ \(#,##0.00,\)"/>
    <numFmt numFmtId="176" formatCode="#,##0.0"/>
    <numFmt numFmtId="178" formatCode="&quot;$&quot;#,##0.0,_);[Red]&quot;$&quot;\ \(#,##0.0,\)"/>
  </numFmts>
  <fonts count="23" x14ac:knownFonts="1">
    <font>
      <sz val="12"/>
      <color theme="1"/>
      <name val="Calibri"/>
      <scheme val="minor"/>
    </font>
    <font>
      <sz val="10"/>
      <color theme="1"/>
      <name val="Arial"/>
    </font>
    <font>
      <sz val="12"/>
      <color theme="1"/>
      <name val="Calibri"/>
    </font>
    <font>
      <sz val="12"/>
      <color theme="1"/>
      <name val="Calibri"/>
      <scheme val="minor"/>
    </font>
    <font>
      <i/>
      <sz val="10"/>
      <color theme="1"/>
      <name val="Arial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0"/>
      <color theme="0"/>
      <name val="Calibri"/>
      <family val="2"/>
    </font>
    <font>
      <b/>
      <i/>
      <sz val="12"/>
      <color theme="0"/>
      <name val="Calibri"/>
      <family val="2"/>
      <scheme val="minor"/>
    </font>
    <font>
      <b/>
      <i/>
      <sz val="10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1">
    <xf numFmtId="0" fontId="0" fillId="0" borderId="0" xfId="0"/>
    <xf numFmtId="14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4" fontId="2" fillId="0" borderId="0" xfId="0" applyNumberFormat="1" applyFont="1"/>
    <xf numFmtId="3" fontId="3" fillId="0" borderId="0" xfId="0" applyNumberFormat="1" applyFont="1"/>
    <xf numFmtId="44" fontId="2" fillId="0" borderId="0" xfId="0" applyNumberFormat="1" applyFont="1"/>
    <xf numFmtId="0" fontId="3" fillId="0" borderId="0" xfId="0" applyFont="1"/>
    <xf numFmtId="10" fontId="2" fillId="0" borderId="0" xfId="0" applyNumberFormat="1" applyFont="1"/>
    <xf numFmtId="44" fontId="1" fillId="0" borderId="0" xfId="0" applyNumberFormat="1" applyFont="1"/>
    <xf numFmtId="0" fontId="3" fillId="0" borderId="0" xfId="0" applyFont="1" applyAlignment="1">
      <alignment horizontal="right"/>
    </xf>
    <xf numFmtId="4" fontId="0" fillId="0" borderId="0" xfId="0" applyNumberFormat="1"/>
    <xf numFmtId="1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4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0" fontId="8" fillId="0" borderId="0" xfId="0" applyFont="1"/>
    <xf numFmtId="44" fontId="9" fillId="0" borderId="0" xfId="0" applyNumberFormat="1" applyFont="1"/>
    <xf numFmtId="14" fontId="8" fillId="0" borderId="0" xfId="0" applyNumberFormat="1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4" fontId="0" fillId="0" borderId="0" xfId="0" applyNumberFormat="1"/>
    <xf numFmtId="8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1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8" fillId="0" borderId="0" xfId="0" applyNumberFormat="1" applyFont="1"/>
    <xf numFmtId="8" fontId="0" fillId="0" borderId="0" xfId="0" applyNumberFormat="1" applyAlignment="1">
      <alignment horizontal="center" vertical="center"/>
    </xf>
    <xf numFmtId="4" fontId="12" fillId="0" borderId="0" xfId="0" applyNumberFormat="1" applyFont="1" applyAlignment="1">
      <alignment horizontal="center"/>
    </xf>
    <xf numFmtId="0" fontId="13" fillId="0" borderId="0" xfId="0" applyFont="1"/>
    <xf numFmtId="9" fontId="13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13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4" fontId="12" fillId="0" borderId="0" xfId="0" applyNumberFormat="1" applyFont="1"/>
    <xf numFmtId="0" fontId="0" fillId="2" borderId="0" xfId="0" applyFill="1"/>
    <xf numFmtId="0" fontId="3" fillId="0" borderId="0" xfId="0" applyFont="1" applyFill="1"/>
    <xf numFmtId="173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0" fillId="0" borderId="2" xfId="0" applyFont="1" applyBorder="1"/>
    <xf numFmtId="173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indent="1"/>
    </xf>
    <xf numFmtId="44" fontId="2" fillId="0" borderId="0" xfId="0" applyNumberFormat="1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10" fillId="0" borderId="0" xfId="0" applyFont="1" applyBorder="1"/>
    <xf numFmtId="173" fontId="3" fillId="0" borderId="0" xfId="0" applyNumberFormat="1" applyFont="1" applyBorder="1" applyAlignment="1">
      <alignment horizontal="center" vertical="center"/>
    </xf>
    <xf numFmtId="0" fontId="15" fillId="0" borderId="0" xfId="0" applyFont="1"/>
    <xf numFmtId="44" fontId="16" fillId="0" borderId="0" xfId="0" applyNumberFormat="1" applyFont="1"/>
    <xf numFmtId="0" fontId="0" fillId="0" borderId="0" xfId="0" applyBorder="1"/>
    <xf numFmtId="14" fontId="8" fillId="0" borderId="0" xfId="0" applyNumberFormat="1" applyFont="1" applyBorder="1" applyAlignment="1">
      <alignment horizontal="center" vertical="center"/>
    </xf>
    <xf numFmtId="9" fontId="0" fillId="0" borderId="0" xfId="0" applyNumberFormat="1" applyBorder="1"/>
    <xf numFmtId="173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4" fontId="12" fillId="0" borderId="0" xfId="0" applyNumberFormat="1" applyFont="1" applyAlignment="1">
      <alignment horizontal="left" indent="2"/>
    </xf>
    <xf numFmtId="4" fontId="6" fillId="0" borderId="0" xfId="0" applyNumberFormat="1" applyFont="1" applyAlignment="1">
      <alignment horizontal="left" indent="1"/>
    </xf>
    <xf numFmtId="44" fontId="6" fillId="0" borderId="0" xfId="0" applyNumberFormat="1" applyFont="1" applyAlignment="1">
      <alignment horizontal="left" indent="1"/>
    </xf>
    <xf numFmtId="0" fontId="8" fillId="0" borderId="3" xfId="0" applyFont="1" applyBorder="1" applyAlignment="1">
      <alignment horizontal="left"/>
    </xf>
    <xf numFmtId="173" fontId="8" fillId="0" borderId="3" xfId="0" applyNumberFormat="1" applyFont="1" applyBorder="1" applyAlignment="1">
      <alignment horizontal="center" vertical="center"/>
    </xf>
    <xf numFmtId="173" fontId="8" fillId="0" borderId="2" xfId="0" applyNumberFormat="1" applyFont="1" applyBorder="1" applyAlignment="1">
      <alignment horizontal="center" vertical="center"/>
    </xf>
    <xf numFmtId="0" fontId="8" fillId="0" borderId="3" xfId="0" applyFont="1" applyFill="1" applyBorder="1"/>
    <xf numFmtId="173" fontId="8" fillId="0" borderId="3" xfId="0" applyNumberFormat="1" applyFont="1" applyFill="1" applyBorder="1" applyAlignment="1">
      <alignment horizontal="center" vertical="center"/>
    </xf>
    <xf numFmtId="173" fontId="3" fillId="0" borderId="3" xfId="0" applyNumberFormat="1" applyFont="1" applyFill="1" applyBorder="1" applyAlignment="1">
      <alignment horizontal="center" vertical="center"/>
    </xf>
    <xf numFmtId="0" fontId="8" fillId="0" borderId="4" xfId="0" applyFont="1" applyBorder="1"/>
    <xf numFmtId="173" fontId="8" fillId="0" borderId="4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173" fontId="8" fillId="0" borderId="0" xfId="0" applyNumberFormat="1" applyFont="1" applyFill="1" applyBorder="1" applyAlignment="1">
      <alignment horizontal="center" vertical="center"/>
    </xf>
    <xf numFmtId="0" fontId="17" fillId="4" borderId="0" xfId="0" applyFont="1" applyFill="1"/>
    <xf numFmtId="14" fontId="0" fillId="0" borderId="0" xfId="0" applyNumberFormat="1" applyAlignment="1">
      <alignment vertical="center"/>
    </xf>
    <xf numFmtId="17" fontId="0" fillId="0" borderId="0" xfId="0" applyNumberFormat="1"/>
    <xf numFmtId="17" fontId="3" fillId="0" borderId="0" xfId="0" applyNumberFormat="1" applyFont="1" applyAlignment="1">
      <alignment horizontal="center" vertical="center"/>
    </xf>
    <xf numFmtId="0" fontId="5" fillId="0" borderId="11" xfId="0" applyFont="1" applyBorder="1" applyAlignment="1">
      <alignment vertical="top"/>
    </xf>
    <xf numFmtId="44" fontId="5" fillId="0" borderId="12" xfId="0" applyNumberFormat="1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/>
    <xf numFmtId="17" fontId="19" fillId="5" borderId="0" xfId="0" applyNumberFormat="1" applyFont="1" applyFill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" fontId="20" fillId="5" borderId="0" xfId="0" applyNumberFormat="1" applyFont="1" applyFill="1" applyAlignment="1">
      <alignment horizontal="center" wrapText="1"/>
    </xf>
    <xf numFmtId="4" fontId="3" fillId="0" borderId="7" xfId="0" applyNumberFormat="1" applyFont="1" applyBorder="1" applyAlignment="1">
      <alignment horizontal="center" vertical="center"/>
    </xf>
    <xf numFmtId="8" fontId="3" fillId="0" borderId="5" xfId="0" applyNumberFormat="1" applyFont="1" applyBorder="1" applyAlignment="1">
      <alignment horizontal="center" vertical="center"/>
    </xf>
    <xf numFmtId="8" fontId="3" fillId="0" borderId="6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8" fontId="3" fillId="0" borderId="3" xfId="0" applyNumberFormat="1" applyFont="1" applyBorder="1" applyAlignment="1">
      <alignment horizontal="center" vertical="center"/>
    </xf>
    <xf numFmtId="0" fontId="14" fillId="0" borderId="0" xfId="0" applyFont="1"/>
    <xf numFmtId="0" fontId="17" fillId="4" borderId="0" xfId="0" applyFont="1" applyFill="1" applyAlignment="1">
      <alignment horizontal="center" vertical="center"/>
    </xf>
    <xf numFmtId="0" fontId="19" fillId="5" borderId="0" xfId="0" applyFont="1" applyFill="1"/>
    <xf numFmtId="0" fontId="19" fillId="5" borderId="5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14" fontId="17" fillId="5" borderId="7" xfId="0" applyNumberFormat="1" applyFont="1" applyFill="1" applyBorder="1" applyAlignment="1">
      <alignment horizontal="center" vertical="center"/>
    </xf>
    <xf numFmtId="14" fontId="19" fillId="5" borderId="0" xfId="0" applyNumberFormat="1" applyFont="1" applyFill="1" applyBorder="1" applyAlignment="1">
      <alignment horizontal="center"/>
    </xf>
    <xf numFmtId="14" fontId="17" fillId="5" borderId="0" xfId="0" applyNumberFormat="1" applyFont="1" applyFill="1" applyBorder="1" applyAlignment="1">
      <alignment horizontal="center" vertical="center"/>
    </xf>
    <xf numFmtId="14" fontId="17" fillId="5" borderId="8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8" fillId="0" borderId="0" xfId="0" applyNumberFormat="1" applyFont="1" applyBorder="1" applyAlignment="1">
      <alignment horizontal="center" vertical="center"/>
    </xf>
    <xf numFmtId="4" fontId="8" fillId="0" borderId="8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" fontId="8" fillId="0" borderId="7" xfId="0" applyNumberFormat="1" applyFon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13" fillId="0" borderId="2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0" fillId="0" borderId="0" xfId="0" applyNumberFormat="1"/>
    <xf numFmtId="0" fontId="7" fillId="0" borderId="0" xfId="0" applyFont="1" applyAlignment="1">
      <alignment horizontal="left" indent="2"/>
    </xf>
    <xf numFmtId="44" fontId="9" fillId="0" borderId="1" xfId="0" applyNumberFormat="1" applyFont="1" applyBorder="1"/>
    <xf numFmtId="0" fontId="8" fillId="0" borderId="0" xfId="0" applyFont="1" applyFill="1" applyBorder="1"/>
    <xf numFmtId="0" fontId="3" fillId="0" borderId="0" xfId="0" applyFont="1" applyAlignment="1">
      <alignment horizontal="left" vertical="top"/>
    </xf>
    <xf numFmtId="0" fontId="8" fillId="0" borderId="4" xfId="0" applyFont="1" applyFill="1" applyBorder="1"/>
    <xf numFmtId="178" fontId="3" fillId="0" borderId="17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0" borderId="16" xfId="0" applyNumberFormat="1" applyFont="1" applyBorder="1" applyAlignment="1">
      <alignment horizontal="center" vertical="center"/>
    </xf>
    <xf numFmtId="4" fontId="22" fillId="5" borderId="0" xfId="0" applyNumberFormat="1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Revenue</a:t>
            </a:r>
            <a:r>
              <a:rPr lang="en-US" baseline="0"/>
              <a:t> vs. OP Income </a:t>
            </a:r>
            <a:endParaRPr lang="en-US"/>
          </a:p>
        </c:rich>
      </c:tx>
      <c:layout>
        <c:manualLayout>
          <c:xMode val="edge"/>
          <c:yMode val="edge"/>
          <c:x val="0.27910964482209411"/>
          <c:y val="6.3697226525929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Summary!$D$8</c:f>
              <c:strCache>
                <c:ptCount val="1"/>
                <c:pt idx="0">
                  <c:v>Net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Summary!$E$6:$G$6</c:f>
              <c:strCache>
                <c:ptCount val="3"/>
                <c:pt idx="0">
                  <c:v>FY 2021</c:v>
                </c:pt>
                <c:pt idx="1">
                  <c:v>FY 2022</c:v>
                </c:pt>
                <c:pt idx="2">
                  <c:v>FY 2023</c:v>
                </c:pt>
              </c:strCache>
            </c:strRef>
          </c:cat>
          <c:val>
            <c:numRef>
              <c:f>Summary!$E$8:$G$8</c:f>
              <c:numCache>
                <c:formatCode>"$"#,##0.0,_);[Red]"$"\ \(#,##0.0,\)</c:formatCode>
                <c:ptCount val="3"/>
                <c:pt idx="0">
                  <c:v>5006530.57</c:v>
                </c:pt>
                <c:pt idx="1">
                  <c:v>11800645.854525</c:v>
                </c:pt>
                <c:pt idx="2">
                  <c:v>21611543.969999999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5-47E2-B105-84F620A3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849167"/>
        <c:axId val="426041551"/>
      </c:barChart>
      <c:lineChart>
        <c:grouping val="standard"/>
        <c:varyColors val="0"/>
        <c:ser>
          <c:idx val="1"/>
          <c:order val="1"/>
          <c:tx>
            <c:strRef>
              <c:f>Summary!$D$13</c:f>
              <c:strCache>
                <c:ptCount val="1"/>
                <c:pt idx="0">
                  <c:v>OP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Summary!$E$6:$G$6</c:f>
              <c:strCache>
                <c:ptCount val="3"/>
                <c:pt idx="0">
                  <c:v>FY 2021</c:v>
                </c:pt>
                <c:pt idx="1">
                  <c:v>FY 2022</c:v>
                </c:pt>
                <c:pt idx="2">
                  <c:v>FY 2023</c:v>
                </c:pt>
              </c:strCache>
            </c:strRef>
          </c:cat>
          <c:val>
            <c:numRef>
              <c:f>Summary!$E$13:$G$13</c:f>
              <c:numCache>
                <c:formatCode>"$"#,##0.0,_);[Red]"$"\ \(#,##0.0,\)</c:formatCode>
                <c:ptCount val="3"/>
                <c:pt idx="0">
                  <c:v>1569137.3748333333</c:v>
                </c:pt>
                <c:pt idx="1">
                  <c:v>5979646.8951320825</c:v>
                </c:pt>
                <c:pt idx="2">
                  <c:v>13117042.104833331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5-47E2-B105-84F620A3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849167"/>
        <c:axId val="426041551"/>
      </c:lineChart>
      <c:catAx>
        <c:axId val="122184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41551"/>
        <c:crosses val="autoZero"/>
        <c:auto val="1"/>
        <c:lblAlgn val="ctr"/>
        <c:lblOffset val="100"/>
        <c:noMultiLvlLbl val="0"/>
      </c:catAx>
      <c:valAx>
        <c:axId val="4260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,_);[Red]&quot;$&quot;\ \(#,##0.0,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49167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2212966819380814E-2"/>
                <c:y val="0.32997903563941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Revenue</a:t>
            </a:r>
            <a:r>
              <a:rPr lang="en-US" baseline="0"/>
              <a:t> vs. Total Fixed Cost </a:t>
            </a:r>
            <a:endParaRPr lang="en-US"/>
          </a:p>
        </c:rich>
      </c:tx>
      <c:layout>
        <c:manualLayout>
          <c:xMode val="edge"/>
          <c:yMode val="edge"/>
          <c:x val="0.27910964482209411"/>
          <c:y val="6.3697226525929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Summary!$D$8</c:f>
              <c:strCache>
                <c:ptCount val="1"/>
                <c:pt idx="0">
                  <c:v>Net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Summary!$E$6:$G$6</c:f>
              <c:strCache>
                <c:ptCount val="3"/>
                <c:pt idx="0">
                  <c:v>FY 2021</c:v>
                </c:pt>
                <c:pt idx="1">
                  <c:v>FY 2022</c:v>
                </c:pt>
                <c:pt idx="2">
                  <c:v>FY 2023</c:v>
                </c:pt>
              </c:strCache>
            </c:strRef>
          </c:cat>
          <c:val>
            <c:numRef>
              <c:f>Summary!$E$8:$G$8</c:f>
              <c:numCache>
                <c:formatCode>"$"#,##0.0,_);[Red]"$"\ \(#,##0.0,\)</c:formatCode>
                <c:ptCount val="3"/>
                <c:pt idx="0">
                  <c:v>5006530.57</c:v>
                </c:pt>
                <c:pt idx="1">
                  <c:v>11800645.854525</c:v>
                </c:pt>
                <c:pt idx="2">
                  <c:v>21611543.969999999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1-4C0E-A760-BBC31A38ECB4}"/>
            </c:ext>
          </c:extLst>
        </c:ser>
        <c:ser>
          <c:idx val="1"/>
          <c:order val="1"/>
          <c:tx>
            <c:strRef>
              <c:f>Summary!$D$12</c:f>
              <c:strCache>
                <c:ptCount val="1"/>
                <c:pt idx="0">
                  <c:v>Total Fixed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Summary!$E$6:$G$6</c:f>
              <c:strCache>
                <c:ptCount val="3"/>
                <c:pt idx="0">
                  <c:v>FY 2021</c:v>
                </c:pt>
                <c:pt idx="1">
                  <c:v>FY 2022</c:v>
                </c:pt>
                <c:pt idx="2">
                  <c:v>FY 2023</c:v>
                </c:pt>
              </c:strCache>
            </c:strRef>
          </c:cat>
          <c:val>
            <c:numRef>
              <c:f>Summary!$E$12:$G$12</c:f>
              <c:numCache>
                <c:formatCode>"$"#,##0.0,_);[Red]"$"\ \(#,##0.0,\)</c:formatCode>
                <c:ptCount val="3"/>
                <c:pt idx="0">
                  <c:v>2755066.6666666665</c:v>
                </c:pt>
                <c:pt idx="1">
                  <c:v>4582966.666666667</c:v>
                </c:pt>
                <c:pt idx="2">
                  <c:v>6549924.666666667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1-4C0E-A760-BBC31A38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1849167"/>
        <c:axId val="426041551"/>
      </c:barChart>
      <c:catAx>
        <c:axId val="122184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41551"/>
        <c:crosses val="autoZero"/>
        <c:auto val="1"/>
        <c:lblAlgn val="ctr"/>
        <c:lblOffset val="100"/>
        <c:noMultiLvlLbl val="0"/>
      </c:catAx>
      <c:valAx>
        <c:axId val="4260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,_);[Red]&quot;$&quot;\ \(#,##0.0,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49167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2212966819380814E-2"/>
                <c:y val="0.32997903563941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Summary!$D$20</c:f>
              <c:strCache>
                <c:ptCount val="1"/>
                <c:pt idx="0">
                  <c:v>Commission per Signee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Summary!$E$19:$G$19</c:f>
              <c:strCache>
                <c:ptCount val="3"/>
                <c:pt idx="0">
                  <c:v>FY 2021</c:v>
                </c:pt>
                <c:pt idx="1">
                  <c:v>FY 2022</c:v>
                </c:pt>
                <c:pt idx="2">
                  <c:v>FY 2023</c:v>
                </c:pt>
              </c:strCache>
            </c:strRef>
          </c:cat>
          <c:val>
            <c:numRef>
              <c:f>Summary!$E$20:$G$20</c:f>
              <c:numCache>
                <c:formatCode>"$"#,##0.0,_);[Red]"$"\ \(#,##0.0,\)</c:formatCode>
                <c:ptCount val="3"/>
                <c:pt idx="0">
                  <c:v>432000</c:v>
                </c:pt>
                <c:pt idx="1">
                  <c:v>648000</c:v>
                </c:pt>
                <c:pt idx="2">
                  <c:v>864000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D-4184-8A6D-48756C00F307}"/>
            </c:ext>
          </c:extLst>
        </c:ser>
        <c:ser>
          <c:idx val="1"/>
          <c:order val="1"/>
          <c:tx>
            <c:strRef>
              <c:f>Summary!$D$21</c:f>
              <c:strCache>
                <c:ptCount val="1"/>
                <c:pt idx="0">
                  <c:v>Account Executive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Summary!$E$19:$G$19</c:f>
              <c:strCache>
                <c:ptCount val="3"/>
                <c:pt idx="0">
                  <c:v>FY 2021</c:v>
                </c:pt>
                <c:pt idx="1">
                  <c:v>FY 2022</c:v>
                </c:pt>
                <c:pt idx="2">
                  <c:v>FY 2023</c:v>
                </c:pt>
              </c:strCache>
            </c:strRef>
          </c:cat>
          <c:val>
            <c:numRef>
              <c:f>Summary!$E$21:$G$21</c:f>
              <c:numCache>
                <c:formatCode>"$"#,##0.0,_);[Red]"$"\ \(#,##0.0,\)</c:formatCode>
                <c:ptCount val="3"/>
                <c:pt idx="0">
                  <c:v>1050000</c:v>
                </c:pt>
                <c:pt idx="1">
                  <c:v>1638000</c:v>
                </c:pt>
                <c:pt idx="2">
                  <c:v>2271360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D-4184-8A6D-48756C00F307}"/>
            </c:ext>
          </c:extLst>
        </c:ser>
        <c:ser>
          <c:idx val="2"/>
          <c:order val="2"/>
          <c:tx>
            <c:strRef>
              <c:f>Summary!$D$22</c:f>
              <c:strCache>
                <c:ptCount val="1"/>
                <c:pt idx="0">
                  <c:v>Clinical Specialist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Summary!$E$19:$G$19</c:f>
              <c:strCache>
                <c:ptCount val="3"/>
                <c:pt idx="0">
                  <c:v>FY 2021</c:v>
                </c:pt>
                <c:pt idx="1">
                  <c:v>FY 2022</c:v>
                </c:pt>
                <c:pt idx="2">
                  <c:v>FY 2023</c:v>
                </c:pt>
              </c:strCache>
            </c:strRef>
          </c:cat>
          <c:val>
            <c:numRef>
              <c:f>Summary!$E$22:$G$22</c:f>
              <c:numCache>
                <c:formatCode>"$"#,##0.0,_);[Red]"$"\ \(#,##0.0,\)</c:formatCode>
                <c:ptCount val="3"/>
                <c:pt idx="0">
                  <c:v>750000</c:v>
                </c:pt>
                <c:pt idx="1">
                  <c:v>1170000</c:v>
                </c:pt>
                <c:pt idx="2">
                  <c:v>1622400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D-4184-8A6D-48756C00F307}"/>
            </c:ext>
          </c:extLst>
        </c:ser>
        <c:ser>
          <c:idx val="3"/>
          <c:order val="3"/>
          <c:tx>
            <c:strRef>
              <c:f>Summary!$D$23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Summary!$E$19:$G$19</c:f>
              <c:strCache>
                <c:ptCount val="3"/>
                <c:pt idx="0">
                  <c:v>FY 2021</c:v>
                </c:pt>
                <c:pt idx="1">
                  <c:v>FY 2022</c:v>
                </c:pt>
                <c:pt idx="2">
                  <c:v>FY 2023</c:v>
                </c:pt>
              </c:strCache>
            </c:strRef>
          </c:cat>
          <c:val>
            <c:numRef>
              <c:f>Summary!$E$23:$G$23</c:f>
              <c:numCache>
                <c:formatCode>"$"#,##0.0,_);[Red]"$"\ \(#,##0.0,\)</c:formatCode>
                <c:ptCount val="3"/>
                <c:pt idx="0">
                  <c:v>750000</c:v>
                </c:pt>
                <c:pt idx="1">
                  <c:v>1560000</c:v>
                </c:pt>
                <c:pt idx="2">
                  <c:v>2433600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D-4184-8A6D-48756C00F307}"/>
            </c:ext>
          </c:extLst>
        </c:ser>
        <c:ser>
          <c:idx val="4"/>
          <c:order val="4"/>
          <c:tx>
            <c:strRef>
              <c:f>Summary!$D$24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Summary!$E$19:$G$19</c:f>
              <c:strCache>
                <c:ptCount val="3"/>
                <c:pt idx="0">
                  <c:v>FY 2021</c:v>
                </c:pt>
                <c:pt idx="1">
                  <c:v>FY 2022</c:v>
                </c:pt>
                <c:pt idx="2">
                  <c:v>FY 2023</c:v>
                </c:pt>
              </c:strCache>
            </c:strRef>
          </c:cat>
          <c:val>
            <c:numRef>
              <c:f>Summary!$E$24:$G$24</c:f>
              <c:numCache>
                <c:formatCode>"$"#,##0.0,_);[Red]"$"\ \(#,##0.0,\)</c:formatCode>
                <c:ptCount val="3"/>
                <c:pt idx="0">
                  <c:v>175000</c:v>
                </c:pt>
                <c:pt idx="1">
                  <c:v>182000</c:v>
                </c:pt>
                <c:pt idx="2">
                  <c:v>189280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D-4184-8A6D-48756C00F307}"/>
            </c:ext>
          </c:extLst>
        </c:ser>
        <c:ser>
          <c:idx val="5"/>
          <c:order val="5"/>
          <c:tx>
            <c:strRef>
              <c:f>Summary!$D$25</c:f>
              <c:strCache>
                <c:ptCount val="1"/>
                <c:pt idx="0">
                  <c:v>C&amp;E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Summary!$E$19:$G$19</c:f>
              <c:strCache>
                <c:ptCount val="3"/>
                <c:pt idx="0">
                  <c:v>FY 2021</c:v>
                </c:pt>
                <c:pt idx="1">
                  <c:v>FY 2022</c:v>
                </c:pt>
                <c:pt idx="2">
                  <c:v>FY 2023</c:v>
                </c:pt>
              </c:strCache>
            </c:strRef>
          </c:cat>
          <c:val>
            <c:numRef>
              <c:f>Summary!$E$25:$G$25</c:f>
              <c:numCache>
                <c:formatCode>"$"#,##0.0,_);[Red]"$"\ \(#,##0.0,\)</c:formatCode>
                <c:ptCount val="3"/>
                <c:pt idx="0">
                  <c:v>66.666666666666671</c:v>
                </c:pt>
                <c:pt idx="1">
                  <c:v>1166.6666666666667</c:v>
                </c:pt>
                <c:pt idx="2">
                  <c:v>1166.6666666666667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DD-4184-8A6D-48756C00F307}"/>
            </c:ext>
          </c:extLst>
        </c:ser>
        <c:ser>
          <c:idx val="6"/>
          <c:order val="6"/>
          <c:tx>
            <c:strRef>
              <c:f>Summary!$D$26</c:f>
              <c:strCache>
                <c:ptCount val="1"/>
                <c:pt idx="0">
                  <c:v>Other Opex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Summary!$E$19:$G$19</c:f>
              <c:strCache>
                <c:ptCount val="3"/>
                <c:pt idx="0">
                  <c:v>FY 2021</c:v>
                </c:pt>
                <c:pt idx="1">
                  <c:v>FY 2022</c:v>
                </c:pt>
                <c:pt idx="2">
                  <c:v>FY 2023</c:v>
                </c:pt>
              </c:strCache>
            </c:strRef>
          </c:cat>
          <c:val>
            <c:numRef>
              <c:f>Summary!$E$26:$G$26</c:f>
              <c:numCache>
                <c:formatCode>"$"#,##0.0,_);[Red]"$"\ \(#,##0.0,\)</c:formatCode>
                <c:ptCount val="3"/>
                <c:pt idx="0">
                  <c:v>30000</c:v>
                </c:pt>
                <c:pt idx="1">
                  <c:v>31800</c:v>
                </c:pt>
                <c:pt idx="2">
                  <c:v>32118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DD-4184-8A6D-48756C00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9546559"/>
        <c:axId val="949037823"/>
      </c:barChart>
      <c:catAx>
        <c:axId val="9495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37823"/>
        <c:crosses val="autoZero"/>
        <c:auto val="1"/>
        <c:lblAlgn val="ctr"/>
        <c:lblOffset val="100"/>
        <c:noMultiLvlLbl val="0"/>
      </c:catAx>
      <c:valAx>
        <c:axId val="9490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4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4</xdr:row>
      <xdr:rowOff>11431</xdr:rowOff>
    </xdr:from>
    <xdr:to>
      <xdr:col>14</xdr:col>
      <xdr:colOff>182880</xdr:colOff>
      <xdr:row>15</xdr:row>
      <xdr:rowOff>131446</xdr:rowOff>
    </xdr:to>
    <xdr:graphicFrame macro="">
      <xdr:nvGraphicFramePr>
        <xdr:cNvPr id="2" name="Chart 1" descr="Revenue vs. EBITDA&#10;">
          <a:extLst>
            <a:ext uri="{FF2B5EF4-FFF2-40B4-BE49-F238E27FC236}">
              <a16:creationId xmlns:a16="http://schemas.microsoft.com/office/drawing/2014/main" id="{33B5F0D8-E6D3-AC92-7AC6-46FC1F89D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15</xdr:row>
      <xdr:rowOff>167640</xdr:rowOff>
    </xdr:from>
    <xdr:to>
      <xdr:col>14</xdr:col>
      <xdr:colOff>188595</xdr:colOff>
      <xdr:row>26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5F05A-42BC-4E14-B5D0-D4AF4275768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265747</xdr:colOff>
      <xdr:row>26</xdr:row>
      <xdr:rowOff>160020</xdr:rowOff>
    </xdr:from>
    <xdr:to>
      <xdr:col>14</xdr:col>
      <xdr:colOff>190501</xdr:colOff>
      <xdr:row>41</xdr:row>
      <xdr:rowOff>20955</xdr:rowOff>
    </xdr:to>
    <xdr:graphicFrame macro="">
      <xdr:nvGraphicFramePr>
        <xdr:cNvPr id="4" name="Chart 3" descr="Operating Expense&#10;">
          <a:extLst>
            <a:ext uri="{FF2B5EF4-FFF2-40B4-BE49-F238E27FC236}">
              <a16:creationId xmlns:a16="http://schemas.microsoft.com/office/drawing/2014/main" id="{ECBAB432-ACBD-93B1-8CD1-FA776953C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992E-79C5-4D23-B131-38C8669EC587}">
  <dimension ref="D1:G28"/>
  <sheetViews>
    <sheetView showGridLines="0" tabSelected="1" workbookViewId="0">
      <selection activeCell="F2" sqref="F2"/>
    </sheetView>
  </sheetViews>
  <sheetFormatPr defaultRowHeight="15.6" x14ac:dyDescent="0.3"/>
  <cols>
    <col min="4" max="4" width="20.5" bestFit="1" customWidth="1"/>
    <col min="5" max="5" width="13.3984375" bestFit="1" customWidth="1"/>
    <col min="6" max="7" width="16.796875" bestFit="1" customWidth="1"/>
  </cols>
  <sheetData>
    <row r="1" spans="4:7" x14ac:dyDescent="0.3">
      <c r="F1" s="41" t="s">
        <v>56</v>
      </c>
    </row>
    <row r="2" spans="4:7" x14ac:dyDescent="0.3">
      <c r="F2" s="31">
        <v>-0.06</v>
      </c>
    </row>
    <row r="5" spans="4:7" ht="27.6" x14ac:dyDescent="0.3">
      <c r="D5" s="89" t="s">
        <v>66</v>
      </c>
      <c r="E5" s="85" t="str">
        <f>PnL!K2</f>
        <v>Actuals</v>
      </c>
      <c r="F5" s="85" t="str">
        <f>PnL!AG2</f>
        <v>Forecast Y1</v>
      </c>
      <c r="G5" s="85" t="str">
        <f>PnL!BU2</f>
        <v>Forecast Y2</v>
      </c>
    </row>
    <row r="6" spans="4:7" x14ac:dyDescent="0.3">
      <c r="D6" s="86" t="s">
        <v>72</v>
      </c>
      <c r="E6" s="87" t="s">
        <v>64</v>
      </c>
      <c r="F6" s="87" t="s">
        <v>44</v>
      </c>
      <c r="G6" s="87" t="s">
        <v>65</v>
      </c>
    </row>
    <row r="7" spans="4:7" hidden="1" x14ac:dyDescent="0.3">
      <c r="E7" s="22" t="str">
        <f>E6&amp;E5</f>
        <v>FY 2021Actuals</v>
      </c>
      <c r="F7" s="22" t="str">
        <f t="shared" ref="F7:G7" si="0">F6&amp;F5</f>
        <v>FY 2022Forecast Y1</v>
      </c>
      <c r="G7" s="22" t="str">
        <f t="shared" si="0"/>
        <v>FY 2023Forecast Y2</v>
      </c>
    </row>
    <row r="8" spans="4:7" x14ac:dyDescent="0.3">
      <c r="D8" s="81" t="str">
        <f>PnL!G8</f>
        <v>Net Revenue</v>
      </c>
      <c r="E8" s="132">
        <f>SUMIFS(INDEX(PnL!$G$1:$BU$33,0,MATCH(Summary!E$7,PnL!$G$1:$BU$1,0)),PnL!$G$1:$G$33,Summary!$D8)</f>
        <v>5006530.57</v>
      </c>
      <c r="F8" s="133">
        <f>SUMIFS(INDEX(PnL!$G$1:$BU$33,0,MATCH(Summary!F$7,PnL!$G$1:$BU$1,0)),PnL!$G$1:$G$33,Summary!$D8)</f>
        <v>11800645.854525</v>
      </c>
      <c r="G8" s="134">
        <f>SUMIFS(INDEX(PnL!$G$1:$BU$33,0,MATCH(Summary!G$7,PnL!$G$1:$BU$1,0)),PnL!$G$1:$G$33,Summary!$D8)</f>
        <v>21611543.969999999</v>
      </c>
    </row>
    <row r="9" spans="4:7" x14ac:dyDescent="0.3">
      <c r="D9" s="82" t="str">
        <f>PnL!G13</f>
        <v>Total COGs</v>
      </c>
      <c r="E9" s="135">
        <f>SUMIFS(INDEX(PnL!$G$1:$BU$33,0,MATCH(Summary!E$7,PnL!$G$1:$BU$1,0)),PnL!$G$1:$G$33,Summary!$D9)</f>
        <v>250326.52850000001</v>
      </c>
      <c r="F9" s="136">
        <f>SUMIFS(INDEX(PnL!$G$1:$BU$33,0,MATCH(Summary!F$7,PnL!$G$1:$BU$1,0)),PnL!$G$1:$G$33,Summary!$D9)</f>
        <v>590032.2927262499</v>
      </c>
      <c r="G9" s="137">
        <f>SUMIFS(INDEX(PnL!$G$1:$BU$33,0,MATCH(Summary!G$7,PnL!$G$1:$BU$1,0)),PnL!$G$1:$G$33,Summary!$D9)</f>
        <v>1080577.1984999999</v>
      </c>
    </row>
    <row r="10" spans="4:7" x14ac:dyDescent="0.3">
      <c r="D10" s="82" t="str">
        <f>PnL!G15</f>
        <v>Gross Profit</v>
      </c>
      <c r="E10" s="135">
        <f>SUMIFS(INDEX(PnL!$G$1:$BU$33,0,MATCH(Summary!E$7,PnL!$G$1:$BU$1,0)),PnL!$G$1:$G$33,Summary!$D10)</f>
        <v>4756204.0415000003</v>
      </c>
      <c r="F10" s="136">
        <f>SUMIFS(INDEX(PnL!$G$1:$BU$33,0,MATCH(Summary!F$7,PnL!$G$1:$BU$1,0)),PnL!$G$1:$G$33,Summary!$D10)</f>
        <v>11210613.561798751</v>
      </c>
      <c r="G10" s="137">
        <f>SUMIFS(INDEX(PnL!$G$1:$BU$33,0,MATCH(Summary!G$7,PnL!$G$1:$BU$1,0)),PnL!$G$1:$G$33,Summary!$D10)</f>
        <v>20530966.771499999</v>
      </c>
    </row>
    <row r="11" spans="4:7" x14ac:dyDescent="0.3">
      <c r="D11" s="82" t="str">
        <f>PnL!G20</f>
        <v>Total Variable Cost</v>
      </c>
      <c r="E11" s="135">
        <f>SUMIFS(INDEX(PnL!$G$1:$BU$33,0,MATCH(Summary!E$7,PnL!$G$1:$BU$1,0)),PnL!$G$1:$G$33,Summary!$D11)</f>
        <v>432000</v>
      </c>
      <c r="F11" s="136">
        <f>SUMIFS(INDEX(PnL!$G$1:$BU$33,0,MATCH(Summary!F$7,PnL!$G$1:$BU$1,0)),PnL!$G$1:$G$33,Summary!$D11)</f>
        <v>648000</v>
      </c>
      <c r="G11" s="137">
        <f>SUMIFS(INDEX(PnL!$G$1:$BU$33,0,MATCH(Summary!G$7,PnL!$G$1:$BU$1,0)),PnL!$G$1:$G$33,Summary!$D11)</f>
        <v>864000</v>
      </c>
    </row>
    <row r="12" spans="4:7" x14ac:dyDescent="0.3">
      <c r="D12" s="83" t="str">
        <f>PnL!G29</f>
        <v>Total Fixed Cost</v>
      </c>
      <c r="E12" s="135">
        <f>SUMIFS(INDEX(PnL!$G$1:$BU$33,0,MATCH(Summary!E$7,PnL!$G$1:$BU$1,0)),PnL!$G$1:$G$33,Summary!$D12)</f>
        <v>2755066.6666666665</v>
      </c>
      <c r="F12" s="136">
        <f>SUMIFS(INDEX(PnL!$G$1:$BU$33,0,MATCH(Summary!F$7,PnL!$G$1:$BU$1,0)),PnL!$G$1:$G$33,Summary!$D12)</f>
        <v>4582966.666666667</v>
      </c>
      <c r="G12" s="137">
        <f>SUMIFS(INDEX(PnL!$G$1:$BU$33,0,MATCH(Summary!G$7,PnL!$G$1:$BU$1,0)),PnL!$G$1:$G$33,Summary!$D12)</f>
        <v>6549924.666666667</v>
      </c>
    </row>
    <row r="13" spans="4:7" ht="22.2" customHeight="1" x14ac:dyDescent="0.3">
      <c r="D13" s="84" t="str">
        <f>PnL!G33</f>
        <v>OP Income</v>
      </c>
      <c r="E13" s="138">
        <f>SUMIFS(INDEX(PnL!$G$1:$BU$33,0,MATCH(Summary!E$7,PnL!$G$1:$BU$1,0)),PnL!$G$1:$G$33,Summary!$D13)</f>
        <v>1569137.3748333333</v>
      </c>
      <c r="F13" s="139">
        <f>SUMIFS(INDEX(PnL!$G$1:$BU$33,0,MATCH(Summary!F$7,PnL!$G$1:$BU$1,0)),PnL!$G$1:$G$33,Summary!$D13)</f>
        <v>5979646.8951320825</v>
      </c>
      <c r="G13" s="140">
        <f>SUMIFS(INDEX(PnL!$G$1:$BU$33,0,MATCH(Summary!G$7,PnL!$G$1:$BU$1,0)),PnL!$G$1:$G$33,Summary!$D13)</f>
        <v>13117042.104833331</v>
      </c>
    </row>
    <row r="14" spans="4:7" x14ac:dyDescent="0.3">
      <c r="D14" s="21"/>
      <c r="E14" s="141"/>
      <c r="F14" s="141"/>
      <c r="G14" s="141"/>
    </row>
    <row r="15" spans="4:7" x14ac:dyDescent="0.3">
      <c r="D15" s="81" t="s">
        <v>29</v>
      </c>
      <c r="E15" s="91">
        <f>SUMIFS(INDEX(PnL!$G$1:$BU$33,0,MATCH(Summary!E$7,PnL!$G$1:$BU$1,0)),PnL!$G$1:$G$33,Summary!$D15)</f>
        <v>534.48724626211208</v>
      </c>
      <c r="F15" s="94">
        <f>SUMIFS(INDEX(PnL!$G$1:$BU$33,0,MATCH(Summary!F$7,PnL!$G$1:$BU$1,0)),PnL!$G$1:$G$33,Summary!$D15)</f>
        <v>558.29344968501914</v>
      </c>
      <c r="G15" s="92">
        <f>SUMIFS(INDEX(PnL!$G$1:$BU$33,0,MATCH(Summary!G$7,PnL!$G$1:$BU$1,0)),PnL!$G$1:$G$33,Summary!$D15)</f>
        <v>559.14579105327152</v>
      </c>
    </row>
    <row r="16" spans="4:7" x14ac:dyDescent="0.3">
      <c r="D16" s="83" t="s">
        <v>0</v>
      </c>
      <c r="E16" s="90">
        <f>SUMIFS(INDEX(PnL!$G$1:$BU$33,0,MATCH(Summary!E$7,PnL!$G$1:$BU$1,0)),PnL!$G$1:$G$33,Summary!$D16)</f>
        <v>46751</v>
      </c>
      <c r="F16" s="88">
        <f>SUMIFS(INDEX(PnL!$G$1:$BU$33,0,MATCH(Summary!F$7,PnL!$G$1:$BU$1,0)),PnL!$G$1:$G$33,Summary!$D16)</f>
        <v>96077.25</v>
      </c>
      <c r="G16" s="93">
        <f>SUMIFS(INDEX(PnL!$G$1:$BU$33,0,MATCH(Summary!G$7,PnL!$G$1:$BU$1,0)),PnL!$G$1:$G$33,Summary!$D16)</f>
        <v>154604</v>
      </c>
    </row>
    <row r="17" spans="4:7" x14ac:dyDescent="0.3">
      <c r="D17" s="84" t="s">
        <v>1</v>
      </c>
      <c r="E17" s="138">
        <f>SUMIFS(INDEX(PnL!$G$1:$BU$33,0,MATCH(Summary!E$7,PnL!$G$1:$BU$1,0)),PnL!$G$1:$G$33,Summary!$D17)</f>
        <v>24987813.25</v>
      </c>
      <c r="F17" s="139">
        <f>SUMIFS(INDEX(PnL!$G$1:$BU$33,0,MATCH(Summary!F$7,PnL!$G$1:$BU$1,0)),PnL!$G$1:$G$33,Summary!$D17)</f>
        <v>53639299.338750005</v>
      </c>
      <c r="G17" s="140">
        <f>SUMIFS(INDEX(PnL!$G$1:$BU$33,0,MATCH(Summary!G$7,PnL!$G$1:$BU$1,0)),PnL!$G$1:$G$33,Summary!$D17)</f>
        <v>86446175.879999995</v>
      </c>
    </row>
    <row r="19" spans="4:7" x14ac:dyDescent="0.3">
      <c r="D19" s="150" t="s">
        <v>75</v>
      </c>
      <c r="E19" s="85" t="s">
        <v>64</v>
      </c>
      <c r="F19" s="85" t="s">
        <v>44</v>
      </c>
      <c r="G19" s="85" t="s">
        <v>65</v>
      </c>
    </row>
    <row r="20" spans="4:7" x14ac:dyDescent="0.3">
      <c r="D20" s="145" t="s">
        <v>8</v>
      </c>
      <c r="E20" s="132">
        <f>SUMIFS(INDEX(PnL!$G$1:$BU$33,0,MATCH(Summary!E$7,PnL!$G$1:$BU$1,0)),PnL!$G$1:$G$33,Summary!$D20)</f>
        <v>432000</v>
      </c>
      <c r="F20" s="133">
        <f>SUMIFS(INDEX(PnL!$G$1:$BU$33,0,MATCH(Summary!F$7,PnL!$G$1:$BU$1,0)),PnL!$G$1:$G$33,Summary!$D20)</f>
        <v>648000</v>
      </c>
      <c r="G20" s="134">
        <f>SUMIFS(INDEX(PnL!$G$1:$BU$33,0,MATCH(Summary!G$7,PnL!$G$1:$BU$1,0)),PnL!$G$1:$G$33,Summary!$D20)</f>
        <v>864000</v>
      </c>
    </row>
    <row r="21" spans="4:7" x14ac:dyDescent="0.3">
      <c r="D21" s="7" t="s">
        <v>10</v>
      </c>
      <c r="E21" s="135">
        <f>SUMIFS(INDEX(PnL!$G$1:$BU$33,0,MATCH(Summary!E$7,PnL!$G$1:$BU$1,0)),PnL!$G$1:$G$33,Summary!$D21)</f>
        <v>1050000</v>
      </c>
      <c r="F21" s="136">
        <f>SUMIFS(INDEX(PnL!$G$1:$BU$33,0,MATCH(Summary!F$7,PnL!$G$1:$BU$1,0)),PnL!$G$1:$G$33,Summary!$D21)</f>
        <v>1638000</v>
      </c>
      <c r="G21" s="137">
        <f>SUMIFS(INDEX(PnL!$G$1:$BU$33,0,MATCH(Summary!G$7,PnL!$G$1:$BU$1,0)),PnL!$G$1:$G$33,Summary!$D21)</f>
        <v>2271360</v>
      </c>
    </row>
    <row r="22" spans="4:7" x14ac:dyDescent="0.3">
      <c r="D22" s="7" t="s">
        <v>11</v>
      </c>
      <c r="E22" s="135">
        <f>SUMIFS(INDEX(PnL!$G$1:$BU$33,0,MATCH(Summary!E$7,PnL!$G$1:$BU$1,0)),PnL!$G$1:$G$33,Summary!$D22)</f>
        <v>750000</v>
      </c>
      <c r="F22" s="136">
        <f>SUMIFS(INDEX(PnL!$G$1:$BU$33,0,MATCH(Summary!F$7,PnL!$G$1:$BU$1,0)),PnL!$G$1:$G$33,Summary!$D22)</f>
        <v>1170000</v>
      </c>
      <c r="G22" s="137">
        <f>SUMIFS(INDEX(PnL!$G$1:$BU$33,0,MATCH(Summary!G$7,PnL!$G$1:$BU$1,0)),PnL!$G$1:$G$33,Summary!$D22)</f>
        <v>1622400</v>
      </c>
    </row>
    <row r="23" spans="4:7" x14ac:dyDescent="0.3">
      <c r="D23" s="7" t="s">
        <v>12</v>
      </c>
      <c r="E23" s="135">
        <f>SUMIFS(INDEX(PnL!$G$1:$BU$33,0,MATCH(Summary!E$7,PnL!$G$1:$BU$1,0)),PnL!$G$1:$G$33,Summary!$D23)</f>
        <v>750000</v>
      </c>
      <c r="F23" s="136">
        <f>SUMIFS(INDEX(PnL!$G$1:$BU$33,0,MATCH(Summary!F$7,PnL!$G$1:$BU$1,0)),PnL!$G$1:$G$33,Summary!$D23)</f>
        <v>1560000</v>
      </c>
      <c r="G23" s="137">
        <f>SUMIFS(INDEX(PnL!$G$1:$BU$33,0,MATCH(Summary!G$7,PnL!$G$1:$BU$1,0)),PnL!$G$1:$G$33,Summary!$D23)</f>
        <v>2433600</v>
      </c>
    </row>
    <row r="24" spans="4:7" x14ac:dyDescent="0.3">
      <c r="D24" s="7" t="s">
        <v>13</v>
      </c>
      <c r="E24" s="135">
        <f>SUMIFS(INDEX(PnL!$G$1:$BU$33,0,MATCH(Summary!E$7,PnL!$G$1:$BU$1,0)),PnL!$G$1:$G$33,Summary!$D24)</f>
        <v>175000</v>
      </c>
      <c r="F24" s="136">
        <f>SUMIFS(INDEX(PnL!$G$1:$BU$33,0,MATCH(Summary!F$7,PnL!$G$1:$BU$1,0)),PnL!$G$1:$G$33,Summary!$D24)</f>
        <v>182000</v>
      </c>
      <c r="G24" s="137">
        <f>SUMIFS(INDEX(PnL!$G$1:$BU$33,0,MATCH(Summary!G$7,PnL!$G$1:$BU$1,0)),PnL!$G$1:$G$33,Summary!$D24)</f>
        <v>189280</v>
      </c>
    </row>
    <row r="25" spans="4:7" x14ac:dyDescent="0.3">
      <c r="D25" s="44" t="s">
        <v>14</v>
      </c>
      <c r="E25" s="135">
        <f>SUMIFS(INDEX(PnL!$G$1:$BU$33,0,MATCH(Summary!E$7,PnL!$G$1:$BU$1,0)),PnL!$G$1:$G$33,Summary!$D25)</f>
        <v>66.666666666666671</v>
      </c>
      <c r="F25" s="136">
        <f>SUMIFS(INDEX(PnL!$G$1:$BU$33,0,MATCH(Summary!F$7,PnL!$G$1:$BU$1,0)),PnL!$G$1:$G$33,Summary!$D25)</f>
        <v>1166.6666666666667</v>
      </c>
      <c r="G25" s="137">
        <f>SUMIFS(INDEX(PnL!$G$1:$BU$33,0,MATCH(Summary!G$7,PnL!$G$1:$BU$1,0)),PnL!$G$1:$G$33,Summary!$D25)</f>
        <v>1166.6666666666667</v>
      </c>
    </row>
    <row r="26" spans="4:7" x14ac:dyDescent="0.3">
      <c r="D26" s="44" t="s">
        <v>15</v>
      </c>
      <c r="E26" s="135">
        <f>SUMIFS(INDEX(PnL!$G$1:$BU$33,0,MATCH(Summary!E$7,PnL!$G$1:$BU$1,0)),PnL!$G$1:$G$33,Summary!$D26)</f>
        <v>30000</v>
      </c>
      <c r="F26" s="136">
        <f>SUMIFS(INDEX(PnL!$G$1:$BU$33,0,MATCH(Summary!F$7,PnL!$G$1:$BU$1,0)),PnL!$G$1:$G$33,Summary!$D26)</f>
        <v>31800</v>
      </c>
      <c r="G26" s="137">
        <f>SUMIFS(INDEX(PnL!$G$1:$BU$33,0,MATCH(Summary!G$7,PnL!$G$1:$BU$1,0)),PnL!$G$1:$G$33,Summary!$D26)</f>
        <v>32118</v>
      </c>
    </row>
    <row r="27" spans="4:7" ht="16.2" thickBot="1" x14ac:dyDescent="0.35">
      <c r="D27" s="146" t="s">
        <v>74</v>
      </c>
      <c r="E27" s="147">
        <f>SUMIFS(INDEX(PnL!$G$1:$BU$33,0,MATCH(Summary!E$7,PnL!$G$1:$BU$1,0)),PnL!$G$1:$G$33,Summary!$D27)</f>
        <v>3187066.6666666665</v>
      </c>
      <c r="F27" s="148">
        <f>SUMIFS(INDEX(PnL!$G$1:$BU$33,0,MATCH(Summary!F$7,PnL!$G$1:$BU$1,0)),PnL!$G$1:$G$33,Summary!$D27)</f>
        <v>5230966.666666667</v>
      </c>
      <c r="G27" s="149">
        <f>SUMIFS(INDEX(PnL!$G$1:$BU$33,0,MATCH(Summary!G$7,PnL!$G$1:$BU$1,0)),PnL!$G$1:$G$33,Summary!$D27)</f>
        <v>7413924.666666667</v>
      </c>
    </row>
    <row r="28" spans="4:7" ht="16.2" thickTop="1" x14ac:dyDescent="0.3"/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A373FB7-8E22-4CB3-A3FD-B0A2344CD5F9}">
          <x14:formula1>
            <xm:f>Mapping!$D$10:$D$30</xm:f>
          </x14:formula1>
          <xm:sqref>E6</xm:sqref>
        </x14:dataValidation>
        <x14:dataValidation type="list" allowBlank="1" showInputMessage="1" showErrorMessage="1" xr:uid="{42FA3820-B234-4832-807A-D5DFEC9F750C}">
          <x14:formula1>
            <xm:f>Mapping!$E$10:$E$30</xm:f>
          </x14:formula1>
          <xm:sqref>F6</xm:sqref>
        </x14:dataValidation>
        <x14:dataValidation type="list" allowBlank="1" showInputMessage="1" showErrorMessage="1" xr:uid="{7A9B5E37-0BB3-4541-B6E7-B65477130B9B}">
          <x14:formula1>
            <xm:f>Mapping!$F$10:$F$30</xm:f>
          </x14:formula1>
          <xm:sqref>G6</xm:sqref>
        </x14:dataValidation>
        <x14:dataValidation type="list" allowBlank="1" showInputMessage="1" showErrorMessage="1" xr:uid="{FFD56ED8-F186-4DD9-97A5-52A97BDDF658}">
          <x14:formula1>
            <xm:f>Assumptions!$A$40:$A$46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008"/>
  <sheetViews>
    <sheetView showGridLines="0" zoomScale="80" zoomScaleNormal="80" workbookViewId="0">
      <pane xSplit="7" ySplit="3" topLeftCell="H5" activePane="bottomRight" state="frozen"/>
      <selection activeCell="E1" sqref="E1"/>
      <selection pane="topRight" activeCell="G1" sqref="G1"/>
      <selection pane="bottomLeft" activeCell="E2" sqref="E2"/>
      <selection pane="bottomRight" activeCell="F44" sqref="F43:F44"/>
    </sheetView>
  </sheetViews>
  <sheetFormatPr defaultColWidth="11.19921875" defaultRowHeight="15" customHeight="1" outlineLevelRow="1" outlineLevelCol="1" x14ac:dyDescent="0.3"/>
  <cols>
    <col min="1" max="1" width="8.59765625" hidden="1" customWidth="1"/>
    <col min="2" max="2" width="13" hidden="1" customWidth="1"/>
    <col min="3" max="3" width="13.09765625" hidden="1" customWidth="1"/>
    <col min="4" max="4" width="5.8984375" hidden="1" customWidth="1"/>
    <col min="5" max="5" width="5.8984375" customWidth="1"/>
    <col min="6" max="6" width="9.59765625" bestFit="1" customWidth="1"/>
    <col min="7" max="7" width="36.59765625" customWidth="1"/>
    <col min="8" max="10" width="13.3984375" style="14" hidden="1" customWidth="1" outlineLevel="1"/>
    <col min="11" max="11" width="13.3984375" style="14" customWidth="1" collapsed="1"/>
    <col min="12" max="12" width="0.3984375" style="14" customWidth="1"/>
    <col min="13" max="14" width="13.3984375" style="14" hidden="1" customWidth="1" outlineLevel="1"/>
    <col min="15" max="15" width="0.5" style="14" hidden="1" customWidth="1" outlineLevel="1"/>
    <col min="16" max="16" width="13.3984375" style="14" customWidth="1" collapsed="1"/>
    <col min="17" max="17" width="0.3984375" style="14" customWidth="1"/>
    <col min="18" max="20" width="13.3984375" style="14" hidden="1" customWidth="1" outlineLevel="1"/>
    <col min="21" max="21" width="13.3984375" style="14" customWidth="1" collapsed="1"/>
    <col min="22" max="22" width="0.3984375" style="14" customWidth="1"/>
    <col min="23" max="25" width="13.3984375" style="14" hidden="1" customWidth="1" outlineLevel="1"/>
    <col min="26" max="26" width="13.3984375" style="14" customWidth="1" collapsed="1"/>
    <col min="27" max="27" width="0.5" style="14" customWidth="1"/>
    <col min="28" max="28" width="13.3984375" bestFit="1" customWidth="1"/>
    <col min="29" max="29" width="5.19921875" customWidth="1"/>
    <col min="30" max="30" width="13.3984375" style="14" hidden="1" customWidth="1" outlineLevel="1"/>
    <col min="31" max="32" width="12.5" style="28" hidden="1" customWidth="1" outlineLevel="1"/>
    <col min="33" max="33" width="13.3984375" bestFit="1" customWidth="1" collapsed="1"/>
    <col min="34" max="34" width="0.69921875" customWidth="1"/>
    <col min="35" max="37" width="12.5" style="28" hidden="1" customWidth="1" outlineLevel="1"/>
    <col min="38" max="38" width="11.3984375" style="28" bestFit="1" customWidth="1" collapsed="1"/>
    <col min="39" max="39" width="0.69921875" style="28" customWidth="1"/>
    <col min="40" max="42" width="12.5" style="28" hidden="1" customWidth="1" outlineLevel="1"/>
    <col min="43" max="43" width="11.19921875" style="28" collapsed="1"/>
    <col min="44" max="44" width="0.69921875" style="28" customWidth="1"/>
    <col min="45" max="47" width="12.5" style="28" hidden="1" customWidth="1" outlineLevel="1"/>
    <col min="48" max="48" width="0.59765625" style="28" hidden="1" customWidth="1" outlineLevel="1"/>
    <col min="49" max="49" width="11.3984375" bestFit="1" customWidth="1" collapsed="1"/>
    <col min="50" max="50" width="0.796875" customWidth="1"/>
    <col min="51" max="51" width="11.3984375" bestFit="1" customWidth="1" collapsed="1"/>
    <col min="52" max="52" width="4.8984375" style="56" customWidth="1"/>
    <col min="53" max="53" width="13.3984375" style="14" hidden="1" customWidth="1" outlineLevel="1"/>
    <col min="54" max="55" width="11.19921875" style="28" hidden="1" customWidth="1" outlineLevel="1"/>
    <col min="56" max="56" width="11.3984375" bestFit="1" customWidth="1" collapsed="1"/>
    <col min="57" max="57" width="0.796875" customWidth="1"/>
    <col min="58" max="60" width="11.19921875" style="28" hidden="1" customWidth="1" outlineLevel="1"/>
    <col min="61" max="61" width="11.3984375" bestFit="1" customWidth="1" collapsed="1"/>
    <col min="62" max="62" width="0.796875" customWidth="1"/>
    <col min="63" max="65" width="11.19921875" style="28" hidden="1" customWidth="1" outlineLevel="1"/>
    <col min="66" max="66" width="11.3984375" bestFit="1" customWidth="1" collapsed="1"/>
    <col min="67" max="67" width="0.796875" customWidth="1"/>
    <col min="68" max="69" width="11.19921875" style="28" hidden="1" customWidth="1" outlineLevel="1"/>
    <col min="70" max="70" width="11.19921875" hidden="1" customWidth="1" outlineLevel="1"/>
    <col min="71" max="71" width="11.3984375" bestFit="1" customWidth="1" collapsed="1"/>
    <col min="72" max="72" width="0.796875" customWidth="1"/>
    <col min="73" max="73" width="12.5" bestFit="1" customWidth="1"/>
  </cols>
  <sheetData>
    <row r="1" spans="1:73" ht="0.6" customHeight="1" x14ac:dyDescent="0.3">
      <c r="H1" s="78" t="str">
        <f>H3&amp;H2</f>
        <v>44197Actuals</v>
      </c>
      <c r="I1" s="78" t="str">
        <f t="shared" ref="I1:AB1" si="0">I3&amp;I2</f>
        <v>44228Actuals</v>
      </c>
      <c r="J1" s="78" t="str">
        <f t="shared" si="0"/>
        <v>44256Actuals</v>
      </c>
      <c r="K1" s="78" t="str">
        <f t="shared" si="0"/>
        <v>Q12021Actuals</v>
      </c>
      <c r="L1" s="78" t="str">
        <f t="shared" si="0"/>
        <v>Actuals</v>
      </c>
      <c r="M1" s="78" t="str">
        <f t="shared" si="0"/>
        <v>44287Actuals</v>
      </c>
      <c r="N1" s="78" t="str">
        <f t="shared" si="0"/>
        <v>44317Actuals</v>
      </c>
      <c r="O1" s="78" t="str">
        <f t="shared" si="0"/>
        <v>44348Actuals</v>
      </c>
      <c r="P1" s="78" t="str">
        <f t="shared" si="0"/>
        <v>Q22021Actuals</v>
      </c>
      <c r="Q1" s="78" t="str">
        <f t="shared" si="0"/>
        <v>Actuals</v>
      </c>
      <c r="R1" s="78" t="str">
        <f t="shared" si="0"/>
        <v>44378Actuals</v>
      </c>
      <c r="S1" s="78" t="str">
        <f t="shared" si="0"/>
        <v>44409Actuals</v>
      </c>
      <c r="T1" s="78" t="str">
        <f t="shared" si="0"/>
        <v>44440Actuals</v>
      </c>
      <c r="U1" s="78" t="str">
        <f t="shared" si="0"/>
        <v>Q32021Actuals</v>
      </c>
      <c r="V1" s="78" t="str">
        <f t="shared" si="0"/>
        <v>Actuals</v>
      </c>
      <c r="W1" s="78" t="str">
        <f t="shared" si="0"/>
        <v>44470Actuals</v>
      </c>
      <c r="X1" s="78" t="str">
        <f t="shared" si="0"/>
        <v>44501Actuals</v>
      </c>
      <c r="Y1" s="78" t="str">
        <f t="shared" si="0"/>
        <v>44531Actuals</v>
      </c>
      <c r="Z1" s="78" t="str">
        <f t="shared" si="0"/>
        <v>Q42021Actuals</v>
      </c>
      <c r="AA1" s="78" t="str">
        <f t="shared" si="0"/>
        <v/>
      </c>
      <c r="AB1" s="78" t="str">
        <f t="shared" si="0"/>
        <v>FY 2021Actuals</v>
      </c>
      <c r="AD1" s="78" t="str">
        <f>AD3&amp;AD2</f>
        <v>44562Forecast Y1</v>
      </c>
      <c r="AE1" s="78" t="str">
        <f t="shared" ref="AE1" si="1">AE3&amp;AE2</f>
        <v>44593Forecast Y1</v>
      </c>
      <c r="AF1" s="78" t="str">
        <f t="shared" ref="AF1" si="2">AF3&amp;AF2</f>
        <v>44621Forecast Y1</v>
      </c>
      <c r="AG1" s="78" t="str">
        <f t="shared" ref="AG1" si="3">AG3&amp;AG2</f>
        <v>Q12022Forecast Y1</v>
      </c>
      <c r="AH1" s="78" t="str">
        <f t="shared" ref="AH1" si="4">AH3&amp;AH2</f>
        <v/>
      </c>
      <c r="AI1" s="78" t="str">
        <f t="shared" ref="AI1" si="5">AI3&amp;AI2</f>
        <v>44652Forecast Y1</v>
      </c>
      <c r="AJ1" s="78" t="str">
        <f t="shared" ref="AJ1" si="6">AJ3&amp;AJ2</f>
        <v>44682Forecast Y1</v>
      </c>
      <c r="AK1" s="78" t="str">
        <f t="shared" ref="AK1" si="7">AK3&amp;AK2</f>
        <v>44713Forecast Y1</v>
      </c>
      <c r="AL1" s="78" t="str">
        <f t="shared" ref="AL1" si="8">AL3&amp;AL2</f>
        <v>Q22022Forecast Y1</v>
      </c>
      <c r="AM1" s="78" t="str">
        <f t="shared" ref="AM1" si="9">AM3&amp;AM2</f>
        <v/>
      </c>
      <c r="AN1" s="78" t="str">
        <f t="shared" ref="AN1" si="10">AN3&amp;AN2</f>
        <v>44743Forecast Y1</v>
      </c>
      <c r="AO1" s="78" t="str">
        <f t="shared" ref="AO1" si="11">AO3&amp;AO2</f>
        <v>44774Forecast Y1</v>
      </c>
      <c r="AP1" s="78" t="str">
        <f t="shared" ref="AP1" si="12">AP3&amp;AP2</f>
        <v>44805Forecast Y1</v>
      </c>
      <c r="AQ1" s="78" t="str">
        <f t="shared" ref="AQ1" si="13">AQ3&amp;AQ2</f>
        <v>Q32023Forecast Y1</v>
      </c>
      <c r="AR1" s="78" t="str">
        <f t="shared" ref="AR1" si="14">AR3&amp;AR2</f>
        <v/>
      </c>
      <c r="AS1" s="78" t="str">
        <f t="shared" ref="AS1" si="15">AS3&amp;AS2</f>
        <v>44835Forecast Y1</v>
      </c>
      <c r="AT1" s="78" t="str">
        <f t="shared" ref="AT1" si="16">AT3&amp;AT2</f>
        <v>44866Forecast Y1</v>
      </c>
      <c r="AU1" s="78" t="str">
        <f t="shared" ref="AU1" si="17">AU3&amp;AU2</f>
        <v>44896Forecast Y1</v>
      </c>
      <c r="AV1" s="78" t="str">
        <f t="shared" ref="AV1" si="18">AV3&amp;AV2</f>
        <v/>
      </c>
      <c r="AW1" s="78" t="str">
        <f t="shared" ref="AW1" si="19">AW3&amp;AW2</f>
        <v>Q42023Forecast Y1</v>
      </c>
      <c r="AX1" s="78" t="str">
        <f t="shared" ref="AX1" si="20">AX3&amp;AX2</f>
        <v/>
      </c>
      <c r="AY1" s="78" t="str">
        <f>AY3&amp;AY2</f>
        <v>FY 2022Forecast Y1</v>
      </c>
      <c r="BA1" s="78" t="str">
        <f t="shared" ref="BA1:BU1" si="21">BA3&amp;BA2</f>
        <v>44927Forecast Y2</v>
      </c>
      <c r="BB1" s="78" t="str">
        <f t="shared" si="21"/>
        <v>44958Forecast Y2</v>
      </c>
      <c r="BC1" s="78" t="str">
        <f t="shared" si="21"/>
        <v>44986Forecast Y2</v>
      </c>
      <c r="BD1" s="78" t="str">
        <f t="shared" si="21"/>
        <v>Q12023Forecast Y2</v>
      </c>
      <c r="BE1" s="78" t="str">
        <f t="shared" si="21"/>
        <v/>
      </c>
      <c r="BF1" s="78" t="str">
        <f t="shared" si="21"/>
        <v>45017Forecast Y2</v>
      </c>
      <c r="BG1" s="78" t="str">
        <f t="shared" si="21"/>
        <v>45047Forecast Y2</v>
      </c>
      <c r="BH1" s="78" t="str">
        <f t="shared" si="21"/>
        <v>45078Forecast Y2</v>
      </c>
      <c r="BI1" s="78" t="str">
        <f t="shared" si="21"/>
        <v>Q22023Forecast Y2</v>
      </c>
      <c r="BJ1" s="78" t="str">
        <f t="shared" si="21"/>
        <v/>
      </c>
      <c r="BK1" s="78" t="str">
        <f t="shared" si="21"/>
        <v>45108Forecast Y2</v>
      </c>
      <c r="BL1" s="78" t="str">
        <f t="shared" si="21"/>
        <v>45139Forecast Y2</v>
      </c>
      <c r="BM1" s="78" t="str">
        <f t="shared" si="21"/>
        <v>45170Forecast Y2</v>
      </c>
      <c r="BN1" s="78" t="str">
        <f t="shared" si="21"/>
        <v>Q32023Forecast Y2</v>
      </c>
      <c r="BO1" s="78" t="str">
        <f t="shared" si="21"/>
        <v/>
      </c>
      <c r="BP1" s="78" t="str">
        <f t="shared" si="21"/>
        <v>45200Forecast Y2</v>
      </c>
      <c r="BQ1" s="78" t="str">
        <f t="shared" si="21"/>
        <v>45231Forecast Y2</v>
      </c>
      <c r="BR1" s="78" t="str">
        <f t="shared" si="21"/>
        <v>45261Forecast Y2</v>
      </c>
      <c r="BS1" s="78" t="str">
        <f t="shared" si="21"/>
        <v>Q42023Forecast Y2</v>
      </c>
      <c r="BT1" s="78" t="str">
        <f t="shared" si="21"/>
        <v/>
      </c>
      <c r="BU1" s="78" t="str">
        <f t="shared" si="21"/>
        <v>FY 2023Forecast Y2</v>
      </c>
    </row>
    <row r="2" spans="1:73" ht="15" customHeight="1" x14ac:dyDescent="0.3">
      <c r="H2" s="72" t="s">
        <v>36</v>
      </c>
      <c r="I2" s="72" t="s">
        <v>36</v>
      </c>
      <c r="J2" s="72" t="s">
        <v>36</v>
      </c>
      <c r="K2" s="72" t="s">
        <v>36</v>
      </c>
      <c r="L2" s="72" t="s">
        <v>36</v>
      </c>
      <c r="M2" s="72" t="s">
        <v>36</v>
      </c>
      <c r="N2" s="72" t="s">
        <v>36</v>
      </c>
      <c r="O2" s="131" t="s">
        <v>36</v>
      </c>
      <c r="P2" s="72" t="s">
        <v>36</v>
      </c>
      <c r="Q2" s="131" t="s">
        <v>36</v>
      </c>
      <c r="R2" s="72" t="s">
        <v>36</v>
      </c>
      <c r="S2" s="72" t="s">
        <v>36</v>
      </c>
      <c r="T2" s="72" t="s">
        <v>36</v>
      </c>
      <c r="U2" s="72" t="s">
        <v>36</v>
      </c>
      <c r="V2" s="131" t="s">
        <v>36</v>
      </c>
      <c r="W2" s="72" t="s">
        <v>36</v>
      </c>
      <c r="X2" s="72" t="s">
        <v>36</v>
      </c>
      <c r="Y2" s="72" t="s">
        <v>36</v>
      </c>
      <c r="Z2" s="72" t="s">
        <v>36</v>
      </c>
      <c r="AA2" s="131"/>
      <c r="AB2" s="72" t="s">
        <v>36</v>
      </c>
      <c r="AD2" s="74" t="s">
        <v>49</v>
      </c>
      <c r="AE2" s="73" t="s">
        <v>49</v>
      </c>
      <c r="AF2" s="73" t="s">
        <v>49</v>
      </c>
      <c r="AG2" s="73" t="s">
        <v>49</v>
      </c>
      <c r="AH2" s="75"/>
      <c r="AI2" s="73" t="s">
        <v>49</v>
      </c>
      <c r="AJ2" s="73" t="s">
        <v>49</v>
      </c>
      <c r="AK2" s="73" t="s">
        <v>49</v>
      </c>
      <c r="AL2" s="73" t="s">
        <v>49</v>
      </c>
      <c r="AM2" s="75"/>
      <c r="AN2" s="73" t="s">
        <v>49</v>
      </c>
      <c r="AO2" s="73" t="s">
        <v>49</v>
      </c>
      <c r="AP2" s="73" t="s">
        <v>49</v>
      </c>
      <c r="AQ2" s="73" t="s">
        <v>49</v>
      </c>
      <c r="AR2" s="75"/>
      <c r="AS2" s="73" t="s">
        <v>49</v>
      </c>
      <c r="AT2" s="73" t="s">
        <v>49</v>
      </c>
      <c r="AU2" s="73" t="s">
        <v>49</v>
      </c>
      <c r="AV2" s="73"/>
      <c r="AW2" s="73" t="s">
        <v>49</v>
      </c>
      <c r="AX2" s="73"/>
      <c r="AY2" s="73" t="s">
        <v>49</v>
      </c>
      <c r="AZ2" s="60"/>
      <c r="BA2" s="74" t="s">
        <v>50</v>
      </c>
      <c r="BB2" s="72" t="s">
        <v>50</v>
      </c>
      <c r="BC2" s="72" t="s">
        <v>50</v>
      </c>
      <c r="BD2" s="73" t="s">
        <v>50</v>
      </c>
      <c r="BE2" s="75"/>
      <c r="BF2" s="72" t="s">
        <v>50</v>
      </c>
      <c r="BG2" s="72" t="s">
        <v>50</v>
      </c>
      <c r="BH2" s="72" t="s">
        <v>50</v>
      </c>
      <c r="BI2" s="73" t="s">
        <v>50</v>
      </c>
      <c r="BJ2" s="75"/>
      <c r="BK2" s="72" t="s">
        <v>50</v>
      </c>
      <c r="BL2" s="72" t="s">
        <v>50</v>
      </c>
      <c r="BM2" s="72" t="s">
        <v>50</v>
      </c>
      <c r="BN2" s="73" t="s">
        <v>50</v>
      </c>
      <c r="BO2" s="75"/>
      <c r="BP2" s="72" t="s">
        <v>50</v>
      </c>
      <c r="BQ2" s="72" t="s">
        <v>50</v>
      </c>
      <c r="BR2" s="72" t="s">
        <v>50</v>
      </c>
      <c r="BS2" s="73" t="s">
        <v>50</v>
      </c>
      <c r="BT2" s="75"/>
      <c r="BU2" s="72" t="s">
        <v>50</v>
      </c>
    </row>
    <row r="3" spans="1:73" ht="15.75" customHeight="1" x14ac:dyDescent="0.3">
      <c r="A3" s="1">
        <v>44197</v>
      </c>
      <c r="B3" s="2" t="s">
        <v>0</v>
      </c>
      <c r="C3" s="3">
        <v>3296</v>
      </c>
      <c r="F3" s="4"/>
      <c r="G3" s="34" t="s">
        <v>66</v>
      </c>
      <c r="H3" s="12">
        <v>44197</v>
      </c>
      <c r="I3" s="12">
        <f t="shared" ref="I3:J3" si="22">EDATE(H3,1)</f>
        <v>44228</v>
      </c>
      <c r="J3" s="12">
        <f t="shared" si="22"/>
        <v>44256</v>
      </c>
      <c r="K3" s="20" t="s">
        <v>25</v>
      </c>
      <c r="L3" s="12"/>
      <c r="M3" s="12">
        <f>EDATE(J3,1)</f>
        <v>44287</v>
      </c>
      <c r="N3" s="12">
        <f t="shared" ref="N3:O3" si="23">EDATE(M3,1)</f>
        <v>44317</v>
      </c>
      <c r="O3" s="12">
        <f t="shared" si="23"/>
        <v>44348</v>
      </c>
      <c r="P3" s="20" t="s">
        <v>26</v>
      </c>
      <c r="Q3" s="20"/>
      <c r="R3" s="12">
        <f>EDATE(O3,1)</f>
        <v>44378</v>
      </c>
      <c r="S3" s="12">
        <f t="shared" ref="S3:T3" si="24">EDATE(R3,1)</f>
        <v>44409</v>
      </c>
      <c r="T3" s="12">
        <f t="shared" si="24"/>
        <v>44440</v>
      </c>
      <c r="U3" s="20" t="s">
        <v>28</v>
      </c>
      <c r="V3" s="20"/>
      <c r="W3" s="12">
        <f>EDATE(T3,1)</f>
        <v>44470</v>
      </c>
      <c r="X3" s="12">
        <f t="shared" ref="X3:Y3" si="25">EDATE(W3,1)</f>
        <v>44501</v>
      </c>
      <c r="Y3" s="12">
        <f t="shared" si="25"/>
        <v>44531</v>
      </c>
      <c r="Z3" s="20" t="s">
        <v>27</v>
      </c>
      <c r="AA3" s="20"/>
      <c r="AB3" s="20" t="s">
        <v>64</v>
      </c>
      <c r="AD3" s="12">
        <v>44562</v>
      </c>
      <c r="AE3" s="29">
        <f>EDATE(AD3,1)</f>
        <v>44593</v>
      </c>
      <c r="AF3" s="29">
        <f t="shared" ref="AF3:AU3" si="26">EDATE(AE3,1)</f>
        <v>44621</v>
      </c>
      <c r="AG3" s="23" t="s">
        <v>41</v>
      </c>
      <c r="AH3" s="23"/>
      <c r="AI3" s="29">
        <f>EDATE(AF3,1)</f>
        <v>44652</v>
      </c>
      <c r="AJ3" s="29">
        <f t="shared" si="26"/>
        <v>44682</v>
      </c>
      <c r="AK3" s="29">
        <f t="shared" si="26"/>
        <v>44713</v>
      </c>
      <c r="AL3" s="20" t="s">
        <v>40</v>
      </c>
      <c r="AM3" s="20"/>
      <c r="AN3" s="29">
        <f>EDATE(AK3,1)</f>
        <v>44743</v>
      </c>
      <c r="AO3" s="29">
        <f t="shared" si="26"/>
        <v>44774</v>
      </c>
      <c r="AP3" s="29">
        <f>EDATE(AO3,1)</f>
        <v>44805</v>
      </c>
      <c r="AQ3" s="20" t="s">
        <v>42</v>
      </c>
      <c r="AR3" s="20"/>
      <c r="AS3" s="29">
        <f>EDATE(AP3,1)</f>
        <v>44835</v>
      </c>
      <c r="AT3" s="29">
        <f>EDATE(AS3,1)</f>
        <v>44866</v>
      </c>
      <c r="AU3" s="29">
        <f t="shared" si="26"/>
        <v>44896</v>
      </c>
      <c r="AV3" s="29"/>
      <c r="AW3" s="20" t="s">
        <v>43</v>
      </c>
      <c r="AX3" s="20"/>
      <c r="AY3" s="20" t="s">
        <v>44</v>
      </c>
      <c r="AZ3" s="57"/>
      <c r="BA3" s="12">
        <v>44927</v>
      </c>
      <c r="BB3" s="29">
        <f>EDATE(BA3,1)</f>
        <v>44958</v>
      </c>
      <c r="BC3" s="29">
        <f t="shared" ref="BC3:BR3" si="27">EDATE(BB3,1)</f>
        <v>44986</v>
      </c>
      <c r="BD3" s="20" t="s">
        <v>46</v>
      </c>
      <c r="BE3" s="20"/>
      <c r="BF3" s="29">
        <f>EDATE(BC3,1)</f>
        <v>45017</v>
      </c>
      <c r="BG3" s="29">
        <f t="shared" si="27"/>
        <v>45047</v>
      </c>
      <c r="BH3" s="29">
        <f t="shared" si="27"/>
        <v>45078</v>
      </c>
      <c r="BI3" s="20" t="s">
        <v>47</v>
      </c>
      <c r="BJ3" s="20"/>
      <c r="BK3" s="29">
        <f>EDATE(BH3,1)</f>
        <v>45108</v>
      </c>
      <c r="BL3" s="29">
        <f t="shared" si="27"/>
        <v>45139</v>
      </c>
      <c r="BM3" s="29">
        <f>EDATE(BL3,1)</f>
        <v>45170</v>
      </c>
      <c r="BN3" s="20" t="s">
        <v>42</v>
      </c>
      <c r="BO3" s="20"/>
      <c r="BP3" s="29">
        <f>EDATE(BM3,1)</f>
        <v>45200</v>
      </c>
      <c r="BQ3" s="29">
        <f>EDATE(BP3,1)</f>
        <v>45231</v>
      </c>
      <c r="BR3" s="24">
        <f t="shared" si="27"/>
        <v>45261</v>
      </c>
      <c r="BS3" s="20" t="s">
        <v>43</v>
      </c>
      <c r="BT3" s="20"/>
      <c r="BU3" s="20" t="s">
        <v>65</v>
      </c>
    </row>
    <row r="4" spans="1:73" ht="15.75" customHeight="1" x14ac:dyDescent="0.3">
      <c r="A4" s="1"/>
      <c r="B4" s="2"/>
      <c r="C4" s="3"/>
      <c r="F4" s="4"/>
      <c r="G4" s="62" t="s">
        <v>29</v>
      </c>
      <c r="H4" s="25">
        <f>H6/H5</f>
        <v>502.15</v>
      </c>
      <c r="I4" s="16">
        <f>I6/I5</f>
        <v>495.75</v>
      </c>
      <c r="J4" s="16">
        <f>J6/J5</f>
        <v>500.24</v>
      </c>
      <c r="K4" s="16">
        <f>K6/K5</f>
        <v>499.44269773581073</v>
      </c>
      <c r="L4" s="12"/>
      <c r="M4" s="16">
        <f>M6/M5</f>
        <v>496.97999999999996</v>
      </c>
      <c r="N4" s="16">
        <f>N6/N5</f>
        <v>506.35</v>
      </c>
      <c r="O4" s="16">
        <f>O6/O5</f>
        <v>499.74</v>
      </c>
      <c r="P4" s="16">
        <f>P6/P5</f>
        <v>500.90851243781094</v>
      </c>
      <c r="Q4" s="20"/>
      <c r="R4" s="16">
        <f>R6/R5</f>
        <v>505.17</v>
      </c>
      <c r="S4" s="16">
        <f>S6/S5</f>
        <v>493.83</v>
      </c>
      <c r="T4" s="16">
        <f>T6/T5</f>
        <v>500.78</v>
      </c>
      <c r="U4" s="16">
        <f>U6/U5</f>
        <v>499.7739150241726</v>
      </c>
      <c r="V4" s="20"/>
      <c r="W4" s="16">
        <f>W6/W5</f>
        <v>600.79</v>
      </c>
      <c r="X4" s="16">
        <f>X6/X5</f>
        <v>601.20000000000005</v>
      </c>
      <c r="Y4" s="16">
        <f>Y6/Y5</f>
        <v>598.36</v>
      </c>
      <c r="Z4" s="16">
        <f>Z6/Z5</f>
        <v>600.09339835984099</v>
      </c>
      <c r="AA4" s="20"/>
      <c r="AB4" s="16">
        <f>AB6/AB5</f>
        <v>534.48724626211208</v>
      </c>
      <c r="AD4" s="25">
        <v>502.15</v>
      </c>
      <c r="AE4" s="16">
        <v>495.75</v>
      </c>
      <c r="AF4" s="16">
        <v>500.24</v>
      </c>
      <c r="AG4" s="16">
        <f>AG6/AG5</f>
        <v>499.44988174050815</v>
      </c>
      <c r="AH4" s="12"/>
      <c r="AI4" s="16">
        <v>496.97999999999996</v>
      </c>
      <c r="AJ4" s="16">
        <v>506.35</v>
      </c>
      <c r="AK4" s="16">
        <v>499.74</v>
      </c>
      <c r="AL4" s="16">
        <f>AL6/AL5</f>
        <v>500.89564868603048</v>
      </c>
      <c r="AM4" s="20"/>
      <c r="AN4" s="16">
        <v>600.79</v>
      </c>
      <c r="AO4" s="16">
        <v>601.20000000000005</v>
      </c>
      <c r="AP4" s="16">
        <v>598.36</v>
      </c>
      <c r="AQ4" s="16">
        <f>AQ6/AQ5</f>
        <v>600.19193051778109</v>
      </c>
      <c r="AR4" s="20"/>
      <c r="AS4" s="16">
        <v>600.79</v>
      </c>
      <c r="AT4" s="16">
        <v>601.20000000000005</v>
      </c>
      <c r="AU4" s="16">
        <v>598.36</v>
      </c>
      <c r="AV4" s="16"/>
      <c r="AW4" s="16">
        <f>AW6/AW5</f>
        <v>600.09183644379618</v>
      </c>
      <c r="AX4" s="16"/>
      <c r="AY4" s="16">
        <f>AY6/AY5</f>
        <v>558.29344968501914</v>
      </c>
      <c r="BA4" s="16">
        <v>502.15</v>
      </c>
      <c r="BB4" s="12">
        <v>495.75</v>
      </c>
      <c r="BC4" s="16">
        <v>500.24</v>
      </c>
      <c r="BD4" s="16">
        <f>BD6/BD5</f>
        <v>499.45892510224945</v>
      </c>
      <c r="BE4" s="16"/>
      <c r="BF4" s="16">
        <v>496.97999999999996</v>
      </c>
      <c r="BG4" s="20">
        <v>506.35</v>
      </c>
      <c r="BH4" s="16">
        <v>499.74</v>
      </c>
      <c r="BI4" s="16">
        <f>BI6/BI5</f>
        <v>500.87953894080994</v>
      </c>
      <c r="BJ4" s="16"/>
      <c r="BK4" s="16">
        <v>600.79</v>
      </c>
      <c r="BL4" s="20">
        <v>601.20000000000005</v>
      </c>
      <c r="BM4" s="16">
        <v>598.36</v>
      </c>
      <c r="BN4" s="16">
        <f>BN6/BN5</f>
        <v>600.20065857290115</v>
      </c>
      <c r="BO4" s="16"/>
      <c r="BP4" s="16">
        <v>600.79</v>
      </c>
      <c r="BQ4" s="16">
        <v>601.20000000000005</v>
      </c>
      <c r="BR4" s="16">
        <v>598.36</v>
      </c>
      <c r="BS4" s="16">
        <f>BS6/BS5</f>
        <v>600.09004974770801</v>
      </c>
      <c r="BT4" s="16"/>
      <c r="BU4" s="16">
        <f>BU6/BU5</f>
        <v>559.14579105327152</v>
      </c>
    </row>
    <row r="5" spans="1:73" ht="15.75" customHeight="1" x14ac:dyDescent="0.3">
      <c r="A5" s="1">
        <v>44228</v>
      </c>
      <c r="B5" s="2" t="s">
        <v>0</v>
      </c>
      <c r="C5" s="3">
        <v>3151</v>
      </c>
      <c r="D5" s="5">
        <f>C5-C3</f>
        <v>-145</v>
      </c>
      <c r="E5" s="5"/>
      <c r="F5" s="6"/>
      <c r="G5" s="63" t="s">
        <v>0</v>
      </c>
      <c r="H5" s="16">
        <f>SUMIFS($C:$C,$B:$B,$G5,$A:$A,H$3)</f>
        <v>3296</v>
      </c>
      <c r="I5" s="16">
        <f>SUMIFS($C:$C,$B:$B,$G5,$A:$A,I$3)</f>
        <v>3151</v>
      </c>
      <c r="J5" s="16">
        <f>SUMIFS($C:$C,$B:$B,$G5,$A:$A,J$3)</f>
        <v>3402</v>
      </c>
      <c r="K5" s="16">
        <f>SUM(H5:J5)</f>
        <v>9849</v>
      </c>
      <c r="L5" s="16"/>
      <c r="M5" s="16">
        <f>SUMIFS($C:$C,$B:$B,$G5,$A:$A,M$3)</f>
        <v>3531</v>
      </c>
      <c r="N5" s="16">
        <f>SUMIFS($C:$C,$B:$B,$G5,$A:$A,N$3)</f>
        <v>3251</v>
      </c>
      <c r="O5" s="16">
        <f>SUMIFS($C:$C,$B:$B,$G5,$A:$A,O$3)</f>
        <v>3268</v>
      </c>
      <c r="P5" s="16">
        <f>SUM(M5:O5)</f>
        <v>10050</v>
      </c>
      <c r="Q5" s="16"/>
      <c r="R5" s="16">
        <f>SUMIFS($C:$C,$B:$B,$G5,$A:$A,R$3)</f>
        <v>3600</v>
      </c>
      <c r="S5" s="16">
        <f>SUMIFS($C:$C,$B:$B,$G5,$A:$A,S$3)</f>
        <v>3831</v>
      </c>
      <c r="T5" s="16">
        <f>SUMIFS($C:$C,$B:$B,$G5,$A:$A,T$3)</f>
        <v>3325</v>
      </c>
      <c r="U5" s="16">
        <f>SUM(R5:T5)</f>
        <v>10756</v>
      </c>
      <c r="V5" s="16"/>
      <c r="W5" s="16">
        <f>SUMIFS($C:$C,$B:$B,$G5,$A:$A,W$3)</f>
        <v>5346</v>
      </c>
      <c r="X5" s="16">
        <f>SUMIFS($C:$C,$B:$B,$G5,$A:$A,X$3)</f>
        <v>5250</v>
      </c>
      <c r="Y5" s="16">
        <f>SUMIFS($C:$C,$B:$B,$G5,$A:$A,Y$3)</f>
        <v>5500</v>
      </c>
      <c r="Z5" s="16">
        <f>SUM(W5:Y5)</f>
        <v>16096</v>
      </c>
      <c r="AA5" s="16"/>
      <c r="AB5" s="16">
        <f>SUM(Z5,U5,P5,K5)</f>
        <v>46751</v>
      </c>
      <c r="AD5" s="16">
        <f>Assumptions!P27</f>
        <v>6656.6249999999991</v>
      </c>
      <c r="AE5" s="16">
        <f>Assumptions!Q27</f>
        <v>6330.3750000000009</v>
      </c>
      <c r="AF5" s="16">
        <f>Assumptions!R27</f>
        <v>6895.1249999999991</v>
      </c>
      <c r="AG5" s="16">
        <f t="shared" ref="AG5:AG6" si="28">SUM(AD5:AF5)</f>
        <v>19882.125</v>
      </c>
      <c r="AH5" s="16"/>
      <c r="AI5" s="16">
        <f>Assumptions!S27</f>
        <v>7185.3750000000009</v>
      </c>
      <c r="AJ5" s="16">
        <f>Assumptions!T27</f>
        <v>6555.3749999999991</v>
      </c>
      <c r="AK5" s="16">
        <f>Assumptions!U27</f>
        <v>6593.625</v>
      </c>
      <c r="AL5" s="16">
        <f t="shared" ref="AL5:AL6" si="29">SUM(AI5:AK5)</f>
        <v>20334.375</v>
      </c>
      <c r="AM5" s="16"/>
      <c r="AN5" s="16">
        <f>Assumptions!V27</f>
        <v>7340.6250000000009</v>
      </c>
      <c r="AO5" s="16">
        <f>Assumptions!W27</f>
        <v>7860.375</v>
      </c>
      <c r="AP5" s="16">
        <f>Assumptions!X27</f>
        <v>6721.875</v>
      </c>
      <c r="AQ5" s="16">
        <f t="shared" ref="AQ5:AQ6" si="30">SUM(AN5:AP5)</f>
        <v>21922.875</v>
      </c>
      <c r="AR5" s="16"/>
      <c r="AS5" s="16">
        <f>Assumptions!Y27</f>
        <v>11269.125000000002</v>
      </c>
      <c r="AT5" s="16">
        <f>Assumptions!Z27</f>
        <v>11053.125</v>
      </c>
      <c r="AU5" s="16">
        <f>Assumptions!AA27</f>
        <v>11615.625</v>
      </c>
      <c r="AV5" s="16"/>
      <c r="AW5" s="16">
        <f t="shared" ref="AW5:AW6" si="31">SUM(AS5:AU5)</f>
        <v>33937.875</v>
      </c>
      <c r="AX5" s="16"/>
      <c r="AY5" s="16">
        <f t="shared" ref="AY5:AY15" si="32">SUM(AW5,AQ5,AL5,AG5)</f>
        <v>96077.25</v>
      </c>
      <c r="BA5" s="16">
        <f>Assumptions!AC27</f>
        <v>10483.999999999998</v>
      </c>
      <c r="BB5" s="16">
        <f>Assumptions!AD27</f>
        <v>9904.0000000000018</v>
      </c>
      <c r="BC5" s="16">
        <f>Assumptions!AE27</f>
        <v>10907.999999999998</v>
      </c>
      <c r="BD5" s="16">
        <f>SUM(BA5:BC5)</f>
        <v>31296</v>
      </c>
      <c r="BE5" s="16"/>
      <c r="BF5" s="16">
        <f>Assumptions!AF27</f>
        <v>11424</v>
      </c>
      <c r="BG5" s="16">
        <f>Assumptions!AG27</f>
        <v>10303.999999999998</v>
      </c>
      <c r="BH5" s="16">
        <f>Assumptions!AH27</f>
        <v>10372</v>
      </c>
      <c r="BI5" s="16">
        <f>SUM(BF5:BH5)</f>
        <v>32100</v>
      </c>
      <c r="BJ5" s="16"/>
      <c r="BK5" s="16">
        <f>Assumptions!AI27</f>
        <v>11700</v>
      </c>
      <c r="BL5" s="16">
        <f>Assumptions!AJ27</f>
        <v>12623.999999999998</v>
      </c>
      <c r="BM5" s="16">
        <f>Assumptions!AK27</f>
        <v>10600</v>
      </c>
      <c r="BN5" s="16">
        <f>SUM(BK5:BM5)</f>
        <v>34924</v>
      </c>
      <c r="BO5" s="16"/>
      <c r="BP5" s="16">
        <f>Assumptions!AL27</f>
        <v>18684</v>
      </c>
      <c r="BQ5" s="16">
        <f>Assumptions!AM27</f>
        <v>18299.999999999996</v>
      </c>
      <c r="BR5" s="16">
        <f>Assumptions!AN27</f>
        <v>19300</v>
      </c>
      <c r="BS5" s="16">
        <f>SUM(BP5:BR5)</f>
        <v>56284</v>
      </c>
      <c r="BT5" s="16"/>
      <c r="BU5" s="16">
        <f t="shared" ref="BU5:BU15" si="33">SUM(BS5,BN5,BI5,BD5)</f>
        <v>154604</v>
      </c>
    </row>
    <row r="6" spans="1:73" ht="15.75" customHeight="1" x14ac:dyDescent="0.3">
      <c r="A6" s="1">
        <v>44256</v>
      </c>
      <c r="B6" s="2" t="s">
        <v>0</v>
      </c>
      <c r="C6" s="3">
        <v>3402</v>
      </c>
      <c r="D6" s="5">
        <f>C6-C5</f>
        <v>251</v>
      </c>
      <c r="E6" s="5"/>
      <c r="F6" s="6"/>
      <c r="G6" s="50" t="s">
        <v>1</v>
      </c>
      <c r="H6" s="17">
        <f>SUMIFS($C:$C,$B:$B,$G6,$A:$A,H$3)</f>
        <v>1655086.4</v>
      </c>
      <c r="I6" s="17">
        <f>SUMIFS($C:$C,$B:$B,$G6,$A:$A,I$3)</f>
        <v>1562108.25</v>
      </c>
      <c r="J6" s="17">
        <f>SUMIFS($C:$C,$B:$B,$G6,$A:$A,J$3)</f>
        <v>1701816.48</v>
      </c>
      <c r="K6" s="17">
        <f t="shared" ref="K6:K33" si="34">SUM(H6:J6)</f>
        <v>4919011.13</v>
      </c>
      <c r="L6" s="17"/>
      <c r="M6" s="17">
        <f>SUMIFS($C:$C,$B:$B,$G6,$A:$A,M$3)</f>
        <v>1754836.38</v>
      </c>
      <c r="N6" s="17">
        <f>SUMIFS($C:$C,$B:$B,$G6,$A:$A,N$3)</f>
        <v>1646143.85</v>
      </c>
      <c r="O6" s="17">
        <f>SUMIFS($C:$C,$B:$B,$G6,$A:$A,O$3)</f>
        <v>1633150.32</v>
      </c>
      <c r="P6" s="17">
        <f>SUM(M6:O6)</f>
        <v>5034130.55</v>
      </c>
      <c r="Q6" s="17"/>
      <c r="R6" s="17">
        <f>SUMIFS($C:$C,$B:$B,$G6,$A:$A,R$3)</f>
        <v>1818612</v>
      </c>
      <c r="S6" s="17">
        <f>SUMIFS($C:$C,$B:$B,$G6,$A:$A,S$3)</f>
        <v>1891862.73</v>
      </c>
      <c r="T6" s="17">
        <f>SUMIFS($C:$C,$B:$B,$G6,$A:$A,T$3)</f>
        <v>1665093.5</v>
      </c>
      <c r="U6" s="17">
        <f t="shared" ref="U6:U33" si="35">SUM(R6:T6)</f>
        <v>5375568.2300000004</v>
      </c>
      <c r="V6" s="17"/>
      <c r="W6" s="17">
        <f>SUMIFS($C:$C,$B:$B,$G6,$A:$A,W$3)</f>
        <v>3211823.34</v>
      </c>
      <c r="X6" s="17">
        <f>SUMIFS($C:$C,$B:$B,$G6,$A:$A,X$3)</f>
        <v>3156300</v>
      </c>
      <c r="Y6" s="17">
        <f>SUMIFS($C:$C,$B:$B,$G6,$A:$A,Y$3)</f>
        <v>3290980</v>
      </c>
      <c r="Z6" s="17">
        <f t="shared" ref="Z6:Z33" si="36">SUM(W6:Y6)</f>
        <v>9659103.3399999999</v>
      </c>
      <c r="AA6" s="17"/>
      <c r="AB6" s="17">
        <f>SUM(Z6,U6,P6,K6)</f>
        <v>24987813.25</v>
      </c>
      <c r="AD6" s="17">
        <f>AD4*AD5</f>
        <v>3342624.2437499994</v>
      </c>
      <c r="AE6" s="17">
        <f>AE4*AE5</f>
        <v>3138283.4062500005</v>
      </c>
      <c r="AF6" s="17">
        <f>AF4*AF5</f>
        <v>3449217.3299999996</v>
      </c>
      <c r="AG6" s="17">
        <f t="shared" si="28"/>
        <v>9930124.9800000004</v>
      </c>
      <c r="AH6" s="17"/>
      <c r="AI6" s="17">
        <f t="shared" ref="AI6:AU6" si="37">AI4*AI5</f>
        <v>3570987.6675</v>
      </c>
      <c r="AJ6" s="17">
        <f t="shared" si="37"/>
        <v>3319314.1312499996</v>
      </c>
      <c r="AK6" s="17">
        <f t="shared" si="37"/>
        <v>3295098.1575000002</v>
      </c>
      <c r="AL6" s="17">
        <f t="shared" si="29"/>
        <v>10185399.956250001</v>
      </c>
      <c r="AM6" s="17"/>
      <c r="AN6" s="17">
        <f t="shared" si="37"/>
        <v>4410174.09375</v>
      </c>
      <c r="AO6" s="17">
        <f t="shared" si="37"/>
        <v>4725657.45</v>
      </c>
      <c r="AP6" s="17">
        <f t="shared" si="37"/>
        <v>4022101.125</v>
      </c>
      <c r="AQ6" s="17">
        <f t="shared" si="30"/>
        <v>13157932.668749999</v>
      </c>
      <c r="AR6" s="17"/>
      <c r="AS6" s="17">
        <f t="shared" si="37"/>
        <v>6770377.6087500006</v>
      </c>
      <c r="AT6" s="17">
        <f t="shared" si="37"/>
        <v>6645138.7500000009</v>
      </c>
      <c r="AU6" s="17">
        <f t="shared" si="37"/>
        <v>6950325.375</v>
      </c>
      <c r="AV6" s="17"/>
      <c r="AW6" s="17">
        <f t="shared" si="31"/>
        <v>20365841.733750001</v>
      </c>
      <c r="AX6" s="17"/>
      <c r="AY6" s="17">
        <f t="shared" si="32"/>
        <v>53639299.338750005</v>
      </c>
      <c r="BA6" s="17">
        <f>BA4*BA5</f>
        <v>5264540.5999999987</v>
      </c>
      <c r="BB6" s="17">
        <f t="shared" ref="BB6:BF6" si="38">BB4*BB5</f>
        <v>4909908.0000000009</v>
      </c>
      <c r="BC6" s="17">
        <f t="shared" si="38"/>
        <v>5456617.919999999</v>
      </c>
      <c r="BD6" s="17">
        <f>SUM(BA6:BC6)</f>
        <v>15631066.52</v>
      </c>
      <c r="BE6" s="17"/>
      <c r="BF6" s="17">
        <f t="shared" si="38"/>
        <v>5677499.5199999996</v>
      </c>
      <c r="BG6" s="17">
        <f t="shared" ref="BG6" si="39">BG4*BG5</f>
        <v>5217430.3999999994</v>
      </c>
      <c r="BH6" s="17">
        <f t="shared" ref="BH6:BK6" si="40">BH4*BH5</f>
        <v>5183303.28</v>
      </c>
      <c r="BI6" s="17">
        <f>SUM(BF6:BH6)</f>
        <v>16078233.199999999</v>
      </c>
      <c r="BJ6" s="17"/>
      <c r="BK6" s="17">
        <f t="shared" si="40"/>
        <v>7029243</v>
      </c>
      <c r="BL6" s="17">
        <f t="shared" ref="BL6" si="41">BL4*BL5</f>
        <v>7589548.7999999998</v>
      </c>
      <c r="BM6" s="17">
        <f t="shared" ref="BM6:BP6" si="42">BM4*BM5</f>
        <v>6342616</v>
      </c>
      <c r="BN6" s="17">
        <f>SUM(BK6:BM6)</f>
        <v>20961407.800000001</v>
      </c>
      <c r="BO6" s="17"/>
      <c r="BP6" s="17">
        <f t="shared" si="42"/>
        <v>11225160.359999999</v>
      </c>
      <c r="BQ6" s="17">
        <f t="shared" ref="BQ6" si="43">BQ4*BQ5</f>
        <v>11001959.999999998</v>
      </c>
      <c r="BR6" s="17">
        <f t="shared" ref="BR6" si="44">BR4*BR5</f>
        <v>11548348</v>
      </c>
      <c r="BS6" s="17">
        <f>SUM(BP6:BR6)</f>
        <v>33775468.359999999</v>
      </c>
      <c r="BT6" s="17"/>
      <c r="BU6" s="17">
        <f t="shared" si="33"/>
        <v>86446175.879999995</v>
      </c>
    </row>
    <row r="7" spans="1:73" ht="15.75" customHeight="1" x14ac:dyDescent="0.3">
      <c r="A7" s="1">
        <v>44287</v>
      </c>
      <c r="B7" s="2" t="s">
        <v>0</v>
      </c>
      <c r="C7" s="3">
        <v>3531</v>
      </c>
      <c r="D7" s="5">
        <f t="shared" ref="D7:D16" si="45">C7-C6</f>
        <v>129</v>
      </c>
      <c r="E7" s="58">
        <v>0.25</v>
      </c>
      <c r="F7" s="26">
        <v>0.22</v>
      </c>
      <c r="G7" s="49" t="s">
        <v>2</v>
      </c>
      <c r="H7" s="13">
        <f t="shared" ref="H7:K7" si="46">H8/H6</f>
        <v>0.20000000000000004</v>
      </c>
      <c r="I7" s="13">
        <f t="shared" si="46"/>
        <v>0.20200000224056175</v>
      </c>
      <c r="J7" s="13">
        <f t="shared" si="46"/>
        <v>0.2000000023504297</v>
      </c>
      <c r="K7" s="13">
        <f t="shared" si="46"/>
        <v>0.20063513253323337</v>
      </c>
      <c r="L7" s="13"/>
      <c r="M7" s="13">
        <f t="shared" ref="M7:P7" si="47">M8/M6</f>
        <v>0.20500000119669279</v>
      </c>
      <c r="N7" s="13">
        <f t="shared" si="47"/>
        <v>0.19700000094159451</v>
      </c>
      <c r="O7" s="13">
        <f t="shared" si="47"/>
        <v>0.20299999696292501</v>
      </c>
      <c r="P7" s="13">
        <f t="shared" si="47"/>
        <v>0.2017351953655632</v>
      </c>
      <c r="Q7" s="13"/>
      <c r="R7" s="13">
        <f t="shared" ref="R7:U7" si="48">R8/R6</f>
        <v>0.19500000000000001</v>
      </c>
      <c r="S7" s="13">
        <f t="shared" si="48"/>
        <v>0.20000000211431829</v>
      </c>
      <c r="T7" s="13">
        <f t="shared" si="48"/>
        <v>0.2</v>
      </c>
      <c r="U7" s="13">
        <f t="shared" si="48"/>
        <v>0.19830844747737486</v>
      </c>
      <c r="V7" s="13"/>
      <c r="W7" s="13">
        <f t="shared" ref="W7:Z7" si="49">W8/W6</f>
        <v>0.19799999958901851</v>
      </c>
      <c r="X7" s="13">
        <f t="shared" si="49"/>
        <v>0.20399999999999999</v>
      </c>
      <c r="Y7" s="13">
        <f t="shared" si="49"/>
        <v>0.2</v>
      </c>
      <c r="Z7" s="13">
        <f t="shared" si="49"/>
        <v>0.20064204220430257</v>
      </c>
      <c r="AA7" s="13"/>
      <c r="AB7" s="13">
        <f>AB8/AB6</f>
        <v>0.20035889174896088</v>
      </c>
      <c r="AD7" s="13">
        <f>$F$7</f>
        <v>0.22</v>
      </c>
      <c r="AE7" s="13">
        <f>$F$7</f>
        <v>0.22</v>
      </c>
      <c r="AF7" s="13">
        <f>$F$7</f>
        <v>0.22</v>
      </c>
      <c r="AG7" s="13">
        <f>$F$7</f>
        <v>0.22</v>
      </c>
      <c r="AH7" s="13"/>
      <c r="AI7" s="13">
        <f>$F$7</f>
        <v>0.22</v>
      </c>
      <c r="AJ7" s="13">
        <f>$F$7</f>
        <v>0.22</v>
      </c>
      <c r="AK7" s="13">
        <f>$F$7</f>
        <v>0.22</v>
      </c>
      <c r="AL7" s="13">
        <f>$F$7</f>
        <v>0.22</v>
      </c>
      <c r="AM7" s="13"/>
      <c r="AN7" s="13">
        <f>$F$7</f>
        <v>0.22</v>
      </c>
      <c r="AO7" s="13">
        <f>$F$7</f>
        <v>0.22</v>
      </c>
      <c r="AP7" s="13">
        <f>$F$7</f>
        <v>0.22</v>
      </c>
      <c r="AQ7" s="13">
        <f>$F$7</f>
        <v>0.22</v>
      </c>
      <c r="AR7" s="13"/>
      <c r="AS7" s="13">
        <f>$F$7</f>
        <v>0.22</v>
      </c>
      <c r="AT7" s="13">
        <f>$F$7</f>
        <v>0.22</v>
      </c>
      <c r="AU7" s="13">
        <f>$F$7</f>
        <v>0.22</v>
      </c>
      <c r="AV7" s="13"/>
      <c r="AW7" s="13">
        <f>$F$7</f>
        <v>0.22</v>
      </c>
      <c r="AX7" s="13"/>
      <c r="AY7" s="13">
        <f>$F$7</f>
        <v>0.22</v>
      </c>
      <c r="BA7" s="13">
        <f>E7</f>
        <v>0.25</v>
      </c>
      <c r="BB7" s="13">
        <f t="shared" ref="BB7:BD7" si="50">BA7</f>
        <v>0.25</v>
      </c>
      <c r="BC7" s="13">
        <f t="shared" si="50"/>
        <v>0.25</v>
      </c>
      <c r="BD7" s="13">
        <f t="shared" si="50"/>
        <v>0.25</v>
      </c>
      <c r="BE7" s="13"/>
      <c r="BF7" s="13">
        <f>BC7</f>
        <v>0.25</v>
      </c>
      <c r="BG7" s="13">
        <f t="shared" ref="BG7:BS7" si="51">BF7</f>
        <v>0.25</v>
      </c>
      <c r="BH7" s="13">
        <f t="shared" si="51"/>
        <v>0.25</v>
      </c>
      <c r="BI7" s="13">
        <f t="shared" si="51"/>
        <v>0.25</v>
      </c>
      <c r="BJ7" s="13"/>
      <c r="BK7" s="13">
        <f>BH7</f>
        <v>0.25</v>
      </c>
      <c r="BL7" s="13">
        <f t="shared" si="51"/>
        <v>0.25</v>
      </c>
      <c r="BM7" s="13">
        <f t="shared" si="51"/>
        <v>0.25</v>
      </c>
      <c r="BN7" s="13">
        <f t="shared" si="51"/>
        <v>0.25</v>
      </c>
      <c r="BO7" s="13"/>
      <c r="BP7" s="13">
        <f>BM7</f>
        <v>0.25</v>
      </c>
      <c r="BQ7" s="13">
        <f t="shared" si="51"/>
        <v>0.25</v>
      </c>
      <c r="BR7" s="13">
        <f t="shared" si="51"/>
        <v>0.25</v>
      </c>
      <c r="BS7" s="13">
        <f t="shared" si="51"/>
        <v>0.25</v>
      </c>
      <c r="BT7" s="13"/>
      <c r="BU7" s="13">
        <f>$E$7</f>
        <v>0.25</v>
      </c>
    </row>
    <row r="8" spans="1:73" ht="15.75" customHeight="1" x14ac:dyDescent="0.3">
      <c r="A8" s="1">
        <v>44317</v>
      </c>
      <c r="B8" s="2" t="s">
        <v>0</v>
      </c>
      <c r="C8" s="3">
        <v>3251</v>
      </c>
      <c r="D8" s="5">
        <f t="shared" si="45"/>
        <v>-280</v>
      </c>
      <c r="E8" s="5"/>
      <c r="F8" s="2"/>
      <c r="G8" s="47" t="s">
        <v>3</v>
      </c>
      <c r="H8" s="48">
        <f>SUMIFS($C:$C,$B:$B,$G8,$A:$A,H$3)</f>
        <v>331017.28000000003</v>
      </c>
      <c r="I8" s="48">
        <f>SUMIFS($C:$C,$B:$B,$G8,$A:$A,I$3)</f>
        <v>315545.87</v>
      </c>
      <c r="J8" s="48">
        <f>SUMIFS($C:$C,$B:$B,$G8,$A:$A,J$3)</f>
        <v>340363.3</v>
      </c>
      <c r="K8" s="48">
        <f t="shared" si="34"/>
        <v>986926.45</v>
      </c>
      <c r="L8" s="48"/>
      <c r="M8" s="48">
        <f>SUMIFS($C:$C,$B:$B,$G8,$A:$A,M$3)</f>
        <v>359741.46</v>
      </c>
      <c r="N8" s="48">
        <f>SUMIFS($C:$C,$B:$B,$G8,$A:$A,N$3)</f>
        <v>324290.34000000003</v>
      </c>
      <c r="O8" s="48">
        <f>SUMIFS($C:$C,$B:$B,$G8,$A:$A,O$3)</f>
        <v>331529.51</v>
      </c>
      <c r="P8" s="48">
        <f>SUM(M8:O8)</f>
        <v>1015561.31</v>
      </c>
      <c r="Q8" s="48"/>
      <c r="R8" s="48">
        <f>SUMIFS($C:$C,$B:$B,$G8,$A:$A,R$3)</f>
        <v>354629.34</v>
      </c>
      <c r="S8" s="48">
        <f>SUMIFS($C:$C,$B:$B,$G8,$A:$A,S$3)</f>
        <v>378372.55</v>
      </c>
      <c r="T8" s="48">
        <f>SUMIFS($C:$C,$B:$B,$G8,$A:$A,T$3)</f>
        <v>333018.7</v>
      </c>
      <c r="U8" s="48">
        <f t="shared" si="35"/>
        <v>1066020.5900000001</v>
      </c>
      <c r="V8" s="48"/>
      <c r="W8" s="48">
        <f>SUMIFS($C:$C,$B:$B,$G8,$A:$A,W$3)</f>
        <v>635941.02</v>
      </c>
      <c r="X8" s="48">
        <f>SUMIFS($C:$C,$B:$B,$G8,$A:$A,X$3)</f>
        <v>643885.19999999995</v>
      </c>
      <c r="Y8" s="48">
        <f>SUMIFS($C:$C,$B:$B,$G8,$A:$A,Y$3)</f>
        <v>658196</v>
      </c>
      <c r="Z8" s="48">
        <f t="shared" si="36"/>
        <v>1938022.22</v>
      </c>
      <c r="AA8" s="48"/>
      <c r="AB8" s="48">
        <f>SUM(Z8,U8,P8,K8)</f>
        <v>5006530.57</v>
      </c>
      <c r="AD8" s="48">
        <f>F7*AD6</f>
        <v>735377.33362499985</v>
      </c>
      <c r="AE8" s="48">
        <f>AE7*AE6</f>
        <v>690422.34937500011</v>
      </c>
      <c r="AF8" s="48">
        <f>AF7*AF6</f>
        <v>758827.81259999995</v>
      </c>
      <c r="AG8" s="48">
        <f>SUM(AD8:AF8)</f>
        <v>2184627.4956</v>
      </c>
      <c r="AH8" s="48"/>
      <c r="AI8" s="48">
        <f t="shared" ref="AI8:AU8" si="52">AI7*AI6</f>
        <v>785617.28685000003</v>
      </c>
      <c r="AJ8" s="48">
        <f t="shared" si="52"/>
        <v>730249.10887499992</v>
      </c>
      <c r="AK8" s="48">
        <f t="shared" si="52"/>
        <v>724921.5946500001</v>
      </c>
      <c r="AL8" s="48">
        <f>SUM(AI8:AK8)</f>
        <v>2240787.9903750001</v>
      </c>
      <c r="AM8" s="48"/>
      <c r="AN8" s="48">
        <f t="shared" si="52"/>
        <v>970238.30062500003</v>
      </c>
      <c r="AO8" s="48">
        <f t="shared" si="52"/>
        <v>1039644.6390000001</v>
      </c>
      <c r="AP8" s="48">
        <f t="shared" si="52"/>
        <v>884862.24750000006</v>
      </c>
      <c r="AQ8" s="48">
        <f>SUM(AN8:AP8)</f>
        <v>2894745.1871250002</v>
      </c>
      <c r="AR8" s="48"/>
      <c r="AS8" s="48">
        <f t="shared" si="52"/>
        <v>1489483.0739250001</v>
      </c>
      <c r="AT8" s="48">
        <f t="shared" si="52"/>
        <v>1461930.5250000001</v>
      </c>
      <c r="AU8" s="48">
        <f t="shared" si="52"/>
        <v>1529071.5825</v>
      </c>
      <c r="AV8" s="48"/>
      <c r="AW8" s="48">
        <f>SUM(AS8:AU8)</f>
        <v>4480485.1814249996</v>
      </c>
      <c r="AX8" s="48"/>
      <c r="AY8" s="48">
        <f t="shared" si="32"/>
        <v>11800645.854525</v>
      </c>
      <c r="AZ8" s="53"/>
      <c r="BA8" s="48">
        <f>E7*BA6</f>
        <v>1316135.1499999997</v>
      </c>
      <c r="BB8" s="48">
        <f t="shared" ref="BB8:BC8" si="53">BA7*BB6</f>
        <v>1227477.0000000002</v>
      </c>
      <c r="BC8" s="48">
        <f t="shared" si="53"/>
        <v>1364154.4799999997</v>
      </c>
      <c r="BD8" s="48">
        <f>SUM(BA8:BC8)</f>
        <v>3907766.63</v>
      </c>
      <c r="BE8" s="48"/>
      <c r="BF8" s="48">
        <f>BC7*BF6</f>
        <v>1419374.88</v>
      </c>
      <c r="BG8" s="48">
        <f t="shared" ref="BG8:BR8" si="54">BF7*BG6</f>
        <v>1304357.5999999999</v>
      </c>
      <c r="BH8" s="48">
        <f t="shared" si="54"/>
        <v>1295825.82</v>
      </c>
      <c r="BI8" s="48">
        <f>SUM(BF8:BH8)</f>
        <v>4019558.3</v>
      </c>
      <c r="BJ8" s="48"/>
      <c r="BK8" s="48">
        <f>BH7*BK6</f>
        <v>1757310.75</v>
      </c>
      <c r="BL8" s="48">
        <f t="shared" si="54"/>
        <v>1897387.2</v>
      </c>
      <c r="BM8" s="48">
        <f t="shared" si="54"/>
        <v>1585654</v>
      </c>
      <c r="BN8" s="48">
        <f>SUM(BK8:BM8)</f>
        <v>5240351.95</v>
      </c>
      <c r="BO8" s="48"/>
      <c r="BP8" s="48">
        <f>BM7*BP6</f>
        <v>2806290.09</v>
      </c>
      <c r="BQ8" s="48">
        <f t="shared" si="54"/>
        <v>2750489.9999999995</v>
      </c>
      <c r="BR8" s="48">
        <f t="shared" si="54"/>
        <v>2887087</v>
      </c>
      <c r="BS8" s="48">
        <f>SUM(BP8:BR8)</f>
        <v>8443867.0899999999</v>
      </c>
      <c r="BT8" s="17"/>
      <c r="BU8" s="48">
        <f t="shared" si="33"/>
        <v>21611543.969999999</v>
      </c>
    </row>
    <row r="9" spans="1:73" ht="15.75" customHeight="1" x14ac:dyDescent="0.3">
      <c r="A9" s="1"/>
      <c r="B9" s="2"/>
      <c r="C9" s="3"/>
      <c r="D9" s="5"/>
      <c r="E9" s="5"/>
      <c r="F9" s="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17"/>
      <c r="BU9" s="53"/>
    </row>
    <row r="10" spans="1:73" ht="15.75" customHeight="1" x14ac:dyDescent="0.3">
      <c r="A10" s="1">
        <v>44348</v>
      </c>
      <c r="B10" s="2" t="s">
        <v>0</v>
      </c>
      <c r="C10" s="3">
        <v>3268</v>
      </c>
      <c r="D10" s="5">
        <f>C10-C8</f>
        <v>17</v>
      </c>
      <c r="E10" s="5"/>
      <c r="G10" s="54" t="s">
        <v>59</v>
      </c>
      <c r="AB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</row>
    <row r="11" spans="1:73" ht="15.75" customHeight="1" x14ac:dyDescent="0.3">
      <c r="A11" s="1">
        <v>44378</v>
      </c>
      <c r="B11" s="2" t="s">
        <v>0</v>
      </c>
      <c r="C11" s="3">
        <v>3600</v>
      </c>
      <c r="D11" s="5">
        <f t="shared" si="45"/>
        <v>332</v>
      </c>
      <c r="E11" s="5"/>
      <c r="F11" s="8">
        <v>0.02</v>
      </c>
      <c r="G11" s="50" t="s">
        <v>4</v>
      </c>
      <c r="H11" s="17">
        <f t="shared" ref="H11:J11" si="55">$F$11*H8</f>
        <v>6620.3456000000006</v>
      </c>
      <c r="I11" s="17">
        <f t="shared" si="55"/>
        <v>6310.9174000000003</v>
      </c>
      <c r="J11" s="17">
        <f t="shared" si="55"/>
        <v>6807.2659999999996</v>
      </c>
      <c r="K11" s="17">
        <f t="shared" si="34"/>
        <v>19738.529000000002</v>
      </c>
      <c r="L11" s="17"/>
      <c r="M11" s="17">
        <f t="shared" ref="M11:O11" si="56">$F$11*M8</f>
        <v>7194.8292000000001</v>
      </c>
      <c r="N11" s="17">
        <f t="shared" si="56"/>
        <v>6485.8068000000003</v>
      </c>
      <c r="O11" s="17">
        <f t="shared" si="56"/>
        <v>6630.5902000000006</v>
      </c>
      <c r="P11" s="17">
        <f>SUM(M11:O11)</f>
        <v>20311.226200000001</v>
      </c>
      <c r="Q11" s="17"/>
      <c r="R11" s="17">
        <f t="shared" ref="R11:T11" si="57">$F$11*R8</f>
        <v>7092.5868000000009</v>
      </c>
      <c r="S11" s="17">
        <f t="shared" si="57"/>
        <v>7567.451</v>
      </c>
      <c r="T11" s="17">
        <f t="shared" si="57"/>
        <v>6660.3740000000007</v>
      </c>
      <c r="U11" s="17">
        <f t="shared" si="35"/>
        <v>21320.411800000002</v>
      </c>
      <c r="V11" s="17"/>
      <c r="W11" s="17">
        <f t="shared" ref="W11:Y11" si="58">$F$11*W8</f>
        <v>12718.820400000001</v>
      </c>
      <c r="X11" s="17">
        <f t="shared" si="58"/>
        <v>12877.704</v>
      </c>
      <c r="Y11" s="17">
        <f t="shared" si="58"/>
        <v>13163.92</v>
      </c>
      <c r="Z11" s="17">
        <f t="shared" si="36"/>
        <v>38760.4444</v>
      </c>
      <c r="AA11" s="17"/>
      <c r="AB11" s="17">
        <f>SUM(Z11,U11,P11,K11)</f>
        <v>100130.61139999999</v>
      </c>
      <c r="AD11" s="17">
        <f>$F$11*AD8</f>
        <v>14707.546672499997</v>
      </c>
      <c r="AE11" s="17">
        <f>$F$11*AE8</f>
        <v>13808.446987500003</v>
      </c>
      <c r="AF11" s="17">
        <f>$F$11*AF8</f>
        <v>15176.556251999998</v>
      </c>
      <c r="AG11" s="17">
        <f>SUM(AD11:AF11)</f>
        <v>43692.549912000002</v>
      </c>
      <c r="AH11" s="17"/>
      <c r="AI11" s="17">
        <f t="shared" ref="AI11:AU11" si="59">$F$11*AI8</f>
        <v>15712.345737000001</v>
      </c>
      <c r="AJ11" s="17">
        <f t="shared" si="59"/>
        <v>14604.982177499998</v>
      </c>
      <c r="AK11" s="17">
        <f t="shared" si="59"/>
        <v>14498.431893000003</v>
      </c>
      <c r="AL11" s="17">
        <f>SUM(AI11:AK11)</f>
        <v>44815.759807499999</v>
      </c>
      <c r="AM11" s="17"/>
      <c r="AN11" s="17">
        <f t="shared" si="59"/>
        <v>19404.7660125</v>
      </c>
      <c r="AO11" s="17">
        <f t="shared" si="59"/>
        <v>20792.892780000002</v>
      </c>
      <c r="AP11" s="17">
        <f t="shared" si="59"/>
        <v>17697.24495</v>
      </c>
      <c r="AQ11" s="17">
        <f>SUM(AN11:AP11)</f>
        <v>57894.903742500006</v>
      </c>
      <c r="AR11" s="17"/>
      <c r="AS11" s="17">
        <f t="shared" si="59"/>
        <v>29789.661478500002</v>
      </c>
      <c r="AT11" s="17">
        <f t="shared" si="59"/>
        <v>29238.610500000003</v>
      </c>
      <c r="AU11" s="17">
        <f t="shared" si="59"/>
        <v>30581.431650000002</v>
      </c>
      <c r="AV11" s="17"/>
      <c r="AW11" s="17">
        <f>SUM(AS11:AU11)</f>
        <v>89609.703628500007</v>
      </c>
      <c r="AX11" s="17"/>
      <c r="AY11" s="17">
        <f t="shared" si="32"/>
        <v>236012.91709050001</v>
      </c>
      <c r="BA11" s="17">
        <f>$F$11*BA8</f>
        <v>26322.702999999994</v>
      </c>
      <c r="BB11" s="17">
        <f t="shared" ref="BB11:BF11" si="60">$F$11*BB8</f>
        <v>24549.540000000005</v>
      </c>
      <c r="BC11" s="17">
        <f t="shared" si="60"/>
        <v>27283.089599999996</v>
      </c>
      <c r="BD11" s="17">
        <f>SUM(BA11:BC11)</f>
        <v>78155.332599999994</v>
      </c>
      <c r="BE11" s="17"/>
      <c r="BF11" s="17">
        <f t="shared" si="60"/>
        <v>28387.497599999999</v>
      </c>
      <c r="BG11" s="17">
        <f t="shared" ref="BG11:BR11" si="61">$F$11*BG8</f>
        <v>26087.151999999998</v>
      </c>
      <c r="BH11" s="17">
        <f t="shared" si="61"/>
        <v>25916.5164</v>
      </c>
      <c r="BI11" s="17">
        <f>SUM(BF11:BH11)</f>
        <v>80391.165999999997</v>
      </c>
      <c r="BJ11" s="17"/>
      <c r="BK11" s="17">
        <f t="shared" si="61"/>
        <v>35146.215000000004</v>
      </c>
      <c r="BL11" s="17">
        <f t="shared" si="61"/>
        <v>37947.743999999999</v>
      </c>
      <c r="BM11" s="17">
        <f t="shared" si="61"/>
        <v>31713.08</v>
      </c>
      <c r="BN11" s="17">
        <f>SUM(BK11:BM11)</f>
        <v>104807.039</v>
      </c>
      <c r="BO11" s="17"/>
      <c r="BP11" s="17">
        <f t="shared" si="61"/>
        <v>56125.801800000001</v>
      </c>
      <c r="BQ11" s="17">
        <f t="shared" si="61"/>
        <v>55009.799999999988</v>
      </c>
      <c r="BR11" s="17">
        <f t="shared" si="61"/>
        <v>57741.74</v>
      </c>
      <c r="BS11" s="17">
        <f>SUM(BP11:BR11)</f>
        <v>168877.34179999999</v>
      </c>
      <c r="BT11" s="17"/>
      <c r="BU11" s="17">
        <f t="shared" si="33"/>
        <v>432230.87939999998</v>
      </c>
    </row>
    <row r="12" spans="1:73" ht="15.75" customHeight="1" x14ac:dyDescent="0.3">
      <c r="A12" s="1">
        <v>44409</v>
      </c>
      <c r="B12" s="2" t="s">
        <v>0</v>
      </c>
      <c r="C12" s="3">
        <v>3831</v>
      </c>
      <c r="D12" s="5">
        <f t="shared" si="45"/>
        <v>231</v>
      </c>
      <c r="E12" s="5"/>
      <c r="F12" s="8">
        <v>0.03</v>
      </c>
      <c r="G12" s="142" t="s">
        <v>73</v>
      </c>
      <c r="H12" s="17">
        <f t="shared" ref="H12:J12" si="62">$F$12*H8</f>
        <v>9930.5184000000008</v>
      </c>
      <c r="I12" s="17">
        <f t="shared" si="62"/>
        <v>9466.3760999999995</v>
      </c>
      <c r="J12" s="17">
        <f t="shared" si="62"/>
        <v>10210.898999999999</v>
      </c>
      <c r="K12" s="17">
        <f t="shared" si="34"/>
        <v>29607.7935</v>
      </c>
      <c r="L12" s="17"/>
      <c r="M12" s="17">
        <f t="shared" ref="M12:O12" si="63">$F$12*M8</f>
        <v>10792.2438</v>
      </c>
      <c r="N12" s="17">
        <f t="shared" si="63"/>
        <v>9728.7101999999995</v>
      </c>
      <c r="O12" s="17">
        <f t="shared" si="63"/>
        <v>9945.8852999999999</v>
      </c>
      <c r="P12" s="17">
        <f>SUM(M12:O12)</f>
        <v>30466.8393</v>
      </c>
      <c r="Q12" s="17"/>
      <c r="R12" s="17">
        <f t="shared" ref="R12:T12" si="64">$F$12*R8</f>
        <v>10638.8802</v>
      </c>
      <c r="S12" s="17">
        <f t="shared" si="64"/>
        <v>11351.1765</v>
      </c>
      <c r="T12" s="17">
        <f t="shared" si="64"/>
        <v>9990.5609999999997</v>
      </c>
      <c r="U12" s="17">
        <f t="shared" si="35"/>
        <v>31980.617700000003</v>
      </c>
      <c r="V12" s="17"/>
      <c r="W12" s="17">
        <f t="shared" ref="W12:Y12" si="65">$F$12*W8</f>
        <v>19078.230599999999</v>
      </c>
      <c r="X12" s="17">
        <f t="shared" si="65"/>
        <v>19316.555999999997</v>
      </c>
      <c r="Y12" s="17">
        <f t="shared" si="65"/>
        <v>19745.88</v>
      </c>
      <c r="Z12" s="17">
        <f t="shared" si="36"/>
        <v>58140.666599999997</v>
      </c>
      <c r="AA12" s="17"/>
      <c r="AB12" s="17">
        <f>SUM(Z12,U12,P12,K12)</f>
        <v>150195.91709999999</v>
      </c>
      <c r="AD12" s="17">
        <f>F12*AD8</f>
        <v>22061.320008749994</v>
      </c>
      <c r="AE12" s="17">
        <f>$F$12*AE8</f>
        <v>20712.670481250003</v>
      </c>
      <c r="AF12" s="17">
        <f>$F$12*AF8</f>
        <v>22764.834377999996</v>
      </c>
      <c r="AG12" s="17">
        <f t="shared" ref="AG12:AG13" si="66">SUM(AD12:AF12)</f>
        <v>65538.824867999996</v>
      </c>
      <c r="AH12" s="17"/>
      <c r="AI12" s="17">
        <f t="shared" ref="AI12:AT12" si="67">$F$12*AI8</f>
        <v>23568.518605500001</v>
      </c>
      <c r="AJ12" s="17">
        <f t="shared" si="67"/>
        <v>21907.473266249996</v>
      </c>
      <c r="AK12" s="17">
        <f t="shared" si="67"/>
        <v>21747.647839500001</v>
      </c>
      <c r="AL12" s="17">
        <f t="shared" ref="AL12:AL13" si="68">SUM(AI12:AK12)</f>
        <v>67223.639711249998</v>
      </c>
      <c r="AM12" s="17"/>
      <c r="AN12" s="17">
        <f t="shared" si="67"/>
        <v>29107.149018749999</v>
      </c>
      <c r="AO12" s="17">
        <f t="shared" si="67"/>
        <v>31189.339170000003</v>
      </c>
      <c r="AP12" s="17">
        <f t="shared" si="67"/>
        <v>26545.867425</v>
      </c>
      <c r="AQ12" s="17">
        <f t="shared" ref="AQ12:AQ13" si="69">SUM(AN12:AP12)</f>
        <v>86842.355613749998</v>
      </c>
      <c r="AR12" s="17"/>
      <c r="AS12" s="17">
        <f t="shared" si="67"/>
        <v>44684.492217750005</v>
      </c>
      <c r="AT12" s="17">
        <f t="shared" si="67"/>
        <v>43857.91575</v>
      </c>
      <c r="AU12" s="17">
        <f>$F$12*AU8</f>
        <v>45872.147474999998</v>
      </c>
      <c r="AV12" s="17"/>
      <c r="AW12" s="17">
        <f t="shared" ref="AW12:AW13" si="70">SUM(AS12:AU12)</f>
        <v>134414.55544275002</v>
      </c>
      <c r="AX12" s="17"/>
      <c r="AY12" s="17">
        <f t="shared" si="32"/>
        <v>354019.37563575001</v>
      </c>
      <c r="BA12" s="17">
        <f>$F$12*BA8</f>
        <v>39484.054499999991</v>
      </c>
      <c r="BB12" s="17">
        <f t="shared" ref="BB12:BF12" si="71">$F$12*BB8</f>
        <v>36824.310000000005</v>
      </c>
      <c r="BC12" s="17">
        <f t="shared" si="71"/>
        <v>40924.634399999988</v>
      </c>
      <c r="BD12" s="17">
        <f t="shared" ref="BD12:BD13" si="72">SUM(BA12:BC12)</f>
        <v>117232.99889999998</v>
      </c>
      <c r="BE12" s="17"/>
      <c r="BF12" s="17">
        <f t="shared" si="71"/>
        <v>42581.246399999996</v>
      </c>
      <c r="BG12" s="17">
        <f t="shared" ref="BG12:BR12" si="73">$F$12*BG8</f>
        <v>39130.727999999996</v>
      </c>
      <c r="BH12" s="17">
        <f t="shared" si="73"/>
        <v>38874.774599999997</v>
      </c>
      <c r="BI12" s="17">
        <f t="shared" ref="BI12:BI13" si="74">SUM(BF12:BH12)</f>
        <v>120586.74899999998</v>
      </c>
      <c r="BJ12" s="17"/>
      <c r="BK12" s="17">
        <f t="shared" si="73"/>
        <v>52719.322499999995</v>
      </c>
      <c r="BL12" s="17">
        <f t="shared" si="73"/>
        <v>56921.615999999995</v>
      </c>
      <c r="BM12" s="17">
        <f t="shared" si="73"/>
        <v>47569.619999999995</v>
      </c>
      <c r="BN12" s="17">
        <f t="shared" ref="BN12:BN13" si="75">SUM(BK12:BM12)</f>
        <v>157210.55849999998</v>
      </c>
      <c r="BO12" s="17"/>
      <c r="BP12" s="17">
        <f t="shared" si="73"/>
        <v>84188.702699999994</v>
      </c>
      <c r="BQ12" s="17">
        <f t="shared" si="73"/>
        <v>82514.699999999983</v>
      </c>
      <c r="BR12" s="17">
        <f t="shared" si="73"/>
        <v>86612.61</v>
      </c>
      <c r="BS12" s="17">
        <f t="shared" ref="BS12:BS13" si="76">SUM(BP12:BR12)</f>
        <v>253316.01269999996</v>
      </c>
      <c r="BT12" s="17"/>
      <c r="BU12" s="17">
        <f t="shared" si="33"/>
        <v>648346.31909999996</v>
      </c>
    </row>
    <row r="13" spans="1:73" ht="15.75" customHeight="1" x14ac:dyDescent="0.3">
      <c r="A13" s="1">
        <v>44440</v>
      </c>
      <c r="B13" s="2" t="s">
        <v>0</v>
      </c>
      <c r="C13" s="3">
        <v>3325</v>
      </c>
      <c r="D13" s="5">
        <f t="shared" si="45"/>
        <v>-506</v>
      </c>
      <c r="E13" s="5"/>
      <c r="F13" s="6"/>
      <c r="G13" s="19" t="s">
        <v>60</v>
      </c>
      <c r="H13" s="17">
        <f t="shared" ref="H13:J13" si="77">SUM(H11:H12)</f>
        <v>16550.864000000001</v>
      </c>
      <c r="I13" s="17">
        <f t="shared" si="77"/>
        <v>15777.2935</v>
      </c>
      <c r="J13" s="17">
        <f t="shared" si="77"/>
        <v>17018.165000000001</v>
      </c>
      <c r="K13" s="17">
        <f t="shared" si="34"/>
        <v>49346.322500000002</v>
      </c>
      <c r="L13" s="17"/>
      <c r="M13" s="17">
        <f t="shared" ref="M13:O13" si="78">SUM(M11:M12)</f>
        <v>17987.073</v>
      </c>
      <c r="N13" s="17">
        <f t="shared" si="78"/>
        <v>16214.517</v>
      </c>
      <c r="O13" s="17">
        <f t="shared" si="78"/>
        <v>16576.4755</v>
      </c>
      <c r="P13" s="17">
        <f>SUM(M13:O13)</f>
        <v>50778.065499999997</v>
      </c>
      <c r="Q13" s="17"/>
      <c r="R13" s="17">
        <f t="shared" ref="R13:T13" si="79">SUM(R11:R12)</f>
        <v>17731.467000000001</v>
      </c>
      <c r="S13" s="17">
        <f t="shared" si="79"/>
        <v>18918.627499999999</v>
      </c>
      <c r="T13" s="17">
        <f t="shared" si="79"/>
        <v>16650.935000000001</v>
      </c>
      <c r="U13" s="17">
        <f t="shared" si="35"/>
        <v>53301.029500000004</v>
      </c>
      <c r="V13" s="17"/>
      <c r="W13" s="17">
        <f t="shared" ref="W13:Y13" si="80">SUM(W11:W12)</f>
        <v>31797.050999999999</v>
      </c>
      <c r="X13" s="17">
        <f t="shared" si="80"/>
        <v>32194.259999999995</v>
      </c>
      <c r="Y13" s="17">
        <f t="shared" si="80"/>
        <v>32909.800000000003</v>
      </c>
      <c r="Z13" s="17">
        <f t="shared" si="36"/>
        <v>96901.111000000004</v>
      </c>
      <c r="AA13" s="17"/>
      <c r="AB13" s="17">
        <f>SUM(Z13,U13,P13,K13)</f>
        <v>250326.52850000001</v>
      </c>
      <c r="AD13" s="17">
        <f>SUM(AD11:AD12)</f>
        <v>36768.866681249987</v>
      </c>
      <c r="AE13" s="17">
        <f>SUM(AE11:AE12)</f>
        <v>34521.117468750002</v>
      </c>
      <c r="AF13" s="17">
        <f>SUM(AF11:AF12)</f>
        <v>37941.390629999994</v>
      </c>
      <c r="AG13" s="17">
        <f t="shared" si="66"/>
        <v>109231.37477999998</v>
      </c>
      <c r="AH13" s="17"/>
      <c r="AI13" s="17">
        <f t="shared" ref="AI13:AU13" si="81">SUM(AI11:AI12)</f>
        <v>39280.864342500005</v>
      </c>
      <c r="AJ13" s="17">
        <f t="shared" si="81"/>
        <v>36512.45544374999</v>
      </c>
      <c r="AK13" s="17">
        <f t="shared" si="81"/>
        <v>36246.079732500002</v>
      </c>
      <c r="AL13" s="17">
        <f t="shared" si="68"/>
        <v>112039.39951875</v>
      </c>
      <c r="AM13" s="17"/>
      <c r="AN13" s="17">
        <f t="shared" si="81"/>
        <v>48511.915031249999</v>
      </c>
      <c r="AO13" s="17">
        <f t="shared" si="81"/>
        <v>51982.231950000001</v>
      </c>
      <c r="AP13" s="17">
        <f t="shared" si="81"/>
        <v>44243.112374999997</v>
      </c>
      <c r="AQ13" s="17">
        <f t="shared" si="69"/>
        <v>144737.25935625</v>
      </c>
      <c r="AR13" s="17"/>
      <c r="AS13" s="17">
        <f t="shared" si="81"/>
        <v>74474.15369625001</v>
      </c>
      <c r="AT13" s="17">
        <f t="shared" si="81"/>
        <v>73096.526249999995</v>
      </c>
      <c r="AU13" s="17">
        <f t="shared" si="81"/>
        <v>76453.579125000004</v>
      </c>
      <c r="AV13" s="17"/>
      <c r="AW13" s="17">
        <f t="shared" si="70"/>
        <v>224024.25907124998</v>
      </c>
      <c r="AX13" s="17"/>
      <c r="AY13" s="17">
        <f t="shared" si="32"/>
        <v>590032.2927262499</v>
      </c>
      <c r="BA13" s="17">
        <f>SUM(BA11:BA12)</f>
        <v>65806.757499999978</v>
      </c>
      <c r="BB13" s="17">
        <f t="shared" ref="BB13:BF13" si="82">SUM(BB11:BB12)</f>
        <v>61373.850000000006</v>
      </c>
      <c r="BC13" s="17">
        <f t="shared" si="82"/>
        <v>68207.723999999987</v>
      </c>
      <c r="BD13" s="17">
        <f t="shared" si="72"/>
        <v>195388.33149999997</v>
      </c>
      <c r="BE13" s="17"/>
      <c r="BF13" s="17">
        <f t="shared" si="82"/>
        <v>70968.743999999992</v>
      </c>
      <c r="BG13" s="17">
        <f t="shared" ref="BG13" si="83">SUM(BG11:BG12)</f>
        <v>65217.87999999999</v>
      </c>
      <c r="BH13" s="17">
        <f t="shared" ref="BH13:BK13" si="84">SUM(BH11:BH12)</f>
        <v>64791.290999999997</v>
      </c>
      <c r="BI13" s="17">
        <f t="shared" si="74"/>
        <v>200977.91499999998</v>
      </c>
      <c r="BJ13" s="17"/>
      <c r="BK13" s="17">
        <f t="shared" si="84"/>
        <v>87865.537500000006</v>
      </c>
      <c r="BL13" s="17">
        <f t="shared" ref="BL13" si="85">SUM(BL11:BL12)</f>
        <v>94869.359999999986</v>
      </c>
      <c r="BM13" s="17">
        <f t="shared" ref="BM13:BP13" si="86">SUM(BM11:BM12)</f>
        <v>79282.7</v>
      </c>
      <c r="BN13" s="17">
        <f t="shared" si="75"/>
        <v>262017.59749999997</v>
      </c>
      <c r="BO13" s="17"/>
      <c r="BP13" s="17">
        <f t="shared" si="86"/>
        <v>140314.50449999998</v>
      </c>
      <c r="BQ13" s="17">
        <f t="shared" ref="BQ13" si="87">SUM(BQ11:BQ12)</f>
        <v>137524.49999999997</v>
      </c>
      <c r="BR13" s="17">
        <f t="shared" ref="BR13" si="88">SUM(BR11:BR12)</f>
        <v>144354.35</v>
      </c>
      <c r="BS13" s="17">
        <f t="shared" si="76"/>
        <v>422193.3544999999</v>
      </c>
      <c r="BT13" s="17"/>
      <c r="BU13" s="17">
        <f t="shared" si="33"/>
        <v>1080577.1984999999</v>
      </c>
    </row>
    <row r="14" spans="1:73" ht="15.75" customHeight="1" x14ac:dyDescent="0.3">
      <c r="A14" s="1">
        <v>44470</v>
      </c>
      <c r="B14" s="2" t="s">
        <v>0</v>
      </c>
      <c r="C14" s="3">
        <v>5346</v>
      </c>
      <c r="D14" s="5">
        <f t="shared" si="45"/>
        <v>2021</v>
      </c>
      <c r="E14" s="5"/>
      <c r="F14" s="6"/>
      <c r="G14" s="6"/>
      <c r="AB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</row>
    <row r="15" spans="1:73" ht="15.75" customHeight="1" x14ac:dyDescent="0.3">
      <c r="A15" s="1">
        <v>44501</v>
      </c>
      <c r="B15" s="2" t="s">
        <v>0</v>
      </c>
      <c r="C15" s="3">
        <v>5250</v>
      </c>
      <c r="D15" s="5">
        <f t="shared" si="45"/>
        <v>-96</v>
      </c>
      <c r="E15" s="5"/>
      <c r="F15" s="6"/>
      <c r="G15" s="143" t="s">
        <v>6</v>
      </c>
      <c r="H15" s="66">
        <f t="shared" ref="H15:J15" si="89">H8-H13</f>
        <v>314466.41600000003</v>
      </c>
      <c r="I15" s="66">
        <f t="shared" si="89"/>
        <v>299768.57649999997</v>
      </c>
      <c r="J15" s="66">
        <f t="shared" si="89"/>
        <v>323345.13500000001</v>
      </c>
      <c r="K15" s="66">
        <f t="shared" si="34"/>
        <v>937580.12749999994</v>
      </c>
      <c r="L15" s="66"/>
      <c r="M15" s="66">
        <f t="shared" ref="M15:O15" si="90">M8-M13</f>
        <v>341754.38700000005</v>
      </c>
      <c r="N15" s="66">
        <f t="shared" si="90"/>
        <v>308075.82300000003</v>
      </c>
      <c r="O15" s="66">
        <f t="shared" si="90"/>
        <v>314953.03450000001</v>
      </c>
      <c r="P15" s="66">
        <f>SUM(M15:O15)</f>
        <v>964783.24450000003</v>
      </c>
      <c r="Q15" s="66"/>
      <c r="R15" s="66">
        <f t="shared" ref="R15:T15" si="91">R8-R13</f>
        <v>336897.87300000002</v>
      </c>
      <c r="S15" s="66">
        <f t="shared" si="91"/>
        <v>359453.92249999999</v>
      </c>
      <c r="T15" s="66">
        <f t="shared" si="91"/>
        <v>316367.76500000001</v>
      </c>
      <c r="U15" s="66">
        <f t="shared" si="35"/>
        <v>1012719.5605</v>
      </c>
      <c r="V15" s="66"/>
      <c r="W15" s="66">
        <f t="shared" ref="W15:Y15" si="92">W8-W13</f>
        <v>604143.96900000004</v>
      </c>
      <c r="X15" s="66">
        <f t="shared" si="92"/>
        <v>611690.93999999994</v>
      </c>
      <c r="Y15" s="66">
        <f t="shared" si="92"/>
        <v>625286.19999999995</v>
      </c>
      <c r="Z15" s="66">
        <f t="shared" si="36"/>
        <v>1841121.1089999999</v>
      </c>
      <c r="AA15" s="66"/>
      <c r="AB15" s="66">
        <f>SUM(Z15,U15,P15,K15)</f>
        <v>4756204.0415000003</v>
      </c>
      <c r="AD15" s="66">
        <f>AD8-AD13</f>
        <v>698608.46694374993</v>
      </c>
      <c r="AE15" s="66">
        <f>AE8-AE13</f>
        <v>655901.23190625012</v>
      </c>
      <c r="AF15" s="66">
        <f>AF8-AF13</f>
        <v>720886.42196999991</v>
      </c>
      <c r="AG15" s="66">
        <f>SUM(AD15:AF15)</f>
        <v>2075396.1208199998</v>
      </c>
      <c r="AH15" s="66"/>
      <c r="AI15" s="66">
        <f t="shared" ref="AI15:AU15" si="93">AI8-AI13</f>
        <v>746336.42250750004</v>
      </c>
      <c r="AJ15" s="66">
        <f t="shared" si="93"/>
        <v>693736.6534312499</v>
      </c>
      <c r="AK15" s="66">
        <f t="shared" si="93"/>
        <v>688675.51491750008</v>
      </c>
      <c r="AL15" s="66">
        <f>SUM(AI15:AK15)</f>
        <v>2128748.5908562504</v>
      </c>
      <c r="AM15" s="66"/>
      <c r="AN15" s="66">
        <f t="shared" si="93"/>
        <v>921726.38559375005</v>
      </c>
      <c r="AO15" s="66">
        <f t="shared" si="93"/>
        <v>987662.40705000004</v>
      </c>
      <c r="AP15" s="66">
        <f t="shared" si="93"/>
        <v>840619.13512500003</v>
      </c>
      <c r="AQ15" s="66">
        <f>SUM(AN15:AP15)</f>
        <v>2750007.9277687501</v>
      </c>
      <c r="AR15" s="66"/>
      <c r="AS15" s="66">
        <f t="shared" si="93"/>
        <v>1415008.9202287502</v>
      </c>
      <c r="AT15" s="66">
        <f t="shared" si="93"/>
        <v>1388833.9987500003</v>
      </c>
      <c r="AU15" s="66">
        <f t="shared" si="93"/>
        <v>1452618.0033750001</v>
      </c>
      <c r="AV15" s="66"/>
      <c r="AW15" s="66">
        <f>SUM(AS15:AU15)</f>
        <v>4256460.922353751</v>
      </c>
      <c r="AX15" s="66"/>
      <c r="AY15" s="66">
        <f t="shared" si="32"/>
        <v>11210613.561798751</v>
      </c>
      <c r="AZ15" s="53"/>
      <c r="BA15" s="66">
        <f>BA8-BA13</f>
        <v>1250328.3924999996</v>
      </c>
      <c r="BB15" s="66">
        <f t="shared" ref="BB15:BF15" si="94">BB8-BB13</f>
        <v>1166103.1500000001</v>
      </c>
      <c r="BC15" s="66">
        <f t="shared" si="94"/>
        <v>1295946.7559999998</v>
      </c>
      <c r="BD15" s="66">
        <f>SUM(BA15:BC15)</f>
        <v>3712378.2984999996</v>
      </c>
      <c r="BE15" s="66"/>
      <c r="BF15" s="66">
        <f t="shared" si="94"/>
        <v>1348406.1359999999</v>
      </c>
      <c r="BG15" s="66">
        <f t="shared" ref="BG15:BR15" si="95">BG8-BG13</f>
        <v>1239139.72</v>
      </c>
      <c r="BH15" s="66">
        <f t="shared" si="95"/>
        <v>1231034.5290000001</v>
      </c>
      <c r="BI15" s="66">
        <f>SUM(BF15:BH15)</f>
        <v>3818580.3849999998</v>
      </c>
      <c r="BJ15" s="66"/>
      <c r="BK15" s="66">
        <f t="shared" si="95"/>
        <v>1669445.2124999999</v>
      </c>
      <c r="BL15" s="66">
        <f t="shared" si="95"/>
        <v>1802517.8399999999</v>
      </c>
      <c r="BM15" s="66">
        <f t="shared" si="95"/>
        <v>1506371.3</v>
      </c>
      <c r="BN15" s="66">
        <f>SUM(BK15:BM15)</f>
        <v>4978334.3525</v>
      </c>
      <c r="BO15" s="66"/>
      <c r="BP15" s="66">
        <f t="shared" si="95"/>
        <v>2665975.5855</v>
      </c>
      <c r="BQ15" s="66">
        <f t="shared" si="95"/>
        <v>2612965.4999999995</v>
      </c>
      <c r="BR15" s="66">
        <f t="shared" si="95"/>
        <v>2742732.65</v>
      </c>
      <c r="BS15" s="66">
        <f>SUM(BP15:BR15)</f>
        <v>8021673.7355000004</v>
      </c>
      <c r="BT15" s="17"/>
      <c r="BU15" s="66">
        <f t="shared" si="33"/>
        <v>20530966.771499999</v>
      </c>
    </row>
    <row r="16" spans="1:73" ht="15.75" customHeight="1" x14ac:dyDescent="0.3">
      <c r="A16" s="1">
        <v>44531</v>
      </c>
      <c r="B16" s="2" t="s">
        <v>0</v>
      </c>
      <c r="C16" s="3">
        <v>5500</v>
      </c>
      <c r="D16" s="5">
        <f t="shared" si="45"/>
        <v>250</v>
      </c>
      <c r="E16" s="5"/>
      <c r="F16" s="6"/>
      <c r="G16" s="61" t="s">
        <v>61</v>
      </c>
      <c r="H16" s="13">
        <f t="shared" ref="H16:K16" si="96">H15/H8</f>
        <v>0.95</v>
      </c>
      <c r="I16" s="13">
        <f t="shared" si="96"/>
        <v>0.95</v>
      </c>
      <c r="J16" s="13">
        <f t="shared" si="96"/>
        <v>0.95000000000000007</v>
      </c>
      <c r="K16" s="13">
        <f t="shared" si="96"/>
        <v>0.95</v>
      </c>
      <c r="L16" s="13"/>
      <c r="M16" s="13">
        <f t="shared" ref="M16:P16" si="97">M15/M8</f>
        <v>0.95000000000000007</v>
      </c>
      <c r="N16" s="13">
        <f t="shared" si="97"/>
        <v>0.95000000000000007</v>
      </c>
      <c r="O16" s="13">
        <f t="shared" si="97"/>
        <v>0.95</v>
      </c>
      <c r="P16" s="13">
        <f t="shared" si="97"/>
        <v>0.95</v>
      </c>
      <c r="Q16" s="13"/>
      <c r="R16" s="13">
        <f t="shared" ref="R16:U16" si="98">R15/R8</f>
        <v>0.95</v>
      </c>
      <c r="S16" s="13">
        <f t="shared" si="98"/>
        <v>0.95</v>
      </c>
      <c r="T16" s="13">
        <f t="shared" si="98"/>
        <v>0.95</v>
      </c>
      <c r="U16" s="13">
        <f t="shared" si="98"/>
        <v>0.95</v>
      </c>
      <c r="V16" s="13"/>
      <c r="W16" s="13">
        <f t="shared" ref="W16:AB16" si="99">W15/W8</f>
        <v>0.95000000000000007</v>
      </c>
      <c r="X16" s="13">
        <f t="shared" si="99"/>
        <v>0.95</v>
      </c>
      <c r="Y16" s="13">
        <f t="shared" si="99"/>
        <v>0.95</v>
      </c>
      <c r="Z16" s="13">
        <f t="shared" si="99"/>
        <v>0.95</v>
      </c>
      <c r="AA16" s="13"/>
      <c r="AB16" s="13">
        <f t="shared" si="99"/>
        <v>0.95</v>
      </c>
      <c r="AD16" s="13">
        <f>AD15/AD8</f>
        <v>0.95000000000000007</v>
      </c>
      <c r="AE16" s="13">
        <f>AE15/AE8</f>
        <v>0.95000000000000007</v>
      </c>
      <c r="AF16" s="13">
        <f>AF15/AF8</f>
        <v>0.95</v>
      </c>
      <c r="AG16" s="13">
        <f>AG15/AG8</f>
        <v>0.95</v>
      </c>
      <c r="AH16" s="13"/>
      <c r="AI16" s="13">
        <f t="shared" ref="AI16:AU16" si="100">AI15/AI8</f>
        <v>0.95000000000000007</v>
      </c>
      <c r="AJ16" s="13">
        <f t="shared" si="100"/>
        <v>0.95</v>
      </c>
      <c r="AK16" s="13">
        <f t="shared" si="100"/>
        <v>0.95</v>
      </c>
      <c r="AL16" s="13">
        <f>AL15/AL8</f>
        <v>0.95000000000000018</v>
      </c>
      <c r="AM16" s="13"/>
      <c r="AN16" s="13">
        <f t="shared" si="100"/>
        <v>0.95000000000000007</v>
      </c>
      <c r="AO16" s="13">
        <f t="shared" si="100"/>
        <v>0.95</v>
      </c>
      <c r="AP16" s="13">
        <f t="shared" si="100"/>
        <v>0.95</v>
      </c>
      <c r="AQ16" s="13">
        <f>AQ15/AQ8</f>
        <v>0.95</v>
      </c>
      <c r="AR16" s="13"/>
      <c r="AS16" s="13">
        <f t="shared" si="100"/>
        <v>0.95000000000000007</v>
      </c>
      <c r="AT16" s="13">
        <f t="shared" si="100"/>
        <v>0.95000000000000007</v>
      </c>
      <c r="AU16" s="13">
        <f t="shared" si="100"/>
        <v>0.95000000000000007</v>
      </c>
      <c r="AV16" s="13"/>
      <c r="AW16" s="13">
        <f>AW15/AW8</f>
        <v>0.95000000000000029</v>
      </c>
      <c r="AX16" s="13"/>
      <c r="AY16" s="13">
        <f>AY15/AY8</f>
        <v>0.95000000000000018</v>
      </c>
      <c r="BA16" s="13">
        <f>BA15/BA8</f>
        <v>0.95</v>
      </c>
      <c r="BB16" s="13">
        <f t="shared" ref="BB16:BF16" si="101">BB15/BB8</f>
        <v>0.95</v>
      </c>
      <c r="BC16" s="13">
        <f t="shared" si="101"/>
        <v>0.95000000000000007</v>
      </c>
      <c r="BD16" s="13">
        <f t="shared" si="101"/>
        <v>0.95</v>
      </c>
      <c r="BE16" s="13"/>
      <c r="BF16" s="13">
        <f t="shared" si="101"/>
        <v>0.95000000000000007</v>
      </c>
      <c r="BG16" s="13">
        <f t="shared" ref="BG16" si="102">BG15/BG8</f>
        <v>0.95000000000000007</v>
      </c>
      <c r="BH16" s="13">
        <f t="shared" ref="BH16:BK16" si="103">BH15/BH8</f>
        <v>0.95000000000000007</v>
      </c>
      <c r="BI16" s="13">
        <f t="shared" si="103"/>
        <v>0.95</v>
      </c>
      <c r="BJ16" s="13"/>
      <c r="BK16" s="13">
        <f t="shared" si="103"/>
        <v>0.95</v>
      </c>
      <c r="BL16" s="13">
        <f t="shared" ref="BL16" si="104">BL15/BL8</f>
        <v>0.95</v>
      </c>
      <c r="BM16" s="13">
        <f t="shared" ref="BM16:BP16" si="105">BM15/BM8</f>
        <v>0.95000000000000007</v>
      </c>
      <c r="BN16" s="13">
        <f t="shared" si="105"/>
        <v>0.95</v>
      </c>
      <c r="BO16" s="13"/>
      <c r="BP16" s="13">
        <f t="shared" si="105"/>
        <v>0.95000000000000007</v>
      </c>
      <c r="BQ16" s="13">
        <f t="shared" ref="BQ16" si="106">BQ15/BQ8</f>
        <v>0.95</v>
      </c>
      <c r="BR16" s="13">
        <f t="shared" ref="BR16:BS16" si="107">BR15/BR8</f>
        <v>0.95</v>
      </c>
      <c r="BS16" s="13">
        <f t="shared" si="107"/>
        <v>0.95000000000000007</v>
      </c>
      <c r="BT16" s="13"/>
      <c r="BU16" s="13">
        <f>BU15/BU8</f>
        <v>0.95</v>
      </c>
    </row>
    <row r="17" spans="1:74" ht="15.75" customHeight="1" x14ac:dyDescent="0.3">
      <c r="A17" s="1">
        <v>44197</v>
      </c>
      <c r="B17" s="2" t="s">
        <v>1</v>
      </c>
      <c r="C17" s="9">
        <v>1655086.4</v>
      </c>
      <c r="AB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U17" s="14"/>
    </row>
    <row r="18" spans="1:74" ht="15.75" customHeight="1" x14ac:dyDescent="0.3">
      <c r="A18" s="1">
        <v>44228</v>
      </c>
      <c r="B18" s="2" t="s">
        <v>1</v>
      </c>
      <c r="C18" s="9">
        <v>1562108.25</v>
      </c>
      <c r="G18" s="18" t="s">
        <v>7</v>
      </c>
      <c r="AB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U18" s="14"/>
    </row>
    <row r="19" spans="1:74" ht="15.75" customHeight="1" x14ac:dyDescent="0.3">
      <c r="A19" s="1">
        <v>44256</v>
      </c>
      <c r="B19" s="2" t="s">
        <v>1</v>
      </c>
      <c r="C19" s="9">
        <v>1701816.48</v>
      </c>
      <c r="G19" s="51" t="s">
        <v>8</v>
      </c>
      <c r="H19" s="17">
        <f>Assumptions!$D$11*12</f>
        <v>36000</v>
      </c>
      <c r="I19" s="17">
        <f>Assumptions!$D$11*12</f>
        <v>36000</v>
      </c>
      <c r="J19" s="17">
        <f>Assumptions!$D$11*12</f>
        <v>36000</v>
      </c>
      <c r="K19" s="17">
        <f t="shared" si="34"/>
        <v>108000</v>
      </c>
      <c r="L19" s="17"/>
      <c r="M19" s="17">
        <f>Assumptions!$D$11*12</f>
        <v>36000</v>
      </c>
      <c r="N19" s="17">
        <f>Assumptions!$D$11*12</f>
        <v>36000</v>
      </c>
      <c r="O19" s="17">
        <f>Assumptions!$D$11*12</f>
        <v>36000</v>
      </c>
      <c r="P19" s="17">
        <f>SUM(M19:O19)</f>
        <v>108000</v>
      </c>
      <c r="Q19" s="17"/>
      <c r="R19" s="17">
        <f>Assumptions!$D$11*12</f>
        <v>36000</v>
      </c>
      <c r="S19" s="17">
        <f>Assumptions!$D$11*12</f>
        <v>36000</v>
      </c>
      <c r="T19" s="17">
        <f>Assumptions!$D$11*12</f>
        <v>36000</v>
      </c>
      <c r="U19" s="17">
        <f t="shared" si="35"/>
        <v>108000</v>
      </c>
      <c r="V19" s="17"/>
      <c r="W19" s="17">
        <f>Assumptions!$D$11*12</f>
        <v>36000</v>
      </c>
      <c r="X19" s="17">
        <f>Assumptions!$D$11*12</f>
        <v>36000</v>
      </c>
      <c r="Y19" s="17">
        <f>Assumptions!$D$11*12</f>
        <v>36000</v>
      </c>
      <c r="Z19" s="17">
        <f t="shared" si="36"/>
        <v>108000</v>
      </c>
      <c r="AA19" s="17"/>
      <c r="AB19" s="17">
        <f>SUM(Z19,U19,P19,K19)</f>
        <v>432000</v>
      </c>
      <c r="AD19" s="17">
        <f>Assumptions!$E$11*12</f>
        <v>54000</v>
      </c>
      <c r="AE19" s="17">
        <f>Assumptions!$E$11*12</f>
        <v>54000</v>
      </c>
      <c r="AF19" s="17">
        <f>Assumptions!$E$11*12</f>
        <v>54000</v>
      </c>
      <c r="AG19" s="17">
        <f>SUM(AD19:AF19)</f>
        <v>162000</v>
      </c>
      <c r="AH19" s="17"/>
      <c r="AI19" s="17">
        <f>Assumptions!$E$11*12</f>
        <v>54000</v>
      </c>
      <c r="AJ19" s="17">
        <f>Assumptions!$E$11*12</f>
        <v>54000</v>
      </c>
      <c r="AK19" s="17">
        <f>Assumptions!$E$11*12</f>
        <v>54000</v>
      </c>
      <c r="AL19" s="17">
        <f>SUM(AI19:AK19)</f>
        <v>162000</v>
      </c>
      <c r="AM19" s="17"/>
      <c r="AN19" s="17">
        <f>Assumptions!$E$11*12</f>
        <v>54000</v>
      </c>
      <c r="AO19" s="17">
        <f>Assumptions!$E$11*12</f>
        <v>54000</v>
      </c>
      <c r="AP19" s="17">
        <f>Assumptions!$E$11*12</f>
        <v>54000</v>
      </c>
      <c r="AQ19" s="17">
        <f>SUM(AN19:AP19)</f>
        <v>162000</v>
      </c>
      <c r="AR19" s="17"/>
      <c r="AS19" s="17">
        <f>Assumptions!$E$11*12</f>
        <v>54000</v>
      </c>
      <c r="AT19" s="17">
        <f>Assumptions!$E$11*12</f>
        <v>54000</v>
      </c>
      <c r="AU19" s="17">
        <f>Assumptions!$E$11*12</f>
        <v>54000</v>
      </c>
      <c r="AV19" s="17"/>
      <c r="AW19" s="17">
        <f>SUM(AS19:AU19)</f>
        <v>162000</v>
      </c>
      <c r="AX19" s="17"/>
      <c r="AY19" s="17">
        <f t="shared" ref="AY19" si="108">SUM(AW19,AQ19,AL19,AG19)</f>
        <v>648000</v>
      </c>
      <c r="BA19" s="17">
        <f>Assumptions!$F$11*12</f>
        <v>72000</v>
      </c>
      <c r="BB19" s="17">
        <f>Assumptions!$F$11*12</f>
        <v>72000</v>
      </c>
      <c r="BC19" s="17">
        <f>Assumptions!$F$11*12</f>
        <v>72000</v>
      </c>
      <c r="BD19" s="17">
        <f>SUM(BA19:BC19)</f>
        <v>216000</v>
      </c>
      <c r="BE19" s="17"/>
      <c r="BF19" s="17">
        <f>Assumptions!$F$11*12</f>
        <v>72000</v>
      </c>
      <c r="BG19" s="17">
        <f>Assumptions!$F$11*12</f>
        <v>72000</v>
      </c>
      <c r="BH19" s="17">
        <f>Assumptions!$F$11*12</f>
        <v>72000</v>
      </c>
      <c r="BI19" s="17">
        <f>SUM(BF19:BH19)</f>
        <v>216000</v>
      </c>
      <c r="BJ19" s="17"/>
      <c r="BK19" s="17">
        <f>Assumptions!$F$11*12</f>
        <v>72000</v>
      </c>
      <c r="BL19" s="17">
        <f>Assumptions!$F$11*12</f>
        <v>72000</v>
      </c>
      <c r="BM19" s="17">
        <f>Assumptions!$F$11*12</f>
        <v>72000</v>
      </c>
      <c r="BN19" s="17">
        <f>SUM(BK19:BM19)</f>
        <v>216000</v>
      </c>
      <c r="BO19" s="17"/>
      <c r="BP19" s="17">
        <f>Assumptions!$F$11*12</f>
        <v>72000</v>
      </c>
      <c r="BQ19" s="17">
        <f>Assumptions!$F$11*12</f>
        <v>72000</v>
      </c>
      <c r="BR19" s="17">
        <f>Assumptions!$F$11*12</f>
        <v>72000</v>
      </c>
      <c r="BS19" s="17">
        <f>SUM(BP19:BR19)</f>
        <v>216000</v>
      </c>
      <c r="BT19" s="17"/>
      <c r="BU19" s="17">
        <f t="shared" ref="BU19" si="109">SUM(BS19,BN19,BI19,BD19)</f>
        <v>864000</v>
      </c>
    </row>
    <row r="20" spans="1:74" ht="15.75" customHeight="1" x14ac:dyDescent="0.3">
      <c r="A20" s="1"/>
      <c r="B20" s="2"/>
      <c r="C20" s="9"/>
      <c r="G20" s="64" t="s">
        <v>63</v>
      </c>
      <c r="H20" s="65">
        <f>SUM(H19)</f>
        <v>36000</v>
      </c>
      <c r="I20" s="65">
        <f t="shared" ref="I20:K20" si="110">SUM(I19)</f>
        <v>36000</v>
      </c>
      <c r="J20" s="65">
        <f t="shared" si="110"/>
        <v>36000</v>
      </c>
      <c r="K20" s="65">
        <f t="shared" si="110"/>
        <v>108000</v>
      </c>
      <c r="L20" s="65"/>
      <c r="M20" s="65">
        <f>SUM(M19)</f>
        <v>36000</v>
      </c>
      <c r="N20" s="65">
        <f t="shared" ref="N20" si="111">SUM(N19)</f>
        <v>36000</v>
      </c>
      <c r="O20" s="65">
        <f t="shared" ref="O20" si="112">SUM(O19)</f>
        <v>36000</v>
      </c>
      <c r="P20" s="65">
        <f t="shared" ref="P20" si="113">SUM(P19)</f>
        <v>108000</v>
      </c>
      <c r="Q20" s="65"/>
      <c r="R20" s="65">
        <f>SUM(R19)</f>
        <v>36000</v>
      </c>
      <c r="S20" s="65">
        <f t="shared" ref="S20" si="114">SUM(S19)</f>
        <v>36000</v>
      </c>
      <c r="T20" s="65">
        <f t="shared" ref="T20" si="115">SUM(T19)</f>
        <v>36000</v>
      </c>
      <c r="U20" s="65">
        <f t="shared" ref="U20" si="116">SUM(U19)</f>
        <v>108000</v>
      </c>
      <c r="V20" s="65"/>
      <c r="W20" s="65">
        <f>SUM(W19)</f>
        <v>36000</v>
      </c>
      <c r="X20" s="65">
        <f t="shared" ref="X20" si="117">SUM(X19)</f>
        <v>36000</v>
      </c>
      <c r="Y20" s="65">
        <f t="shared" ref="Y20" si="118">SUM(Y19)</f>
        <v>36000</v>
      </c>
      <c r="Z20" s="65">
        <f t="shared" ref="Z20:AB20" si="119">SUM(Z19)</f>
        <v>108000</v>
      </c>
      <c r="AA20" s="65"/>
      <c r="AB20" s="65">
        <f t="shared" si="119"/>
        <v>432000</v>
      </c>
      <c r="AD20" s="65"/>
      <c r="AE20" s="65"/>
      <c r="AF20" s="65"/>
      <c r="AG20" s="65">
        <f t="shared" ref="AG20" si="120">SUM(AG19)</f>
        <v>162000</v>
      </c>
      <c r="AH20" s="65">
        <f t="shared" ref="AH20" si="121">SUM(AH19)</f>
        <v>0</v>
      </c>
      <c r="AI20" s="65">
        <f t="shared" ref="AI20" si="122">SUM(AI19)</f>
        <v>54000</v>
      </c>
      <c r="AJ20" s="65">
        <f t="shared" ref="AJ20" si="123">SUM(AJ19)</f>
        <v>54000</v>
      </c>
      <c r="AK20" s="65">
        <f t="shared" ref="AK20" si="124">SUM(AK19)</f>
        <v>54000</v>
      </c>
      <c r="AL20" s="65">
        <f t="shared" ref="AL20" si="125">SUM(AL19)</f>
        <v>162000</v>
      </c>
      <c r="AM20" s="65">
        <f t="shared" ref="AM20" si="126">SUM(AM19)</f>
        <v>0</v>
      </c>
      <c r="AN20" s="65">
        <f t="shared" ref="AN20" si="127">SUM(AN19)</f>
        <v>54000</v>
      </c>
      <c r="AO20" s="65">
        <f t="shared" ref="AO20" si="128">SUM(AO19)</f>
        <v>54000</v>
      </c>
      <c r="AP20" s="65">
        <f t="shared" ref="AP20" si="129">SUM(AP19)</f>
        <v>54000</v>
      </c>
      <c r="AQ20" s="65">
        <f t="shared" ref="AQ20" si="130">SUM(AQ19)</f>
        <v>162000</v>
      </c>
      <c r="AR20" s="65">
        <f t="shared" ref="AR20" si="131">SUM(AR19)</f>
        <v>0</v>
      </c>
      <c r="AS20" s="65">
        <f t="shared" ref="AS20" si="132">SUM(AS19)</f>
        <v>54000</v>
      </c>
      <c r="AT20" s="65">
        <f t="shared" ref="AT20" si="133">SUM(AT19)</f>
        <v>54000</v>
      </c>
      <c r="AU20" s="65">
        <f t="shared" ref="AU20" si="134">SUM(AU19)</f>
        <v>54000</v>
      </c>
      <c r="AV20" s="65">
        <f t="shared" ref="AV20" si="135">SUM(AV19)</f>
        <v>0</v>
      </c>
      <c r="AW20" s="65">
        <f t="shared" ref="AW20" si="136">SUM(AW19)</f>
        <v>162000</v>
      </c>
      <c r="AX20" s="65">
        <f t="shared" ref="AX20" si="137">SUM(AX19)</f>
        <v>0</v>
      </c>
      <c r="AY20" s="65">
        <f t="shared" ref="AY20" si="138">SUM(AY19)</f>
        <v>648000</v>
      </c>
      <c r="BA20" s="65"/>
      <c r="BB20" s="65"/>
      <c r="BC20" s="65"/>
      <c r="BD20" s="65">
        <f t="shared" ref="BD20" si="139">SUM(BD19)</f>
        <v>216000</v>
      </c>
      <c r="BE20" s="65">
        <f t="shared" ref="BE20" si="140">SUM(BE19)</f>
        <v>0</v>
      </c>
      <c r="BF20" s="65">
        <f t="shared" ref="BF20" si="141">SUM(BF19)</f>
        <v>72000</v>
      </c>
      <c r="BG20" s="65">
        <f t="shared" ref="BG20" si="142">SUM(BG19)</f>
        <v>72000</v>
      </c>
      <c r="BH20" s="65">
        <f t="shared" ref="BH20" si="143">SUM(BH19)</f>
        <v>72000</v>
      </c>
      <c r="BI20" s="65">
        <f t="shared" ref="BI20" si="144">SUM(BI19)</f>
        <v>216000</v>
      </c>
      <c r="BJ20" s="65">
        <f t="shared" ref="BJ20" si="145">SUM(BJ19)</f>
        <v>0</v>
      </c>
      <c r="BK20" s="65">
        <f t="shared" ref="BK20" si="146">SUM(BK19)</f>
        <v>72000</v>
      </c>
      <c r="BL20" s="65">
        <f t="shared" ref="BL20" si="147">SUM(BL19)</f>
        <v>72000</v>
      </c>
      <c r="BM20" s="65">
        <f t="shared" ref="BM20" si="148">SUM(BM19)</f>
        <v>72000</v>
      </c>
      <c r="BN20" s="65">
        <f t="shared" ref="BN20" si="149">SUM(BN19)</f>
        <v>216000</v>
      </c>
      <c r="BO20" s="65">
        <f t="shared" ref="BO20" si="150">SUM(BO19)</f>
        <v>0</v>
      </c>
      <c r="BP20" s="65">
        <f t="shared" ref="BP20" si="151">SUM(BP19)</f>
        <v>72000</v>
      </c>
      <c r="BQ20" s="65">
        <f t="shared" ref="BQ20" si="152">SUM(BQ19)</f>
        <v>72000</v>
      </c>
      <c r="BR20" s="65">
        <f t="shared" ref="BR20" si="153">SUM(BR19)</f>
        <v>72000</v>
      </c>
      <c r="BS20" s="65">
        <f t="shared" ref="BS20" si="154">SUM(BS19)</f>
        <v>216000</v>
      </c>
      <c r="BT20" s="65">
        <f t="shared" ref="BT20" si="155">SUM(BT19)</f>
        <v>0</v>
      </c>
      <c r="BU20" s="65">
        <f t="shared" ref="BU20" si="156">SUM(BU19)</f>
        <v>864000</v>
      </c>
    </row>
    <row r="21" spans="1:74" ht="15.75" customHeight="1" x14ac:dyDescent="0.3">
      <c r="A21" s="1">
        <v>44287</v>
      </c>
      <c r="B21" s="2" t="s">
        <v>1</v>
      </c>
      <c r="C21" s="9">
        <v>1754836.38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</row>
    <row r="22" spans="1:74" ht="15.75" customHeight="1" x14ac:dyDescent="0.3">
      <c r="A22" s="1">
        <v>44317</v>
      </c>
      <c r="B22" s="2" t="s">
        <v>1</v>
      </c>
      <c r="C22" s="9">
        <v>1646143.85</v>
      </c>
      <c r="G22" s="18" t="s">
        <v>9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</row>
    <row r="23" spans="1:74" ht="15.75" customHeight="1" x14ac:dyDescent="0.3">
      <c r="A23" s="1">
        <v>44348</v>
      </c>
      <c r="B23" s="2" t="s">
        <v>1</v>
      </c>
      <c r="C23" s="9">
        <v>1633150.32</v>
      </c>
      <c r="F23" s="7">
        <v>15</v>
      </c>
      <c r="G23" s="7" t="s">
        <v>10</v>
      </c>
      <c r="H23" s="17">
        <f t="shared" ref="H23:Y23" si="157">(70000*$F$23)/12</f>
        <v>87500</v>
      </c>
      <c r="I23" s="17">
        <f t="shared" si="157"/>
        <v>87500</v>
      </c>
      <c r="J23" s="17">
        <f t="shared" si="157"/>
        <v>87500</v>
      </c>
      <c r="K23" s="17">
        <f t="shared" si="34"/>
        <v>262500</v>
      </c>
      <c r="L23" s="17"/>
      <c r="M23" s="17">
        <f t="shared" si="157"/>
        <v>87500</v>
      </c>
      <c r="N23" s="17">
        <f t="shared" si="157"/>
        <v>87500</v>
      </c>
      <c r="O23" s="17">
        <f t="shared" si="157"/>
        <v>87500</v>
      </c>
      <c r="P23" s="17">
        <f>SUM(M23:O23)</f>
        <v>262500</v>
      </c>
      <c r="Q23" s="17"/>
      <c r="R23" s="17">
        <f t="shared" si="157"/>
        <v>87500</v>
      </c>
      <c r="S23" s="17">
        <f t="shared" si="157"/>
        <v>87500</v>
      </c>
      <c r="T23" s="17">
        <f t="shared" si="157"/>
        <v>87500</v>
      </c>
      <c r="U23" s="17">
        <f t="shared" si="35"/>
        <v>262500</v>
      </c>
      <c r="V23" s="17"/>
      <c r="W23" s="17">
        <f t="shared" si="157"/>
        <v>87500</v>
      </c>
      <c r="X23" s="17">
        <f t="shared" si="157"/>
        <v>87500</v>
      </c>
      <c r="Y23" s="17">
        <f t="shared" si="157"/>
        <v>87500</v>
      </c>
      <c r="Z23" s="17">
        <f t="shared" si="36"/>
        <v>262500</v>
      </c>
      <c r="AA23" s="17"/>
      <c r="AB23" s="17">
        <f>SUM(Z23,U23,P23,K23)</f>
        <v>1050000</v>
      </c>
      <c r="AD23" s="17">
        <f>(Assumptions!$E$13*Assumptions!$E$3)/12</f>
        <v>136500</v>
      </c>
      <c r="AE23" s="17">
        <f>(Assumptions!$E$13*Assumptions!$E$3)/12</f>
        <v>136500</v>
      </c>
      <c r="AF23" s="17">
        <f>(Assumptions!$E$13*Assumptions!$E$3)/12</f>
        <v>136500</v>
      </c>
      <c r="AG23" s="17">
        <f t="shared" ref="AG23:AG26" si="158">SUM(AD23:AF23)</f>
        <v>409500</v>
      </c>
      <c r="AH23" s="17"/>
      <c r="AI23" s="17">
        <f>(Assumptions!$E$13*Assumptions!$E$3)/12</f>
        <v>136500</v>
      </c>
      <c r="AJ23" s="17">
        <f>(Assumptions!$E$13*Assumptions!$E$3)/12</f>
        <v>136500</v>
      </c>
      <c r="AK23" s="17">
        <f>(Assumptions!$E$13*Assumptions!$E$3)/12</f>
        <v>136500</v>
      </c>
      <c r="AL23" s="17">
        <f t="shared" ref="AL23:AL26" si="159">SUM(AI23:AK23)</f>
        <v>409500</v>
      </c>
      <c r="AM23" s="17"/>
      <c r="AN23" s="17">
        <f>(Assumptions!$E$13*Assumptions!$E$3)/12</f>
        <v>136500</v>
      </c>
      <c r="AO23" s="17">
        <f>(Assumptions!$E$13*Assumptions!$E$3)/12</f>
        <v>136500</v>
      </c>
      <c r="AP23" s="17">
        <f>(Assumptions!$E$13*Assumptions!$E$3)/12</f>
        <v>136500</v>
      </c>
      <c r="AQ23" s="17">
        <f t="shared" ref="AQ23:AQ26" si="160">SUM(AN23:AP23)</f>
        <v>409500</v>
      </c>
      <c r="AR23" s="17"/>
      <c r="AS23" s="17">
        <f>(Assumptions!$E$13*Assumptions!$E$3)/12</f>
        <v>136500</v>
      </c>
      <c r="AT23" s="17">
        <f>(Assumptions!$E$13*Assumptions!$E$3)/12</f>
        <v>136500</v>
      </c>
      <c r="AU23" s="17">
        <f>(Assumptions!$E$13*Assumptions!$E$3)/12</f>
        <v>136500</v>
      </c>
      <c r="AV23" s="17"/>
      <c r="AW23" s="17">
        <f t="shared" ref="AW23:AW26" si="161">SUM(AS23:AU23)</f>
        <v>409500</v>
      </c>
      <c r="AX23" s="17"/>
      <c r="AY23" s="17">
        <f t="shared" ref="AY23:AY26" si="162">SUM(AW23,AQ23,AL23,AG23)</f>
        <v>1638000</v>
      </c>
      <c r="BA23" s="17">
        <f>(Assumptions!$F$13*Assumptions!$F$3)/12</f>
        <v>189280</v>
      </c>
      <c r="BB23" s="17">
        <f>(Assumptions!$F$13*Assumptions!$F$3)/12</f>
        <v>189280</v>
      </c>
      <c r="BC23" s="17">
        <f>(Assumptions!$F$13*Assumptions!$F$3)/12</f>
        <v>189280</v>
      </c>
      <c r="BD23" s="17">
        <f t="shared" ref="BD23:BD26" si="163">SUM(BA23:BC23)</f>
        <v>567840</v>
      </c>
      <c r="BE23" s="17"/>
      <c r="BF23" s="17">
        <f>(Assumptions!$F$13*Assumptions!$F$3)/12</f>
        <v>189280</v>
      </c>
      <c r="BG23" s="17">
        <f>(Assumptions!$F$13*Assumptions!$F$3)/12</f>
        <v>189280</v>
      </c>
      <c r="BH23" s="17">
        <f>(Assumptions!$F$13*Assumptions!$F$3)/12</f>
        <v>189280</v>
      </c>
      <c r="BI23" s="17">
        <f t="shared" ref="BI23:BI26" si="164">SUM(BF23:BH23)</f>
        <v>567840</v>
      </c>
      <c r="BJ23" s="17"/>
      <c r="BK23" s="17">
        <f>(Assumptions!$F$13*Assumptions!$F$3)/12</f>
        <v>189280</v>
      </c>
      <c r="BL23" s="17">
        <f>(Assumptions!$F$13*Assumptions!$F$3)/12</f>
        <v>189280</v>
      </c>
      <c r="BM23" s="17">
        <f>(Assumptions!$F$13*Assumptions!$F$3)/12</f>
        <v>189280</v>
      </c>
      <c r="BN23" s="17">
        <f t="shared" ref="BN23:BN26" si="165">SUM(BK23:BM23)</f>
        <v>567840</v>
      </c>
      <c r="BO23" s="17"/>
      <c r="BP23" s="17">
        <f>(Assumptions!$F$13*Assumptions!$F$3)/12</f>
        <v>189280</v>
      </c>
      <c r="BQ23" s="17">
        <f>(Assumptions!$F$13*Assumptions!$F$3)/12</f>
        <v>189280</v>
      </c>
      <c r="BR23" s="17">
        <f>(Assumptions!$F$13*Assumptions!$F$3)/12</f>
        <v>189280</v>
      </c>
      <c r="BS23" s="17">
        <f t="shared" ref="BS23:BS26" si="166">SUM(BP23:BR23)</f>
        <v>567840</v>
      </c>
      <c r="BT23" s="17"/>
      <c r="BU23" s="17">
        <f t="shared" ref="BU23:BU26" si="167">SUM(BS23,BN23,BI23,BD23)</f>
        <v>2271360</v>
      </c>
    </row>
    <row r="24" spans="1:74" ht="15.75" customHeight="1" x14ac:dyDescent="0.3">
      <c r="A24" s="1">
        <v>44378</v>
      </c>
      <c r="B24" s="2" t="s">
        <v>1</v>
      </c>
      <c r="C24" s="9">
        <v>1818612</v>
      </c>
      <c r="F24" s="7">
        <v>10</v>
      </c>
      <c r="G24" s="7" t="s">
        <v>11</v>
      </c>
      <c r="H24" s="17">
        <f>($F$24*75000)/12</f>
        <v>62500</v>
      </c>
      <c r="I24" s="17">
        <f>($F$24*75000)/12</f>
        <v>62500</v>
      </c>
      <c r="J24" s="17">
        <f>($F$24*75000)/12</f>
        <v>62500</v>
      </c>
      <c r="K24" s="17">
        <f t="shared" si="34"/>
        <v>187500</v>
      </c>
      <c r="L24" s="17"/>
      <c r="M24" s="17">
        <f>($F$24*75000)/12</f>
        <v>62500</v>
      </c>
      <c r="N24" s="17">
        <f>($F$24*75000)/12</f>
        <v>62500</v>
      </c>
      <c r="O24" s="17">
        <f>($F$24*75000)/12</f>
        <v>62500</v>
      </c>
      <c r="P24" s="17">
        <f>SUM(M24:O24)</f>
        <v>187500</v>
      </c>
      <c r="Q24" s="17"/>
      <c r="R24" s="17">
        <f>($F$24*75000)/12</f>
        <v>62500</v>
      </c>
      <c r="S24" s="17">
        <f>($F$24*75000)/12</f>
        <v>62500</v>
      </c>
      <c r="T24" s="17">
        <f>($F$24*75000)/12</f>
        <v>62500</v>
      </c>
      <c r="U24" s="17">
        <f t="shared" si="35"/>
        <v>187500</v>
      </c>
      <c r="V24" s="17"/>
      <c r="W24" s="17">
        <f>($F$24*75000)/12</f>
        <v>62500</v>
      </c>
      <c r="X24" s="17">
        <f>($F$24*75000)/12</f>
        <v>62500</v>
      </c>
      <c r="Y24" s="17">
        <f>($F$24*75000)/12</f>
        <v>62500</v>
      </c>
      <c r="Z24" s="17">
        <f t="shared" si="36"/>
        <v>187500</v>
      </c>
      <c r="AA24" s="17"/>
      <c r="AB24" s="17">
        <f>SUM(Z24,U24,P24,K24)</f>
        <v>750000</v>
      </c>
      <c r="AD24" s="17">
        <f>(Assumptions!$I$3*Assumptions!$I$13)/12</f>
        <v>97500</v>
      </c>
      <c r="AE24" s="17">
        <f>(Assumptions!$I$3*Assumptions!$I$13)/12</f>
        <v>97500</v>
      </c>
      <c r="AF24" s="17">
        <f>(Assumptions!$I$3*Assumptions!$I$13)/12</f>
        <v>97500</v>
      </c>
      <c r="AG24" s="17">
        <f t="shared" si="158"/>
        <v>292500</v>
      </c>
      <c r="AH24" s="17"/>
      <c r="AI24" s="17">
        <f>(Assumptions!$I$3*Assumptions!$I$13)/12</f>
        <v>97500</v>
      </c>
      <c r="AJ24" s="17">
        <f>(Assumptions!$I$3*Assumptions!$I$13)/12</f>
        <v>97500</v>
      </c>
      <c r="AK24" s="17">
        <f>(Assumptions!$I$3*Assumptions!$I$13)/12</f>
        <v>97500</v>
      </c>
      <c r="AL24" s="17">
        <f t="shared" si="159"/>
        <v>292500</v>
      </c>
      <c r="AM24" s="17"/>
      <c r="AN24" s="17">
        <f>(Assumptions!$I$3*Assumptions!$I$13)/12</f>
        <v>97500</v>
      </c>
      <c r="AO24" s="17">
        <f>(Assumptions!$I$3*Assumptions!$I$13)/12</f>
        <v>97500</v>
      </c>
      <c r="AP24" s="17">
        <f>(Assumptions!$I$3*Assumptions!$I$13)/12</f>
        <v>97500</v>
      </c>
      <c r="AQ24" s="17">
        <f t="shared" si="160"/>
        <v>292500</v>
      </c>
      <c r="AR24" s="17"/>
      <c r="AS24" s="17">
        <f>(Assumptions!$I$3*Assumptions!$I$13)/12</f>
        <v>97500</v>
      </c>
      <c r="AT24" s="17">
        <f>(Assumptions!$I$3*Assumptions!$I$13)/12</f>
        <v>97500</v>
      </c>
      <c r="AU24" s="17">
        <f>(Assumptions!$I$3*Assumptions!$I$13)/12</f>
        <v>97500</v>
      </c>
      <c r="AV24" s="17"/>
      <c r="AW24" s="17">
        <f t="shared" si="161"/>
        <v>292500</v>
      </c>
      <c r="AX24" s="17"/>
      <c r="AY24" s="17">
        <f t="shared" si="162"/>
        <v>1170000</v>
      </c>
      <c r="BA24" s="17">
        <f>(Assumptions!$J$13*Assumptions!$J$3)/12</f>
        <v>135200</v>
      </c>
      <c r="BB24" s="17">
        <f>(Assumptions!$J$13*Assumptions!$J$3)/12</f>
        <v>135200</v>
      </c>
      <c r="BC24" s="17">
        <f>(Assumptions!$J$13*Assumptions!$J$3)/12</f>
        <v>135200</v>
      </c>
      <c r="BD24" s="17">
        <f t="shared" si="163"/>
        <v>405600</v>
      </c>
      <c r="BE24" s="17"/>
      <c r="BF24" s="17">
        <f>(Assumptions!$J$13*Assumptions!$J$3)/12</f>
        <v>135200</v>
      </c>
      <c r="BG24" s="17">
        <f>(Assumptions!$J$13*Assumptions!$J$3)/12</f>
        <v>135200</v>
      </c>
      <c r="BH24" s="17">
        <f>(Assumptions!$J$13*Assumptions!$J$3)/12</f>
        <v>135200</v>
      </c>
      <c r="BI24" s="17">
        <f t="shared" si="164"/>
        <v>405600</v>
      </c>
      <c r="BJ24" s="17"/>
      <c r="BK24" s="17">
        <f>(Assumptions!$J$13*Assumptions!$J$3)/12</f>
        <v>135200</v>
      </c>
      <c r="BL24" s="17">
        <f>(Assumptions!$J$13*Assumptions!$J$3)/12</f>
        <v>135200</v>
      </c>
      <c r="BM24" s="17">
        <f>(Assumptions!$J$13*Assumptions!$J$3)/12</f>
        <v>135200</v>
      </c>
      <c r="BN24" s="17">
        <f t="shared" si="165"/>
        <v>405600</v>
      </c>
      <c r="BO24" s="17"/>
      <c r="BP24" s="17">
        <f>(Assumptions!$J$13*Assumptions!$J$3)/12</f>
        <v>135200</v>
      </c>
      <c r="BQ24" s="17">
        <f>(Assumptions!$J$13*Assumptions!$J$3)/12</f>
        <v>135200</v>
      </c>
      <c r="BR24" s="17">
        <f>(Assumptions!$J$13*Assumptions!$J$3)/12</f>
        <v>135200</v>
      </c>
      <c r="BS24" s="17">
        <f t="shared" si="166"/>
        <v>405600</v>
      </c>
      <c r="BT24" s="17"/>
      <c r="BU24" s="17">
        <f t="shared" si="167"/>
        <v>1622400</v>
      </c>
    </row>
    <row r="25" spans="1:74" ht="15.75" customHeight="1" x14ac:dyDescent="0.3">
      <c r="A25" s="1">
        <v>44409</v>
      </c>
      <c r="B25" s="2" t="s">
        <v>1</v>
      </c>
      <c r="C25" s="9">
        <v>1891862.73</v>
      </c>
      <c r="F25" s="7">
        <v>5</v>
      </c>
      <c r="G25" s="7" t="s">
        <v>12</v>
      </c>
      <c r="H25" s="17">
        <f t="shared" ref="H25:Y25" si="168">($F$25*150000)/12</f>
        <v>62500</v>
      </c>
      <c r="I25" s="17">
        <f t="shared" si="168"/>
        <v>62500</v>
      </c>
      <c r="J25" s="17">
        <f t="shared" si="168"/>
        <v>62500</v>
      </c>
      <c r="K25" s="17">
        <f t="shared" si="34"/>
        <v>187500</v>
      </c>
      <c r="L25" s="17"/>
      <c r="M25" s="17">
        <f t="shared" si="168"/>
        <v>62500</v>
      </c>
      <c r="N25" s="17">
        <f t="shared" si="168"/>
        <v>62500</v>
      </c>
      <c r="O25" s="17">
        <f t="shared" si="168"/>
        <v>62500</v>
      </c>
      <c r="P25" s="17">
        <f>SUM(M25:O25)</f>
        <v>187500</v>
      </c>
      <c r="Q25" s="17"/>
      <c r="R25" s="17">
        <f t="shared" si="168"/>
        <v>62500</v>
      </c>
      <c r="S25" s="17">
        <f t="shared" si="168"/>
        <v>62500</v>
      </c>
      <c r="T25" s="17">
        <f t="shared" si="168"/>
        <v>62500</v>
      </c>
      <c r="U25" s="17">
        <f t="shared" si="35"/>
        <v>187500</v>
      </c>
      <c r="V25" s="17"/>
      <c r="W25" s="17">
        <f t="shared" si="168"/>
        <v>62500</v>
      </c>
      <c r="X25" s="17">
        <f t="shared" si="168"/>
        <v>62500</v>
      </c>
      <c r="Y25" s="17">
        <f t="shared" si="168"/>
        <v>62500</v>
      </c>
      <c r="Z25" s="17">
        <f t="shared" si="36"/>
        <v>187500</v>
      </c>
      <c r="AA25" s="17"/>
      <c r="AB25" s="17">
        <f>SUM(Z25,U25,P25,K25)</f>
        <v>750000</v>
      </c>
      <c r="AD25" s="17">
        <f>(Assumptions!$M$13*Assumptions!$M$3)/12</f>
        <v>130000</v>
      </c>
      <c r="AE25" s="17">
        <f>(Assumptions!$M$13*Assumptions!$M$3)/12</f>
        <v>130000</v>
      </c>
      <c r="AF25" s="17">
        <f>(Assumptions!$M$13*Assumptions!$M$3)/12</f>
        <v>130000</v>
      </c>
      <c r="AG25" s="17">
        <f t="shared" si="158"/>
        <v>390000</v>
      </c>
      <c r="AH25" s="17"/>
      <c r="AI25" s="17">
        <f>(Assumptions!$M$13*Assumptions!$M$3)/12</f>
        <v>130000</v>
      </c>
      <c r="AJ25" s="17">
        <f>(Assumptions!$M$13*Assumptions!$M$3)/12</f>
        <v>130000</v>
      </c>
      <c r="AK25" s="17">
        <f>(Assumptions!$M$13*Assumptions!$M$3)/12</f>
        <v>130000</v>
      </c>
      <c r="AL25" s="17">
        <f t="shared" si="159"/>
        <v>390000</v>
      </c>
      <c r="AM25" s="17"/>
      <c r="AN25" s="17">
        <f>(Assumptions!$M$13*Assumptions!$M$3)/12</f>
        <v>130000</v>
      </c>
      <c r="AO25" s="17">
        <f>(Assumptions!$M$13*Assumptions!$M$3)/12</f>
        <v>130000</v>
      </c>
      <c r="AP25" s="17">
        <f>(Assumptions!$M$13*Assumptions!$M$3)/12</f>
        <v>130000</v>
      </c>
      <c r="AQ25" s="17">
        <f t="shared" si="160"/>
        <v>390000</v>
      </c>
      <c r="AR25" s="17"/>
      <c r="AS25" s="17">
        <f>(Assumptions!$M$13*Assumptions!$M$3)/12</f>
        <v>130000</v>
      </c>
      <c r="AT25" s="17">
        <f>(Assumptions!$M$13*Assumptions!$M$3)/12</f>
        <v>130000</v>
      </c>
      <c r="AU25" s="17">
        <f>(Assumptions!$M$13*Assumptions!$M$3)/12</f>
        <v>130000</v>
      </c>
      <c r="AV25" s="17"/>
      <c r="AW25" s="17">
        <f t="shared" si="161"/>
        <v>390000</v>
      </c>
      <c r="AX25" s="17"/>
      <c r="AY25" s="17">
        <f t="shared" si="162"/>
        <v>1560000</v>
      </c>
      <c r="BA25" s="17">
        <f>(Assumptions!$N$13*Assumptions!$N$3)/12</f>
        <v>202800</v>
      </c>
      <c r="BB25" s="17">
        <f>(Assumptions!$N$13*Assumptions!$N$3)/12</f>
        <v>202800</v>
      </c>
      <c r="BC25" s="17">
        <f>(Assumptions!$N$13*Assumptions!$N$3)/12</f>
        <v>202800</v>
      </c>
      <c r="BD25" s="17">
        <f t="shared" si="163"/>
        <v>608400</v>
      </c>
      <c r="BE25" s="17"/>
      <c r="BF25" s="17">
        <f>(Assumptions!$N$13*Assumptions!$N$3)/12</f>
        <v>202800</v>
      </c>
      <c r="BG25" s="17">
        <f>(Assumptions!$N$13*Assumptions!$N$3)/12</f>
        <v>202800</v>
      </c>
      <c r="BH25" s="17">
        <f>(Assumptions!$N$13*Assumptions!$N$3)/12</f>
        <v>202800</v>
      </c>
      <c r="BI25" s="17">
        <f t="shared" si="164"/>
        <v>608400</v>
      </c>
      <c r="BJ25" s="17"/>
      <c r="BK25" s="17">
        <f>(Assumptions!$N$13*Assumptions!$N$3)/12</f>
        <v>202800</v>
      </c>
      <c r="BL25" s="17">
        <f>(Assumptions!$N$13*Assumptions!$N$3)/12</f>
        <v>202800</v>
      </c>
      <c r="BM25" s="17">
        <f>(Assumptions!$N$13*Assumptions!$N$3)/12</f>
        <v>202800</v>
      </c>
      <c r="BN25" s="17">
        <f t="shared" si="165"/>
        <v>608400</v>
      </c>
      <c r="BO25" s="17"/>
      <c r="BP25" s="17">
        <f>(Assumptions!$N$13*Assumptions!$N$3)/12</f>
        <v>202800</v>
      </c>
      <c r="BQ25" s="17">
        <f>(Assumptions!$N$13*Assumptions!$N$3)/12</f>
        <v>202800</v>
      </c>
      <c r="BR25" s="17">
        <f>(Assumptions!$N$13*Assumptions!$N$3)/12</f>
        <v>202800</v>
      </c>
      <c r="BS25" s="17">
        <f t="shared" si="166"/>
        <v>608400</v>
      </c>
      <c r="BT25" s="17"/>
      <c r="BU25" s="17">
        <f t="shared" si="167"/>
        <v>2433600</v>
      </c>
    </row>
    <row r="26" spans="1:74" ht="15.75" customHeight="1" x14ac:dyDescent="0.3">
      <c r="A26" s="1">
        <v>44440</v>
      </c>
      <c r="B26" s="2" t="s">
        <v>1</v>
      </c>
      <c r="C26" s="9">
        <v>1665093.5</v>
      </c>
      <c r="G26" s="7" t="s">
        <v>13</v>
      </c>
      <c r="H26" s="17">
        <f t="shared" ref="H26:J26" si="169">175000/12</f>
        <v>14583.333333333334</v>
      </c>
      <c r="I26" s="17">
        <f t="shared" si="169"/>
        <v>14583.333333333334</v>
      </c>
      <c r="J26" s="17">
        <f t="shared" si="169"/>
        <v>14583.333333333334</v>
      </c>
      <c r="K26" s="17">
        <f t="shared" si="34"/>
        <v>43750</v>
      </c>
      <c r="L26" s="17"/>
      <c r="M26" s="17">
        <f t="shared" ref="M26:O26" si="170">175000/12</f>
        <v>14583.333333333334</v>
      </c>
      <c r="N26" s="17">
        <f t="shared" si="170"/>
        <v>14583.333333333334</v>
      </c>
      <c r="O26" s="17">
        <f t="shared" si="170"/>
        <v>14583.333333333334</v>
      </c>
      <c r="P26" s="17">
        <f>SUM(M26:O26)</f>
        <v>43750</v>
      </c>
      <c r="Q26" s="17"/>
      <c r="R26" s="17">
        <f t="shared" ref="R26:T26" si="171">175000/12</f>
        <v>14583.333333333334</v>
      </c>
      <c r="S26" s="17">
        <f t="shared" si="171"/>
        <v>14583.333333333334</v>
      </c>
      <c r="T26" s="17">
        <f t="shared" si="171"/>
        <v>14583.333333333334</v>
      </c>
      <c r="U26" s="17">
        <f t="shared" si="35"/>
        <v>43750</v>
      </c>
      <c r="V26" s="17"/>
      <c r="W26" s="17">
        <f t="shared" ref="W26:Y26" si="172">175000/12</f>
        <v>14583.333333333334</v>
      </c>
      <c r="X26" s="17">
        <f t="shared" si="172"/>
        <v>14583.333333333334</v>
      </c>
      <c r="Y26" s="17">
        <f t="shared" si="172"/>
        <v>14583.333333333334</v>
      </c>
      <c r="Z26" s="17">
        <f t="shared" si="36"/>
        <v>43750</v>
      </c>
      <c r="AA26" s="17"/>
      <c r="AB26" s="17">
        <f>SUM(Z26,U26,P26,K26)</f>
        <v>175000</v>
      </c>
      <c r="AD26" s="17">
        <f>(Assumptions!$Q$13*Assumptions!$Q$3)/12</f>
        <v>15166.666666666666</v>
      </c>
      <c r="AE26" s="17">
        <f>(Assumptions!$Q$13*Assumptions!$Q$3)/12</f>
        <v>15166.666666666666</v>
      </c>
      <c r="AF26" s="17">
        <f>(Assumptions!$Q$13*Assumptions!$Q$3)/12</f>
        <v>15166.666666666666</v>
      </c>
      <c r="AG26" s="17">
        <f t="shared" si="158"/>
        <v>45500</v>
      </c>
      <c r="AH26" s="17"/>
      <c r="AI26" s="17">
        <f>(Assumptions!$Q$13*Assumptions!$Q$3)/12</f>
        <v>15166.666666666666</v>
      </c>
      <c r="AJ26" s="17">
        <f>(Assumptions!$Q$13*Assumptions!$Q$3)/12</f>
        <v>15166.666666666666</v>
      </c>
      <c r="AK26" s="17">
        <f>(Assumptions!$Q$13*Assumptions!$Q$3)/12</f>
        <v>15166.666666666666</v>
      </c>
      <c r="AL26" s="17">
        <f t="shared" si="159"/>
        <v>45500</v>
      </c>
      <c r="AM26" s="17"/>
      <c r="AN26" s="17">
        <f>(Assumptions!$Q$13*Assumptions!$Q$3)/12</f>
        <v>15166.666666666666</v>
      </c>
      <c r="AO26" s="17">
        <f>(Assumptions!$Q$13*Assumptions!$Q$3)/12</f>
        <v>15166.666666666666</v>
      </c>
      <c r="AP26" s="17">
        <f>(Assumptions!$Q$13*Assumptions!$Q$3)/12</f>
        <v>15166.666666666666</v>
      </c>
      <c r="AQ26" s="17">
        <f t="shared" si="160"/>
        <v>45500</v>
      </c>
      <c r="AR26" s="17"/>
      <c r="AS26" s="17">
        <f>(Assumptions!$Q$13*Assumptions!$Q$3)/12</f>
        <v>15166.666666666666</v>
      </c>
      <c r="AT26" s="17">
        <f>(Assumptions!$Q$13*Assumptions!$Q$3)/12</f>
        <v>15166.666666666666</v>
      </c>
      <c r="AU26" s="17">
        <f>(Assumptions!$Q$13*Assumptions!$Q$3)/12</f>
        <v>15166.666666666666</v>
      </c>
      <c r="AV26" s="17"/>
      <c r="AW26" s="17">
        <f t="shared" si="161"/>
        <v>45500</v>
      </c>
      <c r="AX26" s="17"/>
      <c r="AY26" s="17">
        <f t="shared" si="162"/>
        <v>182000</v>
      </c>
      <c r="BA26" s="17">
        <f>(Assumptions!$R$13*Assumptions!$R$3)/12</f>
        <v>15773.333333333334</v>
      </c>
      <c r="BB26" s="17">
        <f>(Assumptions!$R$13*Assumptions!$R$3)/12</f>
        <v>15773.333333333334</v>
      </c>
      <c r="BC26" s="17">
        <f>(Assumptions!$R$13*Assumptions!$R$3)/12</f>
        <v>15773.333333333334</v>
      </c>
      <c r="BD26" s="17">
        <f t="shared" si="163"/>
        <v>47320</v>
      </c>
      <c r="BE26" s="17"/>
      <c r="BF26" s="17">
        <f>(Assumptions!$R$13*Assumptions!$R$3)/12</f>
        <v>15773.333333333334</v>
      </c>
      <c r="BG26" s="17">
        <f>(Assumptions!$R$13*Assumptions!$R$3)/12</f>
        <v>15773.333333333334</v>
      </c>
      <c r="BH26" s="17">
        <f>(Assumptions!$R$13*Assumptions!$R$3)/12</f>
        <v>15773.333333333334</v>
      </c>
      <c r="BI26" s="17">
        <f t="shared" si="164"/>
        <v>47320</v>
      </c>
      <c r="BJ26" s="17"/>
      <c r="BK26" s="17">
        <f>(Assumptions!$R$13*Assumptions!$R$3)/12</f>
        <v>15773.333333333334</v>
      </c>
      <c r="BL26" s="17">
        <f>(Assumptions!$R$13*Assumptions!$R$3)/12</f>
        <v>15773.333333333334</v>
      </c>
      <c r="BM26" s="17">
        <f>(Assumptions!$R$13*Assumptions!$R$3)/12</f>
        <v>15773.333333333334</v>
      </c>
      <c r="BN26" s="17">
        <f t="shared" si="165"/>
        <v>47320</v>
      </c>
      <c r="BO26" s="17"/>
      <c r="BP26" s="17">
        <f>(Assumptions!$R$13*Assumptions!$R$3)/12</f>
        <v>15773.333333333334</v>
      </c>
      <c r="BQ26" s="17">
        <f>(Assumptions!$R$13*Assumptions!$R$3)/12</f>
        <v>15773.333333333334</v>
      </c>
      <c r="BR26" s="17">
        <f>(Assumptions!$R$13*Assumptions!$R$3)/12</f>
        <v>15773.333333333334</v>
      </c>
      <c r="BS26" s="17">
        <f t="shared" si="166"/>
        <v>47320</v>
      </c>
      <c r="BT26" s="17"/>
      <c r="BU26" s="17">
        <f t="shared" si="167"/>
        <v>189280</v>
      </c>
    </row>
    <row r="27" spans="1:74" ht="15.75" customHeight="1" x14ac:dyDescent="0.3">
      <c r="A27" s="1">
        <v>44470</v>
      </c>
      <c r="B27" s="2" t="s">
        <v>1</v>
      </c>
      <c r="C27" s="9">
        <v>3211823.34</v>
      </c>
      <c r="G27" s="44" t="s">
        <v>14</v>
      </c>
      <c r="H27" s="45">
        <v>0</v>
      </c>
      <c r="I27" s="45">
        <v>0</v>
      </c>
      <c r="J27" s="45">
        <v>0</v>
      </c>
      <c r="K27" s="45">
        <f t="shared" si="34"/>
        <v>0</v>
      </c>
      <c r="L27" s="45"/>
      <c r="M27" s="45">
        <v>0</v>
      </c>
      <c r="N27" s="45">
        <v>0</v>
      </c>
      <c r="O27" s="45">
        <v>0</v>
      </c>
      <c r="P27" s="45">
        <f>SUM(M27:O27)</f>
        <v>0</v>
      </c>
      <c r="Q27" s="45"/>
      <c r="R27" s="45">
        <v>0</v>
      </c>
      <c r="S27" s="45">
        <v>0</v>
      </c>
      <c r="T27" s="45">
        <f>4000/60</f>
        <v>66.666666666666671</v>
      </c>
      <c r="U27" s="45">
        <f t="shared" si="35"/>
        <v>66.666666666666671</v>
      </c>
      <c r="V27" s="45"/>
      <c r="W27" s="45">
        <v>0</v>
      </c>
      <c r="X27" s="45">
        <v>0</v>
      </c>
      <c r="Y27" s="45">
        <v>0</v>
      </c>
      <c r="Z27" s="45">
        <f t="shared" si="36"/>
        <v>0</v>
      </c>
      <c r="AA27" s="45"/>
      <c r="AB27" s="45">
        <f>SUM(Z27,U27,P27,K27)</f>
        <v>66.666666666666671</v>
      </c>
      <c r="AC27" s="46"/>
      <c r="AD27" s="45">
        <v>0</v>
      </c>
      <c r="AE27" s="45">
        <v>0</v>
      </c>
      <c r="AF27" s="45">
        <v>0</v>
      </c>
      <c r="AG27" s="45">
        <f>SUM(AD27:AF27)</f>
        <v>0</v>
      </c>
      <c r="AH27" s="45"/>
      <c r="AI27" s="45">
        <v>0</v>
      </c>
      <c r="AJ27" s="45">
        <v>0</v>
      </c>
      <c r="AK27" s="45">
        <v>0</v>
      </c>
      <c r="AL27" s="45">
        <f>SUM(AI27:AK27)</f>
        <v>0</v>
      </c>
      <c r="AM27" s="45"/>
      <c r="AN27" s="45">
        <v>0</v>
      </c>
      <c r="AO27" s="45">
        <v>0</v>
      </c>
      <c r="AP27" s="45">
        <f>Assumptions!X33</f>
        <v>1166.6666666666667</v>
      </c>
      <c r="AQ27" s="45">
        <f>SUM(AN27:AP27)</f>
        <v>1166.6666666666667</v>
      </c>
      <c r="AR27" s="45"/>
      <c r="AS27" s="45">
        <v>0</v>
      </c>
      <c r="AT27" s="45">
        <v>0</v>
      </c>
      <c r="AU27" s="45">
        <v>0</v>
      </c>
      <c r="AV27" s="45"/>
      <c r="AW27" s="45">
        <f>SUM(AS27:AU27)</f>
        <v>0</v>
      </c>
      <c r="AX27" s="45"/>
      <c r="AY27" s="45">
        <f>SUM(AW27,AQ27,AL27,AG27)</f>
        <v>1166.6666666666667</v>
      </c>
      <c r="AZ27" s="59"/>
      <c r="BA27" s="45">
        <v>0</v>
      </c>
      <c r="BB27" s="45">
        <v>0</v>
      </c>
      <c r="BC27" s="45">
        <v>0</v>
      </c>
      <c r="BD27" s="45">
        <f>SUM(BA27:BC27)</f>
        <v>0</v>
      </c>
      <c r="BE27" s="45"/>
      <c r="BF27" s="45">
        <v>0</v>
      </c>
      <c r="BG27" s="45">
        <v>0</v>
      </c>
      <c r="BH27" s="45">
        <v>0</v>
      </c>
      <c r="BI27" s="45">
        <f>SUM(BF27:BH27)</f>
        <v>0</v>
      </c>
      <c r="BJ27" s="45"/>
      <c r="BK27" s="45">
        <v>0</v>
      </c>
      <c r="BL27" s="45">
        <v>0</v>
      </c>
      <c r="BM27" s="45">
        <f>Assumptions!AK33</f>
        <v>1166.6666666666667</v>
      </c>
      <c r="BN27" s="45">
        <f>SUM(BK27:BM27)</f>
        <v>1166.6666666666667</v>
      </c>
      <c r="BO27" s="45"/>
      <c r="BP27" s="45">
        <v>0</v>
      </c>
      <c r="BQ27" s="45">
        <v>0</v>
      </c>
      <c r="BR27" s="45">
        <v>0</v>
      </c>
      <c r="BS27" s="45">
        <f>SUM(BP27:BR27)</f>
        <v>0</v>
      </c>
      <c r="BT27" s="45"/>
      <c r="BU27" s="45">
        <f>SUM(BS27,BN27,BI27,BD27)</f>
        <v>1166.6666666666667</v>
      </c>
    </row>
    <row r="28" spans="1:74" ht="15.75" customHeight="1" x14ac:dyDescent="0.3">
      <c r="A28" s="1">
        <v>44501</v>
      </c>
      <c r="B28" s="2" t="s">
        <v>1</v>
      </c>
      <c r="C28" s="9">
        <v>3156300</v>
      </c>
      <c r="F28" s="11">
        <v>30000</v>
      </c>
      <c r="G28" s="44" t="s">
        <v>15</v>
      </c>
      <c r="H28" s="45">
        <f>$F$28/12</f>
        <v>2500</v>
      </c>
      <c r="I28" s="45">
        <f t="shared" ref="I28:J28" si="173">$F$28/12</f>
        <v>2500</v>
      </c>
      <c r="J28" s="45">
        <f t="shared" si="173"/>
        <v>2500</v>
      </c>
      <c r="K28" s="45">
        <f t="shared" si="34"/>
        <v>7500</v>
      </c>
      <c r="L28" s="45"/>
      <c r="M28" s="45">
        <f>$F$28/12</f>
        <v>2500</v>
      </c>
      <c r="N28" s="45">
        <f t="shared" ref="N28:O28" si="174">$F$28/12</f>
        <v>2500</v>
      </c>
      <c r="O28" s="45">
        <f t="shared" si="174"/>
        <v>2500</v>
      </c>
      <c r="P28" s="45">
        <f>SUM(M28:O28)</f>
        <v>7500</v>
      </c>
      <c r="Q28" s="45"/>
      <c r="R28" s="45">
        <f t="shared" ref="R28:T28" si="175">$F$28/12</f>
        <v>2500</v>
      </c>
      <c r="S28" s="45">
        <f t="shared" si="175"/>
        <v>2500</v>
      </c>
      <c r="T28" s="45">
        <f t="shared" si="175"/>
        <v>2500</v>
      </c>
      <c r="U28" s="45">
        <f t="shared" si="35"/>
        <v>7500</v>
      </c>
      <c r="V28" s="45"/>
      <c r="W28" s="45">
        <f>$F$28/12</f>
        <v>2500</v>
      </c>
      <c r="X28" s="45">
        <f t="shared" ref="X28:Y28" si="176">$F$28/12</f>
        <v>2500</v>
      </c>
      <c r="Y28" s="45">
        <f t="shared" si="176"/>
        <v>2500</v>
      </c>
      <c r="Z28" s="45">
        <f t="shared" si="36"/>
        <v>7500</v>
      </c>
      <c r="AA28" s="45"/>
      <c r="AB28" s="45">
        <f>SUM(Z28,U28,P28,K28)</f>
        <v>30000</v>
      </c>
      <c r="AC28" s="46"/>
      <c r="AD28" s="45">
        <f>Assumptions!P34</f>
        <v>2650</v>
      </c>
      <c r="AE28" s="45">
        <f>Assumptions!Q34</f>
        <v>2650</v>
      </c>
      <c r="AF28" s="45">
        <f>Assumptions!R34</f>
        <v>2650</v>
      </c>
      <c r="AG28" s="45">
        <f>SUM(AD28:AF28)</f>
        <v>7950</v>
      </c>
      <c r="AH28" s="45"/>
      <c r="AI28" s="45">
        <f>Assumptions!S34</f>
        <v>2650</v>
      </c>
      <c r="AJ28" s="45">
        <f>Assumptions!T34</f>
        <v>2650</v>
      </c>
      <c r="AK28" s="45">
        <f>Assumptions!U34</f>
        <v>2650</v>
      </c>
      <c r="AL28" s="45">
        <f>SUM(AI28:AK28)</f>
        <v>7950</v>
      </c>
      <c r="AM28" s="45"/>
      <c r="AN28" s="45">
        <f>Assumptions!V34</f>
        <v>2650</v>
      </c>
      <c r="AO28" s="45">
        <f>Assumptions!W34</f>
        <v>2650</v>
      </c>
      <c r="AP28" s="45">
        <f>Assumptions!X34</f>
        <v>2650</v>
      </c>
      <c r="AQ28" s="45">
        <f>SUM(AN28:AP28)</f>
        <v>7950</v>
      </c>
      <c r="AR28" s="45"/>
      <c r="AS28" s="45">
        <f>Assumptions!Y34</f>
        <v>2650</v>
      </c>
      <c r="AT28" s="45">
        <f>Assumptions!Z34</f>
        <v>2650</v>
      </c>
      <c r="AU28" s="45">
        <f>Assumptions!AA34</f>
        <v>2650</v>
      </c>
      <c r="AV28" s="45"/>
      <c r="AW28" s="45">
        <f>SUM(AS28:AU28)</f>
        <v>7950</v>
      </c>
      <c r="AX28" s="45"/>
      <c r="AY28" s="45">
        <f>SUM(AW28,AQ28,AL28,AG28)</f>
        <v>31800</v>
      </c>
      <c r="AZ28" s="59"/>
      <c r="BA28" s="45">
        <f>Assumptions!AC34</f>
        <v>2676.5</v>
      </c>
      <c r="BB28" s="45">
        <f>Assumptions!AD34</f>
        <v>2676.5</v>
      </c>
      <c r="BC28" s="45">
        <f>Assumptions!AE34</f>
        <v>2676.5</v>
      </c>
      <c r="BD28" s="45">
        <f>SUM(BA28:BC28)</f>
        <v>8029.5</v>
      </c>
      <c r="BE28" s="45"/>
      <c r="BF28" s="45">
        <f>Assumptions!AF34</f>
        <v>2676.5</v>
      </c>
      <c r="BG28" s="45">
        <f>Assumptions!AG34</f>
        <v>2676.5</v>
      </c>
      <c r="BH28" s="45">
        <f>Assumptions!AH34</f>
        <v>2676.5</v>
      </c>
      <c r="BI28" s="45">
        <f>SUM(BF28:BH28)</f>
        <v>8029.5</v>
      </c>
      <c r="BJ28" s="45"/>
      <c r="BK28" s="45">
        <f>Assumptions!AI34</f>
        <v>2676.5</v>
      </c>
      <c r="BL28" s="45">
        <f>Assumptions!AJ34</f>
        <v>2676.5</v>
      </c>
      <c r="BM28" s="45">
        <f>Assumptions!AK34</f>
        <v>2676.5</v>
      </c>
      <c r="BN28" s="45">
        <f>SUM(BK28:BM28)</f>
        <v>8029.5</v>
      </c>
      <c r="BO28" s="45"/>
      <c r="BP28" s="45">
        <f>Assumptions!AL34</f>
        <v>2676.5</v>
      </c>
      <c r="BQ28" s="45">
        <f>Assumptions!AM34</f>
        <v>2676.5</v>
      </c>
      <c r="BR28" s="45">
        <f>Assumptions!AN34</f>
        <v>2676.5</v>
      </c>
      <c r="BS28" s="45">
        <f>SUM(BP28:BR28)</f>
        <v>8029.5</v>
      </c>
      <c r="BT28" s="45"/>
      <c r="BU28" s="45">
        <f>SUM(BS28,BN28,BI28,BD28)</f>
        <v>32118</v>
      </c>
      <c r="BV28" s="56"/>
    </row>
    <row r="29" spans="1:74" ht="18" customHeight="1" x14ac:dyDescent="0.3">
      <c r="A29" s="1"/>
      <c r="B29" s="2"/>
      <c r="C29" s="9"/>
      <c r="F29" s="11"/>
      <c r="G29" s="67" t="s">
        <v>62</v>
      </c>
      <c r="H29" s="68">
        <f>SUM(H23:H28)</f>
        <v>229583.33333333334</v>
      </c>
      <c r="I29" s="68">
        <f t="shared" ref="I29:K29" si="177">SUM(I23:I28)</f>
        <v>229583.33333333334</v>
      </c>
      <c r="J29" s="68">
        <f t="shared" si="177"/>
        <v>229583.33333333334</v>
      </c>
      <c r="K29" s="68">
        <f t="shared" si="177"/>
        <v>688750</v>
      </c>
      <c r="L29" s="69"/>
      <c r="M29" s="68">
        <f t="shared" ref="M29:P29" si="178">SUM(M23:M28)</f>
        <v>229583.33333333334</v>
      </c>
      <c r="N29" s="68">
        <f t="shared" si="178"/>
        <v>229583.33333333334</v>
      </c>
      <c r="O29" s="68">
        <f t="shared" si="178"/>
        <v>229583.33333333334</v>
      </c>
      <c r="P29" s="68">
        <f t="shared" si="178"/>
        <v>688750</v>
      </c>
      <c r="Q29" s="69"/>
      <c r="R29" s="68">
        <f t="shared" ref="R29:U29" si="179">SUM(R23:R28)</f>
        <v>229583.33333333334</v>
      </c>
      <c r="S29" s="68">
        <f t="shared" si="179"/>
        <v>229583.33333333334</v>
      </c>
      <c r="T29" s="68">
        <f t="shared" si="179"/>
        <v>229650</v>
      </c>
      <c r="U29" s="68">
        <f t="shared" si="179"/>
        <v>688816.66666666663</v>
      </c>
      <c r="V29" s="69"/>
      <c r="W29" s="68">
        <f t="shared" ref="W29:Z29" si="180">SUM(W23:W28)</f>
        <v>229583.33333333334</v>
      </c>
      <c r="X29" s="68">
        <f t="shared" si="180"/>
        <v>229583.33333333334</v>
      </c>
      <c r="Y29" s="68">
        <f t="shared" si="180"/>
        <v>229583.33333333334</v>
      </c>
      <c r="Z29" s="68">
        <f t="shared" si="180"/>
        <v>688750</v>
      </c>
      <c r="AA29" s="69"/>
      <c r="AB29" s="68">
        <f>SUM(AB23:AB28)</f>
        <v>2755066.6666666665</v>
      </c>
      <c r="AC29" s="46"/>
      <c r="AD29" s="68">
        <f t="shared" ref="AD29" si="181">SUM(AD23:AD28)</f>
        <v>381816.66666666669</v>
      </c>
      <c r="AE29" s="68">
        <f t="shared" ref="AE29" si="182">SUM(AE23:AE28)</f>
        <v>381816.66666666669</v>
      </c>
      <c r="AF29" s="68">
        <f t="shared" ref="AF29" si="183">SUM(AF23:AF28)</f>
        <v>381816.66666666669</v>
      </c>
      <c r="AG29" s="68">
        <f t="shared" ref="AG29" si="184">SUM(AG23:AG28)</f>
        <v>1145450</v>
      </c>
      <c r="AH29" s="69"/>
      <c r="AI29" s="68">
        <f t="shared" ref="AI29" si="185">SUM(AI23:AI28)</f>
        <v>381816.66666666669</v>
      </c>
      <c r="AJ29" s="68">
        <f t="shared" ref="AJ29" si="186">SUM(AJ23:AJ28)</f>
        <v>381816.66666666669</v>
      </c>
      <c r="AK29" s="68">
        <f t="shared" ref="AK29" si="187">SUM(AK23:AK28)</f>
        <v>381816.66666666669</v>
      </c>
      <c r="AL29" s="68">
        <f t="shared" ref="AL29" si="188">SUM(AL23:AL28)</f>
        <v>1145450</v>
      </c>
      <c r="AM29" s="69"/>
      <c r="AN29" s="68">
        <f t="shared" ref="AN29" si="189">SUM(AN23:AN28)</f>
        <v>381816.66666666669</v>
      </c>
      <c r="AO29" s="68">
        <f t="shared" ref="AO29" si="190">SUM(AO23:AO28)</f>
        <v>381816.66666666669</v>
      </c>
      <c r="AP29" s="68">
        <f t="shared" ref="AP29" si="191">SUM(AP23:AP28)</f>
        <v>382983.33333333337</v>
      </c>
      <c r="AQ29" s="68">
        <f t="shared" ref="AQ29" si="192">SUM(AQ23:AQ28)</f>
        <v>1146616.6666666667</v>
      </c>
      <c r="AR29" s="69"/>
      <c r="AS29" s="68">
        <f t="shared" ref="AS29" si="193">SUM(AS23:AS28)</f>
        <v>381816.66666666669</v>
      </c>
      <c r="AT29" s="68">
        <f t="shared" ref="AT29" si="194">SUM(AT23:AT28)</f>
        <v>381816.66666666669</v>
      </c>
      <c r="AU29" s="68">
        <f t="shared" ref="AU29" si="195">SUM(AU23:AU28)</f>
        <v>381816.66666666669</v>
      </c>
      <c r="AV29" s="68"/>
      <c r="AW29" s="68">
        <f t="shared" ref="AW29" si="196">SUM(AW23:AW28)</f>
        <v>1145450</v>
      </c>
      <c r="AX29" s="68"/>
      <c r="AY29" s="68">
        <f>SUM(AY23:AY28)</f>
        <v>4582966.666666667</v>
      </c>
      <c r="AZ29" s="59"/>
      <c r="BA29" s="68">
        <f t="shared" ref="BA29" si="197">SUM(BA23:BA28)</f>
        <v>545729.83333333337</v>
      </c>
      <c r="BB29" s="68">
        <f t="shared" ref="BB29" si="198">SUM(BB23:BB28)</f>
        <v>545729.83333333337</v>
      </c>
      <c r="BC29" s="68">
        <f t="shared" ref="BC29" si="199">SUM(BC23:BC28)</f>
        <v>545729.83333333337</v>
      </c>
      <c r="BD29" s="68">
        <f t="shared" ref="BD29" si="200">SUM(BD23:BD28)</f>
        <v>1637189.5</v>
      </c>
      <c r="BE29" s="69"/>
      <c r="BF29" s="68">
        <f t="shared" ref="BF29" si="201">SUM(BF23:BF28)</f>
        <v>545729.83333333337</v>
      </c>
      <c r="BG29" s="68">
        <f t="shared" ref="BG29" si="202">SUM(BG23:BG28)</f>
        <v>545729.83333333337</v>
      </c>
      <c r="BH29" s="68">
        <f t="shared" ref="BH29" si="203">SUM(BH23:BH28)</f>
        <v>545729.83333333337</v>
      </c>
      <c r="BI29" s="68">
        <f t="shared" ref="BI29" si="204">SUM(BI23:BI28)</f>
        <v>1637189.5</v>
      </c>
      <c r="BJ29" s="69"/>
      <c r="BK29" s="68">
        <f t="shared" ref="BK29" si="205">SUM(BK23:BK28)</f>
        <v>545729.83333333337</v>
      </c>
      <c r="BL29" s="68">
        <f t="shared" ref="BL29" si="206">SUM(BL23:BL28)</f>
        <v>545729.83333333337</v>
      </c>
      <c r="BM29" s="68">
        <f t="shared" ref="BM29" si="207">SUM(BM23:BM28)</f>
        <v>546896.5</v>
      </c>
      <c r="BN29" s="68">
        <f t="shared" ref="BN29" si="208">SUM(BN23:BN28)</f>
        <v>1638356.1666666667</v>
      </c>
      <c r="BO29" s="69"/>
      <c r="BP29" s="68">
        <f t="shared" ref="BP29" si="209">SUM(BP23:BP28)</f>
        <v>545729.83333333337</v>
      </c>
      <c r="BQ29" s="68">
        <f t="shared" ref="BQ29" si="210">SUM(BQ23:BQ28)</f>
        <v>545729.83333333337</v>
      </c>
      <c r="BR29" s="68">
        <f t="shared" ref="BR29" si="211">SUM(BR23:BR28)</f>
        <v>545729.83333333337</v>
      </c>
      <c r="BS29" s="68">
        <f t="shared" ref="BS29" si="212">SUM(BS23:BS28)</f>
        <v>1637189.5</v>
      </c>
      <c r="BT29" s="68">
        <f t="shared" ref="BT29:BU29" si="213">SUM(BT23:BT28)</f>
        <v>0</v>
      </c>
      <c r="BU29" s="68">
        <f t="shared" si="213"/>
        <v>6549924.666666667</v>
      </c>
      <c r="BV29" s="76"/>
    </row>
    <row r="30" spans="1:74" ht="3.6" customHeight="1" x14ac:dyDescent="0.3">
      <c r="A30" s="1"/>
      <c r="B30" s="2"/>
      <c r="C30" s="9"/>
      <c r="F30" s="11"/>
      <c r="G30" s="144"/>
      <c r="H30" s="76"/>
      <c r="I30" s="76"/>
      <c r="J30" s="76"/>
      <c r="K30" s="76"/>
      <c r="L30" s="59"/>
      <c r="M30" s="76"/>
      <c r="N30" s="76"/>
      <c r="O30" s="76"/>
      <c r="P30" s="76"/>
      <c r="Q30" s="59"/>
      <c r="R30" s="76"/>
      <c r="S30" s="76"/>
      <c r="T30" s="76"/>
      <c r="U30" s="76"/>
      <c r="V30" s="59"/>
      <c r="W30" s="76"/>
      <c r="X30" s="76"/>
      <c r="Y30" s="76"/>
      <c r="Z30" s="76"/>
      <c r="AA30" s="59"/>
      <c r="AB30" s="76"/>
      <c r="AC30" s="46"/>
      <c r="AD30" s="76"/>
      <c r="AE30" s="76"/>
      <c r="AF30" s="76"/>
      <c r="AG30" s="76"/>
      <c r="AH30" s="59"/>
      <c r="AI30" s="76"/>
      <c r="AJ30" s="76"/>
      <c r="AK30" s="76"/>
      <c r="AL30" s="76"/>
      <c r="AM30" s="59"/>
      <c r="AN30" s="76"/>
      <c r="AO30" s="76"/>
      <c r="AP30" s="76"/>
      <c r="AQ30" s="76"/>
      <c r="AR30" s="59"/>
      <c r="AS30" s="76"/>
      <c r="AT30" s="76"/>
      <c r="AU30" s="76"/>
      <c r="AV30" s="76"/>
      <c r="AW30" s="76"/>
      <c r="AX30" s="76"/>
      <c r="AY30" s="76"/>
      <c r="AZ30" s="59"/>
      <c r="BA30" s="76"/>
      <c r="BB30" s="76"/>
      <c r="BC30" s="76"/>
      <c r="BD30" s="76"/>
      <c r="BE30" s="59"/>
      <c r="BF30" s="76"/>
      <c r="BG30" s="76"/>
      <c r="BH30" s="76"/>
      <c r="BI30" s="76"/>
      <c r="BJ30" s="59"/>
      <c r="BK30" s="76"/>
      <c r="BL30" s="76"/>
      <c r="BM30" s="76"/>
      <c r="BN30" s="76"/>
      <c r="BO30" s="59"/>
      <c r="BP30" s="76"/>
      <c r="BQ30" s="76"/>
      <c r="BR30" s="76"/>
      <c r="BS30" s="76"/>
      <c r="BT30" s="76"/>
      <c r="BU30" s="76"/>
      <c r="BV30" s="76"/>
    </row>
    <row r="31" spans="1:74" ht="15.75" hidden="1" customHeight="1" outlineLevel="1" x14ac:dyDescent="0.3">
      <c r="A31" s="1"/>
      <c r="B31" s="2"/>
      <c r="C31" s="9"/>
      <c r="F31" s="11"/>
      <c r="G31" s="144" t="s">
        <v>74</v>
      </c>
      <c r="H31" s="76">
        <f>H29+H20</f>
        <v>265583.33333333337</v>
      </c>
      <c r="I31" s="76">
        <f t="shared" ref="I31:AB31" si="214">I29+I20</f>
        <v>265583.33333333337</v>
      </c>
      <c r="J31" s="76">
        <f t="shared" si="214"/>
        <v>265583.33333333337</v>
      </c>
      <c r="K31" s="76">
        <f t="shared" si="214"/>
        <v>796750</v>
      </c>
      <c r="L31" s="76">
        <f t="shared" si="214"/>
        <v>0</v>
      </c>
      <c r="M31" s="76">
        <f t="shared" si="214"/>
        <v>265583.33333333337</v>
      </c>
      <c r="N31" s="76">
        <f t="shared" si="214"/>
        <v>265583.33333333337</v>
      </c>
      <c r="O31" s="76">
        <f t="shared" si="214"/>
        <v>265583.33333333337</v>
      </c>
      <c r="P31" s="76">
        <f t="shared" si="214"/>
        <v>796750</v>
      </c>
      <c r="Q31" s="76">
        <f t="shared" si="214"/>
        <v>0</v>
      </c>
      <c r="R31" s="76">
        <f t="shared" si="214"/>
        <v>265583.33333333337</v>
      </c>
      <c r="S31" s="76">
        <f t="shared" si="214"/>
        <v>265583.33333333337</v>
      </c>
      <c r="T31" s="76">
        <f t="shared" si="214"/>
        <v>265650</v>
      </c>
      <c r="U31" s="76">
        <f t="shared" si="214"/>
        <v>796816.66666666663</v>
      </c>
      <c r="V31" s="76">
        <f t="shared" si="214"/>
        <v>0</v>
      </c>
      <c r="W31" s="76">
        <f t="shared" si="214"/>
        <v>265583.33333333337</v>
      </c>
      <c r="X31" s="76">
        <f t="shared" si="214"/>
        <v>265583.33333333337</v>
      </c>
      <c r="Y31" s="76">
        <f t="shared" si="214"/>
        <v>265583.33333333337</v>
      </c>
      <c r="Z31" s="76">
        <f t="shared" si="214"/>
        <v>796750</v>
      </c>
      <c r="AA31" s="76">
        <f t="shared" si="214"/>
        <v>0</v>
      </c>
      <c r="AB31" s="76">
        <f t="shared" si="214"/>
        <v>3187066.6666666665</v>
      </c>
      <c r="AC31" s="46"/>
      <c r="AD31" s="76"/>
      <c r="AE31" s="76"/>
      <c r="AF31" s="76"/>
      <c r="AG31" s="76">
        <f>AG29+AG20</f>
        <v>1307450</v>
      </c>
      <c r="AH31" s="76">
        <f t="shared" ref="AH31:BA31" si="215">AH29+AH20</f>
        <v>0</v>
      </c>
      <c r="AI31" s="76">
        <f t="shared" si="215"/>
        <v>435816.66666666669</v>
      </c>
      <c r="AJ31" s="76">
        <f t="shared" si="215"/>
        <v>435816.66666666669</v>
      </c>
      <c r="AK31" s="76">
        <f t="shared" si="215"/>
        <v>435816.66666666669</v>
      </c>
      <c r="AL31" s="76">
        <f t="shared" si="215"/>
        <v>1307450</v>
      </c>
      <c r="AM31" s="76">
        <f t="shared" si="215"/>
        <v>0</v>
      </c>
      <c r="AN31" s="76">
        <f t="shared" si="215"/>
        <v>435816.66666666669</v>
      </c>
      <c r="AO31" s="76">
        <f t="shared" si="215"/>
        <v>435816.66666666669</v>
      </c>
      <c r="AP31" s="76">
        <f t="shared" si="215"/>
        <v>436983.33333333337</v>
      </c>
      <c r="AQ31" s="76">
        <f t="shared" si="215"/>
        <v>1308616.6666666667</v>
      </c>
      <c r="AR31" s="76">
        <f t="shared" si="215"/>
        <v>0</v>
      </c>
      <c r="AS31" s="76">
        <f t="shared" si="215"/>
        <v>435816.66666666669</v>
      </c>
      <c r="AT31" s="76">
        <f t="shared" si="215"/>
        <v>435816.66666666669</v>
      </c>
      <c r="AU31" s="76">
        <f t="shared" si="215"/>
        <v>435816.66666666669</v>
      </c>
      <c r="AV31" s="76">
        <f t="shared" si="215"/>
        <v>0</v>
      </c>
      <c r="AW31" s="76">
        <f t="shared" si="215"/>
        <v>1307450</v>
      </c>
      <c r="AX31" s="76">
        <f t="shared" si="215"/>
        <v>0</v>
      </c>
      <c r="AY31" s="76">
        <f t="shared" si="215"/>
        <v>5230966.666666667</v>
      </c>
      <c r="AZ31" s="76"/>
      <c r="BA31" s="76">
        <f t="shared" si="215"/>
        <v>545729.83333333337</v>
      </c>
      <c r="BB31" s="76"/>
      <c r="BC31" s="76"/>
      <c r="BD31" s="76">
        <f>BD29+BD20</f>
        <v>1853189.5</v>
      </c>
      <c r="BE31" s="76">
        <f t="shared" ref="BE31:BU31" si="216">BE29+BE20</f>
        <v>0</v>
      </c>
      <c r="BF31" s="76">
        <f t="shared" si="216"/>
        <v>617729.83333333337</v>
      </c>
      <c r="BG31" s="76">
        <f t="shared" si="216"/>
        <v>617729.83333333337</v>
      </c>
      <c r="BH31" s="76">
        <f t="shared" si="216"/>
        <v>617729.83333333337</v>
      </c>
      <c r="BI31" s="76">
        <f t="shared" si="216"/>
        <v>1853189.5</v>
      </c>
      <c r="BJ31" s="76">
        <f t="shared" si="216"/>
        <v>0</v>
      </c>
      <c r="BK31" s="76">
        <f t="shared" si="216"/>
        <v>617729.83333333337</v>
      </c>
      <c r="BL31" s="76">
        <f t="shared" si="216"/>
        <v>617729.83333333337</v>
      </c>
      <c r="BM31" s="76">
        <f t="shared" si="216"/>
        <v>618896.5</v>
      </c>
      <c r="BN31" s="76">
        <f t="shared" si="216"/>
        <v>1854356.1666666667</v>
      </c>
      <c r="BO31" s="76">
        <f t="shared" si="216"/>
        <v>0</v>
      </c>
      <c r="BP31" s="76">
        <f t="shared" si="216"/>
        <v>617729.83333333337</v>
      </c>
      <c r="BQ31" s="76">
        <f t="shared" si="216"/>
        <v>617729.83333333337</v>
      </c>
      <c r="BR31" s="76">
        <f t="shared" si="216"/>
        <v>617729.83333333337</v>
      </c>
      <c r="BS31" s="76">
        <f t="shared" si="216"/>
        <v>1853189.5</v>
      </c>
      <c r="BT31" s="76">
        <f t="shared" si="216"/>
        <v>0</v>
      </c>
      <c r="BU31" s="76">
        <f t="shared" si="216"/>
        <v>7413924.666666667</v>
      </c>
      <c r="BV31" s="76"/>
    </row>
    <row r="32" spans="1:74" ht="4.8" customHeight="1" collapsed="1" x14ac:dyDescent="0.3">
      <c r="A32" s="1">
        <v>44531</v>
      </c>
      <c r="B32" s="2" t="s">
        <v>1</v>
      </c>
      <c r="C32" s="9">
        <v>3290980</v>
      </c>
      <c r="G32" s="46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6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60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</row>
    <row r="33" spans="1:73" ht="15.75" customHeight="1" thickBot="1" x14ac:dyDescent="0.35">
      <c r="A33" s="1">
        <v>44197</v>
      </c>
      <c r="B33" s="2" t="s">
        <v>3</v>
      </c>
      <c r="C33" s="9">
        <v>331017.28000000003</v>
      </c>
      <c r="G33" s="70" t="s">
        <v>16</v>
      </c>
      <c r="H33" s="71">
        <f>H15-SUM(H19,H23:H28)</f>
        <v>48883.082666666713</v>
      </c>
      <c r="I33" s="71">
        <f>I15-SUM(I19,I23:I28)</f>
        <v>34185.243166666653</v>
      </c>
      <c r="J33" s="71">
        <f>J15-SUM(J19,J23:J28)</f>
        <v>57761.801666666695</v>
      </c>
      <c r="K33" s="71">
        <f t="shared" si="34"/>
        <v>140830.12750000006</v>
      </c>
      <c r="L33" s="71"/>
      <c r="M33" s="71">
        <f>M15-SUM(M19,M23:M28)</f>
        <v>76171.053666666732</v>
      </c>
      <c r="N33" s="71">
        <f>N15-SUM(N19,N23:N28)</f>
        <v>42492.489666666719</v>
      </c>
      <c r="O33" s="71">
        <f>O15-SUM(O19,O23:O28)</f>
        <v>49369.701166666695</v>
      </c>
      <c r="P33" s="71">
        <f>SUM(M33:O33)</f>
        <v>168033.24450000015</v>
      </c>
      <c r="Q33" s="71"/>
      <c r="R33" s="71">
        <f>R15-SUM(R19,R23:R28)</f>
        <v>71314.539666666707</v>
      </c>
      <c r="S33" s="71">
        <f>S15-SUM(S19,S23:S28)</f>
        <v>93870.589166666672</v>
      </c>
      <c r="T33" s="71">
        <f>T15-SUM(T19,T23:T28)</f>
        <v>50717.765000000014</v>
      </c>
      <c r="U33" s="71">
        <f t="shared" si="35"/>
        <v>215902.89383333339</v>
      </c>
      <c r="V33" s="71"/>
      <c r="W33" s="71">
        <f>W15-SUM(W19,W23:W28)</f>
        <v>338560.63566666673</v>
      </c>
      <c r="X33" s="71">
        <f>X15-SUM(X19,X23:X28)</f>
        <v>346107.60666666663</v>
      </c>
      <c r="Y33" s="71">
        <f>Y15-SUM(Y19,Y23:Y28)</f>
        <v>359702.86666666664</v>
      </c>
      <c r="Z33" s="71">
        <f t="shared" si="36"/>
        <v>1044371.1089999999</v>
      </c>
      <c r="AA33" s="71"/>
      <c r="AB33" s="71">
        <f>SUM(Z33,U33,P33,K33)</f>
        <v>1569137.3748333333</v>
      </c>
      <c r="AD33" s="71">
        <f>AD15-SUM(AD19,AD23:AD28)</f>
        <v>262791.80027708324</v>
      </c>
      <c r="AE33" s="71">
        <f>AE15-SUM(AE19,AE23:AE28)</f>
        <v>220084.56523958343</v>
      </c>
      <c r="AF33" s="71">
        <f>AF15-SUM(AF19,AF23:AF28)</f>
        <v>285069.75530333322</v>
      </c>
      <c r="AG33" s="71">
        <f>SUM(AD33:AF33)</f>
        <v>767946.12081999984</v>
      </c>
      <c r="AH33" s="71"/>
      <c r="AI33" s="71">
        <f>AI15-SUM(AI19,AI23:AI28)</f>
        <v>310519.75584083336</v>
      </c>
      <c r="AJ33" s="71">
        <f>AJ15-SUM(AJ19,AJ23:AJ28)</f>
        <v>257919.98676458321</v>
      </c>
      <c r="AK33" s="71">
        <f>AK15-SUM(AK19,AK23:AK28)</f>
        <v>252858.8482508334</v>
      </c>
      <c r="AL33" s="71">
        <f>SUM(AI33:AK33)</f>
        <v>821298.59085624991</v>
      </c>
      <c r="AM33" s="71"/>
      <c r="AN33" s="71">
        <f>AN15-SUM(AN19,AN23:AN28)</f>
        <v>485909.71892708336</v>
      </c>
      <c r="AO33" s="71">
        <f>AO15-SUM(AO19,AO23:AO28)</f>
        <v>551845.74038333329</v>
      </c>
      <c r="AP33" s="71">
        <f>AP15-SUM(AP19,AP23:AP28)</f>
        <v>403635.80179166666</v>
      </c>
      <c r="AQ33" s="71">
        <f>SUM(AN33:AP33)</f>
        <v>1441391.2611020831</v>
      </c>
      <c r="AR33" s="71"/>
      <c r="AS33" s="71">
        <f>AS15-SUM(AS19,AS23:AS28)</f>
        <v>979192.25356208347</v>
      </c>
      <c r="AT33" s="71">
        <f>AT15-SUM(AT19,AT23:AT28)</f>
        <v>953017.33208333352</v>
      </c>
      <c r="AU33" s="71">
        <f>AU15-SUM(AU19,AU23:AU28)</f>
        <v>1016801.3367083333</v>
      </c>
      <c r="AV33" s="71"/>
      <c r="AW33" s="71">
        <f>SUM(AS33:AU33)</f>
        <v>2949010.9223537501</v>
      </c>
      <c r="AX33" s="71"/>
      <c r="AY33" s="71">
        <f t="shared" ref="AY33" si="217">SUM(AW33,AQ33,AL33,AG33)</f>
        <v>5979646.8951320825</v>
      </c>
      <c r="BA33" s="71">
        <f>BA15-SUM(BA19,BA23:BA28)</f>
        <v>632598.55916666624</v>
      </c>
      <c r="BB33" s="71">
        <f>BB15-SUM(BB19,BB23:BB28)</f>
        <v>548373.31666666677</v>
      </c>
      <c r="BC33" s="71">
        <f>BC15-SUM(BC19,BC23:BC28)</f>
        <v>678216.92266666645</v>
      </c>
      <c r="BD33" s="71">
        <f>SUM(BA33:BC33)</f>
        <v>1859188.7984999996</v>
      </c>
      <c r="BE33" s="71"/>
      <c r="BF33" s="71">
        <f>BF15-SUM(BF19,BF23:BF28)</f>
        <v>730676.30266666657</v>
      </c>
      <c r="BG33" s="71">
        <f>BG15-SUM(BG19,BG23:BG28)</f>
        <v>621409.8866666666</v>
      </c>
      <c r="BH33" s="71">
        <f>BH15-SUM(BH19,BH23:BH28)</f>
        <v>613304.69566666672</v>
      </c>
      <c r="BI33" s="71">
        <f>SUM(BF33:BH33)</f>
        <v>1965390.8849999998</v>
      </c>
      <c r="BJ33" s="71"/>
      <c r="BK33" s="71">
        <f>BK15-SUM(BK19,BK23:BK28)</f>
        <v>1051715.3791666664</v>
      </c>
      <c r="BL33" s="71">
        <f>BL15-SUM(BL19,BL23:BL28)</f>
        <v>1184788.0066666664</v>
      </c>
      <c r="BM33" s="71">
        <f>BM15-SUM(BM19,BM23:BM28)</f>
        <v>887474.8</v>
      </c>
      <c r="BN33" s="71">
        <f>SUM(BK33:BM33)</f>
        <v>3123978.1858333331</v>
      </c>
      <c r="BO33" s="71"/>
      <c r="BP33" s="71">
        <f>BP15-SUM(BP19,BP23:BP28)</f>
        <v>2048245.7521666666</v>
      </c>
      <c r="BQ33" s="71">
        <f>BQ15-SUM(BQ19,BQ23:BQ28)</f>
        <v>1995235.666666666</v>
      </c>
      <c r="BR33" s="71">
        <f>BR15-SUM(BR19,BR23:BR28)</f>
        <v>2125002.8166666664</v>
      </c>
      <c r="BS33" s="71">
        <f>SUM(BP33:BR33)</f>
        <v>6168484.2354999986</v>
      </c>
      <c r="BT33" s="17"/>
      <c r="BU33" s="71">
        <f>SUM(BS33,BN33,BI33,BD33)</f>
        <v>13117042.104833331</v>
      </c>
    </row>
    <row r="34" spans="1:73" ht="15.75" customHeight="1" thickTop="1" x14ac:dyDescent="0.3">
      <c r="A34" s="1">
        <v>44228</v>
      </c>
      <c r="B34" s="2" t="s">
        <v>3</v>
      </c>
      <c r="C34" s="9">
        <v>315545.87</v>
      </c>
    </row>
    <row r="35" spans="1:73" ht="15.75" customHeight="1" x14ac:dyDescent="0.3">
      <c r="A35" s="1">
        <v>44256</v>
      </c>
      <c r="B35" s="2" t="s">
        <v>3</v>
      </c>
      <c r="C35" s="9">
        <v>340363.3</v>
      </c>
    </row>
    <row r="36" spans="1:73" ht="15.75" customHeight="1" x14ac:dyDescent="0.3">
      <c r="A36" s="1">
        <v>44287</v>
      </c>
      <c r="B36" s="2" t="s">
        <v>3</v>
      </c>
      <c r="C36" s="9">
        <v>359741.46</v>
      </c>
    </row>
    <row r="37" spans="1:73" ht="15.75" customHeight="1" x14ac:dyDescent="0.3">
      <c r="A37" s="1">
        <v>44317</v>
      </c>
      <c r="B37" s="2" t="s">
        <v>3</v>
      </c>
      <c r="C37" s="9">
        <v>324290.34000000003</v>
      </c>
      <c r="G37" s="11"/>
    </row>
    <row r="38" spans="1:73" ht="15.75" customHeight="1" x14ac:dyDescent="0.3">
      <c r="A38" s="1">
        <v>44348</v>
      </c>
      <c r="B38" s="2" t="s">
        <v>3</v>
      </c>
      <c r="C38" s="9">
        <v>331529.51</v>
      </c>
    </row>
    <row r="39" spans="1:73" ht="15.75" customHeight="1" x14ac:dyDescent="0.3">
      <c r="A39" s="1">
        <v>44378</v>
      </c>
      <c r="B39" s="2" t="s">
        <v>3</v>
      </c>
      <c r="C39" s="9">
        <v>354629.34</v>
      </c>
    </row>
    <row r="40" spans="1:73" ht="15.75" customHeight="1" x14ac:dyDescent="0.3">
      <c r="A40" s="1">
        <v>44409</v>
      </c>
      <c r="B40" s="2" t="s">
        <v>3</v>
      </c>
      <c r="C40" s="9">
        <v>378372.55</v>
      </c>
    </row>
    <row r="41" spans="1:73" ht="15.75" customHeight="1" x14ac:dyDescent="0.3">
      <c r="A41" s="1">
        <v>44440</v>
      </c>
      <c r="B41" s="2" t="s">
        <v>3</v>
      </c>
      <c r="C41" s="9">
        <v>333018.7</v>
      </c>
    </row>
    <row r="42" spans="1:73" ht="15.75" customHeight="1" x14ac:dyDescent="0.3">
      <c r="A42" s="1">
        <v>44470</v>
      </c>
      <c r="B42" s="2" t="s">
        <v>3</v>
      </c>
      <c r="C42" s="9">
        <v>635941.02</v>
      </c>
    </row>
    <row r="43" spans="1:73" ht="15.75" customHeight="1" x14ac:dyDescent="0.3">
      <c r="A43" s="1">
        <v>44501</v>
      </c>
      <c r="B43" s="2" t="s">
        <v>3</v>
      </c>
      <c r="C43" s="9">
        <v>643885.19999999995</v>
      </c>
    </row>
    <row r="44" spans="1:73" ht="15.75" customHeight="1" x14ac:dyDescent="0.3">
      <c r="A44" s="1">
        <v>44531</v>
      </c>
      <c r="B44" s="2" t="s">
        <v>3</v>
      </c>
      <c r="C44" s="9">
        <v>658196</v>
      </c>
    </row>
    <row r="45" spans="1:73" ht="15.75" customHeight="1" x14ac:dyDescent="0.3"/>
    <row r="46" spans="1:73" ht="15.75" customHeight="1" x14ac:dyDescent="0.3"/>
    <row r="47" spans="1:73" ht="15.75" customHeight="1" x14ac:dyDescent="0.3"/>
    <row r="48" spans="1:7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98E7-36C8-4317-88DE-87B7B5093AA4}">
  <dimension ref="A1:AN46"/>
  <sheetViews>
    <sheetView showGridLines="0" workbookViewId="0">
      <selection activeCell="F8" sqref="F8"/>
    </sheetView>
  </sheetViews>
  <sheetFormatPr defaultRowHeight="15.6" x14ac:dyDescent="0.3"/>
  <cols>
    <col min="1" max="1" width="81.296875" bestFit="1" customWidth="1"/>
    <col min="2" max="2" width="16.19921875" bestFit="1" customWidth="1"/>
    <col min="3" max="3" width="21.3984375" customWidth="1"/>
    <col min="4" max="6" width="17.09765625" bestFit="1" customWidth="1"/>
    <col min="7" max="7" width="8.5" bestFit="1" customWidth="1"/>
    <col min="8" max="10" width="15.296875" bestFit="1" customWidth="1"/>
    <col min="11" max="11" width="9.19921875" customWidth="1"/>
    <col min="12" max="12" width="11.3984375" bestFit="1" customWidth="1"/>
    <col min="13" max="14" width="11.5" bestFit="1" customWidth="1"/>
    <col min="15" max="15" width="5.8984375" bestFit="1" customWidth="1"/>
    <col min="16" max="16" width="10.3984375" bestFit="1" customWidth="1"/>
    <col min="17" max="18" width="11.5" bestFit="1" customWidth="1"/>
    <col min="19" max="24" width="10.3984375" bestFit="1" customWidth="1"/>
    <col min="25" max="27" width="11.59765625" bestFit="1" customWidth="1"/>
    <col min="28" max="28" width="0.69921875" customWidth="1"/>
    <col min="29" max="29" width="16.09765625" bestFit="1" customWidth="1"/>
    <col min="30" max="37" width="8.5" customWidth="1"/>
    <col min="38" max="40" width="9.5" bestFit="1" customWidth="1"/>
  </cols>
  <sheetData>
    <row r="1" spans="1:18" x14ac:dyDescent="0.3">
      <c r="A1" s="27" t="s">
        <v>32</v>
      </c>
      <c r="D1" s="96" t="s">
        <v>36</v>
      </c>
      <c r="E1" s="96" t="s">
        <v>49</v>
      </c>
      <c r="F1" s="96" t="s">
        <v>50</v>
      </c>
      <c r="G1" s="18"/>
      <c r="H1" s="77" t="s">
        <v>36</v>
      </c>
      <c r="I1" s="77" t="s">
        <v>49</v>
      </c>
      <c r="J1" s="77" t="s">
        <v>50</v>
      </c>
      <c r="K1" s="18"/>
      <c r="L1" s="77" t="s">
        <v>36</v>
      </c>
      <c r="M1" s="77" t="s">
        <v>49</v>
      </c>
      <c r="N1" s="77" t="s">
        <v>50</v>
      </c>
      <c r="O1" s="18"/>
      <c r="P1" s="77" t="s">
        <v>36</v>
      </c>
      <c r="Q1" s="77" t="s">
        <v>49</v>
      </c>
      <c r="R1" s="77" t="s">
        <v>50</v>
      </c>
    </row>
    <row r="2" spans="1:18" x14ac:dyDescent="0.3">
      <c r="C2" s="18"/>
      <c r="D2" t="s">
        <v>17</v>
      </c>
      <c r="E2" t="s">
        <v>17</v>
      </c>
      <c r="F2" t="s">
        <v>17</v>
      </c>
      <c r="H2" s="21" t="s">
        <v>11</v>
      </c>
      <c r="I2" s="21" t="s">
        <v>11</v>
      </c>
      <c r="J2" s="21" t="s">
        <v>11</v>
      </c>
      <c r="L2" s="21" t="s">
        <v>55</v>
      </c>
      <c r="M2" s="21" t="s">
        <v>55</v>
      </c>
      <c r="N2" s="21" t="s">
        <v>55</v>
      </c>
      <c r="P2" s="21" t="s">
        <v>13</v>
      </c>
      <c r="Q2" s="21" t="s">
        <v>13</v>
      </c>
      <c r="R2" s="21" t="s">
        <v>13</v>
      </c>
    </row>
    <row r="3" spans="1:18" x14ac:dyDescent="0.3">
      <c r="A3" s="21" t="s">
        <v>38</v>
      </c>
      <c r="C3" s="18" t="s">
        <v>18</v>
      </c>
      <c r="D3" s="28">
        <v>15</v>
      </c>
      <c r="E3" s="28">
        <v>22.5</v>
      </c>
      <c r="F3" s="28">
        <f>E3+7.5</f>
        <v>30</v>
      </c>
      <c r="H3">
        <v>10</v>
      </c>
      <c r="I3" s="28">
        <v>15</v>
      </c>
      <c r="J3" s="28">
        <v>20</v>
      </c>
      <c r="L3">
        <v>5</v>
      </c>
      <c r="M3">
        <v>10</v>
      </c>
      <c r="N3">
        <v>15</v>
      </c>
      <c r="P3">
        <v>1</v>
      </c>
      <c r="Q3">
        <v>1</v>
      </c>
      <c r="R3">
        <v>1</v>
      </c>
    </row>
    <row r="4" spans="1:18" x14ac:dyDescent="0.3">
      <c r="A4" s="21" t="s">
        <v>33</v>
      </c>
      <c r="B4">
        <f>D21</f>
        <v>5</v>
      </c>
      <c r="C4" s="18" t="s">
        <v>20</v>
      </c>
      <c r="D4" s="28">
        <f>$B$4*D3</f>
        <v>75</v>
      </c>
      <c r="E4" s="28">
        <f t="shared" ref="E4:F4" si="0">$B$4*E3</f>
        <v>112.5</v>
      </c>
      <c r="F4" s="28">
        <f t="shared" si="0"/>
        <v>150</v>
      </c>
      <c r="H4" s="43"/>
      <c r="I4" s="43"/>
      <c r="J4" s="43"/>
      <c r="L4" s="43"/>
      <c r="M4" s="43"/>
      <c r="N4" s="43"/>
      <c r="P4" s="43"/>
      <c r="Q4" s="43"/>
      <c r="R4" s="43"/>
    </row>
    <row r="5" spans="1:18" x14ac:dyDescent="0.3">
      <c r="A5" s="21" t="s">
        <v>76</v>
      </c>
      <c r="B5" s="26">
        <f>B4/15</f>
        <v>0.33333333333333331</v>
      </c>
      <c r="C5" s="18" t="s">
        <v>21</v>
      </c>
      <c r="D5" s="28">
        <f>D3*D4</f>
        <v>1125</v>
      </c>
      <c r="E5" s="28">
        <f>E3*E4</f>
        <v>2531.25</v>
      </c>
      <c r="F5" s="28">
        <f>F3*F4</f>
        <v>4500</v>
      </c>
      <c r="H5" s="43"/>
      <c r="I5" s="43"/>
      <c r="J5" s="43"/>
      <c r="L5" s="43"/>
      <c r="M5" s="43"/>
      <c r="N5" s="43"/>
      <c r="P5" s="43"/>
      <c r="Q5" s="43"/>
      <c r="R5" s="43"/>
    </row>
    <row r="6" spans="1:18" x14ac:dyDescent="0.3">
      <c r="C6" s="18"/>
      <c r="D6" s="28"/>
      <c r="E6" s="28"/>
      <c r="F6" s="28"/>
      <c r="H6" s="43"/>
      <c r="I6" s="43"/>
      <c r="J6" s="43"/>
      <c r="L6" s="43"/>
      <c r="M6" s="43"/>
      <c r="N6" s="43"/>
      <c r="P6" s="43"/>
      <c r="Q6" s="43"/>
      <c r="R6" s="43"/>
    </row>
    <row r="7" spans="1:18" x14ac:dyDescent="0.3">
      <c r="A7" s="21" t="s">
        <v>34</v>
      </c>
      <c r="C7" s="18" t="s">
        <v>22</v>
      </c>
      <c r="D7" s="37">
        <f>D5*5</f>
        <v>5625</v>
      </c>
      <c r="E7" s="37">
        <f>E5*5</f>
        <v>12656.25</v>
      </c>
      <c r="F7" s="37">
        <f>F5*5</f>
        <v>22500</v>
      </c>
      <c r="H7" s="43"/>
      <c r="I7" s="43"/>
      <c r="J7" s="43"/>
      <c r="L7" s="43"/>
      <c r="M7" s="43"/>
      <c r="N7" s="43"/>
      <c r="P7" s="43"/>
      <c r="Q7" s="43"/>
      <c r="R7" s="43"/>
    </row>
    <row r="8" spans="1:18" x14ac:dyDescent="0.3">
      <c r="C8" s="18" t="s">
        <v>35</v>
      </c>
      <c r="D8" s="30">
        <f>AVERAGE(PnL!H5:J5,PnL!M5:O5,PnL!R5:T5,PnL!W5:Y5)</f>
        <v>3895.9166666666665</v>
      </c>
      <c r="E8" s="30">
        <f>E7*E9</f>
        <v>8765.8125</v>
      </c>
      <c r="F8" s="30">
        <f>F7*F9</f>
        <v>15583.666666666664</v>
      </c>
      <c r="H8" s="43"/>
      <c r="I8" s="43"/>
      <c r="J8" s="43"/>
      <c r="L8" s="43"/>
      <c r="M8" s="43"/>
      <c r="N8" s="43"/>
      <c r="P8" s="43"/>
      <c r="Q8" s="43"/>
      <c r="R8" s="43"/>
    </row>
    <row r="9" spans="1:18" x14ac:dyDescent="0.3">
      <c r="C9" s="18" t="s">
        <v>48</v>
      </c>
      <c r="D9" s="31">
        <f>D8/D7</f>
        <v>0.69260740740740734</v>
      </c>
      <c r="E9" s="31">
        <f>D9</f>
        <v>0.69260740740740734</v>
      </c>
      <c r="F9" s="31">
        <f>E9</f>
        <v>0.69260740740740734</v>
      </c>
      <c r="H9" s="43"/>
      <c r="I9" s="43"/>
      <c r="J9" s="43"/>
      <c r="L9" s="43"/>
      <c r="M9" s="43"/>
      <c r="N9" s="43"/>
      <c r="P9" s="43"/>
      <c r="Q9" s="43"/>
      <c r="R9" s="43"/>
    </row>
    <row r="10" spans="1:18" x14ac:dyDescent="0.3">
      <c r="C10" s="18"/>
      <c r="D10" s="30"/>
      <c r="E10" s="30"/>
      <c r="F10" s="28"/>
      <c r="H10" s="43"/>
      <c r="I10" s="43"/>
      <c r="J10" s="43"/>
      <c r="L10" s="43"/>
      <c r="M10" s="43"/>
      <c r="N10" s="43"/>
      <c r="P10" s="43"/>
      <c r="Q10" s="43"/>
      <c r="R10" s="43"/>
    </row>
    <row r="11" spans="1:18" x14ac:dyDescent="0.3">
      <c r="A11" t="s">
        <v>24</v>
      </c>
      <c r="C11" s="18" t="s">
        <v>23</v>
      </c>
      <c r="D11" s="28">
        <f>200*(D4/5)</f>
        <v>3000</v>
      </c>
      <c r="E11" s="28">
        <f>200*(E4/5)</f>
        <v>4500</v>
      </c>
      <c r="F11" s="28">
        <f>200*(F4/5)</f>
        <v>6000</v>
      </c>
      <c r="H11" s="43"/>
      <c r="I11" s="43"/>
      <c r="J11" s="43"/>
      <c r="L11" s="43"/>
      <c r="M11" s="43"/>
      <c r="N11" s="43"/>
      <c r="P11" s="43"/>
      <c r="Q11" s="43"/>
      <c r="R11" s="43"/>
    </row>
    <row r="12" spans="1:18" x14ac:dyDescent="0.3">
      <c r="A12" s="21" t="s">
        <v>54</v>
      </c>
      <c r="C12" s="95" t="s">
        <v>52</v>
      </c>
      <c r="D12" s="28"/>
      <c r="E12" s="36">
        <f>$C$21</f>
        <v>0.04</v>
      </c>
      <c r="F12" s="36">
        <f>$C$21</f>
        <v>0.04</v>
      </c>
      <c r="I12" s="36">
        <f>$C$21</f>
        <v>0.04</v>
      </c>
      <c r="J12" s="36">
        <f>$C$21</f>
        <v>0.04</v>
      </c>
      <c r="M12" s="36">
        <f>$C$21</f>
        <v>0.04</v>
      </c>
      <c r="N12" s="36">
        <f>$C$21</f>
        <v>0.04</v>
      </c>
      <c r="Q12" s="36">
        <f>$C$21</f>
        <v>0.04</v>
      </c>
      <c r="R12" s="36">
        <f>$C$21</f>
        <v>0.04</v>
      </c>
    </row>
    <row r="13" spans="1:18" x14ac:dyDescent="0.3">
      <c r="C13" s="18" t="s">
        <v>51</v>
      </c>
      <c r="D13" s="33">
        <v>70000</v>
      </c>
      <c r="E13" s="33">
        <f>D13*(1+E12)</f>
        <v>72800</v>
      </c>
      <c r="F13" s="33">
        <f>E13*(1+F12)</f>
        <v>75712</v>
      </c>
      <c r="H13">
        <v>75000</v>
      </c>
      <c r="I13" s="33">
        <f>H13*(1+I12)</f>
        <v>78000</v>
      </c>
      <c r="J13" s="33">
        <f>I13*(1+J12)</f>
        <v>81120</v>
      </c>
      <c r="L13" s="11">
        <v>150000</v>
      </c>
      <c r="M13" s="33">
        <f>L13*(1+M12)</f>
        <v>156000</v>
      </c>
      <c r="N13" s="33">
        <f>M13*(1+N12)</f>
        <v>162240</v>
      </c>
      <c r="P13">
        <v>175000</v>
      </c>
      <c r="Q13" s="33">
        <f>P13*(1+Q12)</f>
        <v>182000</v>
      </c>
      <c r="R13" s="33">
        <f>Q13*(1+R12)</f>
        <v>189280</v>
      </c>
    </row>
    <row r="14" spans="1:18" x14ac:dyDescent="0.3">
      <c r="C14" s="18"/>
    </row>
    <row r="15" spans="1:18" x14ac:dyDescent="0.3">
      <c r="C15" s="18" t="s">
        <v>57</v>
      </c>
      <c r="E15" s="28">
        <f>E3-D3</f>
        <v>7.5</v>
      </c>
      <c r="F15" s="28">
        <f>F3-E3</f>
        <v>7.5</v>
      </c>
      <c r="G15" s="28"/>
      <c r="H15" s="28"/>
      <c r="I15" s="28">
        <f>I3-H3</f>
        <v>5</v>
      </c>
      <c r="J15" s="28">
        <f>J3-I3</f>
        <v>5</v>
      </c>
      <c r="K15" s="28"/>
      <c r="L15" s="28"/>
      <c r="M15" s="28">
        <f>M3-L3</f>
        <v>5</v>
      </c>
      <c r="N15" s="28">
        <f>N3-M3</f>
        <v>5</v>
      </c>
      <c r="O15" s="28"/>
      <c r="P15" s="28"/>
      <c r="Q15" s="28">
        <f>Q3-P3</f>
        <v>0</v>
      </c>
      <c r="R15" s="28">
        <f>R3-Q3</f>
        <v>0</v>
      </c>
    </row>
    <row r="16" spans="1:18" x14ac:dyDescent="0.3">
      <c r="C16" s="18"/>
    </row>
    <row r="17" spans="1:40" x14ac:dyDescent="0.3">
      <c r="C17" s="18" t="s">
        <v>14</v>
      </c>
      <c r="E17" s="40">
        <f>4000*E15</f>
        <v>30000</v>
      </c>
      <c r="F17" s="40">
        <f>4000*F15</f>
        <v>30000</v>
      </c>
      <c r="G17" s="40">
        <f>SUM(E17:F17)</f>
        <v>60000</v>
      </c>
      <c r="H17" s="40"/>
      <c r="I17" s="40">
        <f>4000*I15</f>
        <v>20000</v>
      </c>
      <c r="J17" s="40">
        <f>4000*J15</f>
        <v>20000</v>
      </c>
      <c r="K17" s="40">
        <f>SUM(I17:J17)</f>
        <v>40000</v>
      </c>
      <c r="L17" s="40"/>
      <c r="M17" s="40">
        <f>4000*M15</f>
        <v>20000</v>
      </c>
      <c r="N17" s="40">
        <f>4000*N15</f>
        <v>20000</v>
      </c>
      <c r="O17" s="40">
        <f>SUM(M17:N17)</f>
        <v>40000</v>
      </c>
      <c r="P17" s="40"/>
      <c r="Q17" s="40">
        <f>4000*Q15</f>
        <v>0</v>
      </c>
      <c r="R17" s="40">
        <f>4000*R15</f>
        <v>0</v>
      </c>
    </row>
    <row r="20" spans="1:40" x14ac:dyDescent="0.3">
      <c r="B20" s="41" t="s">
        <v>56</v>
      </c>
      <c r="C20" s="41" t="s">
        <v>52</v>
      </c>
      <c r="D20" s="40" t="s">
        <v>19</v>
      </c>
    </row>
    <row r="21" spans="1:40" x14ac:dyDescent="0.3">
      <c r="B21" s="31">
        <f>Summary!F2</f>
        <v>-0.06</v>
      </c>
      <c r="C21" s="39">
        <v>0.04</v>
      </c>
      <c r="D21" s="28">
        <v>5</v>
      </c>
      <c r="AC21" s="41" t="s">
        <v>56</v>
      </c>
    </row>
    <row r="22" spans="1:40" x14ac:dyDescent="0.3">
      <c r="B22" s="28"/>
      <c r="C22" s="28"/>
      <c r="AC22" s="31">
        <v>0.01</v>
      </c>
    </row>
    <row r="24" spans="1:40" x14ac:dyDescent="0.3">
      <c r="C24" s="20">
        <v>44197</v>
      </c>
      <c r="D24" s="20">
        <f>EDATE(C24,1)</f>
        <v>44228</v>
      </c>
      <c r="E24" s="20">
        <f t="shared" ref="E24:M24" si="1">EDATE(D24,1)</f>
        <v>44256</v>
      </c>
      <c r="F24" s="20">
        <f t="shared" si="1"/>
        <v>44287</v>
      </c>
      <c r="G24" s="20">
        <f t="shared" si="1"/>
        <v>44317</v>
      </c>
      <c r="H24" s="20">
        <f t="shared" si="1"/>
        <v>44348</v>
      </c>
      <c r="I24" s="20">
        <f t="shared" si="1"/>
        <v>44378</v>
      </c>
      <c r="J24" s="20">
        <f t="shared" si="1"/>
        <v>44409</v>
      </c>
      <c r="K24" s="20">
        <f t="shared" si="1"/>
        <v>44440</v>
      </c>
      <c r="L24" s="20">
        <f>EDATE(K24,1)</f>
        <v>44470</v>
      </c>
      <c r="M24" s="20">
        <f t="shared" si="1"/>
        <v>44501</v>
      </c>
      <c r="N24" s="20">
        <f>EDATE(M24,1)</f>
        <v>44531</v>
      </c>
      <c r="O24" s="18"/>
      <c r="P24" s="32">
        <v>44562</v>
      </c>
      <c r="Q24" s="32">
        <f>EDATE(P24,1)</f>
        <v>44593</v>
      </c>
      <c r="R24" s="32">
        <f t="shared" ref="R24:AA24" si="2">EDATE(Q24,1)</f>
        <v>44621</v>
      </c>
      <c r="S24" s="32">
        <f t="shared" si="2"/>
        <v>44652</v>
      </c>
      <c r="T24" s="32">
        <f t="shared" si="2"/>
        <v>44682</v>
      </c>
      <c r="U24" s="32">
        <f t="shared" si="2"/>
        <v>44713</v>
      </c>
      <c r="V24" s="32">
        <f t="shared" si="2"/>
        <v>44743</v>
      </c>
      <c r="W24" s="32">
        <f t="shared" si="2"/>
        <v>44774</v>
      </c>
      <c r="X24" s="32">
        <f t="shared" si="2"/>
        <v>44805</v>
      </c>
      <c r="Y24" s="32">
        <f t="shared" si="2"/>
        <v>44835</v>
      </c>
      <c r="Z24" s="32">
        <f t="shared" si="2"/>
        <v>44866</v>
      </c>
      <c r="AA24" s="32">
        <f t="shared" si="2"/>
        <v>44896</v>
      </c>
      <c r="AB24" s="18"/>
      <c r="AC24" s="32">
        <v>44927</v>
      </c>
      <c r="AD24" s="32">
        <f>EDATE(AC24,1)</f>
        <v>44958</v>
      </c>
      <c r="AE24" s="32">
        <f t="shared" ref="AE24:AN24" si="3">EDATE(AD24,1)</f>
        <v>44986</v>
      </c>
      <c r="AF24" s="32">
        <f t="shared" si="3"/>
        <v>45017</v>
      </c>
      <c r="AG24" s="32">
        <f t="shared" si="3"/>
        <v>45047</v>
      </c>
      <c r="AH24" s="32">
        <f t="shared" si="3"/>
        <v>45078</v>
      </c>
      <c r="AI24" s="32">
        <f t="shared" si="3"/>
        <v>45108</v>
      </c>
      <c r="AJ24" s="32">
        <f t="shared" si="3"/>
        <v>45139</v>
      </c>
      <c r="AK24" s="32">
        <f>EDATE(AJ24,1)</f>
        <v>45170</v>
      </c>
      <c r="AL24" s="32">
        <f t="shared" si="3"/>
        <v>45200</v>
      </c>
      <c r="AM24" s="32">
        <f t="shared" si="3"/>
        <v>45231</v>
      </c>
      <c r="AN24" s="32">
        <f t="shared" si="3"/>
        <v>45261</v>
      </c>
    </row>
    <row r="26" spans="1:40" x14ac:dyDescent="0.3">
      <c r="B26" s="35" t="s">
        <v>22</v>
      </c>
      <c r="C26" s="30">
        <f>$D$7</f>
        <v>5625</v>
      </c>
      <c r="D26" s="28">
        <f t="shared" ref="D26:N26" si="4">$D$7</f>
        <v>5625</v>
      </c>
      <c r="E26" s="28">
        <f t="shared" si="4"/>
        <v>5625</v>
      </c>
      <c r="F26" s="28">
        <f t="shared" si="4"/>
        <v>5625</v>
      </c>
      <c r="G26" s="28">
        <f t="shared" si="4"/>
        <v>5625</v>
      </c>
      <c r="H26" s="28">
        <f t="shared" si="4"/>
        <v>5625</v>
      </c>
      <c r="I26" s="28">
        <f t="shared" si="4"/>
        <v>5625</v>
      </c>
      <c r="J26" s="28">
        <f t="shared" si="4"/>
        <v>5625</v>
      </c>
      <c r="K26" s="28">
        <f t="shared" si="4"/>
        <v>5625</v>
      </c>
      <c r="L26" s="28">
        <f t="shared" si="4"/>
        <v>5625</v>
      </c>
      <c r="M26" s="28">
        <f t="shared" si="4"/>
        <v>5625</v>
      </c>
      <c r="N26" s="28">
        <f t="shared" si="4"/>
        <v>5625</v>
      </c>
      <c r="O26" s="28"/>
      <c r="P26" s="30">
        <f>$E$7</f>
        <v>12656.25</v>
      </c>
      <c r="Q26" s="28">
        <f>$E$7</f>
        <v>12656.25</v>
      </c>
      <c r="R26" s="28">
        <f>$E$7</f>
        <v>12656.25</v>
      </c>
      <c r="S26" s="28">
        <f>$E$7</f>
        <v>12656.25</v>
      </c>
      <c r="T26" s="28">
        <f>$E$7</f>
        <v>12656.25</v>
      </c>
      <c r="U26" s="28">
        <f>$E$7</f>
        <v>12656.25</v>
      </c>
      <c r="V26" s="28">
        <f>$E$7</f>
        <v>12656.25</v>
      </c>
      <c r="W26" s="28">
        <f>$E$7</f>
        <v>12656.25</v>
      </c>
      <c r="X26" s="28">
        <f>$E$7</f>
        <v>12656.25</v>
      </c>
      <c r="Y26" s="28">
        <f>$E$7</f>
        <v>12656.25</v>
      </c>
      <c r="Z26" s="28">
        <f>$E$7</f>
        <v>12656.25</v>
      </c>
      <c r="AA26" s="28">
        <f>$E$7</f>
        <v>12656.25</v>
      </c>
      <c r="AB26" s="28"/>
      <c r="AC26" s="28">
        <f>$F$7</f>
        <v>22500</v>
      </c>
      <c r="AD26" s="28">
        <f>$F$7</f>
        <v>22500</v>
      </c>
      <c r="AE26" s="28">
        <f>$F$7</f>
        <v>22500</v>
      </c>
      <c r="AF26" s="28">
        <f>$F$7</f>
        <v>22500</v>
      </c>
      <c r="AG26" s="28">
        <f>$F$7</f>
        <v>22500</v>
      </c>
      <c r="AH26" s="28">
        <f>$F$7</f>
        <v>22500</v>
      </c>
      <c r="AI26" s="28">
        <f>$F$7</f>
        <v>22500</v>
      </c>
      <c r="AJ26" s="28">
        <f>$F$7</f>
        <v>22500</v>
      </c>
      <c r="AK26" s="28">
        <f>$F$7</f>
        <v>22500</v>
      </c>
      <c r="AL26" s="28">
        <f>$F$7</f>
        <v>22500</v>
      </c>
      <c r="AM26" s="28">
        <f>$F$7</f>
        <v>22500</v>
      </c>
      <c r="AN26" s="28">
        <f>$F$7</f>
        <v>22500</v>
      </c>
    </row>
    <row r="27" spans="1:40" x14ac:dyDescent="0.3">
      <c r="B27" s="42" t="s">
        <v>0</v>
      </c>
      <c r="C27" s="30">
        <f>SUMIFS(INDEX(PnL!$G$3:$AB$33,0,MATCH(Assumptions!C$24,PnL!$G$3:$AA$3,0)),PnL!$G$3:$G$33,Assumptions!$B$27)</f>
        <v>3296</v>
      </c>
      <c r="D27" s="30">
        <f>SUMIFS(INDEX(PnL!$G$3:$AB$33,0,MATCH(Assumptions!D$24,PnL!$G$3:$AA$3,0)),PnL!$G$3:$G$33,Assumptions!$B$27)</f>
        <v>3151</v>
      </c>
      <c r="E27" s="30">
        <f>SUMIFS(INDEX(PnL!$G$3:$AB$33,0,MATCH(Assumptions!E$24,PnL!$G$3:$AA$3,0)),PnL!$G$3:$G$33,Assumptions!$B$27)</f>
        <v>3402</v>
      </c>
      <c r="F27" s="30">
        <f>SUMIFS(INDEX(PnL!$G$3:$AB$33,0,MATCH(Assumptions!F$24,PnL!$G$3:$AA$3,0)),PnL!$G$3:$G$33,Assumptions!$B$27)</f>
        <v>3531</v>
      </c>
      <c r="G27" s="30">
        <f>SUMIFS(INDEX(PnL!$G$3:$AB$33,0,MATCH(Assumptions!G$24,PnL!$G$3:$AA$3,0)),PnL!$G$3:$G$33,Assumptions!$B$27)</f>
        <v>3251</v>
      </c>
      <c r="H27" s="30">
        <f>SUMIFS(INDEX(PnL!$G$3:$AB$33,0,MATCH(Assumptions!H$24,PnL!$G$3:$AA$3,0)),PnL!$G$3:$G$33,Assumptions!$B$27)</f>
        <v>3268</v>
      </c>
      <c r="I27" s="30">
        <f>SUMIFS(INDEX(PnL!$G$3:$AB$33,0,MATCH(Assumptions!I$24,PnL!$G$3:$AA$3,0)),PnL!$G$3:$G$33,Assumptions!$B$27)</f>
        <v>3600</v>
      </c>
      <c r="J27" s="30">
        <f>SUMIFS(INDEX(PnL!$G$3:$AB$33,0,MATCH(Assumptions!J$24,PnL!$G$3:$AA$3,0)),PnL!$G$3:$G$33,Assumptions!$B$27)</f>
        <v>3831</v>
      </c>
      <c r="K27" s="30">
        <f>SUMIFS(INDEX(PnL!$G$3:$AB$33,0,MATCH(Assumptions!K$24,PnL!$G$3:$AA$3,0)),PnL!$G$3:$G$33,Assumptions!$B$27)</f>
        <v>3325</v>
      </c>
      <c r="L27" s="30">
        <f>SUMIFS(INDEX(PnL!$G$3:$AB$33,0,MATCH(Assumptions!L$24,PnL!$G$3:$AA$3,0)),PnL!$G$3:$G$33,Assumptions!$B$27)</f>
        <v>5346</v>
      </c>
      <c r="M27" s="30">
        <f>SUMIFS(INDEX(PnL!$G$3:$AB$33,0,MATCH(Assumptions!M$24,PnL!$G$3:$AA$3,0)),PnL!$G$3:$G$33,Assumptions!$B$27)</f>
        <v>5250</v>
      </c>
      <c r="N27" s="30">
        <f>SUMIFS(INDEX(PnL!$G$3:$AB$33,0,MATCH(Assumptions!N$24,PnL!$G$3:$AA$3,0)),PnL!$G$3:$G$33,Assumptions!$B$27)</f>
        <v>5500</v>
      </c>
      <c r="O27" s="28"/>
      <c r="P27" s="28">
        <f>P26*P28</f>
        <v>6656.6249999999991</v>
      </c>
      <c r="Q27" s="28">
        <f t="shared" ref="Q27:AA27" si="5">Q26*Q28</f>
        <v>6330.3750000000009</v>
      </c>
      <c r="R27" s="28">
        <f t="shared" si="5"/>
        <v>6895.1249999999991</v>
      </c>
      <c r="S27" s="28">
        <f t="shared" si="5"/>
        <v>7185.3750000000009</v>
      </c>
      <c r="T27" s="28">
        <f t="shared" si="5"/>
        <v>6555.3749999999991</v>
      </c>
      <c r="U27" s="28">
        <f t="shared" si="5"/>
        <v>6593.625</v>
      </c>
      <c r="V27" s="28">
        <f t="shared" si="5"/>
        <v>7340.6250000000009</v>
      </c>
      <c r="W27" s="28">
        <f t="shared" si="5"/>
        <v>7860.375</v>
      </c>
      <c r="X27" s="28">
        <f t="shared" si="5"/>
        <v>6721.875</v>
      </c>
      <c r="Y27" s="28">
        <f t="shared" si="5"/>
        <v>11269.125000000002</v>
      </c>
      <c r="Z27" s="28">
        <f t="shared" si="5"/>
        <v>11053.125</v>
      </c>
      <c r="AA27" s="28">
        <f t="shared" si="5"/>
        <v>11615.625</v>
      </c>
      <c r="AB27" s="28"/>
      <c r="AC27" s="28">
        <f>AC26*AC28</f>
        <v>10483.999999999998</v>
      </c>
      <c r="AD27" s="28">
        <f t="shared" ref="AD27:AN27" si="6">AD26*AD28</f>
        <v>9904.0000000000018</v>
      </c>
      <c r="AE27" s="28">
        <f t="shared" si="6"/>
        <v>10907.999999999998</v>
      </c>
      <c r="AF27" s="28">
        <f t="shared" si="6"/>
        <v>11424</v>
      </c>
      <c r="AG27" s="28">
        <f t="shared" si="6"/>
        <v>10303.999999999998</v>
      </c>
      <c r="AH27" s="28">
        <f t="shared" si="6"/>
        <v>10372</v>
      </c>
      <c r="AI27" s="28">
        <f t="shared" si="6"/>
        <v>11700</v>
      </c>
      <c r="AJ27" s="28">
        <f t="shared" si="6"/>
        <v>12623.999999999998</v>
      </c>
      <c r="AK27" s="28">
        <f t="shared" si="6"/>
        <v>10600</v>
      </c>
      <c r="AL27" s="28">
        <f t="shared" si="6"/>
        <v>18684</v>
      </c>
      <c r="AM27" s="28">
        <f t="shared" si="6"/>
        <v>18299.999999999996</v>
      </c>
      <c r="AN27" s="28">
        <f t="shared" si="6"/>
        <v>19300</v>
      </c>
    </row>
    <row r="28" spans="1:40" x14ac:dyDescent="0.3">
      <c r="B28" s="35" t="s">
        <v>53</v>
      </c>
      <c r="C28" s="36">
        <f>C27/C26</f>
        <v>0.58595555555555556</v>
      </c>
      <c r="D28" s="36">
        <f>D27/D26</f>
        <v>0.56017777777777777</v>
      </c>
      <c r="E28" s="36">
        <f>E27/E26</f>
        <v>0.6048</v>
      </c>
      <c r="F28" s="36">
        <f>F27/F26</f>
        <v>0.62773333333333337</v>
      </c>
      <c r="G28" s="36">
        <f>G27/G26</f>
        <v>0.57795555555555556</v>
      </c>
      <c r="H28" s="36">
        <f t="shared" ref="H28:N28" si="7">H27/H26</f>
        <v>0.58097777777777782</v>
      </c>
      <c r="I28" s="36">
        <f t="shared" si="7"/>
        <v>0.64</v>
      </c>
      <c r="J28" s="36">
        <f t="shared" si="7"/>
        <v>0.68106666666666671</v>
      </c>
      <c r="K28" s="36">
        <f t="shared" si="7"/>
        <v>0.59111111111111114</v>
      </c>
      <c r="L28" s="36">
        <f t="shared" si="7"/>
        <v>0.95040000000000002</v>
      </c>
      <c r="M28" s="36">
        <f t="shared" si="7"/>
        <v>0.93333333333333335</v>
      </c>
      <c r="N28" s="36">
        <f t="shared" si="7"/>
        <v>0.97777777777777775</v>
      </c>
      <c r="O28" s="38"/>
      <c r="P28" s="36">
        <f>C28+$B$21</f>
        <v>0.52595555555555551</v>
      </c>
      <c r="Q28" s="36">
        <f>D28+$B$21</f>
        <v>0.50017777777777783</v>
      </c>
      <c r="R28" s="36">
        <f t="shared" ref="Q28:AA28" si="8">E28+$B$21</f>
        <v>0.54479999999999995</v>
      </c>
      <c r="S28" s="36">
        <f t="shared" si="8"/>
        <v>0.56773333333333342</v>
      </c>
      <c r="T28" s="36">
        <f t="shared" si="8"/>
        <v>0.5179555555555555</v>
      </c>
      <c r="U28" s="36">
        <f t="shared" si="8"/>
        <v>0.52097777777777776</v>
      </c>
      <c r="V28" s="36">
        <f t="shared" si="8"/>
        <v>0.58000000000000007</v>
      </c>
      <c r="W28" s="36">
        <f t="shared" si="8"/>
        <v>0.62106666666666666</v>
      </c>
      <c r="X28" s="36">
        <f t="shared" si="8"/>
        <v>0.53111111111111109</v>
      </c>
      <c r="Y28" s="36">
        <f t="shared" si="8"/>
        <v>0.89040000000000008</v>
      </c>
      <c r="Z28" s="36">
        <f t="shared" si="8"/>
        <v>0.87333333333333329</v>
      </c>
      <c r="AA28" s="36">
        <f t="shared" si="8"/>
        <v>0.9177777777777778</v>
      </c>
      <c r="AB28" s="38"/>
      <c r="AC28" s="36">
        <f>P28+$B$21</f>
        <v>0.46595555555555551</v>
      </c>
      <c r="AD28" s="36">
        <f t="shared" ref="AD28:AN28" si="9">Q28+$B$21</f>
        <v>0.44017777777777783</v>
      </c>
      <c r="AE28" s="36">
        <f t="shared" si="9"/>
        <v>0.48479999999999995</v>
      </c>
      <c r="AF28" s="36">
        <f t="shared" si="9"/>
        <v>0.50773333333333337</v>
      </c>
      <c r="AG28" s="36">
        <f t="shared" si="9"/>
        <v>0.4579555555555555</v>
      </c>
      <c r="AH28" s="36">
        <f t="shared" si="9"/>
        <v>0.46097777777777776</v>
      </c>
      <c r="AI28" s="36">
        <f t="shared" si="9"/>
        <v>0.52</v>
      </c>
      <c r="AJ28" s="36">
        <f t="shared" si="9"/>
        <v>0.5610666666666666</v>
      </c>
      <c r="AK28" s="36">
        <f t="shared" si="9"/>
        <v>0.47111111111111109</v>
      </c>
      <c r="AL28" s="36">
        <f t="shared" si="9"/>
        <v>0.83040000000000003</v>
      </c>
      <c r="AM28" s="36">
        <f t="shared" si="9"/>
        <v>0.81333333333333324</v>
      </c>
      <c r="AN28" s="36">
        <f t="shared" si="9"/>
        <v>0.85777777777777775</v>
      </c>
    </row>
    <row r="32" spans="1:40" x14ac:dyDescent="0.3">
      <c r="A32" s="26">
        <v>0.03</v>
      </c>
    </row>
    <row r="33" spans="1:40" x14ac:dyDescent="0.3">
      <c r="A33" s="26">
        <v>0.04</v>
      </c>
      <c r="B33" s="21" t="s">
        <v>14</v>
      </c>
      <c r="X33">
        <f>(E17+I17+M17)/60</f>
        <v>1166.6666666666667</v>
      </c>
      <c r="AK33">
        <f>(F17+J17+N17)/60</f>
        <v>1166.6666666666667</v>
      </c>
    </row>
    <row r="34" spans="1:40" x14ac:dyDescent="0.3">
      <c r="A34" s="26">
        <v>0.05</v>
      </c>
      <c r="B34" s="21" t="s">
        <v>58</v>
      </c>
      <c r="C34">
        <f>$B$35/12</f>
        <v>2500</v>
      </c>
      <c r="D34">
        <f>$B$35/12</f>
        <v>2500</v>
      </c>
      <c r="E34">
        <f>$B$35/12</f>
        <v>2500</v>
      </c>
      <c r="F34">
        <f>$B$35/12</f>
        <v>2500</v>
      </c>
      <c r="G34">
        <f>$B$35/12</f>
        <v>2500</v>
      </c>
      <c r="H34">
        <f>$B$35/12</f>
        <v>2500</v>
      </c>
      <c r="I34">
        <f>$B$35/12</f>
        <v>2500</v>
      </c>
      <c r="J34">
        <f>$B$35/12</f>
        <v>2500</v>
      </c>
      <c r="K34">
        <f>$B$35/12</f>
        <v>2500</v>
      </c>
      <c r="L34">
        <f>$B$35/12</f>
        <v>2500</v>
      </c>
      <c r="M34">
        <f>$B$35/12</f>
        <v>2500</v>
      </c>
      <c r="N34">
        <f>$B$35/12</f>
        <v>2500</v>
      </c>
      <c r="P34">
        <f>$N$34*(1-$B$21)</f>
        <v>2650</v>
      </c>
      <c r="Q34">
        <f t="shared" ref="Q34:AA34" si="10">$N$34*(1-$B$21)</f>
        <v>2650</v>
      </c>
      <c r="R34">
        <f t="shared" si="10"/>
        <v>2650</v>
      </c>
      <c r="S34">
        <f t="shared" si="10"/>
        <v>2650</v>
      </c>
      <c r="T34">
        <f t="shared" si="10"/>
        <v>2650</v>
      </c>
      <c r="U34">
        <f t="shared" si="10"/>
        <v>2650</v>
      </c>
      <c r="V34">
        <f t="shared" si="10"/>
        <v>2650</v>
      </c>
      <c r="W34">
        <f t="shared" si="10"/>
        <v>2650</v>
      </c>
      <c r="X34">
        <f t="shared" si="10"/>
        <v>2650</v>
      </c>
      <c r="Y34">
        <f t="shared" si="10"/>
        <v>2650</v>
      </c>
      <c r="Z34">
        <f t="shared" si="10"/>
        <v>2650</v>
      </c>
      <c r="AA34">
        <f t="shared" si="10"/>
        <v>2650</v>
      </c>
      <c r="AC34">
        <f>$AA$34*(1+$AC$22)</f>
        <v>2676.5</v>
      </c>
      <c r="AD34">
        <f t="shared" ref="AD34:AN34" si="11">$AA$34*(1+$AC$22)</f>
        <v>2676.5</v>
      </c>
      <c r="AE34">
        <f t="shared" si="11"/>
        <v>2676.5</v>
      </c>
      <c r="AF34">
        <f t="shared" si="11"/>
        <v>2676.5</v>
      </c>
      <c r="AG34">
        <f t="shared" si="11"/>
        <v>2676.5</v>
      </c>
      <c r="AH34">
        <f t="shared" si="11"/>
        <v>2676.5</v>
      </c>
      <c r="AI34">
        <f t="shared" si="11"/>
        <v>2676.5</v>
      </c>
      <c r="AJ34">
        <f t="shared" si="11"/>
        <v>2676.5</v>
      </c>
      <c r="AK34">
        <f t="shared" si="11"/>
        <v>2676.5</v>
      </c>
      <c r="AL34">
        <f t="shared" si="11"/>
        <v>2676.5</v>
      </c>
      <c r="AM34">
        <f t="shared" si="11"/>
        <v>2676.5</v>
      </c>
      <c r="AN34">
        <f t="shared" si="11"/>
        <v>2676.5</v>
      </c>
    </row>
    <row r="35" spans="1:40" x14ac:dyDescent="0.3">
      <c r="B35" s="11">
        <v>30000</v>
      </c>
    </row>
    <row r="36" spans="1:40" x14ac:dyDescent="0.3">
      <c r="A36">
        <v>5</v>
      </c>
    </row>
    <row r="37" spans="1:40" x14ac:dyDescent="0.3">
      <c r="A37">
        <v>6</v>
      </c>
    </row>
    <row r="38" spans="1:40" x14ac:dyDescent="0.3">
      <c r="A38">
        <v>7</v>
      </c>
    </row>
    <row r="40" spans="1:40" x14ac:dyDescent="0.3">
      <c r="A40">
        <v>0.01</v>
      </c>
    </row>
    <row r="41" spans="1:40" x14ac:dyDescent="0.3">
      <c r="A41">
        <v>0.2</v>
      </c>
    </row>
    <row r="42" spans="1:40" x14ac:dyDescent="0.3">
      <c r="A42">
        <v>0.03</v>
      </c>
    </row>
    <row r="43" spans="1:40" x14ac:dyDescent="0.3">
      <c r="A43">
        <v>-0.01</v>
      </c>
    </row>
    <row r="44" spans="1:40" x14ac:dyDescent="0.3">
      <c r="A44">
        <v>-0.05</v>
      </c>
    </row>
    <row r="45" spans="1:40" x14ac:dyDescent="0.3">
      <c r="A45">
        <v>-0.06</v>
      </c>
    </row>
    <row r="46" spans="1:40" x14ac:dyDescent="0.3">
      <c r="A46">
        <v>0.7</v>
      </c>
    </row>
  </sheetData>
  <dataValidations disablePrompts="1" count="3">
    <dataValidation type="list" allowBlank="1" showInputMessage="1" showErrorMessage="1" sqref="C21" xr:uid="{FC99F45C-0A80-4183-B7DB-8625610A1192}">
      <formula1>$A$32:$A$34</formula1>
    </dataValidation>
    <dataValidation type="list" allowBlank="1" showInputMessage="1" showErrorMessage="1" sqref="B21 AC22" xr:uid="{80819E81-D004-4BF9-BEFA-F16C80B70679}">
      <formula1>$A$40:$A$46</formula1>
    </dataValidation>
    <dataValidation type="list" allowBlank="1" showInputMessage="1" showErrorMessage="1" sqref="D21" xr:uid="{327D923D-1C20-499C-AB4B-15628B20F79F}">
      <formula1>$A$36:$A$38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B19A-BEEC-4B62-B177-FD41C4E79DBC}">
  <dimension ref="B2:AZ7"/>
  <sheetViews>
    <sheetView showGridLines="0" workbookViewId="0">
      <selection activeCell="R26" sqref="R26"/>
    </sheetView>
  </sheetViews>
  <sheetFormatPr defaultRowHeight="15.6" outlineLevelCol="1" x14ac:dyDescent="0.3"/>
  <cols>
    <col min="2" max="2" width="16" bestFit="1" customWidth="1"/>
    <col min="3" max="5" width="8.8984375" hidden="1" customWidth="1" outlineLevel="1"/>
    <col min="6" max="6" width="8.8984375" customWidth="1" collapsed="1"/>
    <col min="7" max="9" width="8.8984375" hidden="1" customWidth="1" outlineLevel="1"/>
    <col min="10" max="10" width="8.8984375" customWidth="1" collapsed="1"/>
    <col min="11" max="13" width="8.8984375" hidden="1" customWidth="1" outlineLevel="1"/>
    <col min="14" max="14" width="8.8984375" customWidth="1" collapsed="1"/>
    <col min="15" max="17" width="9.5" hidden="1" customWidth="1" outlineLevel="1"/>
    <col min="18" max="18" width="10.796875" customWidth="1" collapsed="1"/>
    <col min="19" max="19" width="0.796875" customWidth="1"/>
    <col min="20" max="22" width="8.8984375" hidden="1" customWidth="1" outlineLevel="1"/>
    <col min="23" max="23" width="10.59765625" customWidth="1" collapsed="1"/>
    <col min="24" max="26" width="8.8984375" hidden="1" customWidth="1" outlineLevel="1"/>
    <col min="27" max="27" width="10.59765625" customWidth="1" collapsed="1"/>
    <col min="28" max="30" width="8.8984375" hidden="1" customWidth="1" outlineLevel="1"/>
    <col min="31" max="31" width="10.59765625" customWidth="1" collapsed="1"/>
    <col min="32" max="33" width="9.5" hidden="1" customWidth="1" outlineLevel="1"/>
    <col min="34" max="34" width="9.59765625" hidden="1" customWidth="1" outlineLevel="1"/>
    <col min="35" max="35" width="10.59765625" customWidth="1" collapsed="1"/>
    <col min="36" max="36" width="0.59765625" customWidth="1"/>
    <col min="37" max="37" width="8.5" hidden="1" customWidth="1" outlineLevel="1"/>
    <col min="38" max="39" width="8.8984375" hidden="1" customWidth="1" outlineLevel="1"/>
    <col min="40" max="40" width="10.5" customWidth="1" collapsed="1"/>
    <col min="41" max="43" width="8.8984375" hidden="1" customWidth="1" outlineLevel="1"/>
    <col min="44" max="44" width="10.5" customWidth="1" collapsed="1"/>
    <col min="45" max="47" width="8.8984375" hidden="1" customWidth="1" outlineLevel="1"/>
    <col min="48" max="48" width="10.5" customWidth="1" collapsed="1"/>
    <col min="49" max="51" width="9.5" hidden="1" customWidth="1" outlineLevel="1"/>
    <col min="52" max="52" width="10.5" customWidth="1" collapsed="1"/>
  </cols>
  <sheetData>
    <row r="2" spans="2:52" x14ac:dyDescent="0.3">
      <c r="F2" s="98" t="s">
        <v>36</v>
      </c>
      <c r="G2" s="99"/>
      <c r="H2" s="99"/>
      <c r="I2" s="99"/>
      <c r="J2" s="99" t="s">
        <v>36</v>
      </c>
      <c r="K2" s="99" t="s">
        <v>36</v>
      </c>
      <c r="L2" s="99" t="s">
        <v>36</v>
      </c>
      <c r="M2" s="99" t="s">
        <v>36</v>
      </c>
      <c r="N2" s="99" t="s">
        <v>36</v>
      </c>
      <c r="O2" s="99" t="s">
        <v>36</v>
      </c>
      <c r="P2" s="99" t="s">
        <v>36</v>
      </c>
      <c r="Q2" s="99" t="s">
        <v>36</v>
      </c>
      <c r="R2" s="100" t="s">
        <v>36</v>
      </c>
      <c r="W2" s="98" t="s">
        <v>49</v>
      </c>
      <c r="X2" s="99"/>
      <c r="Y2" s="99"/>
      <c r="Z2" s="99"/>
      <c r="AA2" s="99" t="s">
        <v>49</v>
      </c>
      <c r="AB2" s="99"/>
      <c r="AC2" s="99"/>
      <c r="AD2" s="99"/>
      <c r="AE2" s="99" t="s">
        <v>49</v>
      </c>
      <c r="AF2" s="99"/>
      <c r="AG2" s="99"/>
      <c r="AH2" s="99"/>
      <c r="AI2" s="100" t="s">
        <v>49</v>
      </c>
      <c r="AN2" s="98" t="s">
        <v>50</v>
      </c>
      <c r="AO2" s="99"/>
      <c r="AP2" s="99"/>
      <c r="AQ2" s="99"/>
      <c r="AR2" s="99" t="s">
        <v>50</v>
      </c>
      <c r="AS2" s="99"/>
      <c r="AT2" s="99"/>
      <c r="AU2" s="99"/>
      <c r="AV2" s="99" t="s">
        <v>50</v>
      </c>
      <c r="AW2" s="99"/>
      <c r="AX2" s="99"/>
      <c r="AY2" s="99"/>
      <c r="AZ2" s="100" t="s">
        <v>50</v>
      </c>
    </row>
    <row r="3" spans="2:52" x14ac:dyDescent="0.3">
      <c r="C3" s="24">
        <v>44197</v>
      </c>
      <c r="D3" s="24">
        <v>44228</v>
      </c>
      <c r="E3" s="24">
        <v>44256</v>
      </c>
      <c r="F3" s="101" t="s">
        <v>25</v>
      </c>
      <c r="G3" s="102">
        <v>44287</v>
      </c>
      <c r="H3" s="102">
        <v>44317</v>
      </c>
      <c r="I3" s="102">
        <v>44348</v>
      </c>
      <c r="J3" s="103" t="s">
        <v>26</v>
      </c>
      <c r="K3" s="102">
        <v>44378</v>
      </c>
      <c r="L3" s="102">
        <v>44409</v>
      </c>
      <c r="M3" s="102">
        <v>44440</v>
      </c>
      <c r="N3" s="103" t="s">
        <v>28</v>
      </c>
      <c r="O3" s="102">
        <v>44470</v>
      </c>
      <c r="P3" s="102">
        <v>44501</v>
      </c>
      <c r="Q3" s="102">
        <v>44531</v>
      </c>
      <c r="R3" s="104" t="s">
        <v>27</v>
      </c>
      <c r="S3" s="24"/>
      <c r="T3" s="24">
        <v>44562</v>
      </c>
      <c r="U3" s="24">
        <v>44593</v>
      </c>
      <c r="V3" s="24">
        <v>44621</v>
      </c>
      <c r="W3" s="101" t="s">
        <v>41</v>
      </c>
      <c r="X3" s="102">
        <v>44652</v>
      </c>
      <c r="Y3" s="102">
        <v>44682</v>
      </c>
      <c r="Z3" s="102">
        <v>44713</v>
      </c>
      <c r="AA3" s="103" t="s">
        <v>40</v>
      </c>
      <c r="AB3" s="102">
        <v>44743</v>
      </c>
      <c r="AC3" s="102">
        <v>44774</v>
      </c>
      <c r="AD3" s="102">
        <v>44805</v>
      </c>
      <c r="AE3" s="103" t="s">
        <v>67</v>
      </c>
      <c r="AF3" s="102">
        <v>44835</v>
      </c>
      <c r="AG3" s="102">
        <v>44866</v>
      </c>
      <c r="AH3" s="102">
        <v>44896</v>
      </c>
      <c r="AI3" s="104" t="s">
        <v>68</v>
      </c>
      <c r="AJ3" s="24"/>
      <c r="AK3" s="24">
        <v>44927</v>
      </c>
      <c r="AL3" s="24">
        <v>44958</v>
      </c>
      <c r="AM3" s="24">
        <v>44986</v>
      </c>
      <c r="AN3" s="101" t="s">
        <v>69</v>
      </c>
      <c r="AO3" s="102">
        <v>45017</v>
      </c>
      <c r="AP3" s="102">
        <v>45047</v>
      </c>
      <c r="AQ3" s="102">
        <v>45078</v>
      </c>
      <c r="AR3" s="103" t="s">
        <v>70</v>
      </c>
      <c r="AS3" s="102">
        <v>45108</v>
      </c>
      <c r="AT3" s="102">
        <v>45139</v>
      </c>
      <c r="AU3" s="102">
        <v>45170</v>
      </c>
      <c r="AV3" s="103" t="s">
        <v>71</v>
      </c>
      <c r="AW3" s="102">
        <v>45200</v>
      </c>
      <c r="AX3" s="102">
        <v>45231</v>
      </c>
      <c r="AY3" s="102">
        <v>45261</v>
      </c>
      <c r="AZ3" s="104" t="s">
        <v>45</v>
      </c>
    </row>
    <row r="4" spans="2:52" x14ac:dyDescent="0.3">
      <c r="F4" s="105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106"/>
      <c r="W4" s="105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106"/>
      <c r="AN4" s="105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106"/>
    </row>
    <row r="5" spans="2:52" x14ac:dyDescent="0.3">
      <c r="B5" s="18" t="s">
        <v>22</v>
      </c>
      <c r="C5" s="28">
        <v>5625</v>
      </c>
      <c r="D5" s="28">
        <v>5625</v>
      </c>
      <c r="E5" s="28">
        <v>5625</v>
      </c>
      <c r="F5" s="127">
        <f>AVERAGE(C5:E5)</f>
        <v>5625</v>
      </c>
      <c r="G5" s="128">
        <v>5625</v>
      </c>
      <c r="H5" s="128">
        <v>5625</v>
      </c>
      <c r="I5" s="128">
        <v>5625</v>
      </c>
      <c r="J5" s="128">
        <f>AVERAGE(G5:I5)</f>
        <v>5625</v>
      </c>
      <c r="K5" s="128">
        <v>5625</v>
      </c>
      <c r="L5" s="128">
        <v>5625</v>
      </c>
      <c r="M5" s="128">
        <v>5625</v>
      </c>
      <c r="N5" s="128">
        <f>AVERAGE(K5:M5)</f>
        <v>5625</v>
      </c>
      <c r="O5" s="128">
        <v>5625</v>
      </c>
      <c r="P5" s="128">
        <v>5625</v>
      </c>
      <c r="Q5" s="128">
        <v>5625</v>
      </c>
      <c r="R5" s="129">
        <f>AVERAGE(O5:Q5)</f>
        <v>5625</v>
      </c>
      <c r="S5" s="28"/>
      <c r="T5" s="28">
        <v>12656.25</v>
      </c>
      <c r="U5" s="28">
        <v>12656.25</v>
      </c>
      <c r="V5" s="28">
        <v>12656.25</v>
      </c>
      <c r="W5" s="127">
        <f>AVERAGE(T5:V5)</f>
        <v>12656.25</v>
      </c>
      <c r="X5" s="128">
        <v>12656.25</v>
      </c>
      <c r="Y5" s="128">
        <v>12656.25</v>
      </c>
      <c r="Z5" s="128">
        <v>12656.25</v>
      </c>
      <c r="AA5" s="128">
        <f>AVERAGE(X5:Z5)</f>
        <v>12656.25</v>
      </c>
      <c r="AB5" s="128">
        <v>12656.25</v>
      </c>
      <c r="AC5" s="128">
        <v>12656.25</v>
      </c>
      <c r="AD5" s="128">
        <v>12656.25</v>
      </c>
      <c r="AE5" s="128">
        <f>AVERAGE(AB5:AD5)</f>
        <v>12656.25</v>
      </c>
      <c r="AF5" s="128">
        <v>12656.25</v>
      </c>
      <c r="AG5" s="128">
        <v>12656.25</v>
      </c>
      <c r="AH5" s="128">
        <v>12656.25</v>
      </c>
      <c r="AI5" s="129">
        <f>AVERAGE(AF5:AH5)</f>
        <v>12656.25</v>
      </c>
      <c r="AJ5" s="130"/>
      <c r="AK5" s="130">
        <v>22500</v>
      </c>
      <c r="AL5" s="130">
        <v>22500</v>
      </c>
      <c r="AM5" s="130">
        <v>22500</v>
      </c>
      <c r="AN5" s="127">
        <f>AVERAGE(AK5:AM5)</f>
        <v>22500</v>
      </c>
      <c r="AO5" s="128">
        <v>22500</v>
      </c>
      <c r="AP5" s="128">
        <v>22500</v>
      </c>
      <c r="AQ5" s="128">
        <v>22500</v>
      </c>
      <c r="AR5" s="128">
        <f>AVERAGE(AO5:AQ5)</f>
        <v>22500</v>
      </c>
      <c r="AS5" s="128">
        <v>22500</v>
      </c>
      <c r="AT5" s="128">
        <v>22500</v>
      </c>
      <c r="AU5" s="128">
        <v>22500</v>
      </c>
      <c r="AV5" s="128">
        <f>AVERAGE(AS5:AU5)</f>
        <v>22500</v>
      </c>
      <c r="AW5" s="128">
        <v>22500</v>
      </c>
      <c r="AX5" s="128">
        <v>22500</v>
      </c>
      <c r="AY5" s="128">
        <v>22500</v>
      </c>
      <c r="AZ5" s="129">
        <f>AVERAGE(AW5:AY5)</f>
        <v>22500</v>
      </c>
    </row>
    <row r="6" spans="2:52" x14ac:dyDescent="0.3">
      <c r="B6" s="18" t="s">
        <v>0</v>
      </c>
      <c r="C6" s="28">
        <v>3296</v>
      </c>
      <c r="D6" s="28">
        <v>3151</v>
      </c>
      <c r="E6" s="28">
        <v>3402</v>
      </c>
      <c r="F6" s="127">
        <f t="shared" ref="F6:F7" si="0">AVERAGE(C6:E6)</f>
        <v>3283</v>
      </c>
      <c r="G6" s="128">
        <v>3531</v>
      </c>
      <c r="H6" s="128">
        <v>3251</v>
      </c>
      <c r="I6" s="128">
        <v>3268</v>
      </c>
      <c r="J6" s="128">
        <f t="shared" ref="J6:J7" si="1">AVERAGE(G6:I6)</f>
        <v>3350</v>
      </c>
      <c r="K6" s="128">
        <v>3600</v>
      </c>
      <c r="L6" s="128">
        <v>3831</v>
      </c>
      <c r="M6" s="128">
        <v>3325</v>
      </c>
      <c r="N6" s="128">
        <f t="shared" ref="N6:N7" si="2">AVERAGE(K6:M6)</f>
        <v>3585.3333333333335</v>
      </c>
      <c r="O6" s="128">
        <v>5346</v>
      </c>
      <c r="P6" s="128">
        <v>5250</v>
      </c>
      <c r="Q6" s="128">
        <v>5500</v>
      </c>
      <c r="R6" s="129">
        <f t="shared" ref="R6:R7" si="3">AVERAGE(O6:Q6)</f>
        <v>5365.333333333333</v>
      </c>
      <c r="S6" s="28"/>
      <c r="T6" s="28">
        <f>T5*T7</f>
        <v>6656.6249999999991</v>
      </c>
      <c r="U6" s="28">
        <f t="shared" ref="U6:V6" si="4">U5*U7</f>
        <v>6330.3750000000009</v>
      </c>
      <c r="V6" s="28">
        <f t="shared" si="4"/>
        <v>6895.1249999999991</v>
      </c>
      <c r="W6" s="127">
        <f t="shared" ref="W6:W7" si="5">AVERAGE(T6:V6)</f>
        <v>6627.375</v>
      </c>
      <c r="X6" s="128">
        <f>X5*X7</f>
        <v>7185.3750000000009</v>
      </c>
      <c r="Y6" s="128">
        <f t="shared" ref="Y6" si="6">Y5*Y7</f>
        <v>6555.3749999999991</v>
      </c>
      <c r="Z6" s="128">
        <f t="shared" ref="Z6" si="7">Z5*Z7</f>
        <v>6593.625</v>
      </c>
      <c r="AA6" s="128">
        <f t="shared" ref="AA6:AA7" si="8">AVERAGE(X6:Z6)</f>
        <v>6778.125</v>
      </c>
      <c r="AB6" s="128">
        <f>AB5*AB7</f>
        <v>7340.6250000000009</v>
      </c>
      <c r="AC6" s="128">
        <f t="shared" ref="AC6" si="9">AC5*AC7</f>
        <v>7860.375</v>
      </c>
      <c r="AD6" s="128">
        <f t="shared" ref="AD6" si="10">AD5*AD7</f>
        <v>6721.875</v>
      </c>
      <c r="AE6" s="128">
        <f t="shared" ref="AE6:AE7" si="11">AVERAGE(AB6:AD6)</f>
        <v>7307.625</v>
      </c>
      <c r="AF6" s="128">
        <f>AF5*AF7</f>
        <v>11269.125000000002</v>
      </c>
      <c r="AG6" s="128">
        <f t="shared" ref="AG6" si="12">AG5*AG7</f>
        <v>11053.125</v>
      </c>
      <c r="AH6" s="128">
        <f t="shared" ref="AH6" si="13">AH5*AH7</f>
        <v>11615.625</v>
      </c>
      <c r="AI6" s="129">
        <f t="shared" ref="AI6:AI7" si="14">AVERAGE(AF6:AH6)</f>
        <v>11312.625</v>
      </c>
      <c r="AJ6" s="130"/>
      <c r="AK6" s="130">
        <f>AK5*AK7</f>
        <v>10483.999999999998</v>
      </c>
      <c r="AL6" s="130">
        <f t="shared" ref="AL6" si="15">AL5*AL7</f>
        <v>9904.0000000000018</v>
      </c>
      <c r="AM6" s="130">
        <f t="shared" ref="AM6" si="16">AM5*AM7</f>
        <v>10907.999999999998</v>
      </c>
      <c r="AN6" s="127">
        <f t="shared" ref="AN6:AN7" si="17">AVERAGE(AK6:AM6)</f>
        <v>10432</v>
      </c>
      <c r="AO6" s="128">
        <f>AO5*AO7</f>
        <v>11424</v>
      </c>
      <c r="AP6" s="128">
        <f t="shared" ref="AP6" si="18">AP5*AP7</f>
        <v>10303.999999999998</v>
      </c>
      <c r="AQ6" s="128">
        <f t="shared" ref="AQ6" si="19">AQ5*AQ7</f>
        <v>10372</v>
      </c>
      <c r="AR6" s="128">
        <f t="shared" ref="AR6:AR7" si="20">AVERAGE(AO6:AQ6)</f>
        <v>10700</v>
      </c>
      <c r="AS6" s="128">
        <f>AS5*AS7</f>
        <v>11700</v>
      </c>
      <c r="AT6" s="128">
        <f t="shared" ref="AT6" si="21">AT5*AT7</f>
        <v>12623.999999999998</v>
      </c>
      <c r="AU6" s="128">
        <f t="shared" ref="AU6" si="22">AU5*AU7</f>
        <v>10600</v>
      </c>
      <c r="AV6" s="128">
        <f t="shared" ref="AV6:AV7" si="23">AVERAGE(AS6:AU6)</f>
        <v>11641.333333333334</v>
      </c>
      <c r="AW6" s="128">
        <f>AW5*AW7</f>
        <v>18684</v>
      </c>
      <c r="AX6" s="128">
        <f t="shared" ref="AX6" si="24">AX5*AX7</f>
        <v>18299.999999999996</v>
      </c>
      <c r="AY6" s="128">
        <f t="shared" ref="AY6" si="25">AY5*AY7</f>
        <v>19300</v>
      </c>
      <c r="AZ6" s="129">
        <f t="shared" ref="AZ6:AZ7" si="26">AVERAGE(AW6:AY6)</f>
        <v>18761.333333333332</v>
      </c>
    </row>
    <row r="7" spans="2:52" x14ac:dyDescent="0.3">
      <c r="B7" s="18" t="s">
        <v>53</v>
      </c>
      <c r="C7" s="31">
        <v>0.58595555555555556</v>
      </c>
      <c r="D7" s="31">
        <v>0.56017777777777777</v>
      </c>
      <c r="E7" s="31">
        <v>0.6048</v>
      </c>
      <c r="F7" s="110">
        <f t="shared" si="0"/>
        <v>0.58364444444444441</v>
      </c>
      <c r="G7" s="111">
        <v>0.62773333333333337</v>
      </c>
      <c r="H7" s="111">
        <v>0.57795555555555556</v>
      </c>
      <c r="I7" s="111">
        <v>0.58097777777777782</v>
      </c>
      <c r="J7" s="111">
        <f t="shared" si="1"/>
        <v>0.59555555555555562</v>
      </c>
      <c r="K7" s="111">
        <v>0.64</v>
      </c>
      <c r="L7" s="111">
        <v>0.68106666666666671</v>
      </c>
      <c r="M7" s="111">
        <v>0.59111111111111114</v>
      </c>
      <c r="N7" s="111">
        <f t="shared" si="2"/>
        <v>0.63739259259259262</v>
      </c>
      <c r="O7" s="111">
        <v>0.95040000000000002</v>
      </c>
      <c r="P7" s="111">
        <v>0.93333333333333335</v>
      </c>
      <c r="Q7" s="111">
        <v>0.97777777777777775</v>
      </c>
      <c r="R7" s="112">
        <f t="shared" si="3"/>
        <v>0.95383703703703704</v>
      </c>
      <c r="S7" s="31"/>
      <c r="T7" s="31">
        <f>C7+Summary!$F$2</f>
        <v>0.52595555555555551</v>
      </c>
      <c r="U7" s="31">
        <f>D7+Summary!$F$2</f>
        <v>0.50017777777777783</v>
      </c>
      <c r="V7" s="31">
        <f>E7+Summary!$F$2</f>
        <v>0.54479999999999995</v>
      </c>
      <c r="W7" s="110">
        <f t="shared" si="5"/>
        <v>0.52364444444444447</v>
      </c>
      <c r="X7" s="111">
        <f>G7+Summary!$F$2</f>
        <v>0.56773333333333342</v>
      </c>
      <c r="Y7" s="111">
        <f>H7+Summary!$F$2</f>
        <v>0.5179555555555555</v>
      </c>
      <c r="Z7" s="111">
        <f>I7+Summary!$F$2</f>
        <v>0.52097777777777776</v>
      </c>
      <c r="AA7" s="111">
        <f t="shared" si="8"/>
        <v>0.53555555555555556</v>
      </c>
      <c r="AB7" s="111">
        <f>K7+Summary!$F$2</f>
        <v>0.58000000000000007</v>
      </c>
      <c r="AC7" s="111">
        <f>L7+Summary!$F$2</f>
        <v>0.62106666666666666</v>
      </c>
      <c r="AD7" s="111">
        <f>M7+Summary!$F$2</f>
        <v>0.53111111111111109</v>
      </c>
      <c r="AE7" s="111">
        <f t="shared" si="11"/>
        <v>0.57739259259259257</v>
      </c>
      <c r="AF7" s="111">
        <f>O7+Summary!$F$2</f>
        <v>0.89040000000000008</v>
      </c>
      <c r="AG7" s="111">
        <f>P7+Summary!$F$2</f>
        <v>0.87333333333333329</v>
      </c>
      <c r="AH7" s="111">
        <f>Q7+Summary!$F$2</f>
        <v>0.9177777777777778</v>
      </c>
      <c r="AI7" s="112">
        <f t="shared" si="14"/>
        <v>0.89383703703703699</v>
      </c>
      <c r="AJ7" s="31"/>
      <c r="AK7" s="31">
        <f>T7+Summary!$F$2</f>
        <v>0.46595555555555551</v>
      </c>
      <c r="AL7" s="31">
        <f>U7+Summary!$F$2</f>
        <v>0.44017777777777783</v>
      </c>
      <c r="AM7" s="31">
        <f>V7+Summary!$F$2</f>
        <v>0.48479999999999995</v>
      </c>
      <c r="AN7" s="110">
        <f t="shared" si="17"/>
        <v>0.46364444444444447</v>
      </c>
      <c r="AO7" s="111">
        <f>X7+Summary!$F$2</f>
        <v>0.50773333333333337</v>
      </c>
      <c r="AP7" s="111">
        <f>Y7+Summary!$F$2</f>
        <v>0.4579555555555555</v>
      </c>
      <c r="AQ7" s="111">
        <f>Z7+Summary!$F$2</f>
        <v>0.46097777777777776</v>
      </c>
      <c r="AR7" s="111">
        <f t="shared" si="20"/>
        <v>0.47555555555555551</v>
      </c>
      <c r="AS7" s="111">
        <f>AB7+Summary!$F$2</f>
        <v>0.52</v>
      </c>
      <c r="AT7" s="111">
        <f>AC7+Summary!$F$2</f>
        <v>0.5610666666666666</v>
      </c>
      <c r="AU7" s="111">
        <f>AD7+Summary!$F$2</f>
        <v>0.47111111111111109</v>
      </c>
      <c r="AV7" s="111">
        <f t="shared" si="23"/>
        <v>0.51739259259259252</v>
      </c>
      <c r="AW7" s="111">
        <f>AF7+Summary!$F$2</f>
        <v>0.83040000000000003</v>
      </c>
      <c r="AX7" s="111">
        <f>AG7+Summary!$F$2</f>
        <v>0.81333333333333324</v>
      </c>
      <c r="AY7" s="111">
        <f>AH7+Summary!$F$2</f>
        <v>0.85777777777777775</v>
      </c>
      <c r="AZ7" s="112">
        <f t="shared" si="26"/>
        <v>0.83383703703703704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3343-280F-423F-93B2-9F579C7B8EFB}">
  <dimension ref="C9:F30"/>
  <sheetViews>
    <sheetView workbookViewId="0">
      <selection activeCell="F35" sqref="F35"/>
    </sheetView>
  </sheetViews>
  <sheetFormatPr defaultRowHeight="15.6" x14ac:dyDescent="0.3"/>
  <sheetData>
    <row r="9" spans="3:6" x14ac:dyDescent="0.3">
      <c r="D9" s="21" t="s">
        <v>36</v>
      </c>
      <c r="E9" s="21" t="s">
        <v>30</v>
      </c>
      <c r="F9" s="21" t="s">
        <v>31</v>
      </c>
    </row>
    <row r="10" spans="3:6" x14ac:dyDescent="0.3">
      <c r="C10" s="79">
        <v>44197</v>
      </c>
      <c r="D10" s="80">
        <f>C10</f>
        <v>44197</v>
      </c>
      <c r="E10" s="80">
        <v>44562</v>
      </c>
      <c r="F10" s="80">
        <v>44927</v>
      </c>
    </row>
    <row r="11" spans="3:6" x14ac:dyDescent="0.3">
      <c r="D11" s="80">
        <f>EDATE(D10,1)</f>
        <v>44228</v>
      </c>
      <c r="E11" s="80">
        <f>EDATE(E10,1)</f>
        <v>44593</v>
      </c>
      <c r="F11" s="80">
        <f>EDATE(F10,1)</f>
        <v>44958</v>
      </c>
    </row>
    <row r="12" spans="3:6" x14ac:dyDescent="0.3">
      <c r="D12" s="80">
        <f>EDATE(D11,1)</f>
        <v>44256</v>
      </c>
      <c r="E12" s="80">
        <f>EDATE(E11,1)</f>
        <v>44621</v>
      </c>
      <c r="F12" s="80">
        <f>EDATE(F11,1)</f>
        <v>44986</v>
      </c>
    </row>
    <row r="13" spans="3:6" x14ac:dyDescent="0.3">
      <c r="D13" s="20" t="s">
        <v>25</v>
      </c>
      <c r="E13" s="23" t="s">
        <v>41</v>
      </c>
      <c r="F13" s="20" t="s">
        <v>46</v>
      </c>
    </row>
    <row r="14" spans="3:6" x14ac:dyDescent="0.3">
      <c r="D14" s="12"/>
      <c r="E14" s="23"/>
      <c r="F14" s="20"/>
    </row>
    <row r="15" spans="3:6" x14ac:dyDescent="0.3">
      <c r="D15" s="80">
        <f>EDATE(D12,1)</f>
        <v>44287</v>
      </c>
      <c r="E15" s="80">
        <f>EDATE(E12,1)</f>
        <v>44652</v>
      </c>
      <c r="F15" s="80">
        <f>EDATE(F12,1)</f>
        <v>45017</v>
      </c>
    </row>
    <row r="16" spans="3:6" x14ac:dyDescent="0.3">
      <c r="D16" s="80">
        <f>EDATE(D15,1)</f>
        <v>44317</v>
      </c>
      <c r="E16" s="80">
        <f>EDATE(E15,1)</f>
        <v>44682</v>
      </c>
      <c r="F16" s="80">
        <f>EDATE(F15,1)</f>
        <v>45047</v>
      </c>
    </row>
    <row r="17" spans="4:6" x14ac:dyDescent="0.3">
      <c r="D17" s="80">
        <f>EDATE(D16,1)</f>
        <v>44348</v>
      </c>
      <c r="E17" s="80">
        <f>EDATE(E16,1)</f>
        <v>44713</v>
      </c>
      <c r="F17" s="80">
        <f>EDATE(F16,1)</f>
        <v>45078</v>
      </c>
    </row>
    <row r="18" spans="4:6" x14ac:dyDescent="0.3">
      <c r="D18" s="20" t="s">
        <v>26</v>
      </c>
      <c r="E18" s="20" t="s">
        <v>40</v>
      </c>
      <c r="F18" s="20" t="s">
        <v>47</v>
      </c>
    </row>
    <row r="19" spans="4:6" x14ac:dyDescent="0.3">
      <c r="D19" s="20"/>
      <c r="E19" s="20"/>
      <c r="F19" s="20"/>
    </row>
    <row r="20" spans="4:6" x14ac:dyDescent="0.3">
      <c r="D20" s="80">
        <f>EDATE(D17,1)</f>
        <v>44378</v>
      </c>
      <c r="E20" s="80">
        <f>EDATE(E17,1)</f>
        <v>44743</v>
      </c>
      <c r="F20" s="80">
        <f>EDATE(F17,1)</f>
        <v>45108</v>
      </c>
    </row>
    <row r="21" spans="4:6" x14ac:dyDescent="0.3">
      <c r="D21" s="80">
        <f>EDATE(D20,1)</f>
        <v>44409</v>
      </c>
      <c r="E21" s="80">
        <f>EDATE(E20,1)</f>
        <v>44774</v>
      </c>
      <c r="F21" s="80">
        <f>EDATE(F20,1)</f>
        <v>45139</v>
      </c>
    </row>
    <row r="22" spans="4:6" x14ac:dyDescent="0.3">
      <c r="D22" s="80">
        <f>EDATE(D21,1)</f>
        <v>44440</v>
      </c>
      <c r="E22" s="80">
        <f>EDATE(E21,1)</f>
        <v>44805</v>
      </c>
      <c r="F22" s="80">
        <f>EDATE(F21,1)</f>
        <v>45170</v>
      </c>
    </row>
    <row r="23" spans="4:6" x14ac:dyDescent="0.3">
      <c r="D23" s="20" t="s">
        <v>28</v>
      </c>
      <c r="E23" s="20" t="s">
        <v>42</v>
      </c>
      <c r="F23" s="20" t="s">
        <v>42</v>
      </c>
    </row>
    <row r="24" spans="4:6" x14ac:dyDescent="0.3">
      <c r="D24" s="20"/>
      <c r="E24" s="20"/>
      <c r="F24" s="20"/>
    </row>
    <row r="25" spans="4:6" x14ac:dyDescent="0.3">
      <c r="D25" s="80">
        <f>EDATE(D22,1)</f>
        <v>44470</v>
      </c>
      <c r="E25" s="80">
        <f>EDATE(E22,1)</f>
        <v>44835</v>
      </c>
      <c r="F25" s="80">
        <f>EDATE(F22,1)</f>
        <v>45200</v>
      </c>
    </row>
    <row r="26" spans="4:6" x14ac:dyDescent="0.3">
      <c r="D26" s="80">
        <f>EDATE(D25,1)</f>
        <v>44501</v>
      </c>
      <c r="E26" s="80">
        <f>EDATE(E25,1)</f>
        <v>44866</v>
      </c>
      <c r="F26" s="80">
        <f>EDATE(F25,1)</f>
        <v>45231</v>
      </c>
    </row>
    <row r="27" spans="4:6" x14ac:dyDescent="0.3">
      <c r="D27" s="80">
        <f>EDATE(D26,1)</f>
        <v>44531</v>
      </c>
      <c r="E27" s="80">
        <f>EDATE(E26,1)</f>
        <v>44896</v>
      </c>
      <c r="F27" s="80">
        <f>EDATE(F26,1)</f>
        <v>45261</v>
      </c>
    </row>
    <row r="28" spans="4:6" x14ac:dyDescent="0.3">
      <c r="D28" s="20" t="s">
        <v>27</v>
      </c>
      <c r="E28" s="20" t="s">
        <v>43</v>
      </c>
      <c r="F28" s="20" t="s">
        <v>43</v>
      </c>
    </row>
    <row r="29" spans="4:6" x14ac:dyDescent="0.3">
      <c r="D29" s="20"/>
      <c r="E29" s="20"/>
      <c r="F29" s="20"/>
    </row>
    <row r="30" spans="4:6" x14ac:dyDescent="0.3">
      <c r="D30" s="20" t="s">
        <v>64</v>
      </c>
      <c r="E30" s="20" t="s">
        <v>44</v>
      </c>
      <c r="F30" s="20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BBC2-0986-4FB4-A5A1-39898890F9BE}">
  <dimension ref="A1:BV1006"/>
  <sheetViews>
    <sheetView showGridLines="0" zoomScale="80" zoomScaleNormal="80" workbookViewId="0">
      <pane xSplit="7" ySplit="3" topLeftCell="H4" activePane="bottomRight" state="frozen"/>
      <selection activeCell="C1" sqref="C1:F9"/>
      <selection pane="topRight" activeCell="C1" sqref="C1:F9"/>
      <selection pane="bottomLeft" activeCell="C1" sqref="C1:F9"/>
      <selection pane="bottomRight" activeCell="C1" sqref="C1:F9"/>
    </sheetView>
  </sheetViews>
  <sheetFormatPr defaultColWidth="11.19921875" defaultRowHeight="15" customHeight="1" outlineLevelCol="1" x14ac:dyDescent="0.3"/>
  <cols>
    <col min="1" max="1" width="8.59765625" hidden="1" customWidth="1"/>
    <col min="2" max="2" width="13" bestFit="1" customWidth="1"/>
    <col min="3" max="3" width="13.09765625" bestFit="1" customWidth="1"/>
    <col min="4" max="4" width="5.8984375" bestFit="1" customWidth="1"/>
    <col min="5" max="5" width="5.8984375" customWidth="1"/>
    <col min="6" max="6" width="9.59765625" bestFit="1" customWidth="1"/>
    <col min="7" max="7" width="36.59765625" customWidth="1"/>
    <col min="8" max="10" width="13.3984375" style="14" hidden="1" customWidth="1" outlineLevel="1"/>
    <col min="11" max="11" width="13.3984375" style="14" customWidth="1" collapsed="1"/>
    <col min="12" max="12" width="0.3984375" style="14" customWidth="1"/>
    <col min="13" max="15" width="13.3984375" style="14" hidden="1" customWidth="1" outlineLevel="1"/>
    <col min="16" max="16" width="13.3984375" style="14" customWidth="1" collapsed="1"/>
    <col min="17" max="17" width="0.3984375" style="14" customWidth="1"/>
    <col min="18" max="20" width="13.3984375" style="14" hidden="1" customWidth="1" outlineLevel="1"/>
    <col min="21" max="21" width="13.3984375" style="14" customWidth="1" collapsed="1"/>
    <col min="22" max="22" width="0.3984375" style="14" customWidth="1"/>
    <col min="23" max="25" width="13.3984375" style="14" hidden="1" customWidth="1" outlineLevel="1"/>
    <col min="26" max="26" width="13.3984375" style="14" customWidth="1" collapsed="1"/>
    <col min="27" max="27" width="0.3984375" style="14" customWidth="1"/>
    <col min="28" max="28" width="13.3984375" bestFit="1" customWidth="1"/>
    <col min="29" max="29" width="5.19921875" customWidth="1"/>
    <col min="30" max="30" width="13.3984375" style="14" hidden="1" customWidth="1" outlineLevel="1"/>
    <col min="31" max="32" width="12.5" style="28" hidden="1" customWidth="1" outlineLevel="1"/>
    <col min="33" max="33" width="13.3984375" bestFit="1" customWidth="1" collapsed="1"/>
    <col min="34" max="34" width="0.69921875" customWidth="1"/>
    <col min="35" max="37" width="12.5" style="28" hidden="1" customWidth="1" outlineLevel="1"/>
    <col min="38" max="38" width="11.3984375" style="28" bestFit="1" customWidth="1" collapsed="1"/>
    <col min="39" max="39" width="0.69921875" style="28" customWidth="1"/>
    <col min="40" max="42" width="12.5" style="28" hidden="1" customWidth="1" outlineLevel="1"/>
    <col min="43" max="43" width="11.19921875" style="28" collapsed="1"/>
    <col min="44" max="44" width="0.69921875" style="28" customWidth="1"/>
    <col min="45" max="47" width="12.5" style="28" hidden="1" customWidth="1" outlineLevel="1"/>
    <col min="48" max="48" width="0.59765625" style="28" hidden="1" customWidth="1" outlineLevel="1"/>
    <col min="49" max="49" width="11.3984375" bestFit="1" customWidth="1" collapsed="1"/>
    <col min="50" max="50" width="0.796875" customWidth="1"/>
    <col min="51" max="51" width="11.3984375" bestFit="1" customWidth="1" collapsed="1"/>
    <col min="52" max="52" width="4.8984375" style="56" customWidth="1"/>
    <col min="53" max="53" width="13.3984375" style="14" hidden="1" customWidth="1" outlineLevel="1"/>
    <col min="54" max="55" width="11.19921875" style="28" hidden="1" customWidth="1" outlineLevel="1"/>
    <col min="56" max="56" width="11.3984375" bestFit="1" customWidth="1" collapsed="1"/>
    <col min="57" max="57" width="0.796875" customWidth="1"/>
    <col min="58" max="60" width="11.19921875" style="28" hidden="1" customWidth="1" outlineLevel="1"/>
    <col min="61" max="61" width="11.3984375" bestFit="1" customWidth="1" collapsed="1"/>
    <col min="62" max="62" width="0.796875" customWidth="1"/>
    <col min="63" max="65" width="11.19921875" style="28" hidden="1" customWidth="1" outlineLevel="1"/>
    <col min="66" max="66" width="11.3984375" bestFit="1" customWidth="1" collapsed="1"/>
    <col min="67" max="67" width="0.796875" customWidth="1"/>
    <col min="68" max="69" width="11.19921875" style="28" hidden="1" customWidth="1" outlineLevel="1"/>
    <col min="70" max="70" width="11.19921875" hidden="1" customWidth="1" outlineLevel="1"/>
    <col min="71" max="71" width="11.3984375" bestFit="1" customWidth="1" collapsed="1"/>
    <col min="72" max="72" width="0.796875" customWidth="1"/>
    <col min="73" max="73" width="12.5" bestFit="1" customWidth="1"/>
  </cols>
  <sheetData>
    <row r="1" spans="1:73" ht="0.6" customHeight="1" x14ac:dyDescent="0.3">
      <c r="H1" s="78" t="str">
        <f>H3&amp;H2</f>
        <v>44197Actuals</v>
      </c>
      <c r="I1" s="78" t="str">
        <f t="shared" ref="I1:AB1" si="0">I3&amp;I2</f>
        <v>44228Actuals</v>
      </c>
      <c r="J1" s="78" t="str">
        <f t="shared" si="0"/>
        <v>44256Actuals</v>
      </c>
      <c r="K1" s="78" t="str">
        <f t="shared" si="0"/>
        <v>Q12021Actuals</v>
      </c>
      <c r="L1" s="78" t="str">
        <f t="shared" si="0"/>
        <v>Actuals</v>
      </c>
      <c r="M1" s="78" t="str">
        <f t="shared" si="0"/>
        <v>44287Actuals</v>
      </c>
      <c r="N1" s="78" t="str">
        <f t="shared" si="0"/>
        <v>44317Actuals</v>
      </c>
      <c r="O1" s="78" t="str">
        <f t="shared" si="0"/>
        <v>44348Actuals</v>
      </c>
      <c r="P1" s="78" t="str">
        <f t="shared" si="0"/>
        <v>Q22021Actuals</v>
      </c>
      <c r="Q1" s="78" t="str">
        <f t="shared" si="0"/>
        <v>Actuals</v>
      </c>
      <c r="R1" s="78" t="str">
        <f t="shared" si="0"/>
        <v>44378Actuals</v>
      </c>
      <c r="S1" s="78" t="str">
        <f t="shared" si="0"/>
        <v>44409Actuals</v>
      </c>
      <c r="T1" s="78" t="str">
        <f t="shared" si="0"/>
        <v>44440Actuals</v>
      </c>
      <c r="U1" s="78" t="str">
        <f t="shared" si="0"/>
        <v>Q32021Actuals</v>
      </c>
      <c r="V1" s="78" t="str">
        <f t="shared" si="0"/>
        <v>Actuals</v>
      </c>
      <c r="W1" s="78" t="str">
        <f t="shared" si="0"/>
        <v>44470Actuals</v>
      </c>
      <c r="X1" s="78" t="str">
        <f t="shared" si="0"/>
        <v>44501Actuals</v>
      </c>
      <c r="Y1" s="78" t="str">
        <f t="shared" si="0"/>
        <v>44531Actuals</v>
      </c>
      <c r="Z1" s="78" t="str">
        <f t="shared" si="0"/>
        <v>Q42021Actuals</v>
      </c>
      <c r="AA1" s="78" t="str">
        <f t="shared" si="0"/>
        <v/>
      </c>
      <c r="AB1" s="78" t="str">
        <f t="shared" si="0"/>
        <v>FY 2021Actuals</v>
      </c>
      <c r="AD1" s="78" t="str">
        <f>AD3&amp;AD2</f>
        <v>44562Forecast Y1</v>
      </c>
      <c r="AE1" s="78" t="str">
        <f t="shared" ref="AE1:AX1" si="1">AE3&amp;AE2</f>
        <v>44593Forecast Y1</v>
      </c>
      <c r="AF1" s="78" t="str">
        <f t="shared" si="1"/>
        <v>44621Forecast Y1</v>
      </c>
      <c r="AG1" s="78" t="str">
        <f t="shared" si="1"/>
        <v>Q12022Forecast Y1</v>
      </c>
      <c r="AH1" s="78" t="str">
        <f t="shared" si="1"/>
        <v/>
      </c>
      <c r="AI1" s="78" t="str">
        <f t="shared" si="1"/>
        <v>44652Forecast Y1</v>
      </c>
      <c r="AJ1" s="78" t="str">
        <f t="shared" si="1"/>
        <v>44682Forecast Y1</v>
      </c>
      <c r="AK1" s="78" t="str">
        <f t="shared" si="1"/>
        <v>44713Forecast Y1</v>
      </c>
      <c r="AL1" s="78" t="str">
        <f t="shared" si="1"/>
        <v>Q22022Forecast Y1</v>
      </c>
      <c r="AM1" s="78" t="str">
        <f t="shared" si="1"/>
        <v/>
      </c>
      <c r="AN1" s="78" t="str">
        <f t="shared" si="1"/>
        <v>44743Forecast Y1</v>
      </c>
      <c r="AO1" s="78" t="str">
        <f t="shared" si="1"/>
        <v>44774Forecast Y1</v>
      </c>
      <c r="AP1" s="78" t="str">
        <f t="shared" si="1"/>
        <v>44805Forecast Y1</v>
      </c>
      <c r="AQ1" s="78" t="str">
        <f t="shared" si="1"/>
        <v>Q32023Forecast Y1</v>
      </c>
      <c r="AR1" s="78" t="str">
        <f t="shared" si="1"/>
        <v/>
      </c>
      <c r="AS1" s="78" t="str">
        <f t="shared" si="1"/>
        <v>44835Forecast Y1</v>
      </c>
      <c r="AT1" s="78" t="str">
        <f t="shared" si="1"/>
        <v>44866Forecast Y1</v>
      </c>
      <c r="AU1" s="78" t="str">
        <f t="shared" si="1"/>
        <v>44896Forecast Y1</v>
      </c>
      <c r="AV1" s="78" t="str">
        <f t="shared" si="1"/>
        <v/>
      </c>
      <c r="AW1" s="78" t="str">
        <f t="shared" si="1"/>
        <v>Q42023Forecast Y1</v>
      </c>
      <c r="AX1" s="78" t="str">
        <f t="shared" si="1"/>
        <v/>
      </c>
      <c r="AY1" s="78" t="str">
        <f>AY3&amp;AY2</f>
        <v>FY 2022Forecast Y1</v>
      </c>
      <c r="BA1" s="78" t="str">
        <f t="shared" ref="BA1:BU1" si="2">BA3&amp;BA2</f>
        <v>44927Forecast Y2</v>
      </c>
      <c r="BB1" s="78" t="str">
        <f t="shared" si="2"/>
        <v>44958Forecast Y2</v>
      </c>
      <c r="BC1" s="78" t="str">
        <f t="shared" si="2"/>
        <v>44986Forecast Y2</v>
      </c>
      <c r="BD1" s="78" t="str">
        <f t="shared" si="2"/>
        <v>Q12023Forecast Y2</v>
      </c>
      <c r="BE1" s="78" t="str">
        <f t="shared" si="2"/>
        <v/>
      </c>
      <c r="BF1" s="78" t="str">
        <f t="shared" si="2"/>
        <v>45017Forecast Y2</v>
      </c>
      <c r="BG1" s="78" t="str">
        <f t="shared" si="2"/>
        <v>45047Forecast Y2</v>
      </c>
      <c r="BH1" s="78" t="str">
        <f t="shared" si="2"/>
        <v>45078Forecast Y2</v>
      </c>
      <c r="BI1" s="78" t="str">
        <f t="shared" si="2"/>
        <v>Q22023Forecast Y2</v>
      </c>
      <c r="BJ1" s="78" t="str">
        <f t="shared" si="2"/>
        <v/>
      </c>
      <c r="BK1" s="78" t="str">
        <f t="shared" si="2"/>
        <v>45108Forecast Y2</v>
      </c>
      <c r="BL1" s="78" t="str">
        <f t="shared" si="2"/>
        <v>45139Forecast Y2</v>
      </c>
      <c r="BM1" s="78" t="str">
        <f t="shared" si="2"/>
        <v>45170Forecast Y2</v>
      </c>
      <c r="BN1" s="78" t="str">
        <f t="shared" si="2"/>
        <v>Q32023Forecast Y2</v>
      </c>
      <c r="BO1" s="78" t="str">
        <f t="shared" si="2"/>
        <v/>
      </c>
      <c r="BP1" s="78" t="str">
        <f t="shared" si="2"/>
        <v>45200Forecast Y2</v>
      </c>
      <c r="BQ1" s="78" t="str">
        <f t="shared" si="2"/>
        <v>45231Forecast Y2</v>
      </c>
      <c r="BR1" s="78" t="str">
        <f t="shared" si="2"/>
        <v>45261Forecast Y2</v>
      </c>
      <c r="BS1" s="78" t="str">
        <f t="shared" si="2"/>
        <v>Q42023Forecast Y2</v>
      </c>
      <c r="BT1" s="78" t="str">
        <f t="shared" si="2"/>
        <v/>
      </c>
      <c r="BU1" s="78" t="str">
        <f t="shared" si="2"/>
        <v>FY 2023Forecast Y2</v>
      </c>
    </row>
    <row r="2" spans="1:73" ht="15" customHeight="1" x14ac:dyDescent="0.3">
      <c r="H2" s="72" t="s">
        <v>36</v>
      </c>
      <c r="I2" s="72" t="s">
        <v>36</v>
      </c>
      <c r="J2" s="72" t="s">
        <v>36</v>
      </c>
      <c r="K2" s="72" t="s">
        <v>36</v>
      </c>
      <c r="L2" s="72" t="s">
        <v>36</v>
      </c>
      <c r="M2" s="72" t="s">
        <v>36</v>
      </c>
      <c r="N2" s="72" t="s">
        <v>36</v>
      </c>
      <c r="O2" s="72" t="s">
        <v>36</v>
      </c>
      <c r="P2" s="72" t="s">
        <v>36</v>
      </c>
      <c r="Q2" s="72" t="s">
        <v>36</v>
      </c>
      <c r="R2" s="72" t="s">
        <v>36</v>
      </c>
      <c r="S2" s="72" t="s">
        <v>36</v>
      </c>
      <c r="T2" s="72" t="s">
        <v>36</v>
      </c>
      <c r="U2" s="72" t="s">
        <v>36</v>
      </c>
      <c r="V2" s="72" t="s">
        <v>36</v>
      </c>
      <c r="W2" s="72" t="s">
        <v>36</v>
      </c>
      <c r="X2" s="72" t="s">
        <v>36</v>
      </c>
      <c r="Y2" s="72" t="s">
        <v>36</v>
      </c>
      <c r="Z2" s="72" t="s">
        <v>36</v>
      </c>
      <c r="AA2" s="72"/>
      <c r="AB2" s="72" t="s">
        <v>36</v>
      </c>
      <c r="AD2" s="74" t="s">
        <v>49</v>
      </c>
      <c r="AE2" s="73" t="s">
        <v>49</v>
      </c>
      <c r="AF2" s="73" t="s">
        <v>49</v>
      </c>
      <c r="AG2" s="73" t="s">
        <v>49</v>
      </c>
      <c r="AH2" s="75"/>
      <c r="AI2" s="73" t="s">
        <v>49</v>
      </c>
      <c r="AJ2" s="73" t="s">
        <v>49</v>
      </c>
      <c r="AK2" s="73" t="s">
        <v>49</v>
      </c>
      <c r="AL2" s="73" t="s">
        <v>49</v>
      </c>
      <c r="AM2" s="75"/>
      <c r="AN2" s="73" t="s">
        <v>49</v>
      </c>
      <c r="AO2" s="73" t="s">
        <v>49</v>
      </c>
      <c r="AP2" s="73" t="s">
        <v>49</v>
      </c>
      <c r="AQ2" s="73" t="s">
        <v>49</v>
      </c>
      <c r="AR2" s="75"/>
      <c r="AS2" s="73" t="s">
        <v>49</v>
      </c>
      <c r="AT2" s="73" t="s">
        <v>49</v>
      </c>
      <c r="AU2" s="73" t="s">
        <v>49</v>
      </c>
      <c r="AV2" s="73"/>
      <c r="AW2" s="73" t="s">
        <v>49</v>
      </c>
      <c r="AX2" s="73"/>
      <c r="AY2" s="73" t="s">
        <v>49</v>
      </c>
      <c r="AZ2" s="60"/>
      <c r="BA2" s="74" t="s">
        <v>50</v>
      </c>
      <c r="BB2" s="72" t="s">
        <v>50</v>
      </c>
      <c r="BC2" s="72" t="s">
        <v>50</v>
      </c>
      <c r="BD2" s="73" t="s">
        <v>50</v>
      </c>
      <c r="BE2" s="73"/>
      <c r="BF2" s="72" t="s">
        <v>50</v>
      </c>
      <c r="BG2" s="72" t="s">
        <v>50</v>
      </c>
      <c r="BH2" s="72" t="s">
        <v>50</v>
      </c>
      <c r="BI2" s="73" t="s">
        <v>50</v>
      </c>
      <c r="BJ2" s="73"/>
      <c r="BK2" s="72" t="s">
        <v>50</v>
      </c>
      <c r="BL2" s="72" t="s">
        <v>50</v>
      </c>
      <c r="BM2" s="72" t="s">
        <v>50</v>
      </c>
      <c r="BN2" s="73" t="s">
        <v>50</v>
      </c>
      <c r="BO2" s="73"/>
      <c r="BP2" s="72" t="s">
        <v>50</v>
      </c>
      <c r="BQ2" s="72" t="s">
        <v>50</v>
      </c>
      <c r="BR2" s="72" t="s">
        <v>50</v>
      </c>
      <c r="BS2" s="73" t="s">
        <v>50</v>
      </c>
      <c r="BT2" s="73"/>
      <c r="BU2" s="72" t="s">
        <v>50</v>
      </c>
    </row>
    <row r="3" spans="1:73" ht="15.75" customHeight="1" x14ac:dyDescent="0.3">
      <c r="A3" s="1">
        <v>44197</v>
      </c>
      <c r="B3" s="2" t="s">
        <v>0</v>
      </c>
      <c r="C3" s="3">
        <v>3296</v>
      </c>
      <c r="F3" s="4"/>
      <c r="G3" s="34" t="s">
        <v>66</v>
      </c>
      <c r="H3" s="12">
        <v>44197</v>
      </c>
      <c r="I3" s="12">
        <f t="shared" ref="I3:J3" si="3">EDATE(H3,1)</f>
        <v>44228</v>
      </c>
      <c r="J3" s="12">
        <f t="shared" si="3"/>
        <v>44256</v>
      </c>
      <c r="K3" s="20" t="s">
        <v>25</v>
      </c>
      <c r="L3" s="12"/>
      <c r="M3" s="12">
        <f>EDATE(J3,1)</f>
        <v>44287</v>
      </c>
      <c r="N3" s="12">
        <f t="shared" ref="N3:O3" si="4">EDATE(M3,1)</f>
        <v>44317</v>
      </c>
      <c r="O3" s="12">
        <f t="shared" si="4"/>
        <v>44348</v>
      </c>
      <c r="P3" s="20" t="s">
        <v>26</v>
      </c>
      <c r="Q3" s="20"/>
      <c r="R3" s="12">
        <f>EDATE(O3,1)</f>
        <v>44378</v>
      </c>
      <c r="S3" s="12">
        <f t="shared" ref="S3:T3" si="5">EDATE(R3,1)</f>
        <v>44409</v>
      </c>
      <c r="T3" s="12">
        <f t="shared" si="5"/>
        <v>44440</v>
      </c>
      <c r="U3" s="20" t="s">
        <v>28</v>
      </c>
      <c r="V3" s="20"/>
      <c r="W3" s="12">
        <f>EDATE(T3,1)</f>
        <v>44470</v>
      </c>
      <c r="X3" s="12">
        <f t="shared" ref="X3:Y3" si="6">EDATE(W3,1)</f>
        <v>44501</v>
      </c>
      <c r="Y3" s="12">
        <f t="shared" si="6"/>
        <v>44531</v>
      </c>
      <c r="Z3" s="20" t="s">
        <v>27</v>
      </c>
      <c r="AA3" s="20"/>
      <c r="AB3" s="20" t="s">
        <v>64</v>
      </c>
      <c r="AD3" s="12">
        <v>44562</v>
      </c>
      <c r="AE3" s="29">
        <f>EDATE(AD3,1)</f>
        <v>44593</v>
      </c>
      <c r="AF3" s="29">
        <f t="shared" ref="AF3:AU3" si="7">EDATE(AE3,1)</f>
        <v>44621</v>
      </c>
      <c r="AG3" s="23" t="s">
        <v>41</v>
      </c>
      <c r="AH3" s="23"/>
      <c r="AI3" s="29">
        <f>EDATE(AF3,1)</f>
        <v>44652</v>
      </c>
      <c r="AJ3" s="29">
        <f t="shared" si="7"/>
        <v>44682</v>
      </c>
      <c r="AK3" s="29">
        <f t="shared" si="7"/>
        <v>44713</v>
      </c>
      <c r="AL3" s="20" t="s">
        <v>40</v>
      </c>
      <c r="AM3" s="20"/>
      <c r="AN3" s="29">
        <f>EDATE(AK3,1)</f>
        <v>44743</v>
      </c>
      <c r="AO3" s="29">
        <f t="shared" si="7"/>
        <v>44774</v>
      </c>
      <c r="AP3" s="29">
        <f>EDATE(AO3,1)</f>
        <v>44805</v>
      </c>
      <c r="AQ3" s="20" t="s">
        <v>42</v>
      </c>
      <c r="AR3" s="20"/>
      <c r="AS3" s="29">
        <f>EDATE(AP3,1)</f>
        <v>44835</v>
      </c>
      <c r="AT3" s="29">
        <f>EDATE(AS3,1)</f>
        <v>44866</v>
      </c>
      <c r="AU3" s="29">
        <f t="shared" si="7"/>
        <v>44896</v>
      </c>
      <c r="AV3" s="29"/>
      <c r="AW3" s="20" t="s">
        <v>43</v>
      </c>
      <c r="AX3" s="20"/>
      <c r="AY3" s="20" t="s">
        <v>44</v>
      </c>
      <c r="AZ3" s="57"/>
      <c r="BA3" s="12">
        <v>44927</v>
      </c>
      <c r="BB3" s="29">
        <f>EDATE(BA3,1)</f>
        <v>44958</v>
      </c>
      <c r="BC3" s="29">
        <f t="shared" ref="BC3:BR3" si="8">EDATE(BB3,1)</f>
        <v>44986</v>
      </c>
      <c r="BD3" s="20" t="s">
        <v>46</v>
      </c>
      <c r="BE3" s="20"/>
      <c r="BF3" s="29">
        <f>EDATE(BC3,1)</f>
        <v>45017</v>
      </c>
      <c r="BG3" s="29">
        <f t="shared" si="8"/>
        <v>45047</v>
      </c>
      <c r="BH3" s="29">
        <f t="shared" si="8"/>
        <v>45078</v>
      </c>
      <c r="BI3" s="20" t="s">
        <v>47</v>
      </c>
      <c r="BJ3" s="20"/>
      <c r="BK3" s="29">
        <f>EDATE(BH3,1)</f>
        <v>45108</v>
      </c>
      <c r="BL3" s="29">
        <f t="shared" si="8"/>
        <v>45139</v>
      </c>
      <c r="BM3" s="29">
        <f>EDATE(BL3,1)</f>
        <v>45170</v>
      </c>
      <c r="BN3" s="20" t="s">
        <v>42</v>
      </c>
      <c r="BO3" s="20"/>
      <c r="BP3" s="29">
        <f>EDATE(BM3,1)</f>
        <v>45200</v>
      </c>
      <c r="BQ3" s="29">
        <f>EDATE(BP3,1)</f>
        <v>45231</v>
      </c>
      <c r="BR3" s="24">
        <f t="shared" si="8"/>
        <v>45261</v>
      </c>
      <c r="BS3" s="20" t="s">
        <v>43</v>
      </c>
      <c r="BT3" s="20"/>
      <c r="BU3" s="20" t="s">
        <v>65</v>
      </c>
    </row>
    <row r="4" spans="1:73" ht="15.75" customHeight="1" x14ac:dyDescent="0.3">
      <c r="A4" s="1"/>
      <c r="B4" s="2"/>
      <c r="C4" s="3"/>
      <c r="F4" s="4"/>
      <c r="G4" s="62" t="s">
        <v>29</v>
      </c>
      <c r="H4" s="25">
        <f>H6/H5</f>
        <v>502.15</v>
      </c>
      <c r="I4" s="16">
        <f>I6/I5</f>
        <v>495.75</v>
      </c>
      <c r="J4" s="16">
        <f>J6/J5</f>
        <v>500.24</v>
      </c>
      <c r="K4" s="16">
        <f>K6/K5</f>
        <v>499.44269773581073</v>
      </c>
      <c r="L4" s="12"/>
      <c r="M4" s="16">
        <f>M6/M5</f>
        <v>496.97999999999996</v>
      </c>
      <c r="N4" s="16">
        <f>N6/N5</f>
        <v>506.35</v>
      </c>
      <c r="O4" s="16">
        <f>O6/O5</f>
        <v>499.74</v>
      </c>
      <c r="P4" s="16">
        <f>P6/P5</f>
        <v>500.90851243781094</v>
      </c>
      <c r="Q4" s="20"/>
      <c r="R4" s="16">
        <f>R6/R5</f>
        <v>505.17</v>
      </c>
      <c r="S4" s="16">
        <f>S6/S5</f>
        <v>493.83</v>
      </c>
      <c r="T4" s="16">
        <f>T6/T5</f>
        <v>500.78</v>
      </c>
      <c r="U4" s="16">
        <f>U6/U5</f>
        <v>499.7739150241726</v>
      </c>
      <c r="V4" s="20"/>
      <c r="W4" s="16">
        <f>W6/W5</f>
        <v>600.79</v>
      </c>
      <c r="X4" s="16">
        <f>X6/X5</f>
        <v>601.20000000000005</v>
      </c>
      <c r="Y4" s="16">
        <f>Y6/Y5</f>
        <v>598.36</v>
      </c>
      <c r="Z4" s="16">
        <f>Z6/Z5</f>
        <v>600.09339835984099</v>
      </c>
      <c r="AA4" s="20"/>
      <c r="AB4" s="16">
        <f>AB6/AB5</f>
        <v>534.48724626211208</v>
      </c>
      <c r="AD4" s="25">
        <v>502.15</v>
      </c>
      <c r="AE4" s="16">
        <v>495.75</v>
      </c>
      <c r="AF4" s="16">
        <v>500.24</v>
      </c>
      <c r="AG4" s="16">
        <f>AG6/AG5</f>
        <v>499.44988174050815</v>
      </c>
      <c r="AH4" s="12"/>
      <c r="AI4" s="16">
        <v>496.97999999999996</v>
      </c>
      <c r="AJ4" s="16">
        <v>506.35</v>
      </c>
      <c r="AK4" s="16">
        <v>499.74</v>
      </c>
      <c r="AL4" s="16">
        <f>AL6/AL5</f>
        <v>500.89564868603048</v>
      </c>
      <c r="AM4" s="20"/>
      <c r="AN4" s="16">
        <v>600.79</v>
      </c>
      <c r="AO4" s="16">
        <v>601.20000000000005</v>
      </c>
      <c r="AP4" s="16">
        <v>598.36</v>
      </c>
      <c r="AQ4" s="16">
        <f>AQ6/AQ5</f>
        <v>600.19193051778109</v>
      </c>
      <c r="AR4" s="20"/>
      <c r="AS4" s="16">
        <v>600.79</v>
      </c>
      <c r="AT4" s="16">
        <v>601.20000000000005</v>
      </c>
      <c r="AU4" s="16">
        <v>598.36</v>
      </c>
      <c r="AV4" s="16"/>
      <c r="AW4" s="16">
        <f>AW6/AW5</f>
        <v>600.09183644379618</v>
      </c>
      <c r="AX4" s="16"/>
      <c r="AY4" s="16">
        <f>AY6/AY5</f>
        <v>558.29344968501914</v>
      </c>
      <c r="BA4" s="16">
        <v>502.15</v>
      </c>
      <c r="BB4" s="12">
        <v>495.75</v>
      </c>
      <c r="BC4" s="16">
        <v>500.24</v>
      </c>
      <c r="BD4" s="16">
        <f>BD6/BD5</f>
        <v>499.45892510224945</v>
      </c>
      <c r="BE4" s="16"/>
      <c r="BF4" s="16">
        <v>496.97999999999996</v>
      </c>
      <c r="BG4" s="20">
        <v>506.35</v>
      </c>
      <c r="BH4" s="16">
        <v>499.74</v>
      </c>
      <c r="BI4" s="16">
        <f>BI6/BI5</f>
        <v>500.87953894080994</v>
      </c>
      <c r="BJ4" s="16"/>
      <c r="BK4" s="16">
        <v>600.79</v>
      </c>
      <c r="BL4" s="20">
        <v>601.20000000000005</v>
      </c>
      <c r="BM4" s="16">
        <v>598.36</v>
      </c>
      <c r="BN4" s="16">
        <f>BN6/BN5</f>
        <v>600.20065857290115</v>
      </c>
      <c r="BO4" s="16"/>
      <c r="BP4" s="16">
        <v>600.79</v>
      </c>
      <c r="BQ4" s="16">
        <v>601.20000000000005</v>
      </c>
      <c r="BR4" s="16">
        <v>598.36</v>
      </c>
      <c r="BS4" s="16">
        <f>BS6/BS5</f>
        <v>600.09004974770801</v>
      </c>
      <c r="BT4" s="16"/>
      <c r="BU4" s="16">
        <f>BU6/BU5</f>
        <v>559.14579105327152</v>
      </c>
    </row>
    <row r="5" spans="1:73" ht="15.75" customHeight="1" x14ac:dyDescent="0.3">
      <c r="A5" s="1">
        <v>44228</v>
      </c>
      <c r="B5" s="2" t="s">
        <v>0</v>
      </c>
      <c r="C5" s="3">
        <v>3151</v>
      </c>
      <c r="D5" s="5">
        <f>C5-C3</f>
        <v>-145</v>
      </c>
      <c r="E5" s="5"/>
      <c r="F5" s="6"/>
      <c r="G5" s="63" t="s">
        <v>0</v>
      </c>
      <c r="H5" s="16">
        <f>SUMIFS($C:$C,$B:$B,$G5,$A:$A,H$3)</f>
        <v>3296</v>
      </c>
      <c r="I5" s="16">
        <f>SUMIFS($C:$C,$B:$B,$G5,$A:$A,I$3)</f>
        <v>3151</v>
      </c>
      <c r="J5" s="16">
        <f>SUMIFS($C:$C,$B:$B,$G5,$A:$A,J$3)</f>
        <v>3402</v>
      </c>
      <c r="K5" s="16">
        <f>SUM(H5:J5)</f>
        <v>9849</v>
      </c>
      <c r="L5" s="16"/>
      <c r="M5" s="16">
        <f>SUMIFS($C:$C,$B:$B,$G5,$A:$A,M$3)</f>
        <v>3531</v>
      </c>
      <c r="N5" s="16">
        <f>SUMIFS($C:$C,$B:$B,$G5,$A:$A,N$3)</f>
        <v>3251</v>
      </c>
      <c r="O5" s="16">
        <f>SUMIFS($C:$C,$B:$B,$G5,$A:$A,O$3)</f>
        <v>3268</v>
      </c>
      <c r="P5" s="16">
        <f>SUM(M5:O5)</f>
        <v>10050</v>
      </c>
      <c r="Q5" s="16"/>
      <c r="R5" s="16">
        <f>SUMIFS($C:$C,$B:$B,$G5,$A:$A,R$3)</f>
        <v>3600</v>
      </c>
      <c r="S5" s="16">
        <f>SUMIFS($C:$C,$B:$B,$G5,$A:$A,S$3)</f>
        <v>3831</v>
      </c>
      <c r="T5" s="16">
        <f>SUMIFS($C:$C,$B:$B,$G5,$A:$A,T$3)</f>
        <v>3325</v>
      </c>
      <c r="U5" s="16">
        <f>SUM(R5:T5)</f>
        <v>10756</v>
      </c>
      <c r="V5" s="16"/>
      <c r="W5" s="16">
        <f>SUMIFS($C:$C,$B:$B,$G5,$A:$A,W$3)</f>
        <v>5346</v>
      </c>
      <c r="X5" s="16">
        <f>SUMIFS($C:$C,$B:$B,$G5,$A:$A,X$3)</f>
        <v>5250</v>
      </c>
      <c r="Y5" s="16">
        <f>SUMIFS($C:$C,$B:$B,$G5,$A:$A,Y$3)</f>
        <v>5500</v>
      </c>
      <c r="Z5" s="16">
        <f>SUM(W5:Y5)</f>
        <v>16096</v>
      </c>
      <c r="AA5" s="16"/>
      <c r="AB5" s="16">
        <f>SUM(Z5,U5,P5,K5)</f>
        <v>46751</v>
      </c>
      <c r="AD5" s="16">
        <f>Assumptions!P27</f>
        <v>6656.6249999999991</v>
      </c>
      <c r="AE5" s="16">
        <f>Assumptions!Q27</f>
        <v>6330.3750000000009</v>
      </c>
      <c r="AF5" s="16">
        <f>Assumptions!R27</f>
        <v>6895.1249999999991</v>
      </c>
      <c r="AG5" s="16">
        <f t="shared" ref="AG5:AG6" si="9">SUM(AD5:AF5)</f>
        <v>19882.125</v>
      </c>
      <c r="AH5" s="16"/>
      <c r="AI5" s="16">
        <f>Assumptions!S27</f>
        <v>7185.3750000000009</v>
      </c>
      <c r="AJ5" s="16">
        <f>Assumptions!T27</f>
        <v>6555.3749999999991</v>
      </c>
      <c r="AK5" s="16">
        <f>Assumptions!U27</f>
        <v>6593.625</v>
      </c>
      <c r="AL5" s="16">
        <f t="shared" ref="AL5:AL6" si="10">SUM(AI5:AK5)</f>
        <v>20334.375</v>
      </c>
      <c r="AM5" s="16"/>
      <c r="AN5" s="16">
        <f>Assumptions!V27</f>
        <v>7340.6250000000009</v>
      </c>
      <c r="AO5" s="16">
        <f>Assumptions!W27</f>
        <v>7860.375</v>
      </c>
      <c r="AP5" s="16">
        <f>Assumptions!X27</f>
        <v>6721.875</v>
      </c>
      <c r="AQ5" s="16">
        <f t="shared" ref="AQ5:AQ6" si="11">SUM(AN5:AP5)</f>
        <v>21922.875</v>
      </c>
      <c r="AR5" s="16"/>
      <c r="AS5" s="16">
        <f>Assumptions!Y27</f>
        <v>11269.125000000002</v>
      </c>
      <c r="AT5" s="16">
        <f>Assumptions!Z27</f>
        <v>11053.125</v>
      </c>
      <c r="AU5" s="16">
        <f>Assumptions!AA27</f>
        <v>11615.625</v>
      </c>
      <c r="AV5" s="16"/>
      <c r="AW5" s="16">
        <f t="shared" ref="AW5:AW6" si="12">SUM(AS5:AU5)</f>
        <v>33937.875</v>
      </c>
      <c r="AX5" s="16"/>
      <c r="AY5" s="16">
        <f t="shared" ref="AY5:AY15" si="13">SUM(AW5,AQ5,AL5,AG5)</f>
        <v>96077.25</v>
      </c>
      <c r="BA5" s="16">
        <f>Assumptions!AC27</f>
        <v>10483.999999999998</v>
      </c>
      <c r="BB5" s="16">
        <f>Assumptions!AD27</f>
        <v>9904.0000000000018</v>
      </c>
      <c r="BC5" s="16">
        <f>Assumptions!AE27</f>
        <v>10907.999999999998</v>
      </c>
      <c r="BD5" s="16">
        <f>SUM(BA5:BC5)</f>
        <v>31296</v>
      </c>
      <c r="BE5" s="16"/>
      <c r="BF5" s="16">
        <f>Assumptions!AF27</f>
        <v>11424</v>
      </c>
      <c r="BG5" s="16">
        <f>Assumptions!AG27</f>
        <v>10303.999999999998</v>
      </c>
      <c r="BH5" s="16">
        <f>Assumptions!AH27</f>
        <v>10372</v>
      </c>
      <c r="BI5" s="16">
        <f>SUM(BF5:BH5)</f>
        <v>32100</v>
      </c>
      <c r="BJ5" s="16"/>
      <c r="BK5" s="16">
        <f>Assumptions!AI27</f>
        <v>11700</v>
      </c>
      <c r="BL5" s="16">
        <f>Assumptions!AJ27</f>
        <v>12623.999999999998</v>
      </c>
      <c r="BM5" s="16">
        <f>Assumptions!AK27</f>
        <v>10600</v>
      </c>
      <c r="BN5" s="16">
        <f>SUM(BK5:BM5)</f>
        <v>34924</v>
      </c>
      <c r="BO5" s="16"/>
      <c r="BP5" s="16">
        <f>Assumptions!AL27</f>
        <v>18684</v>
      </c>
      <c r="BQ5" s="16">
        <f>Assumptions!AM27</f>
        <v>18299.999999999996</v>
      </c>
      <c r="BR5" s="16">
        <f>Assumptions!AN27</f>
        <v>19300</v>
      </c>
      <c r="BS5" s="16">
        <f>SUM(BP5:BR5)</f>
        <v>56284</v>
      </c>
      <c r="BT5" s="16"/>
      <c r="BU5" s="16">
        <f t="shared" ref="BU5:BU15" si="14">SUM(BS5,BN5,BI5,BD5)</f>
        <v>154604</v>
      </c>
    </row>
    <row r="6" spans="1:73" ht="15.75" customHeight="1" x14ac:dyDescent="0.3">
      <c r="A6" s="1">
        <v>44256</v>
      </c>
      <c r="B6" s="2" t="s">
        <v>0</v>
      </c>
      <c r="C6" s="3">
        <v>3402</v>
      </c>
      <c r="D6" s="5">
        <f>C6-C5</f>
        <v>251</v>
      </c>
      <c r="E6" s="5"/>
      <c r="F6" s="6"/>
      <c r="G6" s="50" t="s">
        <v>1</v>
      </c>
      <c r="H6" s="17">
        <f>SUMIFS($C:$C,$B:$B,$G6,$A:$A,H$3)</f>
        <v>1655086.4</v>
      </c>
      <c r="I6" s="17">
        <f>SUMIFS($C:$C,$B:$B,$G6,$A:$A,I$3)</f>
        <v>1562108.25</v>
      </c>
      <c r="J6" s="17">
        <f>SUMIFS($C:$C,$B:$B,$G6,$A:$A,J$3)</f>
        <v>1701816.48</v>
      </c>
      <c r="K6" s="17">
        <f t="shared" ref="K6:K31" si="15">SUM(H6:J6)</f>
        <v>4919011.13</v>
      </c>
      <c r="L6" s="17"/>
      <c r="M6" s="17">
        <f>SUMIFS($C:$C,$B:$B,$G6,$A:$A,M$3)</f>
        <v>1754836.38</v>
      </c>
      <c r="N6" s="17">
        <f>SUMIFS($C:$C,$B:$B,$G6,$A:$A,N$3)</f>
        <v>1646143.85</v>
      </c>
      <c r="O6" s="17">
        <f>SUMIFS($C:$C,$B:$B,$G6,$A:$A,O$3)</f>
        <v>1633150.32</v>
      </c>
      <c r="P6" s="17">
        <f>SUM(M6:O6)</f>
        <v>5034130.55</v>
      </c>
      <c r="Q6" s="17"/>
      <c r="R6" s="17">
        <f>SUMIFS($C:$C,$B:$B,$G6,$A:$A,R$3)</f>
        <v>1818612</v>
      </c>
      <c r="S6" s="17">
        <f>SUMIFS($C:$C,$B:$B,$G6,$A:$A,S$3)</f>
        <v>1891862.73</v>
      </c>
      <c r="T6" s="17">
        <f>SUMIFS($C:$C,$B:$B,$G6,$A:$A,T$3)</f>
        <v>1665093.5</v>
      </c>
      <c r="U6" s="17">
        <f t="shared" ref="U6:U31" si="16">SUM(R6:T6)</f>
        <v>5375568.2300000004</v>
      </c>
      <c r="V6" s="17"/>
      <c r="W6" s="17">
        <f>SUMIFS($C:$C,$B:$B,$G6,$A:$A,W$3)</f>
        <v>3211823.34</v>
      </c>
      <c r="X6" s="17">
        <f>SUMIFS($C:$C,$B:$B,$G6,$A:$A,X$3)</f>
        <v>3156300</v>
      </c>
      <c r="Y6" s="17">
        <f>SUMIFS($C:$C,$B:$B,$G6,$A:$A,Y$3)</f>
        <v>3290980</v>
      </c>
      <c r="Z6" s="17">
        <f t="shared" ref="Z6:Z31" si="17">SUM(W6:Y6)</f>
        <v>9659103.3399999999</v>
      </c>
      <c r="AA6" s="17"/>
      <c r="AB6" s="17">
        <f>SUM(Z6,U6,P6,K6)</f>
        <v>24987813.25</v>
      </c>
      <c r="AD6" s="17">
        <f>AD4*AD5</f>
        <v>3342624.2437499994</v>
      </c>
      <c r="AE6" s="17">
        <f>AE4*AE5</f>
        <v>3138283.4062500005</v>
      </c>
      <c r="AF6" s="17">
        <f>AF4*AF5</f>
        <v>3449217.3299999996</v>
      </c>
      <c r="AG6" s="17">
        <f t="shared" si="9"/>
        <v>9930124.9800000004</v>
      </c>
      <c r="AH6" s="17"/>
      <c r="AI6" s="17">
        <f t="shared" ref="AI6:AU6" si="18">AI4*AI5</f>
        <v>3570987.6675</v>
      </c>
      <c r="AJ6" s="17">
        <f t="shared" si="18"/>
        <v>3319314.1312499996</v>
      </c>
      <c r="AK6" s="17">
        <f t="shared" si="18"/>
        <v>3295098.1575000002</v>
      </c>
      <c r="AL6" s="17">
        <f t="shared" si="10"/>
        <v>10185399.956250001</v>
      </c>
      <c r="AM6" s="17"/>
      <c r="AN6" s="17">
        <f t="shared" si="18"/>
        <v>4410174.09375</v>
      </c>
      <c r="AO6" s="17">
        <f t="shared" si="18"/>
        <v>4725657.45</v>
      </c>
      <c r="AP6" s="17">
        <f t="shared" si="18"/>
        <v>4022101.125</v>
      </c>
      <c r="AQ6" s="17">
        <f t="shared" si="11"/>
        <v>13157932.668749999</v>
      </c>
      <c r="AR6" s="17"/>
      <c r="AS6" s="17">
        <f t="shared" si="18"/>
        <v>6770377.6087500006</v>
      </c>
      <c r="AT6" s="17">
        <f t="shared" si="18"/>
        <v>6645138.7500000009</v>
      </c>
      <c r="AU6" s="17">
        <f t="shared" si="18"/>
        <v>6950325.375</v>
      </c>
      <c r="AV6" s="17"/>
      <c r="AW6" s="17">
        <f t="shared" si="12"/>
        <v>20365841.733750001</v>
      </c>
      <c r="AX6" s="17"/>
      <c r="AY6" s="17">
        <f t="shared" si="13"/>
        <v>53639299.338750005</v>
      </c>
      <c r="BA6" s="17">
        <f>BA4*BA5</f>
        <v>5264540.5999999987</v>
      </c>
      <c r="BB6" s="17">
        <f t="shared" ref="BB6:BR6" si="19">BB4*BB5</f>
        <v>4909908.0000000009</v>
      </c>
      <c r="BC6" s="17">
        <f t="shared" si="19"/>
        <v>5456617.919999999</v>
      </c>
      <c r="BD6" s="17">
        <f>SUM(BA6:BC6)</f>
        <v>15631066.52</v>
      </c>
      <c r="BE6" s="17"/>
      <c r="BF6" s="17">
        <f t="shared" si="19"/>
        <v>5677499.5199999996</v>
      </c>
      <c r="BG6" s="17">
        <f t="shared" si="19"/>
        <v>5217430.3999999994</v>
      </c>
      <c r="BH6" s="17">
        <f t="shared" si="19"/>
        <v>5183303.28</v>
      </c>
      <c r="BI6" s="17">
        <f>SUM(BF6:BH6)</f>
        <v>16078233.199999999</v>
      </c>
      <c r="BJ6" s="17"/>
      <c r="BK6" s="17">
        <f t="shared" si="19"/>
        <v>7029243</v>
      </c>
      <c r="BL6" s="17">
        <f t="shared" si="19"/>
        <v>7589548.7999999998</v>
      </c>
      <c r="BM6" s="17">
        <f t="shared" si="19"/>
        <v>6342616</v>
      </c>
      <c r="BN6" s="17">
        <f>SUM(BK6:BM6)</f>
        <v>20961407.800000001</v>
      </c>
      <c r="BO6" s="17"/>
      <c r="BP6" s="17">
        <f t="shared" si="19"/>
        <v>11225160.359999999</v>
      </c>
      <c r="BQ6" s="17">
        <f t="shared" si="19"/>
        <v>11001959.999999998</v>
      </c>
      <c r="BR6" s="17">
        <f t="shared" si="19"/>
        <v>11548348</v>
      </c>
      <c r="BS6" s="17">
        <f>SUM(BP6:BR6)</f>
        <v>33775468.359999999</v>
      </c>
      <c r="BT6" s="17"/>
      <c r="BU6" s="17">
        <f t="shared" si="14"/>
        <v>86446175.879999995</v>
      </c>
    </row>
    <row r="7" spans="1:73" ht="15.75" customHeight="1" x14ac:dyDescent="0.3">
      <c r="A7" s="1">
        <v>44287</v>
      </c>
      <c r="B7" s="2" t="s">
        <v>0</v>
      </c>
      <c r="C7" s="3">
        <v>3531</v>
      </c>
      <c r="D7" s="5">
        <f t="shared" ref="D7:D16" si="20">C7-C6</f>
        <v>129</v>
      </c>
      <c r="E7" s="5"/>
      <c r="F7" s="7"/>
      <c r="G7" s="49" t="s">
        <v>2</v>
      </c>
      <c r="H7" s="13">
        <f t="shared" ref="H7:K7" si="21">H8/H6</f>
        <v>0.20000000000000004</v>
      </c>
      <c r="I7" s="13">
        <f t="shared" si="21"/>
        <v>0.20200000224056175</v>
      </c>
      <c r="J7" s="13">
        <f t="shared" si="21"/>
        <v>0.2000000023504297</v>
      </c>
      <c r="K7" s="13">
        <f t="shared" si="21"/>
        <v>0.20063513253323337</v>
      </c>
      <c r="L7" s="13"/>
      <c r="M7" s="13">
        <f t="shared" ref="M7:P7" si="22">M8/M6</f>
        <v>0.20500000119669279</v>
      </c>
      <c r="N7" s="13">
        <f t="shared" si="22"/>
        <v>0.19700000094159451</v>
      </c>
      <c r="O7" s="13">
        <f t="shared" si="22"/>
        <v>0.20299999696292501</v>
      </c>
      <c r="P7" s="13">
        <f t="shared" si="22"/>
        <v>0.2017351953655632</v>
      </c>
      <c r="Q7" s="13"/>
      <c r="R7" s="13">
        <f t="shared" ref="R7:U7" si="23">R8/R6</f>
        <v>0.19500000000000001</v>
      </c>
      <c r="S7" s="13">
        <f t="shared" si="23"/>
        <v>0.20000000211431829</v>
      </c>
      <c r="T7" s="13">
        <f t="shared" si="23"/>
        <v>0.2</v>
      </c>
      <c r="U7" s="13">
        <f t="shared" si="23"/>
        <v>0.19830844747737486</v>
      </c>
      <c r="V7" s="13"/>
      <c r="W7" s="13">
        <f t="shared" ref="W7:Z7" si="24">W8/W6</f>
        <v>0.19799999958901851</v>
      </c>
      <c r="X7" s="13">
        <f t="shared" si="24"/>
        <v>0.20399999999999999</v>
      </c>
      <c r="Y7" s="13">
        <f t="shared" si="24"/>
        <v>0.2</v>
      </c>
      <c r="Z7" s="13">
        <f t="shared" si="24"/>
        <v>0.20064204220430257</v>
      </c>
      <c r="AA7" s="13"/>
      <c r="AB7" s="13">
        <f>AB8/AB6</f>
        <v>0.20035889174896088</v>
      </c>
      <c r="AC7" s="26">
        <v>0.22</v>
      </c>
      <c r="AD7" s="13">
        <f>$AC$7</f>
        <v>0.22</v>
      </c>
      <c r="AE7" s="13">
        <f t="shared" ref="AE7:AY7" si="25">$AC$7</f>
        <v>0.22</v>
      </c>
      <c r="AF7" s="13">
        <f t="shared" si="25"/>
        <v>0.22</v>
      </c>
      <c r="AG7" s="13">
        <f t="shared" si="25"/>
        <v>0.22</v>
      </c>
      <c r="AH7" s="13"/>
      <c r="AI7" s="13">
        <f t="shared" si="25"/>
        <v>0.22</v>
      </c>
      <c r="AJ7" s="13">
        <f t="shared" si="25"/>
        <v>0.22</v>
      </c>
      <c r="AK7" s="13">
        <f t="shared" si="25"/>
        <v>0.22</v>
      </c>
      <c r="AL7" s="13">
        <f t="shared" si="25"/>
        <v>0.22</v>
      </c>
      <c r="AM7" s="13"/>
      <c r="AN7" s="13">
        <f t="shared" si="25"/>
        <v>0.22</v>
      </c>
      <c r="AO7" s="13">
        <f t="shared" si="25"/>
        <v>0.22</v>
      </c>
      <c r="AP7" s="13">
        <f t="shared" si="25"/>
        <v>0.22</v>
      </c>
      <c r="AQ7" s="13">
        <f t="shared" si="25"/>
        <v>0.22</v>
      </c>
      <c r="AR7" s="13"/>
      <c r="AS7" s="13">
        <f t="shared" si="25"/>
        <v>0.22</v>
      </c>
      <c r="AT7" s="13">
        <f t="shared" si="25"/>
        <v>0.22</v>
      </c>
      <c r="AU7" s="13">
        <f t="shared" si="25"/>
        <v>0.22</v>
      </c>
      <c r="AV7" s="13"/>
      <c r="AW7" s="13">
        <f t="shared" si="25"/>
        <v>0.22</v>
      </c>
      <c r="AX7" s="13"/>
      <c r="AY7" s="13">
        <f t="shared" si="25"/>
        <v>0.22</v>
      </c>
      <c r="AZ7" s="58">
        <v>0.25</v>
      </c>
      <c r="BA7" s="13">
        <f>AZ7</f>
        <v>0.25</v>
      </c>
      <c r="BB7" s="13">
        <f t="shared" ref="BB7:BD7" si="26">BA7</f>
        <v>0.25</v>
      </c>
      <c r="BC7" s="13">
        <f t="shared" si="26"/>
        <v>0.25</v>
      </c>
      <c r="BD7" s="13">
        <f t="shared" si="26"/>
        <v>0.25</v>
      </c>
      <c r="BE7" s="13"/>
      <c r="BF7" s="13">
        <f>BC7</f>
        <v>0.25</v>
      </c>
      <c r="BG7" s="13">
        <f t="shared" ref="BG7:BS7" si="27">BF7</f>
        <v>0.25</v>
      </c>
      <c r="BH7" s="13">
        <f t="shared" si="27"/>
        <v>0.25</v>
      </c>
      <c r="BI7" s="13">
        <f t="shared" si="27"/>
        <v>0.25</v>
      </c>
      <c r="BJ7" s="13"/>
      <c r="BK7" s="13">
        <f>BH7</f>
        <v>0.25</v>
      </c>
      <c r="BL7" s="13">
        <f t="shared" si="27"/>
        <v>0.25</v>
      </c>
      <c r="BM7" s="13">
        <f t="shared" si="27"/>
        <v>0.25</v>
      </c>
      <c r="BN7" s="13">
        <f t="shared" si="27"/>
        <v>0.25</v>
      </c>
      <c r="BO7" s="13"/>
      <c r="BP7" s="13">
        <f>BM7</f>
        <v>0.25</v>
      </c>
      <c r="BQ7" s="13">
        <f t="shared" si="27"/>
        <v>0.25</v>
      </c>
      <c r="BR7" s="13">
        <f t="shared" si="27"/>
        <v>0.25</v>
      </c>
      <c r="BS7" s="13">
        <f t="shared" si="27"/>
        <v>0.25</v>
      </c>
      <c r="BT7" s="13"/>
      <c r="BU7" s="13">
        <f>$AZ$7</f>
        <v>0.25</v>
      </c>
    </row>
    <row r="8" spans="1:73" ht="15.75" customHeight="1" x14ac:dyDescent="0.3">
      <c r="A8" s="1">
        <v>44317</v>
      </c>
      <c r="B8" s="2" t="s">
        <v>0</v>
      </c>
      <c r="C8" s="3">
        <v>3251</v>
      </c>
      <c r="D8" s="5">
        <f t="shared" si="20"/>
        <v>-280</v>
      </c>
      <c r="E8" s="5"/>
      <c r="F8" s="2"/>
      <c r="G8" s="47" t="s">
        <v>3</v>
      </c>
      <c r="H8" s="48">
        <f>SUMIFS($C:$C,$B:$B,$G8,$A:$A,H$3)</f>
        <v>331017.28000000003</v>
      </c>
      <c r="I8" s="48">
        <f>SUMIFS($C:$C,$B:$B,$G8,$A:$A,I$3)</f>
        <v>315545.87</v>
      </c>
      <c r="J8" s="48">
        <f>SUMIFS($C:$C,$B:$B,$G8,$A:$A,J$3)</f>
        <v>340363.3</v>
      </c>
      <c r="K8" s="48">
        <f t="shared" si="15"/>
        <v>986926.45</v>
      </c>
      <c r="L8" s="48"/>
      <c r="M8" s="48">
        <f>SUMIFS($C:$C,$B:$B,$G8,$A:$A,M$3)</f>
        <v>359741.46</v>
      </c>
      <c r="N8" s="48">
        <f>SUMIFS($C:$C,$B:$B,$G8,$A:$A,N$3)</f>
        <v>324290.34000000003</v>
      </c>
      <c r="O8" s="48">
        <f>SUMIFS($C:$C,$B:$B,$G8,$A:$A,O$3)</f>
        <v>331529.51</v>
      </c>
      <c r="P8" s="48">
        <f>SUM(M8:O8)</f>
        <v>1015561.31</v>
      </c>
      <c r="Q8" s="48"/>
      <c r="R8" s="48">
        <f>SUMIFS($C:$C,$B:$B,$G8,$A:$A,R$3)</f>
        <v>354629.34</v>
      </c>
      <c r="S8" s="48">
        <f>SUMIFS($C:$C,$B:$B,$G8,$A:$A,S$3)</f>
        <v>378372.55</v>
      </c>
      <c r="T8" s="48">
        <f>SUMIFS($C:$C,$B:$B,$G8,$A:$A,T$3)</f>
        <v>333018.7</v>
      </c>
      <c r="U8" s="48">
        <f t="shared" si="16"/>
        <v>1066020.5900000001</v>
      </c>
      <c r="V8" s="48"/>
      <c r="W8" s="48">
        <f>SUMIFS($C:$C,$B:$B,$G8,$A:$A,W$3)</f>
        <v>635941.02</v>
      </c>
      <c r="X8" s="48">
        <f>SUMIFS($C:$C,$B:$B,$G8,$A:$A,X$3)</f>
        <v>643885.19999999995</v>
      </c>
      <c r="Y8" s="48">
        <f>SUMIFS($C:$C,$B:$B,$G8,$A:$A,Y$3)</f>
        <v>658196</v>
      </c>
      <c r="Z8" s="48">
        <f t="shared" si="17"/>
        <v>1938022.22</v>
      </c>
      <c r="AA8" s="48"/>
      <c r="AB8" s="48">
        <f>SUM(Z8,U8,P8,K8)</f>
        <v>5006530.57</v>
      </c>
      <c r="AD8" s="48">
        <f>AC7*AD6</f>
        <v>735377.33362499985</v>
      </c>
      <c r="AE8" s="48">
        <f>AE7*AE6</f>
        <v>690422.34937500011</v>
      </c>
      <c r="AF8" s="48">
        <f>AF7*AF6</f>
        <v>758827.81259999995</v>
      </c>
      <c r="AG8" s="48">
        <f>SUM(AD8:AF8)</f>
        <v>2184627.4956</v>
      </c>
      <c r="AH8" s="48"/>
      <c r="AI8" s="48">
        <f t="shared" ref="AI8:AU8" si="28">AI7*AI6</f>
        <v>785617.28685000003</v>
      </c>
      <c r="AJ8" s="48">
        <f t="shared" si="28"/>
        <v>730249.10887499992</v>
      </c>
      <c r="AK8" s="48">
        <f t="shared" si="28"/>
        <v>724921.5946500001</v>
      </c>
      <c r="AL8" s="48">
        <f>SUM(AI8:AK8)</f>
        <v>2240787.9903750001</v>
      </c>
      <c r="AM8" s="48"/>
      <c r="AN8" s="48">
        <f t="shared" si="28"/>
        <v>970238.30062500003</v>
      </c>
      <c r="AO8" s="48">
        <f t="shared" si="28"/>
        <v>1039644.6390000001</v>
      </c>
      <c r="AP8" s="48">
        <f t="shared" si="28"/>
        <v>884862.24750000006</v>
      </c>
      <c r="AQ8" s="48">
        <f>SUM(AN8:AP8)</f>
        <v>2894745.1871250002</v>
      </c>
      <c r="AR8" s="48"/>
      <c r="AS8" s="48">
        <f t="shared" si="28"/>
        <v>1489483.0739250001</v>
      </c>
      <c r="AT8" s="48">
        <f t="shared" si="28"/>
        <v>1461930.5250000001</v>
      </c>
      <c r="AU8" s="48">
        <f t="shared" si="28"/>
        <v>1529071.5825</v>
      </c>
      <c r="AV8" s="48"/>
      <c r="AW8" s="48">
        <f>SUM(AS8:AU8)</f>
        <v>4480485.1814249996</v>
      </c>
      <c r="AX8" s="48"/>
      <c r="AY8" s="48">
        <f t="shared" si="13"/>
        <v>11800645.854525</v>
      </c>
      <c r="AZ8" s="53"/>
      <c r="BA8" s="48">
        <f>AZ7*BA6</f>
        <v>1316135.1499999997</v>
      </c>
      <c r="BB8" s="48">
        <f t="shared" ref="BB8:BC8" si="29">BA7*BB6</f>
        <v>1227477.0000000002</v>
      </c>
      <c r="BC8" s="48">
        <f t="shared" si="29"/>
        <v>1364154.4799999997</v>
      </c>
      <c r="BD8" s="48">
        <f>SUM(BA8:BC8)</f>
        <v>3907766.63</v>
      </c>
      <c r="BE8" s="48"/>
      <c r="BF8" s="48">
        <f>BC7*BF6</f>
        <v>1419374.88</v>
      </c>
      <c r="BG8" s="48">
        <f t="shared" ref="BG8:BR8" si="30">BF7*BG6</f>
        <v>1304357.5999999999</v>
      </c>
      <c r="BH8" s="48">
        <f t="shared" si="30"/>
        <v>1295825.82</v>
      </c>
      <c r="BI8" s="48">
        <f>SUM(BF8:BH8)</f>
        <v>4019558.3</v>
      </c>
      <c r="BJ8" s="48"/>
      <c r="BK8" s="48">
        <f>BH7*BK6</f>
        <v>1757310.75</v>
      </c>
      <c r="BL8" s="48">
        <f t="shared" si="30"/>
        <v>1897387.2</v>
      </c>
      <c r="BM8" s="48">
        <f t="shared" si="30"/>
        <v>1585654</v>
      </c>
      <c r="BN8" s="48">
        <f>SUM(BK8:BM8)</f>
        <v>5240351.95</v>
      </c>
      <c r="BO8" s="48"/>
      <c r="BP8" s="48">
        <f>BM7*BP6</f>
        <v>2806290.09</v>
      </c>
      <c r="BQ8" s="48">
        <f t="shared" si="30"/>
        <v>2750489.9999999995</v>
      </c>
      <c r="BR8" s="48">
        <f t="shared" si="30"/>
        <v>2887087</v>
      </c>
      <c r="BS8" s="48">
        <f>SUM(BP8:BR8)</f>
        <v>8443867.0899999999</v>
      </c>
      <c r="BT8" s="17"/>
      <c r="BU8" s="48">
        <f t="shared" si="14"/>
        <v>21611543.969999999</v>
      </c>
    </row>
    <row r="9" spans="1:73" ht="15.75" customHeight="1" x14ac:dyDescent="0.3">
      <c r="A9" s="1"/>
      <c r="B9" s="2"/>
      <c r="C9" s="3"/>
      <c r="D9" s="5"/>
      <c r="E9" s="5"/>
      <c r="F9" s="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17"/>
      <c r="BU9" s="53"/>
    </row>
    <row r="10" spans="1:73" ht="15.75" customHeight="1" x14ac:dyDescent="0.3">
      <c r="A10" s="1">
        <v>44348</v>
      </c>
      <c r="B10" s="2" t="s">
        <v>0</v>
      </c>
      <c r="C10" s="3">
        <v>3268</v>
      </c>
      <c r="D10" s="5">
        <f>C10-C8</f>
        <v>17</v>
      </c>
      <c r="E10" s="5"/>
      <c r="G10" s="54" t="s">
        <v>59</v>
      </c>
      <c r="AB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</row>
    <row r="11" spans="1:73" ht="15.75" customHeight="1" x14ac:dyDescent="0.3">
      <c r="A11" s="1">
        <v>44378</v>
      </c>
      <c r="B11" s="2" t="s">
        <v>0</v>
      </c>
      <c r="C11" s="3">
        <v>3600</v>
      </c>
      <c r="D11" s="5">
        <f t="shared" si="20"/>
        <v>332</v>
      </c>
      <c r="E11" s="5"/>
      <c r="F11" s="8">
        <v>0.02</v>
      </c>
      <c r="G11" s="50" t="s">
        <v>4</v>
      </c>
      <c r="H11" s="17">
        <f t="shared" ref="H11:J11" si="31">$F$11*H8</f>
        <v>6620.3456000000006</v>
      </c>
      <c r="I11" s="17">
        <f t="shared" si="31"/>
        <v>6310.9174000000003</v>
      </c>
      <c r="J11" s="17">
        <f t="shared" si="31"/>
        <v>6807.2659999999996</v>
      </c>
      <c r="K11" s="17">
        <f t="shared" si="15"/>
        <v>19738.529000000002</v>
      </c>
      <c r="L11" s="17"/>
      <c r="M11" s="17">
        <f t="shared" ref="M11:O11" si="32">$F$11*M8</f>
        <v>7194.8292000000001</v>
      </c>
      <c r="N11" s="17">
        <f t="shared" si="32"/>
        <v>6485.8068000000003</v>
      </c>
      <c r="O11" s="17">
        <f t="shared" si="32"/>
        <v>6630.5902000000006</v>
      </c>
      <c r="P11" s="17">
        <f>SUM(M11:O11)</f>
        <v>20311.226200000001</v>
      </c>
      <c r="Q11" s="17"/>
      <c r="R11" s="17">
        <f t="shared" ref="R11:T11" si="33">$F$11*R8</f>
        <v>7092.5868000000009</v>
      </c>
      <c r="S11" s="17">
        <f t="shared" si="33"/>
        <v>7567.451</v>
      </c>
      <c r="T11" s="17">
        <f t="shared" si="33"/>
        <v>6660.3740000000007</v>
      </c>
      <c r="U11" s="17">
        <f t="shared" si="16"/>
        <v>21320.411800000002</v>
      </c>
      <c r="V11" s="17"/>
      <c r="W11" s="17">
        <f t="shared" ref="W11:Y11" si="34">$F$11*W8</f>
        <v>12718.820400000001</v>
      </c>
      <c r="X11" s="17">
        <f t="shared" si="34"/>
        <v>12877.704</v>
      </c>
      <c r="Y11" s="17">
        <f t="shared" si="34"/>
        <v>13163.92</v>
      </c>
      <c r="Z11" s="17">
        <f t="shared" si="17"/>
        <v>38760.4444</v>
      </c>
      <c r="AA11" s="17"/>
      <c r="AB11" s="17">
        <f>SUM(Z11,U11,P11,K11)</f>
        <v>100130.61139999999</v>
      </c>
      <c r="AD11" s="17">
        <f>$F$11*AD8</f>
        <v>14707.546672499997</v>
      </c>
      <c r="AE11" s="17">
        <f>$F$11*AE8</f>
        <v>13808.446987500003</v>
      </c>
      <c r="AF11" s="17">
        <f>$F$11*AF8</f>
        <v>15176.556251999998</v>
      </c>
      <c r="AG11" s="17">
        <f>SUM(AD11:AF11)</f>
        <v>43692.549912000002</v>
      </c>
      <c r="AH11" s="17"/>
      <c r="AI11" s="17">
        <f t="shared" ref="AI11:AU11" si="35">$F$11*AI8</f>
        <v>15712.345737000001</v>
      </c>
      <c r="AJ11" s="17">
        <f t="shared" si="35"/>
        <v>14604.982177499998</v>
      </c>
      <c r="AK11" s="17">
        <f t="shared" si="35"/>
        <v>14498.431893000003</v>
      </c>
      <c r="AL11" s="17">
        <f>SUM(AI11:AK11)</f>
        <v>44815.759807499999</v>
      </c>
      <c r="AM11" s="17"/>
      <c r="AN11" s="17">
        <f t="shared" si="35"/>
        <v>19404.7660125</v>
      </c>
      <c r="AO11" s="17">
        <f t="shared" si="35"/>
        <v>20792.892780000002</v>
      </c>
      <c r="AP11" s="17">
        <f t="shared" si="35"/>
        <v>17697.24495</v>
      </c>
      <c r="AQ11" s="17">
        <f>SUM(AN11:AP11)</f>
        <v>57894.903742500006</v>
      </c>
      <c r="AR11" s="17"/>
      <c r="AS11" s="17">
        <f t="shared" si="35"/>
        <v>29789.661478500002</v>
      </c>
      <c r="AT11" s="17">
        <f t="shared" si="35"/>
        <v>29238.610500000003</v>
      </c>
      <c r="AU11" s="17">
        <f t="shared" si="35"/>
        <v>30581.431650000002</v>
      </c>
      <c r="AV11" s="17"/>
      <c r="AW11" s="17">
        <f>SUM(AS11:AU11)</f>
        <v>89609.703628500007</v>
      </c>
      <c r="AX11" s="17"/>
      <c r="AY11" s="17">
        <f t="shared" si="13"/>
        <v>236012.91709050001</v>
      </c>
      <c r="BA11" s="17">
        <f>$F$11*BA8</f>
        <v>26322.702999999994</v>
      </c>
      <c r="BB11" s="17">
        <f t="shared" ref="BB11:BR11" si="36">$F$11*BB8</f>
        <v>24549.540000000005</v>
      </c>
      <c r="BC11" s="17">
        <f t="shared" si="36"/>
        <v>27283.089599999996</v>
      </c>
      <c r="BD11" s="17">
        <f>SUM(BA11:BC11)</f>
        <v>78155.332599999994</v>
      </c>
      <c r="BE11" s="17"/>
      <c r="BF11" s="17">
        <f t="shared" si="36"/>
        <v>28387.497599999999</v>
      </c>
      <c r="BG11" s="17">
        <f t="shared" si="36"/>
        <v>26087.151999999998</v>
      </c>
      <c r="BH11" s="17">
        <f t="shared" si="36"/>
        <v>25916.5164</v>
      </c>
      <c r="BI11" s="17">
        <f>SUM(BF11:BH11)</f>
        <v>80391.165999999997</v>
      </c>
      <c r="BJ11" s="17"/>
      <c r="BK11" s="17">
        <f t="shared" si="36"/>
        <v>35146.215000000004</v>
      </c>
      <c r="BL11" s="17">
        <f t="shared" si="36"/>
        <v>37947.743999999999</v>
      </c>
      <c r="BM11" s="17">
        <f t="shared" si="36"/>
        <v>31713.08</v>
      </c>
      <c r="BN11" s="17">
        <f>SUM(BK11:BM11)</f>
        <v>104807.039</v>
      </c>
      <c r="BO11" s="17"/>
      <c r="BP11" s="17">
        <f t="shared" si="36"/>
        <v>56125.801800000001</v>
      </c>
      <c r="BQ11" s="17">
        <f t="shared" si="36"/>
        <v>55009.799999999988</v>
      </c>
      <c r="BR11" s="17">
        <f t="shared" si="36"/>
        <v>57741.74</v>
      </c>
      <c r="BS11" s="17">
        <f>SUM(BP11:BR11)</f>
        <v>168877.34179999999</v>
      </c>
      <c r="BT11" s="17"/>
      <c r="BU11" s="17">
        <f t="shared" si="14"/>
        <v>432230.87939999998</v>
      </c>
    </row>
    <row r="12" spans="1:73" ht="15.75" customHeight="1" x14ac:dyDescent="0.3">
      <c r="A12" s="1">
        <v>44409</v>
      </c>
      <c r="B12" s="2" t="s">
        <v>0</v>
      </c>
      <c r="C12" s="3">
        <v>3831</v>
      </c>
      <c r="D12" s="5">
        <f t="shared" si="20"/>
        <v>231</v>
      </c>
      <c r="E12" s="5"/>
      <c r="F12" s="8">
        <v>0.03</v>
      </c>
      <c r="G12" s="51" t="s">
        <v>5</v>
      </c>
      <c r="H12" s="17">
        <f t="shared" ref="H12:J12" si="37">$F$12*H8</f>
        <v>9930.5184000000008</v>
      </c>
      <c r="I12" s="17">
        <f t="shared" si="37"/>
        <v>9466.3760999999995</v>
      </c>
      <c r="J12" s="17">
        <f t="shared" si="37"/>
        <v>10210.898999999999</v>
      </c>
      <c r="K12" s="17">
        <f t="shared" si="15"/>
        <v>29607.7935</v>
      </c>
      <c r="L12" s="17"/>
      <c r="M12" s="17">
        <f t="shared" ref="M12:O12" si="38">$F$12*M8</f>
        <v>10792.2438</v>
      </c>
      <c r="N12" s="17">
        <f t="shared" si="38"/>
        <v>9728.7101999999995</v>
      </c>
      <c r="O12" s="17">
        <f t="shared" si="38"/>
        <v>9945.8852999999999</v>
      </c>
      <c r="P12" s="17">
        <f>SUM(M12:O12)</f>
        <v>30466.8393</v>
      </c>
      <c r="Q12" s="17"/>
      <c r="R12" s="17">
        <f t="shared" ref="R12:T12" si="39">$F$12*R8</f>
        <v>10638.8802</v>
      </c>
      <c r="S12" s="17">
        <f t="shared" si="39"/>
        <v>11351.1765</v>
      </c>
      <c r="T12" s="17">
        <f t="shared" si="39"/>
        <v>9990.5609999999997</v>
      </c>
      <c r="U12" s="17">
        <f t="shared" si="16"/>
        <v>31980.617700000003</v>
      </c>
      <c r="V12" s="17"/>
      <c r="W12" s="17">
        <f t="shared" ref="W12:Y12" si="40">$F$12*W8</f>
        <v>19078.230599999999</v>
      </c>
      <c r="X12" s="17">
        <f t="shared" si="40"/>
        <v>19316.555999999997</v>
      </c>
      <c r="Y12" s="17">
        <f t="shared" si="40"/>
        <v>19745.88</v>
      </c>
      <c r="Z12" s="17">
        <f t="shared" si="17"/>
        <v>58140.666599999997</v>
      </c>
      <c r="AA12" s="17"/>
      <c r="AB12" s="17">
        <f>SUM(Z12,U12,P12,K12)</f>
        <v>150195.91709999999</v>
      </c>
      <c r="AD12" s="17">
        <f>F12*AD8</f>
        <v>22061.320008749994</v>
      </c>
      <c r="AE12" s="17">
        <f>$F$12*AE8</f>
        <v>20712.670481250003</v>
      </c>
      <c r="AF12" s="17">
        <f>$F$12*AF8</f>
        <v>22764.834377999996</v>
      </c>
      <c r="AG12" s="17">
        <f t="shared" ref="AG12:AG13" si="41">SUM(AD12:AF12)</f>
        <v>65538.824867999996</v>
      </c>
      <c r="AH12" s="17"/>
      <c r="AI12" s="17">
        <f t="shared" ref="AI12:AT12" si="42">$F$12*AI8</f>
        <v>23568.518605500001</v>
      </c>
      <c r="AJ12" s="17">
        <f t="shared" si="42"/>
        <v>21907.473266249996</v>
      </c>
      <c r="AK12" s="17">
        <f t="shared" si="42"/>
        <v>21747.647839500001</v>
      </c>
      <c r="AL12" s="17">
        <f t="shared" ref="AL12:AL13" si="43">SUM(AI12:AK12)</f>
        <v>67223.639711249998</v>
      </c>
      <c r="AM12" s="17"/>
      <c r="AN12" s="17">
        <f t="shared" si="42"/>
        <v>29107.149018749999</v>
      </c>
      <c r="AO12" s="17">
        <f t="shared" si="42"/>
        <v>31189.339170000003</v>
      </c>
      <c r="AP12" s="17">
        <f t="shared" si="42"/>
        <v>26545.867425</v>
      </c>
      <c r="AQ12" s="17">
        <f t="shared" ref="AQ12:AQ13" si="44">SUM(AN12:AP12)</f>
        <v>86842.355613749998</v>
      </c>
      <c r="AR12" s="17"/>
      <c r="AS12" s="17">
        <f t="shared" si="42"/>
        <v>44684.492217750005</v>
      </c>
      <c r="AT12" s="17">
        <f t="shared" si="42"/>
        <v>43857.91575</v>
      </c>
      <c r="AU12" s="17">
        <f>$F$12*AU8</f>
        <v>45872.147474999998</v>
      </c>
      <c r="AV12" s="17"/>
      <c r="AW12" s="17">
        <f t="shared" ref="AW12:AW13" si="45">SUM(AS12:AU12)</f>
        <v>134414.55544275002</v>
      </c>
      <c r="AX12" s="17"/>
      <c r="AY12" s="17">
        <f t="shared" si="13"/>
        <v>354019.37563575001</v>
      </c>
      <c r="BA12" s="17">
        <f>$F$12*BA8</f>
        <v>39484.054499999991</v>
      </c>
      <c r="BB12" s="17">
        <f t="shared" ref="BB12:BR12" si="46">$F$12*BB8</f>
        <v>36824.310000000005</v>
      </c>
      <c r="BC12" s="17">
        <f t="shared" si="46"/>
        <v>40924.634399999988</v>
      </c>
      <c r="BD12" s="17">
        <f t="shared" ref="BD12:BD13" si="47">SUM(BA12:BC12)</f>
        <v>117232.99889999998</v>
      </c>
      <c r="BE12" s="17"/>
      <c r="BF12" s="17">
        <f t="shared" si="46"/>
        <v>42581.246399999996</v>
      </c>
      <c r="BG12" s="17">
        <f t="shared" si="46"/>
        <v>39130.727999999996</v>
      </c>
      <c r="BH12" s="17">
        <f t="shared" si="46"/>
        <v>38874.774599999997</v>
      </c>
      <c r="BI12" s="17">
        <f t="shared" ref="BI12:BI13" si="48">SUM(BF12:BH12)</f>
        <v>120586.74899999998</v>
      </c>
      <c r="BJ12" s="17"/>
      <c r="BK12" s="17">
        <f t="shared" si="46"/>
        <v>52719.322499999995</v>
      </c>
      <c r="BL12" s="17">
        <f t="shared" si="46"/>
        <v>56921.615999999995</v>
      </c>
      <c r="BM12" s="17">
        <f t="shared" si="46"/>
        <v>47569.619999999995</v>
      </c>
      <c r="BN12" s="17">
        <f t="shared" ref="BN12:BN13" si="49">SUM(BK12:BM12)</f>
        <v>157210.55849999998</v>
      </c>
      <c r="BO12" s="17"/>
      <c r="BP12" s="17">
        <f t="shared" si="46"/>
        <v>84188.702699999994</v>
      </c>
      <c r="BQ12" s="17">
        <f t="shared" si="46"/>
        <v>82514.699999999983</v>
      </c>
      <c r="BR12" s="17">
        <f t="shared" si="46"/>
        <v>86612.61</v>
      </c>
      <c r="BS12" s="17">
        <f t="shared" ref="BS12:BS13" si="50">SUM(BP12:BR12)</f>
        <v>253316.01269999996</v>
      </c>
      <c r="BT12" s="17"/>
      <c r="BU12" s="17">
        <f t="shared" si="14"/>
        <v>648346.31909999996</v>
      </c>
    </row>
    <row r="13" spans="1:73" ht="15.75" customHeight="1" x14ac:dyDescent="0.3">
      <c r="A13" s="1">
        <v>44440</v>
      </c>
      <c r="B13" s="2" t="s">
        <v>0</v>
      </c>
      <c r="C13" s="3">
        <v>3325</v>
      </c>
      <c r="D13" s="5">
        <f t="shared" si="20"/>
        <v>-506</v>
      </c>
      <c r="E13" s="5"/>
      <c r="F13" s="6"/>
      <c r="G13" s="19" t="s">
        <v>60</v>
      </c>
      <c r="H13" s="17">
        <f t="shared" ref="H13:J13" si="51">SUM(H11:H12)</f>
        <v>16550.864000000001</v>
      </c>
      <c r="I13" s="17">
        <f t="shared" si="51"/>
        <v>15777.2935</v>
      </c>
      <c r="J13" s="17">
        <f t="shared" si="51"/>
        <v>17018.165000000001</v>
      </c>
      <c r="K13" s="17">
        <f t="shared" si="15"/>
        <v>49346.322500000002</v>
      </c>
      <c r="L13" s="17"/>
      <c r="M13" s="17">
        <f t="shared" ref="M13:O13" si="52">SUM(M11:M12)</f>
        <v>17987.073</v>
      </c>
      <c r="N13" s="17">
        <f t="shared" si="52"/>
        <v>16214.517</v>
      </c>
      <c r="O13" s="17">
        <f t="shared" si="52"/>
        <v>16576.4755</v>
      </c>
      <c r="P13" s="17">
        <f>SUM(M13:O13)</f>
        <v>50778.065499999997</v>
      </c>
      <c r="Q13" s="17"/>
      <c r="R13" s="17">
        <f t="shared" ref="R13:T13" si="53">SUM(R11:R12)</f>
        <v>17731.467000000001</v>
      </c>
      <c r="S13" s="17">
        <f t="shared" si="53"/>
        <v>18918.627499999999</v>
      </c>
      <c r="T13" s="17">
        <f t="shared" si="53"/>
        <v>16650.935000000001</v>
      </c>
      <c r="U13" s="17">
        <f t="shared" si="16"/>
        <v>53301.029500000004</v>
      </c>
      <c r="V13" s="17"/>
      <c r="W13" s="17">
        <f t="shared" ref="W13:Y13" si="54">SUM(W11:W12)</f>
        <v>31797.050999999999</v>
      </c>
      <c r="X13" s="17">
        <f t="shared" si="54"/>
        <v>32194.259999999995</v>
      </c>
      <c r="Y13" s="17">
        <f t="shared" si="54"/>
        <v>32909.800000000003</v>
      </c>
      <c r="Z13" s="17">
        <f t="shared" si="17"/>
        <v>96901.111000000004</v>
      </c>
      <c r="AA13" s="17"/>
      <c r="AB13" s="17">
        <f>SUM(Z13,U13,P13,K13)</f>
        <v>250326.52850000001</v>
      </c>
      <c r="AD13" s="17">
        <f>SUM(AD11:AD12)</f>
        <v>36768.866681249987</v>
      </c>
      <c r="AE13" s="17">
        <f>SUM(AE11:AE12)</f>
        <v>34521.117468750002</v>
      </c>
      <c r="AF13" s="17">
        <f>SUM(AF11:AF12)</f>
        <v>37941.390629999994</v>
      </c>
      <c r="AG13" s="17">
        <f t="shared" si="41"/>
        <v>109231.37477999998</v>
      </c>
      <c r="AH13" s="17"/>
      <c r="AI13" s="17">
        <f t="shared" ref="AI13:AU13" si="55">SUM(AI11:AI12)</f>
        <v>39280.864342500005</v>
      </c>
      <c r="AJ13" s="17">
        <f t="shared" si="55"/>
        <v>36512.45544374999</v>
      </c>
      <c r="AK13" s="17">
        <f t="shared" si="55"/>
        <v>36246.079732500002</v>
      </c>
      <c r="AL13" s="17">
        <f t="shared" si="43"/>
        <v>112039.39951875</v>
      </c>
      <c r="AM13" s="17"/>
      <c r="AN13" s="17">
        <f t="shared" si="55"/>
        <v>48511.915031249999</v>
      </c>
      <c r="AO13" s="17">
        <f t="shared" si="55"/>
        <v>51982.231950000001</v>
      </c>
      <c r="AP13" s="17">
        <f t="shared" si="55"/>
        <v>44243.112374999997</v>
      </c>
      <c r="AQ13" s="17">
        <f t="shared" si="44"/>
        <v>144737.25935625</v>
      </c>
      <c r="AR13" s="17"/>
      <c r="AS13" s="17">
        <f t="shared" si="55"/>
        <v>74474.15369625001</v>
      </c>
      <c r="AT13" s="17">
        <f t="shared" si="55"/>
        <v>73096.526249999995</v>
      </c>
      <c r="AU13" s="17">
        <f t="shared" si="55"/>
        <v>76453.579125000004</v>
      </c>
      <c r="AV13" s="17"/>
      <c r="AW13" s="17">
        <f t="shared" si="45"/>
        <v>224024.25907124998</v>
      </c>
      <c r="AX13" s="17"/>
      <c r="AY13" s="17">
        <f t="shared" si="13"/>
        <v>590032.2927262499</v>
      </c>
      <c r="BA13" s="17">
        <f>SUM(BA11:BA12)</f>
        <v>65806.757499999978</v>
      </c>
      <c r="BB13" s="17">
        <f t="shared" ref="BB13:BR13" si="56">SUM(BB11:BB12)</f>
        <v>61373.850000000006</v>
      </c>
      <c r="BC13" s="17">
        <f t="shared" si="56"/>
        <v>68207.723999999987</v>
      </c>
      <c r="BD13" s="17">
        <f t="shared" si="47"/>
        <v>195388.33149999997</v>
      </c>
      <c r="BE13" s="17"/>
      <c r="BF13" s="17">
        <f t="shared" si="56"/>
        <v>70968.743999999992</v>
      </c>
      <c r="BG13" s="17">
        <f t="shared" si="56"/>
        <v>65217.87999999999</v>
      </c>
      <c r="BH13" s="17">
        <f t="shared" si="56"/>
        <v>64791.290999999997</v>
      </c>
      <c r="BI13" s="17">
        <f t="shared" si="48"/>
        <v>200977.91499999998</v>
      </c>
      <c r="BJ13" s="17"/>
      <c r="BK13" s="17">
        <f t="shared" si="56"/>
        <v>87865.537500000006</v>
      </c>
      <c r="BL13" s="17">
        <f t="shared" si="56"/>
        <v>94869.359999999986</v>
      </c>
      <c r="BM13" s="17">
        <f t="shared" si="56"/>
        <v>79282.7</v>
      </c>
      <c r="BN13" s="17">
        <f t="shared" si="49"/>
        <v>262017.59749999997</v>
      </c>
      <c r="BO13" s="17"/>
      <c r="BP13" s="17">
        <f t="shared" si="56"/>
        <v>140314.50449999998</v>
      </c>
      <c r="BQ13" s="17">
        <f t="shared" si="56"/>
        <v>137524.49999999997</v>
      </c>
      <c r="BR13" s="17">
        <f t="shared" si="56"/>
        <v>144354.35</v>
      </c>
      <c r="BS13" s="17">
        <f t="shared" si="50"/>
        <v>422193.3544999999</v>
      </c>
      <c r="BT13" s="17"/>
      <c r="BU13" s="17">
        <f t="shared" si="14"/>
        <v>1080577.1984999999</v>
      </c>
    </row>
    <row r="14" spans="1:73" ht="15.75" customHeight="1" x14ac:dyDescent="0.3">
      <c r="A14" s="1">
        <v>44470</v>
      </c>
      <c r="B14" s="2" t="s">
        <v>0</v>
      </c>
      <c r="C14" s="3">
        <v>5346</v>
      </c>
      <c r="D14" s="5">
        <f t="shared" si="20"/>
        <v>2021</v>
      </c>
      <c r="E14" s="5"/>
      <c r="F14" s="6"/>
      <c r="G14" s="6"/>
      <c r="AB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</row>
    <row r="15" spans="1:73" ht="15.75" customHeight="1" x14ac:dyDescent="0.45">
      <c r="A15" s="1">
        <v>44501</v>
      </c>
      <c r="B15" s="2" t="s">
        <v>0</v>
      </c>
      <c r="C15" s="3">
        <v>5250</v>
      </c>
      <c r="D15" s="5">
        <f t="shared" si="20"/>
        <v>-96</v>
      </c>
      <c r="E15" s="5"/>
      <c r="F15" s="6"/>
      <c r="G15" s="55" t="s">
        <v>6</v>
      </c>
      <c r="H15" s="66">
        <f t="shared" ref="H15:J15" si="57">H8-H13</f>
        <v>314466.41600000003</v>
      </c>
      <c r="I15" s="66">
        <f t="shared" si="57"/>
        <v>299768.57649999997</v>
      </c>
      <c r="J15" s="66">
        <f t="shared" si="57"/>
        <v>323345.13500000001</v>
      </c>
      <c r="K15" s="66">
        <f t="shared" si="15"/>
        <v>937580.12749999994</v>
      </c>
      <c r="L15" s="66"/>
      <c r="M15" s="66">
        <f t="shared" ref="M15:O15" si="58">M8-M13</f>
        <v>341754.38700000005</v>
      </c>
      <c r="N15" s="66">
        <f t="shared" si="58"/>
        <v>308075.82300000003</v>
      </c>
      <c r="O15" s="66">
        <f t="shared" si="58"/>
        <v>314953.03450000001</v>
      </c>
      <c r="P15" s="66">
        <f>SUM(M15:O15)</f>
        <v>964783.24450000003</v>
      </c>
      <c r="Q15" s="66"/>
      <c r="R15" s="66">
        <f t="shared" ref="R15:T15" si="59">R8-R13</f>
        <v>336897.87300000002</v>
      </c>
      <c r="S15" s="66">
        <f t="shared" si="59"/>
        <v>359453.92249999999</v>
      </c>
      <c r="T15" s="66">
        <f t="shared" si="59"/>
        <v>316367.76500000001</v>
      </c>
      <c r="U15" s="66">
        <f t="shared" si="16"/>
        <v>1012719.5605</v>
      </c>
      <c r="V15" s="66"/>
      <c r="W15" s="66">
        <f t="shared" ref="W15:Y15" si="60">W8-W13</f>
        <v>604143.96900000004</v>
      </c>
      <c r="X15" s="66">
        <f t="shared" si="60"/>
        <v>611690.93999999994</v>
      </c>
      <c r="Y15" s="66">
        <f t="shared" si="60"/>
        <v>625286.19999999995</v>
      </c>
      <c r="Z15" s="66">
        <f t="shared" si="17"/>
        <v>1841121.1089999999</v>
      </c>
      <c r="AA15" s="66"/>
      <c r="AB15" s="66">
        <f>SUM(Z15,U15,P15,K15)</f>
        <v>4756204.0415000003</v>
      </c>
      <c r="AD15" s="66">
        <f>AD8-AD13</f>
        <v>698608.46694374993</v>
      </c>
      <c r="AE15" s="66">
        <f>AE8-AE13</f>
        <v>655901.23190625012</v>
      </c>
      <c r="AF15" s="66">
        <f>AF8-AF13</f>
        <v>720886.42196999991</v>
      </c>
      <c r="AG15" s="66">
        <f>SUM(AD15:AF15)</f>
        <v>2075396.1208199998</v>
      </c>
      <c r="AH15" s="66"/>
      <c r="AI15" s="66">
        <f t="shared" ref="AI15:AU15" si="61">AI8-AI13</f>
        <v>746336.42250750004</v>
      </c>
      <c r="AJ15" s="66">
        <f t="shared" si="61"/>
        <v>693736.6534312499</v>
      </c>
      <c r="AK15" s="66">
        <f t="shared" si="61"/>
        <v>688675.51491750008</v>
      </c>
      <c r="AL15" s="66">
        <f>SUM(AI15:AK15)</f>
        <v>2128748.5908562504</v>
      </c>
      <c r="AM15" s="66"/>
      <c r="AN15" s="66">
        <f t="shared" si="61"/>
        <v>921726.38559375005</v>
      </c>
      <c r="AO15" s="66">
        <f t="shared" si="61"/>
        <v>987662.40705000004</v>
      </c>
      <c r="AP15" s="66">
        <f t="shared" si="61"/>
        <v>840619.13512500003</v>
      </c>
      <c r="AQ15" s="66">
        <f>SUM(AN15:AP15)</f>
        <v>2750007.9277687501</v>
      </c>
      <c r="AR15" s="66"/>
      <c r="AS15" s="66">
        <f t="shared" si="61"/>
        <v>1415008.9202287502</v>
      </c>
      <c r="AT15" s="66">
        <f t="shared" si="61"/>
        <v>1388833.9987500003</v>
      </c>
      <c r="AU15" s="66">
        <f t="shared" si="61"/>
        <v>1452618.0033750001</v>
      </c>
      <c r="AV15" s="66"/>
      <c r="AW15" s="66">
        <f>SUM(AS15:AU15)</f>
        <v>4256460.922353751</v>
      </c>
      <c r="AX15" s="66"/>
      <c r="AY15" s="66">
        <f t="shared" si="13"/>
        <v>11210613.561798751</v>
      </c>
      <c r="AZ15" s="53"/>
      <c r="BA15" s="66">
        <f>BA8-BA13</f>
        <v>1250328.3924999996</v>
      </c>
      <c r="BB15" s="66">
        <f t="shared" ref="BB15:BR15" si="62">BB8-BB13</f>
        <v>1166103.1500000001</v>
      </c>
      <c r="BC15" s="66">
        <f t="shared" si="62"/>
        <v>1295946.7559999998</v>
      </c>
      <c r="BD15" s="66">
        <f>SUM(BA15:BC15)</f>
        <v>3712378.2984999996</v>
      </c>
      <c r="BE15" s="66"/>
      <c r="BF15" s="66">
        <f t="shared" si="62"/>
        <v>1348406.1359999999</v>
      </c>
      <c r="BG15" s="66">
        <f t="shared" si="62"/>
        <v>1239139.72</v>
      </c>
      <c r="BH15" s="66">
        <f t="shared" si="62"/>
        <v>1231034.5290000001</v>
      </c>
      <c r="BI15" s="66">
        <f>SUM(BF15:BH15)</f>
        <v>3818580.3849999998</v>
      </c>
      <c r="BJ15" s="66"/>
      <c r="BK15" s="66">
        <f t="shared" si="62"/>
        <v>1669445.2124999999</v>
      </c>
      <c r="BL15" s="66">
        <f t="shared" si="62"/>
        <v>1802517.8399999999</v>
      </c>
      <c r="BM15" s="66">
        <f t="shared" si="62"/>
        <v>1506371.3</v>
      </c>
      <c r="BN15" s="66">
        <f>SUM(BK15:BM15)</f>
        <v>4978334.3525</v>
      </c>
      <c r="BO15" s="66"/>
      <c r="BP15" s="66">
        <f t="shared" si="62"/>
        <v>2665975.5855</v>
      </c>
      <c r="BQ15" s="66">
        <f t="shared" si="62"/>
        <v>2612965.4999999995</v>
      </c>
      <c r="BR15" s="66">
        <f t="shared" si="62"/>
        <v>2742732.65</v>
      </c>
      <c r="BS15" s="66">
        <f>SUM(BP15:BR15)</f>
        <v>8021673.7355000004</v>
      </c>
      <c r="BT15" s="17"/>
      <c r="BU15" s="66">
        <f t="shared" si="14"/>
        <v>20530966.771499999</v>
      </c>
    </row>
    <row r="16" spans="1:73" ht="15.75" customHeight="1" x14ac:dyDescent="0.3">
      <c r="A16" s="1">
        <v>44531</v>
      </c>
      <c r="B16" s="2" t="s">
        <v>0</v>
      </c>
      <c r="C16" s="3">
        <v>5500</v>
      </c>
      <c r="D16" s="5">
        <f t="shared" si="20"/>
        <v>250</v>
      </c>
      <c r="E16" s="5"/>
      <c r="F16" s="6"/>
      <c r="G16" s="61" t="s">
        <v>61</v>
      </c>
      <c r="H16" s="13">
        <f t="shared" ref="H16:K16" si="63">H15/H8</f>
        <v>0.95</v>
      </c>
      <c r="I16" s="13">
        <f t="shared" si="63"/>
        <v>0.95</v>
      </c>
      <c r="J16" s="13">
        <f t="shared" si="63"/>
        <v>0.95000000000000007</v>
      </c>
      <c r="K16" s="13">
        <f t="shared" si="63"/>
        <v>0.95</v>
      </c>
      <c r="L16" s="13"/>
      <c r="M16" s="13">
        <f t="shared" ref="M16:P16" si="64">M15/M8</f>
        <v>0.95000000000000007</v>
      </c>
      <c r="N16" s="13">
        <f t="shared" si="64"/>
        <v>0.95000000000000007</v>
      </c>
      <c r="O16" s="13">
        <f t="shared" si="64"/>
        <v>0.95</v>
      </c>
      <c r="P16" s="13">
        <f t="shared" si="64"/>
        <v>0.95</v>
      </c>
      <c r="Q16" s="13"/>
      <c r="R16" s="13">
        <f t="shared" ref="R16:U16" si="65">R15/R8</f>
        <v>0.95</v>
      </c>
      <c r="S16" s="13">
        <f t="shared" si="65"/>
        <v>0.95</v>
      </c>
      <c r="T16" s="13">
        <f t="shared" si="65"/>
        <v>0.95</v>
      </c>
      <c r="U16" s="13">
        <f t="shared" si="65"/>
        <v>0.95</v>
      </c>
      <c r="V16" s="13"/>
      <c r="W16" s="13">
        <f t="shared" ref="W16:AB16" si="66">W15/W8</f>
        <v>0.95000000000000007</v>
      </c>
      <c r="X16" s="13">
        <f t="shared" si="66"/>
        <v>0.95</v>
      </c>
      <c r="Y16" s="13">
        <f t="shared" si="66"/>
        <v>0.95</v>
      </c>
      <c r="Z16" s="13">
        <f t="shared" si="66"/>
        <v>0.95</v>
      </c>
      <c r="AA16" s="13"/>
      <c r="AB16" s="13">
        <f t="shared" si="66"/>
        <v>0.95</v>
      </c>
      <c r="AD16" s="13">
        <f>AD15/AD8</f>
        <v>0.95000000000000007</v>
      </c>
      <c r="AE16" s="13">
        <f>AE15/AE8</f>
        <v>0.95000000000000007</v>
      </c>
      <c r="AF16" s="13">
        <f>AF15/AF8</f>
        <v>0.95</v>
      </c>
      <c r="AG16" s="13">
        <f>AG15/AG8</f>
        <v>0.95</v>
      </c>
      <c r="AH16" s="13"/>
      <c r="AI16" s="13">
        <f t="shared" ref="AI16:AU16" si="67">AI15/AI8</f>
        <v>0.95000000000000007</v>
      </c>
      <c r="AJ16" s="13">
        <f t="shared" si="67"/>
        <v>0.95</v>
      </c>
      <c r="AK16" s="13">
        <f t="shared" si="67"/>
        <v>0.95</v>
      </c>
      <c r="AL16" s="13">
        <f>AL15/AL8</f>
        <v>0.95000000000000018</v>
      </c>
      <c r="AM16" s="13"/>
      <c r="AN16" s="13">
        <f t="shared" si="67"/>
        <v>0.95000000000000007</v>
      </c>
      <c r="AO16" s="13">
        <f t="shared" si="67"/>
        <v>0.95</v>
      </c>
      <c r="AP16" s="13">
        <f t="shared" si="67"/>
        <v>0.95</v>
      </c>
      <c r="AQ16" s="13">
        <f>AQ15/AQ8</f>
        <v>0.95</v>
      </c>
      <c r="AR16" s="13"/>
      <c r="AS16" s="13">
        <f t="shared" si="67"/>
        <v>0.95000000000000007</v>
      </c>
      <c r="AT16" s="13">
        <f t="shared" si="67"/>
        <v>0.95000000000000007</v>
      </c>
      <c r="AU16" s="13">
        <f t="shared" si="67"/>
        <v>0.95000000000000007</v>
      </c>
      <c r="AV16" s="13"/>
      <c r="AW16" s="13">
        <f>AW15/AW8</f>
        <v>0.95000000000000029</v>
      </c>
      <c r="AX16" s="13"/>
      <c r="AY16" s="13">
        <f>AY15/AY8</f>
        <v>0.95000000000000018</v>
      </c>
      <c r="BA16" s="13">
        <f>BA15/BA8</f>
        <v>0.95</v>
      </c>
      <c r="BB16" s="13">
        <f t="shared" ref="BB16:BS16" si="68">BB15/BB8</f>
        <v>0.95</v>
      </c>
      <c r="BC16" s="13">
        <f t="shared" si="68"/>
        <v>0.95000000000000007</v>
      </c>
      <c r="BD16" s="13">
        <f t="shared" si="68"/>
        <v>0.95</v>
      </c>
      <c r="BE16" s="13"/>
      <c r="BF16" s="13">
        <f t="shared" si="68"/>
        <v>0.95000000000000007</v>
      </c>
      <c r="BG16" s="13">
        <f t="shared" si="68"/>
        <v>0.95000000000000007</v>
      </c>
      <c r="BH16" s="13">
        <f t="shared" si="68"/>
        <v>0.95000000000000007</v>
      </c>
      <c r="BI16" s="13">
        <f t="shared" si="68"/>
        <v>0.95</v>
      </c>
      <c r="BJ16" s="13"/>
      <c r="BK16" s="13">
        <f t="shared" si="68"/>
        <v>0.95</v>
      </c>
      <c r="BL16" s="13">
        <f t="shared" si="68"/>
        <v>0.95</v>
      </c>
      <c r="BM16" s="13">
        <f t="shared" si="68"/>
        <v>0.95000000000000007</v>
      </c>
      <c r="BN16" s="13">
        <f t="shared" si="68"/>
        <v>0.95</v>
      </c>
      <c r="BO16" s="13"/>
      <c r="BP16" s="13">
        <f t="shared" si="68"/>
        <v>0.95000000000000007</v>
      </c>
      <c r="BQ16" s="13">
        <f t="shared" si="68"/>
        <v>0.95</v>
      </c>
      <c r="BR16" s="13">
        <f t="shared" si="68"/>
        <v>0.95</v>
      </c>
      <c r="BS16" s="13">
        <f t="shared" si="68"/>
        <v>0.95000000000000007</v>
      </c>
      <c r="BT16" s="13"/>
      <c r="BU16" s="13">
        <f>BU15/BU8</f>
        <v>0.95</v>
      </c>
    </row>
    <row r="17" spans="1:74" ht="15.75" customHeight="1" x14ac:dyDescent="0.3">
      <c r="A17" s="1">
        <v>44197</v>
      </c>
      <c r="B17" s="2" t="s">
        <v>1</v>
      </c>
      <c r="C17" s="9">
        <v>1655086.4</v>
      </c>
      <c r="AB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U17" s="14"/>
    </row>
    <row r="18" spans="1:74" ht="15.75" customHeight="1" x14ac:dyDescent="0.3">
      <c r="A18" s="1">
        <v>44228</v>
      </c>
      <c r="B18" s="2" t="s">
        <v>1</v>
      </c>
      <c r="C18" s="9">
        <v>1562108.25</v>
      </c>
      <c r="G18" s="18" t="s">
        <v>7</v>
      </c>
      <c r="AB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U18" s="14"/>
    </row>
    <row r="19" spans="1:74" ht="15.75" customHeight="1" x14ac:dyDescent="0.3">
      <c r="A19" s="1">
        <v>44256</v>
      </c>
      <c r="B19" s="2" t="s">
        <v>1</v>
      </c>
      <c r="C19" s="9">
        <v>1701816.48</v>
      </c>
      <c r="G19" s="10" t="s">
        <v>8</v>
      </c>
      <c r="H19" s="17">
        <f>Assumptions!$D$11*12</f>
        <v>36000</v>
      </c>
      <c r="I19" s="17">
        <f>Assumptions!$D$11*12</f>
        <v>36000</v>
      </c>
      <c r="J19" s="17">
        <f>Assumptions!$D$11*12</f>
        <v>36000</v>
      </c>
      <c r="K19" s="17">
        <f t="shared" si="15"/>
        <v>108000</v>
      </c>
      <c r="L19" s="17"/>
      <c r="M19" s="17">
        <f>Assumptions!$D$11*12</f>
        <v>36000</v>
      </c>
      <c r="N19" s="17">
        <f>Assumptions!$D$11*12</f>
        <v>36000</v>
      </c>
      <c r="O19" s="17">
        <f>Assumptions!$D$11*12</f>
        <v>36000</v>
      </c>
      <c r="P19" s="17">
        <f>SUM(M19:O19)</f>
        <v>108000</v>
      </c>
      <c r="Q19" s="17"/>
      <c r="R19" s="17">
        <f>Assumptions!$D$11*12</f>
        <v>36000</v>
      </c>
      <c r="S19" s="17">
        <f>Assumptions!$D$11*12</f>
        <v>36000</v>
      </c>
      <c r="T19" s="17">
        <f>Assumptions!$D$11*12</f>
        <v>36000</v>
      </c>
      <c r="U19" s="17">
        <f t="shared" si="16"/>
        <v>108000</v>
      </c>
      <c r="V19" s="17"/>
      <c r="W19" s="17">
        <f>Assumptions!$D$11*12</f>
        <v>36000</v>
      </c>
      <c r="X19" s="17">
        <f>Assumptions!$D$11*12</f>
        <v>36000</v>
      </c>
      <c r="Y19" s="17">
        <f>Assumptions!$D$11*12</f>
        <v>36000</v>
      </c>
      <c r="Z19" s="17">
        <f t="shared" si="17"/>
        <v>108000</v>
      </c>
      <c r="AA19" s="17"/>
      <c r="AB19" s="17">
        <f>SUM(Z19,U19,P19,K19)</f>
        <v>432000</v>
      </c>
      <c r="AD19" s="17">
        <f>Assumptions!$E$11*12</f>
        <v>54000</v>
      </c>
      <c r="AE19" s="17">
        <f>Assumptions!$E$11*12</f>
        <v>54000</v>
      </c>
      <c r="AF19" s="17">
        <f>Assumptions!$E$11*12</f>
        <v>54000</v>
      </c>
      <c r="AG19" s="17">
        <f>SUM(AD19:AF19)</f>
        <v>162000</v>
      </c>
      <c r="AH19" s="17"/>
      <c r="AI19" s="17">
        <f>Assumptions!$E$11*12</f>
        <v>54000</v>
      </c>
      <c r="AJ19" s="17">
        <f>Assumptions!$E$11*12</f>
        <v>54000</v>
      </c>
      <c r="AK19" s="17">
        <f>Assumptions!$E$11*12</f>
        <v>54000</v>
      </c>
      <c r="AL19" s="17">
        <f>SUM(AI19:AK19)</f>
        <v>162000</v>
      </c>
      <c r="AM19" s="17"/>
      <c r="AN19" s="17">
        <f>Assumptions!$E$11*12</f>
        <v>54000</v>
      </c>
      <c r="AO19" s="17">
        <f>Assumptions!$E$11*12</f>
        <v>54000</v>
      </c>
      <c r="AP19" s="17">
        <f>Assumptions!$E$11*12</f>
        <v>54000</v>
      </c>
      <c r="AQ19" s="17">
        <f>SUM(AN19:AP19)</f>
        <v>162000</v>
      </c>
      <c r="AR19" s="17"/>
      <c r="AS19" s="17">
        <f>Assumptions!$E$11*12</f>
        <v>54000</v>
      </c>
      <c r="AT19" s="17">
        <f>Assumptions!$E$11*12</f>
        <v>54000</v>
      </c>
      <c r="AU19" s="17">
        <f>Assumptions!$E$11*12</f>
        <v>54000</v>
      </c>
      <c r="AV19" s="17"/>
      <c r="AW19" s="17">
        <f>SUM(AS19:AU19)</f>
        <v>162000</v>
      </c>
      <c r="AX19" s="17"/>
      <c r="AY19" s="17">
        <f t="shared" ref="AY19" si="69">SUM(AW19,AQ19,AL19,AG19)</f>
        <v>648000</v>
      </c>
      <c r="BA19" s="17">
        <f>Assumptions!$F$11*12</f>
        <v>72000</v>
      </c>
      <c r="BB19" s="17">
        <f>Assumptions!$F$11*12</f>
        <v>72000</v>
      </c>
      <c r="BC19" s="17">
        <f>Assumptions!$F$11*12</f>
        <v>72000</v>
      </c>
      <c r="BD19" s="17">
        <f>SUM(BA19:BC19)</f>
        <v>216000</v>
      </c>
      <c r="BE19" s="17"/>
      <c r="BF19" s="17">
        <f>Assumptions!$F$11*12</f>
        <v>72000</v>
      </c>
      <c r="BG19" s="17">
        <f>Assumptions!$F$11*12</f>
        <v>72000</v>
      </c>
      <c r="BH19" s="17">
        <f>Assumptions!$F$11*12</f>
        <v>72000</v>
      </c>
      <c r="BI19" s="17">
        <f>SUM(BF19:BH19)</f>
        <v>216000</v>
      </c>
      <c r="BJ19" s="17"/>
      <c r="BK19" s="17">
        <f>Assumptions!$F$11*12</f>
        <v>72000</v>
      </c>
      <c r="BL19" s="17">
        <f>Assumptions!$F$11*12</f>
        <v>72000</v>
      </c>
      <c r="BM19" s="17">
        <f>Assumptions!$F$11*12</f>
        <v>72000</v>
      </c>
      <c r="BN19" s="17">
        <f>SUM(BK19:BM19)</f>
        <v>216000</v>
      </c>
      <c r="BO19" s="17"/>
      <c r="BP19" s="17">
        <f>Assumptions!$F$11*12</f>
        <v>72000</v>
      </c>
      <c r="BQ19" s="17">
        <f>Assumptions!$F$11*12</f>
        <v>72000</v>
      </c>
      <c r="BR19" s="17">
        <f>Assumptions!$F$11*12</f>
        <v>72000</v>
      </c>
      <c r="BS19" s="17">
        <f>SUM(BP19:BR19)</f>
        <v>216000</v>
      </c>
      <c r="BT19" s="17"/>
      <c r="BU19" s="17">
        <f t="shared" ref="BU19" si="70">SUM(BS19,BN19,BI19,BD19)</f>
        <v>864000</v>
      </c>
    </row>
    <row r="20" spans="1:74" ht="15.75" customHeight="1" x14ac:dyDescent="0.3">
      <c r="A20" s="1"/>
      <c r="B20" s="2"/>
      <c r="C20" s="9"/>
      <c r="G20" s="64" t="s">
        <v>63</v>
      </c>
      <c r="H20" s="65">
        <f>SUM(H19)</f>
        <v>36000</v>
      </c>
      <c r="I20" s="65">
        <f t="shared" ref="I20:K20" si="71">SUM(I19)</f>
        <v>36000</v>
      </c>
      <c r="J20" s="65">
        <f t="shared" si="71"/>
        <v>36000</v>
      </c>
      <c r="K20" s="65">
        <f t="shared" si="71"/>
        <v>108000</v>
      </c>
      <c r="L20" s="65"/>
      <c r="M20" s="65">
        <f>SUM(M19)</f>
        <v>36000</v>
      </c>
      <c r="N20" s="65">
        <f t="shared" ref="N20:P20" si="72">SUM(N19)</f>
        <v>36000</v>
      </c>
      <c r="O20" s="65">
        <f t="shared" si="72"/>
        <v>36000</v>
      </c>
      <c r="P20" s="65">
        <f t="shared" si="72"/>
        <v>108000</v>
      </c>
      <c r="Q20" s="65"/>
      <c r="R20" s="65">
        <f>SUM(R19)</f>
        <v>36000</v>
      </c>
      <c r="S20" s="65">
        <f t="shared" ref="S20:U20" si="73">SUM(S19)</f>
        <v>36000</v>
      </c>
      <c r="T20" s="65">
        <f t="shared" si="73"/>
        <v>36000</v>
      </c>
      <c r="U20" s="65">
        <f t="shared" si="73"/>
        <v>108000</v>
      </c>
      <c r="V20" s="65"/>
      <c r="W20" s="65">
        <f>SUM(W19)</f>
        <v>36000</v>
      </c>
      <c r="X20" s="65">
        <f t="shared" ref="X20:AB20" si="74">SUM(X19)</f>
        <v>36000</v>
      </c>
      <c r="Y20" s="65">
        <f t="shared" si="74"/>
        <v>36000</v>
      </c>
      <c r="Z20" s="65">
        <f t="shared" si="74"/>
        <v>108000</v>
      </c>
      <c r="AA20" s="65"/>
      <c r="AB20" s="65">
        <f t="shared" si="74"/>
        <v>432000</v>
      </c>
      <c r="AD20" s="65"/>
      <c r="AE20" s="65"/>
      <c r="AF20" s="65"/>
      <c r="AG20" s="65">
        <f t="shared" ref="AG20:AY20" si="75">SUM(AG19)</f>
        <v>162000</v>
      </c>
      <c r="AH20" s="65">
        <f t="shared" si="75"/>
        <v>0</v>
      </c>
      <c r="AI20" s="65">
        <f t="shared" si="75"/>
        <v>54000</v>
      </c>
      <c r="AJ20" s="65">
        <f t="shared" si="75"/>
        <v>54000</v>
      </c>
      <c r="AK20" s="65">
        <f t="shared" si="75"/>
        <v>54000</v>
      </c>
      <c r="AL20" s="65">
        <f t="shared" si="75"/>
        <v>162000</v>
      </c>
      <c r="AM20" s="65">
        <f t="shared" si="75"/>
        <v>0</v>
      </c>
      <c r="AN20" s="65">
        <f t="shared" si="75"/>
        <v>54000</v>
      </c>
      <c r="AO20" s="65">
        <f t="shared" si="75"/>
        <v>54000</v>
      </c>
      <c r="AP20" s="65">
        <f t="shared" si="75"/>
        <v>54000</v>
      </c>
      <c r="AQ20" s="65">
        <f t="shared" si="75"/>
        <v>162000</v>
      </c>
      <c r="AR20" s="65">
        <f t="shared" si="75"/>
        <v>0</v>
      </c>
      <c r="AS20" s="65">
        <f t="shared" si="75"/>
        <v>54000</v>
      </c>
      <c r="AT20" s="65">
        <f t="shared" si="75"/>
        <v>54000</v>
      </c>
      <c r="AU20" s="65">
        <f t="shared" si="75"/>
        <v>54000</v>
      </c>
      <c r="AV20" s="65">
        <f t="shared" si="75"/>
        <v>0</v>
      </c>
      <c r="AW20" s="65">
        <f t="shared" si="75"/>
        <v>162000</v>
      </c>
      <c r="AX20" s="65">
        <f t="shared" si="75"/>
        <v>0</v>
      </c>
      <c r="AY20" s="65">
        <f t="shared" si="75"/>
        <v>648000</v>
      </c>
      <c r="BA20" s="65"/>
      <c r="BB20" s="65"/>
      <c r="BC20" s="65"/>
      <c r="BD20" s="65">
        <f t="shared" ref="BD20:BU20" si="76">SUM(BD19)</f>
        <v>216000</v>
      </c>
      <c r="BE20" s="65">
        <f t="shared" si="76"/>
        <v>0</v>
      </c>
      <c r="BF20" s="65">
        <f t="shared" si="76"/>
        <v>72000</v>
      </c>
      <c r="BG20" s="65">
        <f t="shared" si="76"/>
        <v>72000</v>
      </c>
      <c r="BH20" s="65">
        <f t="shared" si="76"/>
        <v>72000</v>
      </c>
      <c r="BI20" s="65">
        <f t="shared" si="76"/>
        <v>216000</v>
      </c>
      <c r="BJ20" s="65">
        <f t="shared" si="76"/>
        <v>0</v>
      </c>
      <c r="BK20" s="65">
        <f t="shared" si="76"/>
        <v>72000</v>
      </c>
      <c r="BL20" s="65">
        <f t="shared" si="76"/>
        <v>72000</v>
      </c>
      <c r="BM20" s="65">
        <f t="shared" si="76"/>
        <v>72000</v>
      </c>
      <c r="BN20" s="65">
        <f t="shared" si="76"/>
        <v>216000</v>
      </c>
      <c r="BO20" s="65">
        <f t="shared" si="76"/>
        <v>0</v>
      </c>
      <c r="BP20" s="65">
        <f t="shared" si="76"/>
        <v>72000</v>
      </c>
      <c r="BQ20" s="65">
        <f t="shared" si="76"/>
        <v>72000</v>
      </c>
      <c r="BR20" s="65">
        <f t="shared" si="76"/>
        <v>72000</v>
      </c>
      <c r="BS20" s="65">
        <f t="shared" si="76"/>
        <v>216000</v>
      </c>
      <c r="BT20" s="65">
        <f t="shared" si="76"/>
        <v>0</v>
      </c>
      <c r="BU20" s="65">
        <f t="shared" si="76"/>
        <v>864000</v>
      </c>
    </row>
    <row r="21" spans="1:74" ht="15.75" customHeight="1" x14ac:dyDescent="0.3">
      <c r="A21" s="1">
        <v>44287</v>
      </c>
      <c r="B21" s="2" t="s">
        <v>1</v>
      </c>
      <c r="C21" s="9">
        <v>1754836.38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</row>
    <row r="22" spans="1:74" ht="15.75" customHeight="1" x14ac:dyDescent="0.3">
      <c r="A22" s="1">
        <v>44317</v>
      </c>
      <c r="B22" s="2" t="s">
        <v>1</v>
      </c>
      <c r="C22" s="9">
        <v>1646143.85</v>
      </c>
      <c r="G22" s="18" t="s">
        <v>9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</row>
    <row r="23" spans="1:74" ht="15.75" customHeight="1" x14ac:dyDescent="0.3">
      <c r="A23" s="1">
        <v>44348</v>
      </c>
      <c r="B23" s="2" t="s">
        <v>1</v>
      </c>
      <c r="C23" s="9">
        <v>1633150.32</v>
      </c>
      <c r="F23" s="7">
        <v>15</v>
      </c>
      <c r="G23" s="7" t="s">
        <v>10</v>
      </c>
      <c r="H23" s="17">
        <f t="shared" ref="H23:Y23" si="77">(70000*$F$23)/12</f>
        <v>87500</v>
      </c>
      <c r="I23" s="17">
        <f t="shared" si="77"/>
        <v>87500</v>
      </c>
      <c r="J23" s="17">
        <f t="shared" si="77"/>
        <v>87500</v>
      </c>
      <c r="K23" s="17">
        <f t="shared" si="15"/>
        <v>262500</v>
      </c>
      <c r="L23" s="17"/>
      <c r="M23" s="17">
        <f t="shared" si="77"/>
        <v>87500</v>
      </c>
      <c r="N23" s="17">
        <f t="shared" si="77"/>
        <v>87500</v>
      </c>
      <c r="O23" s="17">
        <f t="shared" si="77"/>
        <v>87500</v>
      </c>
      <c r="P23" s="17">
        <f>SUM(M23:O23)</f>
        <v>262500</v>
      </c>
      <c r="Q23" s="17"/>
      <c r="R23" s="17">
        <f t="shared" si="77"/>
        <v>87500</v>
      </c>
      <c r="S23" s="17">
        <f t="shared" si="77"/>
        <v>87500</v>
      </c>
      <c r="T23" s="17">
        <f t="shared" si="77"/>
        <v>87500</v>
      </c>
      <c r="U23" s="17">
        <f t="shared" si="16"/>
        <v>262500</v>
      </c>
      <c r="V23" s="17"/>
      <c r="W23" s="17">
        <f t="shared" si="77"/>
        <v>87500</v>
      </c>
      <c r="X23" s="17">
        <f t="shared" si="77"/>
        <v>87500</v>
      </c>
      <c r="Y23" s="17">
        <f t="shared" si="77"/>
        <v>87500</v>
      </c>
      <c r="Z23" s="17">
        <f t="shared" si="17"/>
        <v>262500</v>
      </c>
      <c r="AA23" s="17"/>
      <c r="AB23" s="17">
        <f>SUM(Z23,U23,P23,K23)</f>
        <v>1050000</v>
      </c>
      <c r="AD23" s="17">
        <f>(Assumptions!$E$13*Assumptions!$E$3)/12</f>
        <v>136500</v>
      </c>
      <c r="AE23" s="17">
        <f>(Assumptions!$E$13*Assumptions!$E$3)/12</f>
        <v>136500</v>
      </c>
      <c r="AF23" s="17">
        <f>(Assumptions!$E$13*Assumptions!$E$3)/12</f>
        <v>136500</v>
      </c>
      <c r="AG23" s="17">
        <f t="shared" ref="AG23:AG26" si="78">SUM(AD23:AF23)</f>
        <v>409500</v>
      </c>
      <c r="AH23" s="17"/>
      <c r="AI23" s="17">
        <f>(Assumptions!$E$13*Assumptions!$E$3)/12</f>
        <v>136500</v>
      </c>
      <c r="AJ23" s="17">
        <f>(Assumptions!$E$13*Assumptions!$E$3)/12</f>
        <v>136500</v>
      </c>
      <c r="AK23" s="17">
        <f>(Assumptions!$E$13*Assumptions!$E$3)/12</f>
        <v>136500</v>
      </c>
      <c r="AL23" s="17">
        <f t="shared" ref="AL23:AL26" si="79">SUM(AI23:AK23)</f>
        <v>409500</v>
      </c>
      <c r="AM23" s="17"/>
      <c r="AN23" s="17">
        <f>(Assumptions!$E$13*Assumptions!$E$3)/12</f>
        <v>136500</v>
      </c>
      <c r="AO23" s="17">
        <f>(Assumptions!$E$13*Assumptions!$E$3)/12</f>
        <v>136500</v>
      </c>
      <c r="AP23" s="17">
        <f>(Assumptions!$E$13*Assumptions!$E$3)/12</f>
        <v>136500</v>
      </c>
      <c r="AQ23" s="17">
        <f t="shared" ref="AQ23:AQ26" si="80">SUM(AN23:AP23)</f>
        <v>409500</v>
      </c>
      <c r="AR23" s="17"/>
      <c r="AS23" s="17">
        <f>(Assumptions!$E$13*Assumptions!$E$3)/12</f>
        <v>136500</v>
      </c>
      <c r="AT23" s="17">
        <f>(Assumptions!$E$13*Assumptions!$E$3)/12</f>
        <v>136500</v>
      </c>
      <c r="AU23" s="17">
        <f>(Assumptions!$E$13*Assumptions!$E$3)/12</f>
        <v>136500</v>
      </c>
      <c r="AV23" s="17"/>
      <c r="AW23" s="17">
        <f t="shared" ref="AW23:AW26" si="81">SUM(AS23:AU23)</f>
        <v>409500</v>
      </c>
      <c r="AX23" s="17"/>
      <c r="AY23" s="17">
        <f t="shared" ref="AY23:AY26" si="82">SUM(AW23,AQ23,AL23,AG23)</f>
        <v>1638000</v>
      </c>
      <c r="BA23" s="17">
        <f>(Assumptions!$F$13*Assumptions!$F$3)/12</f>
        <v>189280</v>
      </c>
      <c r="BB23" s="17">
        <f>(Assumptions!$F$13*Assumptions!$F$3)/12</f>
        <v>189280</v>
      </c>
      <c r="BC23" s="17">
        <f>(Assumptions!$F$13*Assumptions!$F$3)/12</f>
        <v>189280</v>
      </c>
      <c r="BD23" s="17">
        <f t="shared" ref="BD23:BD26" si="83">SUM(BA23:BC23)</f>
        <v>567840</v>
      </c>
      <c r="BE23" s="17"/>
      <c r="BF23" s="17">
        <f>(Assumptions!$F$13*Assumptions!$F$3)/12</f>
        <v>189280</v>
      </c>
      <c r="BG23" s="17">
        <f>(Assumptions!$F$13*Assumptions!$F$3)/12</f>
        <v>189280</v>
      </c>
      <c r="BH23" s="17">
        <f>(Assumptions!$F$13*Assumptions!$F$3)/12</f>
        <v>189280</v>
      </c>
      <c r="BI23" s="17">
        <f t="shared" ref="BI23:BI26" si="84">SUM(BF23:BH23)</f>
        <v>567840</v>
      </c>
      <c r="BJ23" s="17"/>
      <c r="BK23" s="17">
        <f>(Assumptions!$F$13*Assumptions!$F$3)/12</f>
        <v>189280</v>
      </c>
      <c r="BL23" s="17">
        <f>(Assumptions!$F$13*Assumptions!$F$3)/12</f>
        <v>189280</v>
      </c>
      <c r="BM23" s="17">
        <f>(Assumptions!$F$13*Assumptions!$F$3)/12</f>
        <v>189280</v>
      </c>
      <c r="BN23" s="17">
        <f t="shared" ref="BN23:BN26" si="85">SUM(BK23:BM23)</f>
        <v>567840</v>
      </c>
      <c r="BO23" s="17"/>
      <c r="BP23" s="17">
        <f>(Assumptions!$F$13*Assumptions!$F$3)/12</f>
        <v>189280</v>
      </c>
      <c r="BQ23" s="17">
        <f>(Assumptions!$F$13*Assumptions!$F$3)/12</f>
        <v>189280</v>
      </c>
      <c r="BR23" s="17">
        <f>(Assumptions!$F$13*Assumptions!$F$3)/12</f>
        <v>189280</v>
      </c>
      <c r="BS23" s="17">
        <f t="shared" ref="BS23:BS26" si="86">SUM(BP23:BR23)</f>
        <v>567840</v>
      </c>
      <c r="BT23" s="17"/>
      <c r="BU23" s="17">
        <f t="shared" ref="BU23:BU26" si="87">SUM(BS23,BN23,BI23,BD23)</f>
        <v>2271360</v>
      </c>
    </row>
    <row r="24" spans="1:74" ht="15.75" customHeight="1" x14ac:dyDescent="0.3">
      <c r="A24" s="1">
        <v>44378</v>
      </c>
      <c r="B24" s="2" t="s">
        <v>1</v>
      </c>
      <c r="C24" s="9">
        <v>1818612</v>
      </c>
      <c r="F24" s="7">
        <v>10</v>
      </c>
      <c r="G24" s="7" t="s">
        <v>11</v>
      </c>
      <c r="H24" s="17">
        <f>($F$24*75000)/12</f>
        <v>62500</v>
      </c>
      <c r="I24" s="17">
        <f>($F$24*75000)/12</f>
        <v>62500</v>
      </c>
      <c r="J24" s="17">
        <f>($F$24*75000)/12</f>
        <v>62500</v>
      </c>
      <c r="K24" s="17">
        <f t="shared" si="15"/>
        <v>187500</v>
      </c>
      <c r="L24" s="17"/>
      <c r="M24" s="17">
        <f>($F$24*75000)/12</f>
        <v>62500</v>
      </c>
      <c r="N24" s="17">
        <f>($F$24*75000)/12</f>
        <v>62500</v>
      </c>
      <c r="O24" s="17">
        <f>($F$24*75000)/12</f>
        <v>62500</v>
      </c>
      <c r="P24" s="17">
        <f>SUM(M24:O24)</f>
        <v>187500</v>
      </c>
      <c r="Q24" s="17"/>
      <c r="R24" s="17">
        <f>($F$24*75000)/12</f>
        <v>62500</v>
      </c>
      <c r="S24" s="17">
        <f>($F$24*75000)/12</f>
        <v>62500</v>
      </c>
      <c r="T24" s="17">
        <f>($F$24*75000)/12</f>
        <v>62500</v>
      </c>
      <c r="U24" s="17">
        <f t="shared" si="16"/>
        <v>187500</v>
      </c>
      <c r="V24" s="17"/>
      <c r="W24" s="17">
        <f>($F$24*75000)/12</f>
        <v>62500</v>
      </c>
      <c r="X24" s="17">
        <f>($F$24*75000)/12</f>
        <v>62500</v>
      </c>
      <c r="Y24" s="17">
        <f>($F$24*75000)/12</f>
        <v>62500</v>
      </c>
      <c r="Z24" s="17">
        <f t="shared" si="17"/>
        <v>187500</v>
      </c>
      <c r="AA24" s="17"/>
      <c r="AB24" s="17">
        <f>SUM(Z24,U24,P24,K24)</f>
        <v>750000</v>
      </c>
      <c r="AD24" s="17">
        <f>(Assumptions!$I$3*Assumptions!$I$13)/12</f>
        <v>97500</v>
      </c>
      <c r="AE24" s="17">
        <f>(Assumptions!$I$3*Assumptions!$I$13)/12</f>
        <v>97500</v>
      </c>
      <c r="AF24" s="17">
        <f>(Assumptions!$I$3*Assumptions!$I$13)/12</f>
        <v>97500</v>
      </c>
      <c r="AG24" s="17">
        <f t="shared" si="78"/>
        <v>292500</v>
      </c>
      <c r="AH24" s="17"/>
      <c r="AI24" s="17">
        <f>(Assumptions!$I$3*Assumptions!$I$13)/12</f>
        <v>97500</v>
      </c>
      <c r="AJ24" s="17">
        <f>(Assumptions!$I$3*Assumptions!$I$13)/12</f>
        <v>97500</v>
      </c>
      <c r="AK24" s="17">
        <f>(Assumptions!$I$3*Assumptions!$I$13)/12</f>
        <v>97500</v>
      </c>
      <c r="AL24" s="17">
        <f t="shared" si="79"/>
        <v>292500</v>
      </c>
      <c r="AM24" s="17"/>
      <c r="AN24" s="17">
        <f>(Assumptions!$I$3*Assumptions!$I$13)/12</f>
        <v>97500</v>
      </c>
      <c r="AO24" s="17">
        <f>(Assumptions!$I$3*Assumptions!$I$13)/12</f>
        <v>97500</v>
      </c>
      <c r="AP24" s="17">
        <f>(Assumptions!$I$3*Assumptions!$I$13)/12</f>
        <v>97500</v>
      </c>
      <c r="AQ24" s="17">
        <f t="shared" si="80"/>
        <v>292500</v>
      </c>
      <c r="AR24" s="17"/>
      <c r="AS24" s="17">
        <f>(Assumptions!$I$3*Assumptions!$I$13)/12</f>
        <v>97500</v>
      </c>
      <c r="AT24" s="17">
        <f>(Assumptions!$I$3*Assumptions!$I$13)/12</f>
        <v>97500</v>
      </c>
      <c r="AU24" s="17">
        <f>(Assumptions!$I$3*Assumptions!$I$13)/12</f>
        <v>97500</v>
      </c>
      <c r="AV24" s="17"/>
      <c r="AW24" s="17">
        <f t="shared" si="81"/>
        <v>292500</v>
      </c>
      <c r="AX24" s="17"/>
      <c r="AY24" s="17">
        <f t="shared" si="82"/>
        <v>1170000</v>
      </c>
      <c r="BA24" s="17">
        <f>(Assumptions!$J$13*Assumptions!$J$3)/12</f>
        <v>135200</v>
      </c>
      <c r="BB24" s="17">
        <f>(Assumptions!$J$13*Assumptions!$J$3)/12</f>
        <v>135200</v>
      </c>
      <c r="BC24" s="17">
        <f>(Assumptions!$J$13*Assumptions!$J$3)/12</f>
        <v>135200</v>
      </c>
      <c r="BD24" s="17">
        <f t="shared" si="83"/>
        <v>405600</v>
      </c>
      <c r="BE24" s="17"/>
      <c r="BF24" s="17">
        <f>(Assumptions!$J$13*Assumptions!$J$3)/12</f>
        <v>135200</v>
      </c>
      <c r="BG24" s="17">
        <f>(Assumptions!$J$13*Assumptions!$J$3)/12</f>
        <v>135200</v>
      </c>
      <c r="BH24" s="17">
        <f>(Assumptions!$J$13*Assumptions!$J$3)/12</f>
        <v>135200</v>
      </c>
      <c r="BI24" s="17">
        <f t="shared" si="84"/>
        <v>405600</v>
      </c>
      <c r="BJ24" s="17"/>
      <c r="BK24" s="17">
        <f>(Assumptions!$J$13*Assumptions!$J$3)/12</f>
        <v>135200</v>
      </c>
      <c r="BL24" s="17">
        <f>(Assumptions!$J$13*Assumptions!$J$3)/12</f>
        <v>135200</v>
      </c>
      <c r="BM24" s="17">
        <f>(Assumptions!$J$13*Assumptions!$J$3)/12</f>
        <v>135200</v>
      </c>
      <c r="BN24" s="17">
        <f t="shared" si="85"/>
        <v>405600</v>
      </c>
      <c r="BO24" s="17"/>
      <c r="BP24" s="17">
        <f>(Assumptions!$J$13*Assumptions!$J$3)/12</f>
        <v>135200</v>
      </c>
      <c r="BQ24" s="17">
        <f>(Assumptions!$J$13*Assumptions!$J$3)/12</f>
        <v>135200</v>
      </c>
      <c r="BR24" s="17">
        <f>(Assumptions!$J$13*Assumptions!$J$3)/12</f>
        <v>135200</v>
      </c>
      <c r="BS24" s="17">
        <f t="shared" si="86"/>
        <v>405600</v>
      </c>
      <c r="BT24" s="17"/>
      <c r="BU24" s="17">
        <f t="shared" si="87"/>
        <v>1622400</v>
      </c>
    </row>
    <row r="25" spans="1:74" ht="15.75" customHeight="1" x14ac:dyDescent="0.3">
      <c r="A25" s="1">
        <v>44409</v>
      </c>
      <c r="B25" s="2" t="s">
        <v>1</v>
      </c>
      <c r="C25" s="9">
        <v>1891862.73</v>
      </c>
      <c r="F25" s="7">
        <v>5</v>
      </c>
      <c r="G25" s="7" t="s">
        <v>12</v>
      </c>
      <c r="H25" s="17">
        <f t="shared" ref="H25:Y25" si="88">($F$25*150000)/12</f>
        <v>62500</v>
      </c>
      <c r="I25" s="17">
        <f t="shared" si="88"/>
        <v>62500</v>
      </c>
      <c r="J25" s="17">
        <f t="shared" si="88"/>
        <v>62500</v>
      </c>
      <c r="K25" s="17">
        <f t="shared" si="15"/>
        <v>187500</v>
      </c>
      <c r="L25" s="17"/>
      <c r="M25" s="17">
        <f t="shared" si="88"/>
        <v>62500</v>
      </c>
      <c r="N25" s="17">
        <f t="shared" si="88"/>
        <v>62500</v>
      </c>
      <c r="O25" s="17">
        <f t="shared" si="88"/>
        <v>62500</v>
      </c>
      <c r="P25" s="17">
        <f>SUM(M25:O25)</f>
        <v>187500</v>
      </c>
      <c r="Q25" s="17"/>
      <c r="R25" s="17">
        <f t="shared" si="88"/>
        <v>62500</v>
      </c>
      <c r="S25" s="17">
        <f t="shared" si="88"/>
        <v>62500</v>
      </c>
      <c r="T25" s="17">
        <f t="shared" si="88"/>
        <v>62500</v>
      </c>
      <c r="U25" s="17">
        <f t="shared" si="16"/>
        <v>187500</v>
      </c>
      <c r="V25" s="17"/>
      <c r="W25" s="17">
        <f t="shared" si="88"/>
        <v>62500</v>
      </c>
      <c r="X25" s="17">
        <f t="shared" si="88"/>
        <v>62500</v>
      </c>
      <c r="Y25" s="17">
        <f t="shared" si="88"/>
        <v>62500</v>
      </c>
      <c r="Z25" s="17">
        <f t="shared" si="17"/>
        <v>187500</v>
      </c>
      <c r="AA25" s="17"/>
      <c r="AB25" s="17">
        <f>SUM(Z25,U25,P25,K25)</f>
        <v>750000</v>
      </c>
      <c r="AD25" s="17">
        <f>(Assumptions!$M$13*Assumptions!$M$3)/12</f>
        <v>130000</v>
      </c>
      <c r="AE25" s="17">
        <f>(Assumptions!$M$13*Assumptions!$M$3)/12</f>
        <v>130000</v>
      </c>
      <c r="AF25" s="17">
        <f>(Assumptions!$M$13*Assumptions!$M$3)/12</f>
        <v>130000</v>
      </c>
      <c r="AG25" s="17">
        <f t="shared" si="78"/>
        <v>390000</v>
      </c>
      <c r="AH25" s="17"/>
      <c r="AI25" s="17">
        <f>(Assumptions!$M$13*Assumptions!$M$3)/12</f>
        <v>130000</v>
      </c>
      <c r="AJ25" s="17">
        <f>(Assumptions!$M$13*Assumptions!$M$3)/12</f>
        <v>130000</v>
      </c>
      <c r="AK25" s="17">
        <f>(Assumptions!$M$13*Assumptions!$M$3)/12</f>
        <v>130000</v>
      </c>
      <c r="AL25" s="17">
        <f t="shared" si="79"/>
        <v>390000</v>
      </c>
      <c r="AM25" s="17"/>
      <c r="AN25" s="17">
        <f>(Assumptions!$M$13*Assumptions!$M$3)/12</f>
        <v>130000</v>
      </c>
      <c r="AO25" s="17">
        <f>(Assumptions!$M$13*Assumptions!$M$3)/12</f>
        <v>130000</v>
      </c>
      <c r="AP25" s="17">
        <f>(Assumptions!$M$13*Assumptions!$M$3)/12</f>
        <v>130000</v>
      </c>
      <c r="AQ25" s="17">
        <f t="shared" si="80"/>
        <v>390000</v>
      </c>
      <c r="AR25" s="17"/>
      <c r="AS25" s="17">
        <f>(Assumptions!$M$13*Assumptions!$M$3)/12</f>
        <v>130000</v>
      </c>
      <c r="AT25" s="17">
        <f>(Assumptions!$M$13*Assumptions!$M$3)/12</f>
        <v>130000</v>
      </c>
      <c r="AU25" s="17">
        <f>(Assumptions!$M$13*Assumptions!$M$3)/12</f>
        <v>130000</v>
      </c>
      <c r="AV25" s="17"/>
      <c r="AW25" s="17">
        <f t="shared" si="81"/>
        <v>390000</v>
      </c>
      <c r="AX25" s="17"/>
      <c r="AY25" s="17">
        <f t="shared" si="82"/>
        <v>1560000</v>
      </c>
      <c r="BA25" s="17">
        <f>(Assumptions!$N$13*Assumptions!$N$3)/12</f>
        <v>202800</v>
      </c>
      <c r="BB25" s="17">
        <f>(Assumptions!$N$13*Assumptions!$N$3)/12</f>
        <v>202800</v>
      </c>
      <c r="BC25" s="17">
        <f>(Assumptions!$N$13*Assumptions!$N$3)/12</f>
        <v>202800</v>
      </c>
      <c r="BD25" s="17">
        <f t="shared" si="83"/>
        <v>608400</v>
      </c>
      <c r="BE25" s="17"/>
      <c r="BF25" s="17">
        <f>(Assumptions!$N$13*Assumptions!$N$3)/12</f>
        <v>202800</v>
      </c>
      <c r="BG25" s="17">
        <f>(Assumptions!$N$13*Assumptions!$N$3)/12</f>
        <v>202800</v>
      </c>
      <c r="BH25" s="17">
        <f>(Assumptions!$N$13*Assumptions!$N$3)/12</f>
        <v>202800</v>
      </c>
      <c r="BI25" s="17">
        <f t="shared" si="84"/>
        <v>608400</v>
      </c>
      <c r="BJ25" s="17"/>
      <c r="BK25" s="17">
        <f>(Assumptions!$N$13*Assumptions!$N$3)/12</f>
        <v>202800</v>
      </c>
      <c r="BL25" s="17">
        <f>(Assumptions!$N$13*Assumptions!$N$3)/12</f>
        <v>202800</v>
      </c>
      <c r="BM25" s="17">
        <f>(Assumptions!$N$13*Assumptions!$N$3)/12</f>
        <v>202800</v>
      </c>
      <c r="BN25" s="17">
        <f t="shared" si="85"/>
        <v>608400</v>
      </c>
      <c r="BO25" s="17"/>
      <c r="BP25" s="17">
        <f>(Assumptions!$N$13*Assumptions!$N$3)/12</f>
        <v>202800</v>
      </c>
      <c r="BQ25" s="17">
        <f>(Assumptions!$N$13*Assumptions!$N$3)/12</f>
        <v>202800</v>
      </c>
      <c r="BR25" s="17">
        <f>(Assumptions!$N$13*Assumptions!$N$3)/12</f>
        <v>202800</v>
      </c>
      <c r="BS25" s="17">
        <f t="shared" si="86"/>
        <v>608400</v>
      </c>
      <c r="BT25" s="17"/>
      <c r="BU25" s="17">
        <f t="shared" si="87"/>
        <v>2433600</v>
      </c>
    </row>
    <row r="26" spans="1:74" ht="15.75" customHeight="1" x14ac:dyDescent="0.3">
      <c r="A26" s="1">
        <v>44440</v>
      </c>
      <c r="B26" s="2" t="s">
        <v>1</v>
      </c>
      <c r="C26" s="9">
        <v>1665093.5</v>
      </c>
      <c r="G26" s="7" t="s">
        <v>13</v>
      </c>
      <c r="H26" s="17">
        <f t="shared" ref="H26:J26" si="89">175000/12</f>
        <v>14583.333333333334</v>
      </c>
      <c r="I26" s="17">
        <f t="shared" si="89"/>
        <v>14583.333333333334</v>
      </c>
      <c r="J26" s="17">
        <f t="shared" si="89"/>
        <v>14583.333333333334</v>
      </c>
      <c r="K26" s="17">
        <f t="shared" si="15"/>
        <v>43750</v>
      </c>
      <c r="L26" s="17"/>
      <c r="M26" s="17">
        <f t="shared" ref="M26:O26" si="90">175000/12</f>
        <v>14583.333333333334</v>
      </c>
      <c r="N26" s="17">
        <f t="shared" si="90"/>
        <v>14583.333333333334</v>
      </c>
      <c r="O26" s="17">
        <f t="shared" si="90"/>
        <v>14583.333333333334</v>
      </c>
      <c r="P26" s="17">
        <f>SUM(M26:O26)</f>
        <v>43750</v>
      </c>
      <c r="Q26" s="17"/>
      <c r="R26" s="17">
        <f t="shared" ref="R26:T26" si="91">175000/12</f>
        <v>14583.333333333334</v>
      </c>
      <c r="S26" s="17">
        <f t="shared" si="91"/>
        <v>14583.333333333334</v>
      </c>
      <c r="T26" s="17">
        <f t="shared" si="91"/>
        <v>14583.333333333334</v>
      </c>
      <c r="U26" s="17">
        <f t="shared" si="16"/>
        <v>43750</v>
      </c>
      <c r="V26" s="17"/>
      <c r="W26" s="17">
        <f t="shared" ref="W26:Y26" si="92">175000/12</f>
        <v>14583.333333333334</v>
      </c>
      <c r="X26" s="17">
        <f t="shared" si="92"/>
        <v>14583.333333333334</v>
      </c>
      <c r="Y26" s="17">
        <f t="shared" si="92"/>
        <v>14583.333333333334</v>
      </c>
      <c r="Z26" s="17">
        <f t="shared" si="17"/>
        <v>43750</v>
      </c>
      <c r="AA26" s="17"/>
      <c r="AB26" s="17">
        <f>SUM(Z26,U26,P26,K26)</f>
        <v>175000</v>
      </c>
      <c r="AD26" s="17">
        <f>(Assumptions!$Q$13*Assumptions!$Q$3)/12</f>
        <v>15166.666666666666</v>
      </c>
      <c r="AE26" s="17">
        <f>(Assumptions!$Q$13*Assumptions!$Q$3)/12</f>
        <v>15166.666666666666</v>
      </c>
      <c r="AF26" s="17">
        <f>(Assumptions!$Q$13*Assumptions!$Q$3)/12</f>
        <v>15166.666666666666</v>
      </c>
      <c r="AG26" s="17">
        <f t="shared" si="78"/>
        <v>45500</v>
      </c>
      <c r="AH26" s="17"/>
      <c r="AI26" s="17">
        <f>(Assumptions!$Q$13*Assumptions!$Q$3)/12</f>
        <v>15166.666666666666</v>
      </c>
      <c r="AJ26" s="17">
        <f>(Assumptions!$Q$13*Assumptions!$Q$3)/12</f>
        <v>15166.666666666666</v>
      </c>
      <c r="AK26" s="17">
        <f>(Assumptions!$Q$13*Assumptions!$Q$3)/12</f>
        <v>15166.666666666666</v>
      </c>
      <c r="AL26" s="17">
        <f t="shared" si="79"/>
        <v>45500</v>
      </c>
      <c r="AM26" s="17"/>
      <c r="AN26" s="17">
        <f>(Assumptions!$Q$13*Assumptions!$Q$3)/12</f>
        <v>15166.666666666666</v>
      </c>
      <c r="AO26" s="17">
        <f>(Assumptions!$Q$13*Assumptions!$Q$3)/12</f>
        <v>15166.666666666666</v>
      </c>
      <c r="AP26" s="17">
        <f>(Assumptions!$Q$13*Assumptions!$Q$3)/12</f>
        <v>15166.666666666666</v>
      </c>
      <c r="AQ26" s="17">
        <f t="shared" si="80"/>
        <v>45500</v>
      </c>
      <c r="AR26" s="17"/>
      <c r="AS26" s="17">
        <f>(Assumptions!$Q$13*Assumptions!$Q$3)/12</f>
        <v>15166.666666666666</v>
      </c>
      <c r="AT26" s="17">
        <f>(Assumptions!$Q$13*Assumptions!$Q$3)/12</f>
        <v>15166.666666666666</v>
      </c>
      <c r="AU26" s="17">
        <f>(Assumptions!$Q$13*Assumptions!$Q$3)/12</f>
        <v>15166.666666666666</v>
      </c>
      <c r="AV26" s="17"/>
      <c r="AW26" s="17">
        <f t="shared" si="81"/>
        <v>45500</v>
      </c>
      <c r="AX26" s="17"/>
      <c r="AY26" s="17">
        <f t="shared" si="82"/>
        <v>182000</v>
      </c>
      <c r="BA26" s="17">
        <f>(Assumptions!$R$13*Assumptions!$R$3)/12</f>
        <v>15773.333333333334</v>
      </c>
      <c r="BB26" s="17">
        <f>(Assumptions!$R$13*Assumptions!$R$3)/12</f>
        <v>15773.333333333334</v>
      </c>
      <c r="BC26" s="17">
        <f>(Assumptions!$R$13*Assumptions!$R$3)/12</f>
        <v>15773.333333333334</v>
      </c>
      <c r="BD26" s="17">
        <f t="shared" si="83"/>
        <v>47320</v>
      </c>
      <c r="BE26" s="17"/>
      <c r="BF26" s="17">
        <f>(Assumptions!$R$13*Assumptions!$R$3)/12</f>
        <v>15773.333333333334</v>
      </c>
      <c r="BG26" s="17">
        <f>(Assumptions!$R$13*Assumptions!$R$3)/12</f>
        <v>15773.333333333334</v>
      </c>
      <c r="BH26" s="17">
        <f>(Assumptions!$R$13*Assumptions!$R$3)/12</f>
        <v>15773.333333333334</v>
      </c>
      <c r="BI26" s="17">
        <f t="shared" si="84"/>
        <v>47320</v>
      </c>
      <c r="BJ26" s="17"/>
      <c r="BK26" s="17">
        <f>(Assumptions!$R$13*Assumptions!$R$3)/12</f>
        <v>15773.333333333334</v>
      </c>
      <c r="BL26" s="17">
        <f>(Assumptions!$R$13*Assumptions!$R$3)/12</f>
        <v>15773.333333333334</v>
      </c>
      <c r="BM26" s="17">
        <f>(Assumptions!$R$13*Assumptions!$R$3)/12</f>
        <v>15773.333333333334</v>
      </c>
      <c r="BN26" s="17">
        <f t="shared" si="85"/>
        <v>47320</v>
      </c>
      <c r="BO26" s="17"/>
      <c r="BP26" s="17">
        <f>(Assumptions!$R$13*Assumptions!$R$3)/12</f>
        <v>15773.333333333334</v>
      </c>
      <c r="BQ26" s="17">
        <f>(Assumptions!$R$13*Assumptions!$R$3)/12</f>
        <v>15773.333333333334</v>
      </c>
      <c r="BR26" s="17">
        <f>(Assumptions!$R$13*Assumptions!$R$3)/12</f>
        <v>15773.333333333334</v>
      </c>
      <c r="BS26" s="17">
        <f t="shared" si="86"/>
        <v>47320</v>
      </c>
      <c r="BT26" s="17"/>
      <c r="BU26" s="17">
        <f t="shared" si="87"/>
        <v>189280</v>
      </c>
    </row>
    <row r="27" spans="1:74" ht="15.75" customHeight="1" x14ac:dyDescent="0.3">
      <c r="A27" s="1">
        <v>44470</v>
      </c>
      <c r="B27" s="2" t="s">
        <v>1</v>
      </c>
      <c r="C27" s="9">
        <v>3211823.34</v>
      </c>
      <c r="G27" s="44" t="s">
        <v>14</v>
      </c>
      <c r="H27" s="45">
        <v>0</v>
      </c>
      <c r="I27" s="45">
        <v>0</v>
      </c>
      <c r="J27" s="45">
        <v>0</v>
      </c>
      <c r="K27" s="45">
        <f t="shared" si="15"/>
        <v>0</v>
      </c>
      <c r="L27" s="45"/>
      <c r="M27" s="45">
        <v>0</v>
      </c>
      <c r="N27" s="45">
        <v>0</v>
      </c>
      <c r="O27" s="45">
        <v>0</v>
      </c>
      <c r="P27" s="45">
        <f>SUM(M27:O27)</f>
        <v>0</v>
      </c>
      <c r="Q27" s="45"/>
      <c r="R27" s="45">
        <v>0</v>
      </c>
      <c r="S27" s="45">
        <v>0</v>
      </c>
      <c r="T27" s="45">
        <f>4000/60</f>
        <v>66.666666666666671</v>
      </c>
      <c r="U27" s="45">
        <f t="shared" si="16"/>
        <v>66.666666666666671</v>
      </c>
      <c r="V27" s="45"/>
      <c r="W27" s="45">
        <v>0</v>
      </c>
      <c r="X27" s="45">
        <v>0</v>
      </c>
      <c r="Y27" s="45">
        <v>0</v>
      </c>
      <c r="Z27" s="45">
        <f t="shared" si="17"/>
        <v>0</v>
      </c>
      <c r="AA27" s="45"/>
      <c r="AB27" s="45">
        <f>SUM(Z27,U27,P27,K27)</f>
        <v>66.666666666666671</v>
      </c>
      <c r="AC27" s="46"/>
      <c r="AD27" s="45">
        <v>0</v>
      </c>
      <c r="AE27" s="45">
        <v>0</v>
      </c>
      <c r="AF27" s="45">
        <v>0</v>
      </c>
      <c r="AG27" s="45">
        <f>SUM(AD27:AF27)</f>
        <v>0</v>
      </c>
      <c r="AH27" s="45"/>
      <c r="AI27" s="45">
        <v>0</v>
      </c>
      <c r="AJ27" s="45">
        <v>0</v>
      </c>
      <c r="AK27" s="45">
        <v>0</v>
      </c>
      <c r="AL27" s="45">
        <f>SUM(AI27:AK27)</f>
        <v>0</v>
      </c>
      <c r="AM27" s="45"/>
      <c r="AN27" s="45">
        <v>0</v>
      </c>
      <c r="AO27" s="45">
        <v>0</v>
      </c>
      <c r="AP27" s="45">
        <f>Assumptions!X33</f>
        <v>1166.6666666666667</v>
      </c>
      <c r="AQ27" s="45">
        <f>SUM(AN27:AP27)</f>
        <v>1166.6666666666667</v>
      </c>
      <c r="AR27" s="45"/>
      <c r="AS27" s="45">
        <v>0</v>
      </c>
      <c r="AT27" s="45">
        <v>0</v>
      </c>
      <c r="AU27" s="45">
        <v>0</v>
      </c>
      <c r="AV27" s="45"/>
      <c r="AW27" s="45">
        <f>SUM(AS27:AU27)</f>
        <v>0</v>
      </c>
      <c r="AX27" s="45"/>
      <c r="AY27" s="45">
        <f>SUM(AW27,AQ27,AL27,AG27)</f>
        <v>1166.6666666666667</v>
      </c>
      <c r="AZ27" s="59"/>
      <c r="BA27" s="45">
        <v>0</v>
      </c>
      <c r="BB27" s="45">
        <v>0</v>
      </c>
      <c r="BC27" s="45">
        <v>0</v>
      </c>
      <c r="BD27" s="45">
        <f>SUM(BA27:BC27)</f>
        <v>0</v>
      </c>
      <c r="BE27" s="45"/>
      <c r="BF27" s="45">
        <v>0</v>
      </c>
      <c r="BG27" s="45">
        <v>0</v>
      </c>
      <c r="BH27" s="45">
        <v>0</v>
      </c>
      <c r="BI27" s="45">
        <f>SUM(BF27:BH27)</f>
        <v>0</v>
      </c>
      <c r="BJ27" s="45"/>
      <c r="BK27" s="45">
        <v>0</v>
      </c>
      <c r="BL27" s="45">
        <v>0</v>
      </c>
      <c r="BM27" s="45">
        <f>Assumptions!AK33</f>
        <v>1166.6666666666667</v>
      </c>
      <c r="BN27" s="45">
        <f>SUM(BK27:BM27)</f>
        <v>1166.6666666666667</v>
      </c>
      <c r="BO27" s="45"/>
      <c r="BP27" s="45">
        <v>0</v>
      </c>
      <c r="BQ27" s="45">
        <v>0</v>
      </c>
      <c r="BR27" s="45">
        <v>0</v>
      </c>
      <c r="BS27" s="45">
        <f>SUM(BP27:BR27)</f>
        <v>0</v>
      </c>
      <c r="BT27" s="45"/>
      <c r="BU27" s="45">
        <f>SUM(BS27,BN27,BI27,BD27)</f>
        <v>1166.6666666666667</v>
      </c>
    </row>
    <row r="28" spans="1:74" ht="15.75" customHeight="1" x14ac:dyDescent="0.3">
      <c r="A28" s="1">
        <v>44501</v>
      </c>
      <c r="B28" s="2" t="s">
        <v>1</v>
      </c>
      <c r="C28" s="9">
        <v>3156300</v>
      </c>
      <c r="F28" s="11">
        <v>30000</v>
      </c>
      <c r="G28" s="44" t="s">
        <v>15</v>
      </c>
      <c r="H28" s="45">
        <f>$F$28/12</f>
        <v>2500</v>
      </c>
      <c r="I28" s="45">
        <f t="shared" ref="I28:J28" si="93">$F$28/12</f>
        <v>2500</v>
      </c>
      <c r="J28" s="45">
        <f t="shared" si="93"/>
        <v>2500</v>
      </c>
      <c r="K28" s="45">
        <f t="shared" si="15"/>
        <v>7500</v>
      </c>
      <c r="L28" s="45"/>
      <c r="M28" s="45">
        <f>$F$28/12</f>
        <v>2500</v>
      </c>
      <c r="N28" s="45">
        <f t="shared" ref="N28:O28" si="94">$F$28/12</f>
        <v>2500</v>
      </c>
      <c r="O28" s="45">
        <f t="shared" si="94"/>
        <v>2500</v>
      </c>
      <c r="P28" s="45">
        <f>SUM(M28:O28)</f>
        <v>7500</v>
      </c>
      <c r="Q28" s="45"/>
      <c r="R28" s="45">
        <f t="shared" ref="R28:T28" si="95">$F$28/12</f>
        <v>2500</v>
      </c>
      <c r="S28" s="45">
        <f t="shared" si="95"/>
        <v>2500</v>
      </c>
      <c r="T28" s="45">
        <f t="shared" si="95"/>
        <v>2500</v>
      </c>
      <c r="U28" s="45">
        <f t="shared" si="16"/>
        <v>7500</v>
      </c>
      <c r="V28" s="45"/>
      <c r="W28" s="45">
        <f>$F$28/12</f>
        <v>2500</v>
      </c>
      <c r="X28" s="45">
        <f t="shared" ref="X28:Y28" si="96">$F$28/12</f>
        <v>2500</v>
      </c>
      <c r="Y28" s="45">
        <f t="shared" si="96"/>
        <v>2500</v>
      </c>
      <c r="Z28" s="45">
        <f t="shared" si="17"/>
        <v>7500</v>
      </c>
      <c r="AA28" s="45"/>
      <c r="AB28" s="45">
        <f>SUM(Z28,U28,P28,K28)</f>
        <v>30000</v>
      </c>
      <c r="AC28" s="46"/>
      <c r="AD28" s="45">
        <f>Assumptions!P34</f>
        <v>2650</v>
      </c>
      <c r="AE28" s="45">
        <f>Assumptions!Q34</f>
        <v>2650</v>
      </c>
      <c r="AF28" s="45">
        <f>Assumptions!R34</f>
        <v>2650</v>
      </c>
      <c r="AG28" s="45">
        <f>SUM(AD28:AF28)</f>
        <v>7950</v>
      </c>
      <c r="AH28" s="45"/>
      <c r="AI28" s="45">
        <f>Assumptions!S34</f>
        <v>2650</v>
      </c>
      <c r="AJ28" s="45">
        <f>Assumptions!T34</f>
        <v>2650</v>
      </c>
      <c r="AK28" s="45">
        <f>Assumptions!U34</f>
        <v>2650</v>
      </c>
      <c r="AL28" s="45">
        <f>SUM(AI28:AK28)</f>
        <v>7950</v>
      </c>
      <c r="AM28" s="45"/>
      <c r="AN28" s="45">
        <f>Assumptions!V34</f>
        <v>2650</v>
      </c>
      <c r="AO28" s="45">
        <f>Assumptions!W34</f>
        <v>2650</v>
      </c>
      <c r="AP28" s="45">
        <f>Assumptions!X34</f>
        <v>2650</v>
      </c>
      <c r="AQ28" s="45">
        <f>SUM(AN28:AP28)</f>
        <v>7950</v>
      </c>
      <c r="AR28" s="45"/>
      <c r="AS28" s="45">
        <f>Assumptions!Y34</f>
        <v>2650</v>
      </c>
      <c r="AT28" s="45">
        <f>Assumptions!Z34</f>
        <v>2650</v>
      </c>
      <c r="AU28" s="45">
        <f>Assumptions!AA34</f>
        <v>2650</v>
      </c>
      <c r="AV28" s="45"/>
      <c r="AW28" s="45">
        <f>SUM(AS28:AU28)</f>
        <v>7950</v>
      </c>
      <c r="AX28" s="45"/>
      <c r="AY28" s="45">
        <f>SUM(AW28,AQ28,AL28,AG28)</f>
        <v>31800</v>
      </c>
      <c r="AZ28" s="59"/>
      <c r="BA28" s="45">
        <f>Assumptions!AC34</f>
        <v>2676.5</v>
      </c>
      <c r="BB28" s="45">
        <f>Assumptions!AD34</f>
        <v>2676.5</v>
      </c>
      <c r="BC28" s="45">
        <f>Assumptions!AE34</f>
        <v>2676.5</v>
      </c>
      <c r="BD28" s="45">
        <f>SUM(BA28:BC28)</f>
        <v>8029.5</v>
      </c>
      <c r="BE28" s="45"/>
      <c r="BF28" s="45">
        <f>Assumptions!AF34</f>
        <v>2676.5</v>
      </c>
      <c r="BG28" s="45">
        <f>Assumptions!AG34</f>
        <v>2676.5</v>
      </c>
      <c r="BH28" s="45">
        <f>Assumptions!AH34</f>
        <v>2676.5</v>
      </c>
      <c r="BI28" s="45">
        <f>SUM(BF28:BH28)</f>
        <v>8029.5</v>
      </c>
      <c r="BJ28" s="45"/>
      <c r="BK28" s="45">
        <f>Assumptions!AI34</f>
        <v>2676.5</v>
      </c>
      <c r="BL28" s="45">
        <f>Assumptions!AJ34</f>
        <v>2676.5</v>
      </c>
      <c r="BM28" s="45">
        <f>Assumptions!AK34</f>
        <v>2676.5</v>
      </c>
      <c r="BN28" s="45">
        <f>SUM(BK28:BM28)</f>
        <v>8029.5</v>
      </c>
      <c r="BO28" s="45"/>
      <c r="BP28" s="45">
        <f>Assumptions!AL34</f>
        <v>2676.5</v>
      </c>
      <c r="BQ28" s="45">
        <f>Assumptions!AM34</f>
        <v>2676.5</v>
      </c>
      <c r="BR28" s="45">
        <f>Assumptions!AN34</f>
        <v>2676.5</v>
      </c>
      <c r="BS28" s="45">
        <f>SUM(BP28:BR28)</f>
        <v>8029.5</v>
      </c>
      <c r="BT28" s="45"/>
      <c r="BU28" s="45">
        <f>SUM(BS28,BN28,BI28,BD28)</f>
        <v>32118</v>
      </c>
      <c r="BV28" s="56"/>
    </row>
    <row r="29" spans="1:74" ht="15.75" customHeight="1" x14ac:dyDescent="0.3">
      <c r="A29" s="1"/>
      <c r="B29" s="2"/>
      <c r="C29" s="9"/>
      <c r="F29" s="11"/>
      <c r="G29" s="67" t="s">
        <v>62</v>
      </c>
      <c r="H29" s="68">
        <f>SUM(H23:H28)</f>
        <v>229583.33333333334</v>
      </c>
      <c r="I29" s="68">
        <f t="shared" ref="I29:K29" si="97">SUM(I23:I28)</f>
        <v>229583.33333333334</v>
      </c>
      <c r="J29" s="68">
        <f t="shared" si="97"/>
        <v>229583.33333333334</v>
      </c>
      <c r="K29" s="68">
        <f t="shared" si="97"/>
        <v>688750</v>
      </c>
      <c r="L29" s="69"/>
      <c r="M29" s="68">
        <f t="shared" ref="M29:P29" si="98">SUM(M23:M28)</f>
        <v>229583.33333333334</v>
      </c>
      <c r="N29" s="68">
        <f t="shared" si="98"/>
        <v>229583.33333333334</v>
      </c>
      <c r="O29" s="68">
        <f t="shared" si="98"/>
        <v>229583.33333333334</v>
      </c>
      <c r="P29" s="68">
        <f t="shared" si="98"/>
        <v>688750</v>
      </c>
      <c r="Q29" s="69"/>
      <c r="R29" s="68">
        <f t="shared" ref="R29:U29" si="99">SUM(R23:R28)</f>
        <v>229583.33333333334</v>
      </c>
      <c r="S29" s="68">
        <f t="shared" si="99"/>
        <v>229583.33333333334</v>
      </c>
      <c r="T29" s="68">
        <f t="shared" si="99"/>
        <v>229650</v>
      </c>
      <c r="U29" s="68">
        <f t="shared" si="99"/>
        <v>688816.66666666663</v>
      </c>
      <c r="V29" s="69"/>
      <c r="W29" s="68">
        <f t="shared" ref="W29:Z29" si="100">SUM(W23:W28)</f>
        <v>229583.33333333334</v>
      </c>
      <c r="X29" s="68">
        <f t="shared" si="100"/>
        <v>229583.33333333334</v>
      </c>
      <c r="Y29" s="68">
        <f t="shared" si="100"/>
        <v>229583.33333333334</v>
      </c>
      <c r="Z29" s="68">
        <f t="shared" si="100"/>
        <v>688750</v>
      </c>
      <c r="AA29" s="69"/>
      <c r="AB29" s="68">
        <f>SUM(AB23:AB28)</f>
        <v>2755066.6666666665</v>
      </c>
      <c r="AC29" s="46"/>
      <c r="AD29" s="68">
        <f t="shared" ref="AD29:AG29" si="101">SUM(AD23:AD28)</f>
        <v>381816.66666666669</v>
      </c>
      <c r="AE29" s="68">
        <f t="shared" si="101"/>
        <v>381816.66666666669</v>
      </c>
      <c r="AF29" s="68">
        <f t="shared" si="101"/>
        <v>381816.66666666669</v>
      </c>
      <c r="AG29" s="68">
        <f t="shared" si="101"/>
        <v>1145450</v>
      </c>
      <c r="AH29" s="69"/>
      <c r="AI29" s="68">
        <f t="shared" ref="AI29:AL29" si="102">SUM(AI23:AI28)</f>
        <v>381816.66666666669</v>
      </c>
      <c r="AJ29" s="68">
        <f t="shared" si="102"/>
        <v>381816.66666666669</v>
      </c>
      <c r="AK29" s="68">
        <f t="shared" si="102"/>
        <v>381816.66666666669</v>
      </c>
      <c r="AL29" s="68">
        <f t="shared" si="102"/>
        <v>1145450</v>
      </c>
      <c r="AM29" s="69"/>
      <c r="AN29" s="68">
        <f t="shared" ref="AN29:AQ29" si="103">SUM(AN23:AN28)</f>
        <v>381816.66666666669</v>
      </c>
      <c r="AO29" s="68">
        <f t="shared" si="103"/>
        <v>381816.66666666669</v>
      </c>
      <c r="AP29" s="68">
        <f t="shared" si="103"/>
        <v>382983.33333333337</v>
      </c>
      <c r="AQ29" s="68">
        <f t="shared" si="103"/>
        <v>1146616.6666666667</v>
      </c>
      <c r="AR29" s="69"/>
      <c r="AS29" s="68">
        <f t="shared" ref="AS29:AU29" si="104">SUM(AS23:AS28)</f>
        <v>381816.66666666669</v>
      </c>
      <c r="AT29" s="68">
        <f t="shared" si="104"/>
        <v>381816.66666666669</v>
      </c>
      <c r="AU29" s="68">
        <f t="shared" si="104"/>
        <v>381816.66666666669</v>
      </c>
      <c r="AV29" s="68"/>
      <c r="AW29" s="68">
        <f t="shared" ref="AW29" si="105">SUM(AW23:AW28)</f>
        <v>1145450</v>
      </c>
      <c r="AX29" s="68"/>
      <c r="AY29" s="68">
        <f>SUM(AY23:AY28)</f>
        <v>4582966.666666667</v>
      </c>
      <c r="AZ29" s="59"/>
      <c r="BA29" s="68">
        <f t="shared" ref="BA29:BD29" si="106">SUM(BA23:BA28)</f>
        <v>545729.83333333337</v>
      </c>
      <c r="BB29" s="68">
        <f t="shared" si="106"/>
        <v>545729.83333333337</v>
      </c>
      <c r="BC29" s="68">
        <f t="shared" si="106"/>
        <v>545729.83333333337</v>
      </c>
      <c r="BD29" s="68">
        <f t="shared" si="106"/>
        <v>1637189.5</v>
      </c>
      <c r="BE29" s="69"/>
      <c r="BF29" s="68">
        <f t="shared" ref="BF29:BI29" si="107">SUM(BF23:BF28)</f>
        <v>545729.83333333337</v>
      </c>
      <c r="BG29" s="68">
        <f t="shared" si="107"/>
        <v>545729.83333333337</v>
      </c>
      <c r="BH29" s="68">
        <f t="shared" si="107"/>
        <v>545729.83333333337</v>
      </c>
      <c r="BI29" s="68">
        <f t="shared" si="107"/>
        <v>1637189.5</v>
      </c>
      <c r="BJ29" s="69"/>
      <c r="BK29" s="68">
        <f t="shared" ref="BK29:BN29" si="108">SUM(BK23:BK28)</f>
        <v>545729.83333333337</v>
      </c>
      <c r="BL29" s="68">
        <f t="shared" si="108"/>
        <v>545729.83333333337</v>
      </c>
      <c r="BM29" s="68">
        <f t="shared" si="108"/>
        <v>546896.5</v>
      </c>
      <c r="BN29" s="68">
        <f t="shared" si="108"/>
        <v>1638356.1666666667</v>
      </c>
      <c r="BO29" s="69"/>
      <c r="BP29" s="68">
        <f t="shared" ref="BP29:BU29" si="109">SUM(BP23:BP28)</f>
        <v>545729.83333333337</v>
      </c>
      <c r="BQ29" s="68">
        <f t="shared" si="109"/>
        <v>545729.83333333337</v>
      </c>
      <c r="BR29" s="68">
        <f t="shared" si="109"/>
        <v>545729.83333333337</v>
      </c>
      <c r="BS29" s="68">
        <f t="shared" si="109"/>
        <v>1637189.5</v>
      </c>
      <c r="BT29" s="68">
        <f t="shared" si="109"/>
        <v>0</v>
      </c>
      <c r="BU29" s="68">
        <f t="shared" si="109"/>
        <v>6549924.666666667</v>
      </c>
      <c r="BV29" s="76"/>
    </row>
    <row r="30" spans="1:74" ht="15.75" customHeight="1" x14ac:dyDescent="0.3">
      <c r="A30" s="1">
        <v>44531</v>
      </c>
      <c r="B30" s="2" t="s">
        <v>1</v>
      </c>
      <c r="C30" s="9">
        <v>3290980</v>
      </c>
      <c r="G30" s="46"/>
      <c r="H30" s="45"/>
      <c r="I30" s="45"/>
      <c r="J30" s="45"/>
      <c r="K30" s="45"/>
      <c r="L30" s="45"/>
      <c r="M30" s="45"/>
      <c r="N30" s="45"/>
      <c r="O30" s="45"/>
      <c r="P30" s="45">
        <f>SUM(M30:O30)</f>
        <v>0</v>
      </c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6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60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</row>
    <row r="31" spans="1:74" ht="15.75" customHeight="1" thickBot="1" x14ac:dyDescent="0.35">
      <c r="A31" s="1">
        <v>44197</v>
      </c>
      <c r="B31" s="2" t="s">
        <v>3</v>
      </c>
      <c r="C31" s="9">
        <v>331017.28000000003</v>
      </c>
      <c r="G31" s="70" t="s">
        <v>16</v>
      </c>
      <c r="H31" s="71">
        <f t="shared" ref="H31:J31" si="110">H15-SUM(H19,H23:H28)</f>
        <v>48883.082666666713</v>
      </c>
      <c r="I31" s="71">
        <f t="shared" si="110"/>
        <v>34185.243166666653</v>
      </c>
      <c r="J31" s="71">
        <f t="shared" si="110"/>
        <v>57761.801666666695</v>
      </c>
      <c r="K31" s="71">
        <f t="shared" si="15"/>
        <v>140830.12750000006</v>
      </c>
      <c r="L31" s="71"/>
      <c r="M31" s="71">
        <f t="shared" ref="M31:O31" si="111">M15-SUM(M19,M23:M28)</f>
        <v>76171.053666666732</v>
      </c>
      <c r="N31" s="71">
        <f t="shared" si="111"/>
        <v>42492.489666666719</v>
      </c>
      <c r="O31" s="71">
        <f t="shared" si="111"/>
        <v>49369.701166666695</v>
      </c>
      <c r="P31" s="71">
        <f>SUM(M31:O31)</f>
        <v>168033.24450000015</v>
      </c>
      <c r="Q31" s="71"/>
      <c r="R31" s="71">
        <f t="shared" ref="R31:T31" si="112">R15-SUM(R19,R23:R28)</f>
        <v>71314.539666666707</v>
      </c>
      <c r="S31" s="71">
        <f t="shared" si="112"/>
        <v>93870.589166666672</v>
      </c>
      <c r="T31" s="71">
        <f t="shared" si="112"/>
        <v>50717.765000000014</v>
      </c>
      <c r="U31" s="71">
        <f t="shared" si="16"/>
        <v>215902.89383333339</v>
      </c>
      <c r="V31" s="71"/>
      <c r="W31" s="71">
        <f t="shared" ref="W31:Y31" si="113">W15-SUM(W19,W23:W28)</f>
        <v>338560.63566666673</v>
      </c>
      <c r="X31" s="71">
        <f t="shared" si="113"/>
        <v>346107.60666666663</v>
      </c>
      <c r="Y31" s="71">
        <f t="shared" si="113"/>
        <v>359702.86666666664</v>
      </c>
      <c r="Z31" s="71">
        <f t="shared" si="17"/>
        <v>1044371.1089999999</v>
      </c>
      <c r="AA31" s="71"/>
      <c r="AB31" s="71">
        <f>SUM(Z31,U31,P31,K31)</f>
        <v>1569137.3748333333</v>
      </c>
      <c r="AD31" s="71">
        <f>AD15-SUM(AD19,AD23:AD28)</f>
        <v>262791.80027708324</v>
      </c>
      <c r="AE31" s="71">
        <f t="shared" ref="AE31:AF31" si="114">AE15-SUM(AE19,AE23:AE28)</f>
        <v>220084.56523958343</v>
      </c>
      <c r="AF31" s="71">
        <f t="shared" si="114"/>
        <v>285069.75530333322</v>
      </c>
      <c r="AG31" s="71">
        <f>SUM(AD31:AF31)</f>
        <v>767946.12081999984</v>
      </c>
      <c r="AH31" s="71"/>
      <c r="AI31" s="71">
        <f>AI15-SUM(AI19,AI23:AI28)</f>
        <v>310519.75584083336</v>
      </c>
      <c r="AJ31" s="71">
        <f t="shared" ref="AJ31:AK31" si="115">AJ15-SUM(AJ19,AJ23:AJ28)</f>
        <v>257919.98676458321</v>
      </c>
      <c r="AK31" s="71">
        <f t="shared" si="115"/>
        <v>252858.8482508334</v>
      </c>
      <c r="AL31" s="71">
        <f>SUM(AI31:AK31)</f>
        <v>821298.59085624991</v>
      </c>
      <c r="AM31" s="71"/>
      <c r="AN31" s="71">
        <f>AN15-SUM(AN19,AN23:AN28)</f>
        <v>485909.71892708336</v>
      </c>
      <c r="AO31" s="71">
        <f t="shared" ref="AO31:AP31" si="116">AO15-SUM(AO19,AO23:AO28)</f>
        <v>551845.74038333329</v>
      </c>
      <c r="AP31" s="71">
        <f t="shared" si="116"/>
        <v>403635.80179166666</v>
      </c>
      <c r="AQ31" s="71">
        <f>SUM(AN31:AP31)</f>
        <v>1441391.2611020831</v>
      </c>
      <c r="AR31" s="71"/>
      <c r="AS31" s="71">
        <f>AS15-SUM(AS19,AS23:AS28)</f>
        <v>979192.25356208347</v>
      </c>
      <c r="AT31" s="71">
        <f t="shared" ref="AT31:AU31" si="117">AT15-SUM(AT19,AT23:AT28)</f>
        <v>953017.33208333352</v>
      </c>
      <c r="AU31" s="71">
        <f t="shared" si="117"/>
        <v>1016801.3367083333</v>
      </c>
      <c r="AV31" s="71"/>
      <c r="AW31" s="71">
        <f>SUM(AS31:AU31)</f>
        <v>2949010.9223537501</v>
      </c>
      <c r="AX31" s="71"/>
      <c r="AY31" s="71">
        <f t="shared" ref="AY31" si="118">SUM(AW31,AQ31,AL31,AG31)</f>
        <v>5979646.8951320825</v>
      </c>
      <c r="BA31" s="71">
        <f t="shared" ref="BA31:BR31" si="119">BA15-SUM(BA19,BA23:BA28)</f>
        <v>632598.55916666624</v>
      </c>
      <c r="BB31" s="71">
        <f t="shared" si="119"/>
        <v>548373.31666666677</v>
      </c>
      <c r="BC31" s="71">
        <f t="shared" si="119"/>
        <v>678216.92266666645</v>
      </c>
      <c r="BD31" s="71">
        <f>SUM(BA31:BC31)</f>
        <v>1859188.7984999996</v>
      </c>
      <c r="BE31" s="71"/>
      <c r="BF31" s="71">
        <f t="shared" si="119"/>
        <v>730676.30266666657</v>
      </c>
      <c r="BG31" s="71">
        <f t="shared" si="119"/>
        <v>621409.8866666666</v>
      </c>
      <c r="BH31" s="71">
        <f t="shared" si="119"/>
        <v>613304.69566666672</v>
      </c>
      <c r="BI31" s="71">
        <f>SUM(BF31:BH31)</f>
        <v>1965390.8849999998</v>
      </c>
      <c r="BJ31" s="71"/>
      <c r="BK31" s="71">
        <f t="shared" si="119"/>
        <v>1051715.3791666664</v>
      </c>
      <c r="BL31" s="71">
        <f t="shared" si="119"/>
        <v>1184788.0066666664</v>
      </c>
      <c r="BM31" s="71">
        <f t="shared" si="119"/>
        <v>887474.8</v>
      </c>
      <c r="BN31" s="71">
        <f>SUM(BK31:BM31)</f>
        <v>3123978.1858333331</v>
      </c>
      <c r="BO31" s="71"/>
      <c r="BP31" s="71">
        <f t="shared" si="119"/>
        <v>2048245.7521666666</v>
      </c>
      <c r="BQ31" s="71">
        <f t="shared" si="119"/>
        <v>1995235.666666666</v>
      </c>
      <c r="BR31" s="71">
        <f t="shared" si="119"/>
        <v>2125002.8166666664</v>
      </c>
      <c r="BS31" s="71">
        <f>SUM(BP31:BR31)</f>
        <v>6168484.2354999986</v>
      </c>
      <c r="BT31" s="17"/>
      <c r="BU31" s="71">
        <f>SUM(BS31,BN31,BI31,BD31)</f>
        <v>13117042.104833331</v>
      </c>
    </row>
    <row r="32" spans="1:74" ht="15.75" customHeight="1" thickTop="1" x14ac:dyDescent="0.3">
      <c r="A32" s="1">
        <v>44228</v>
      </c>
      <c r="B32" s="2" t="s">
        <v>3</v>
      </c>
      <c r="C32" s="9">
        <v>315545.87</v>
      </c>
    </row>
    <row r="33" spans="1:7" ht="15.75" customHeight="1" x14ac:dyDescent="0.3">
      <c r="A33" s="1">
        <v>44256</v>
      </c>
      <c r="B33" s="2" t="s">
        <v>3</v>
      </c>
      <c r="C33" s="9">
        <v>340363.3</v>
      </c>
    </row>
    <row r="34" spans="1:7" ht="15.75" customHeight="1" x14ac:dyDescent="0.3">
      <c r="A34" s="1">
        <v>44287</v>
      </c>
      <c r="B34" s="2" t="s">
        <v>3</v>
      </c>
      <c r="C34" s="9">
        <v>359741.46</v>
      </c>
    </row>
    <row r="35" spans="1:7" ht="15.75" customHeight="1" x14ac:dyDescent="0.3">
      <c r="A35" s="1">
        <v>44317</v>
      </c>
      <c r="B35" s="2" t="s">
        <v>3</v>
      </c>
      <c r="C35" s="9">
        <v>324290.34000000003</v>
      </c>
      <c r="G35" s="11"/>
    </row>
    <row r="36" spans="1:7" ht="15.75" customHeight="1" x14ac:dyDescent="0.3">
      <c r="A36" s="1">
        <v>44348</v>
      </c>
      <c r="B36" s="2" t="s">
        <v>3</v>
      </c>
      <c r="C36" s="9">
        <v>331529.51</v>
      </c>
    </row>
    <row r="37" spans="1:7" ht="15.75" customHeight="1" x14ac:dyDescent="0.3">
      <c r="A37" s="1">
        <v>44378</v>
      </c>
      <c r="B37" s="2" t="s">
        <v>3</v>
      </c>
      <c r="C37" s="9">
        <v>354629.34</v>
      </c>
    </row>
    <row r="38" spans="1:7" ht="15.75" customHeight="1" x14ac:dyDescent="0.3">
      <c r="A38" s="1">
        <v>44409</v>
      </c>
      <c r="B38" s="2" t="s">
        <v>3</v>
      </c>
      <c r="C38" s="9">
        <v>378372.55</v>
      </c>
    </row>
    <row r="39" spans="1:7" ht="15.75" customHeight="1" x14ac:dyDescent="0.3">
      <c r="A39" s="1">
        <v>44440</v>
      </c>
      <c r="B39" s="2" t="s">
        <v>3</v>
      </c>
      <c r="C39" s="9">
        <v>333018.7</v>
      </c>
    </row>
    <row r="40" spans="1:7" ht="15.75" customHeight="1" x14ac:dyDescent="0.3">
      <c r="A40" s="1">
        <v>44470</v>
      </c>
      <c r="B40" s="2" t="s">
        <v>3</v>
      </c>
      <c r="C40" s="9">
        <v>635941.02</v>
      </c>
    </row>
    <row r="41" spans="1:7" ht="15.75" customHeight="1" x14ac:dyDescent="0.3">
      <c r="A41" s="1">
        <v>44501</v>
      </c>
      <c r="B41" s="2" t="s">
        <v>3</v>
      </c>
      <c r="C41" s="9">
        <v>643885.19999999995</v>
      </c>
    </row>
    <row r="42" spans="1:7" ht="15.75" customHeight="1" x14ac:dyDescent="0.3">
      <c r="A42" s="1">
        <v>44531</v>
      </c>
      <c r="B42" s="2" t="s">
        <v>3</v>
      </c>
      <c r="C42" s="9">
        <v>658196</v>
      </c>
    </row>
    <row r="43" spans="1:7" ht="15.75" customHeight="1" x14ac:dyDescent="0.3"/>
    <row r="44" spans="1:7" ht="15.75" customHeight="1" x14ac:dyDescent="0.3"/>
    <row r="45" spans="1:7" ht="15.75" customHeight="1" x14ac:dyDescent="0.3"/>
    <row r="46" spans="1:7" ht="15.75" customHeight="1" x14ac:dyDescent="0.3"/>
    <row r="47" spans="1:7" ht="15.75" customHeight="1" x14ac:dyDescent="0.3"/>
    <row r="48" spans="1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</sheetData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0851-249C-44AD-A1E3-C17D669F606F}">
  <dimension ref="A1:AN46"/>
  <sheetViews>
    <sheetView showGridLines="0" workbookViewId="0">
      <selection activeCell="C1" sqref="C1:F9"/>
    </sheetView>
  </sheetViews>
  <sheetFormatPr defaultRowHeight="15.6" x14ac:dyDescent="0.3"/>
  <cols>
    <col min="1" max="1" width="81.296875" bestFit="1" customWidth="1"/>
    <col min="2" max="2" width="16.19921875" bestFit="1" customWidth="1"/>
    <col min="3" max="3" width="21.3984375" customWidth="1"/>
    <col min="4" max="6" width="17.09765625" bestFit="1" customWidth="1"/>
    <col min="7" max="7" width="8.5" bestFit="1" customWidth="1"/>
    <col min="8" max="10" width="15.296875" bestFit="1" customWidth="1"/>
    <col min="11" max="11" width="9.19921875" customWidth="1"/>
    <col min="12" max="12" width="11.3984375" bestFit="1" customWidth="1"/>
    <col min="13" max="14" width="11.5" bestFit="1" customWidth="1"/>
    <col min="15" max="15" width="5.8984375" bestFit="1" customWidth="1"/>
    <col min="16" max="16" width="10.3984375" bestFit="1" customWidth="1"/>
    <col min="17" max="18" width="11.5" bestFit="1" customWidth="1"/>
    <col min="19" max="24" width="10.3984375" bestFit="1" customWidth="1"/>
    <col min="25" max="27" width="11.59765625" bestFit="1" customWidth="1"/>
    <col min="28" max="28" width="0.69921875" customWidth="1"/>
    <col min="29" max="29" width="16.09765625" bestFit="1" customWidth="1"/>
    <col min="30" max="37" width="8.5" customWidth="1"/>
    <col min="38" max="40" width="9.5" bestFit="1" customWidth="1"/>
  </cols>
  <sheetData>
    <row r="1" spans="1:18" x14ac:dyDescent="0.3">
      <c r="A1" s="27" t="s">
        <v>32</v>
      </c>
      <c r="D1" s="85" t="s">
        <v>36</v>
      </c>
      <c r="E1" s="85" t="s">
        <v>49</v>
      </c>
      <c r="F1" s="85" t="s">
        <v>50</v>
      </c>
      <c r="G1" s="18"/>
      <c r="H1" s="77" t="s">
        <v>36</v>
      </c>
      <c r="I1" s="77" t="s">
        <v>49</v>
      </c>
      <c r="J1" s="77" t="s">
        <v>50</v>
      </c>
      <c r="K1" s="18"/>
      <c r="L1" s="77" t="s">
        <v>36</v>
      </c>
      <c r="M1" s="77" t="s">
        <v>49</v>
      </c>
      <c r="N1" s="77" t="s">
        <v>50</v>
      </c>
      <c r="O1" s="18"/>
      <c r="P1" s="77" t="s">
        <v>36</v>
      </c>
      <c r="Q1" s="77" t="s">
        <v>49</v>
      </c>
      <c r="R1" s="77" t="s">
        <v>50</v>
      </c>
    </row>
    <row r="2" spans="1:18" x14ac:dyDescent="0.3">
      <c r="C2" s="18"/>
      <c r="D2" s="97" t="s">
        <v>17</v>
      </c>
      <c r="E2" s="97" t="s">
        <v>17</v>
      </c>
      <c r="F2" s="97" t="s">
        <v>17</v>
      </c>
      <c r="H2" s="21" t="s">
        <v>11</v>
      </c>
      <c r="I2" s="21" t="s">
        <v>11</v>
      </c>
      <c r="J2" s="21" t="s">
        <v>11</v>
      </c>
      <c r="L2" s="21" t="s">
        <v>55</v>
      </c>
      <c r="M2" s="21" t="s">
        <v>55</v>
      </c>
      <c r="N2" s="21" t="s">
        <v>55</v>
      </c>
      <c r="P2" s="21" t="s">
        <v>13</v>
      </c>
      <c r="Q2" s="21" t="s">
        <v>13</v>
      </c>
      <c r="R2" s="21" t="s">
        <v>13</v>
      </c>
    </row>
    <row r="3" spans="1:18" x14ac:dyDescent="0.3">
      <c r="A3" s="21" t="s">
        <v>38</v>
      </c>
      <c r="C3" s="18" t="s">
        <v>18</v>
      </c>
      <c r="D3" s="118">
        <v>15</v>
      </c>
      <c r="E3" s="113">
        <v>22.5</v>
      </c>
      <c r="F3" s="114">
        <f>E3+7.5</f>
        <v>30</v>
      </c>
      <c r="H3">
        <v>10</v>
      </c>
      <c r="I3" s="28">
        <v>15</v>
      </c>
      <c r="J3" s="28">
        <v>20</v>
      </c>
      <c r="L3">
        <v>5</v>
      </c>
      <c r="M3">
        <v>10</v>
      </c>
      <c r="N3">
        <v>15</v>
      </c>
      <c r="P3">
        <v>1</v>
      </c>
      <c r="Q3">
        <v>1</v>
      </c>
      <c r="R3">
        <v>1</v>
      </c>
    </row>
    <row r="4" spans="1:18" x14ac:dyDescent="0.3">
      <c r="A4" s="21" t="s">
        <v>37</v>
      </c>
      <c r="B4">
        <f>D21</f>
        <v>5</v>
      </c>
      <c r="C4" s="18" t="s">
        <v>20</v>
      </c>
      <c r="D4" s="119">
        <f>$B$4*D3</f>
        <v>75</v>
      </c>
      <c r="E4" s="107">
        <f t="shared" ref="E4:F4" si="0">$B$4*E3</f>
        <v>112.5</v>
      </c>
      <c r="F4" s="115">
        <f t="shared" si="0"/>
        <v>150</v>
      </c>
      <c r="H4" s="43"/>
      <c r="I4" s="43"/>
      <c r="J4" s="43"/>
      <c r="L4" s="43"/>
      <c r="M4" s="43"/>
      <c r="N4" s="43"/>
      <c r="P4" s="43"/>
      <c r="Q4" s="43"/>
      <c r="R4" s="43"/>
    </row>
    <row r="5" spans="1:18" x14ac:dyDescent="0.3">
      <c r="A5" s="21" t="s">
        <v>39</v>
      </c>
      <c r="B5" s="26">
        <f>B4/15</f>
        <v>0.33333333333333331</v>
      </c>
      <c r="C5" s="18" t="s">
        <v>21</v>
      </c>
      <c r="D5" s="119">
        <f>D3*D4</f>
        <v>1125</v>
      </c>
      <c r="E5" s="107">
        <f>E3*E4</f>
        <v>2531.25</v>
      </c>
      <c r="F5" s="115">
        <f>F3*F4</f>
        <v>4500</v>
      </c>
      <c r="H5" s="43"/>
      <c r="I5" s="43"/>
      <c r="J5" s="43"/>
      <c r="L5" s="43"/>
      <c r="M5" s="43"/>
      <c r="N5" s="43"/>
      <c r="P5" s="43"/>
      <c r="Q5" s="43"/>
      <c r="R5" s="43"/>
    </row>
    <row r="6" spans="1:18" x14ac:dyDescent="0.3">
      <c r="C6" s="18"/>
      <c r="D6" s="119"/>
      <c r="E6" s="107"/>
      <c r="F6" s="115"/>
      <c r="H6" s="43"/>
      <c r="I6" s="43"/>
      <c r="J6" s="43"/>
      <c r="L6" s="43"/>
      <c r="M6" s="43"/>
      <c r="N6" s="43"/>
      <c r="P6" s="43"/>
      <c r="Q6" s="43"/>
      <c r="R6" s="43"/>
    </row>
    <row r="7" spans="1:18" x14ac:dyDescent="0.3">
      <c r="A7" s="21" t="s">
        <v>34</v>
      </c>
      <c r="C7" s="18" t="s">
        <v>22</v>
      </c>
      <c r="D7" s="120">
        <f>D5*5</f>
        <v>5625</v>
      </c>
      <c r="E7" s="116">
        <f>E5*5</f>
        <v>12656.25</v>
      </c>
      <c r="F7" s="117">
        <f>F5*5</f>
        <v>22500</v>
      </c>
      <c r="H7" s="43"/>
      <c r="I7" s="43"/>
      <c r="J7" s="43"/>
      <c r="L7" s="43"/>
      <c r="M7" s="43"/>
      <c r="N7" s="43"/>
      <c r="P7" s="43"/>
      <c r="Q7" s="43"/>
      <c r="R7" s="43"/>
    </row>
    <row r="8" spans="1:18" x14ac:dyDescent="0.3">
      <c r="C8" s="18" t="s">
        <v>35</v>
      </c>
      <c r="D8" s="121">
        <f>AVERAGE(PnL!H5:J5,PnL!M5:O5,PnL!R5:T5,PnL!W5:Y5)</f>
        <v>3895.9166666666665</v>
      </c>
      <c r="E8" s="108">
        <f>E7*E9</f>
        <v>8765.8125</v>
      </c>
      <c r="F8" s="109">
        <f>F7*F9</f>
        <v>15583.666666666664</v>
      </c>
      <c r="H8" s="43"/>
      <c r="I8" s="43"/>
      <c r="J8" s="43"/>
      <c r="L8" s="43"/>
      <c r="M8" s="43"/>
      <c r="N8" s="43"/>
      <c r="P8" s="43"/>
      <c r="Q8" s="43"/>
      <c r="R8" s="43"/>
    </row>
    <row r="9" spans="1:18" x14ac:dyDescent="0.3">
      <c r="C9" s="18" t="s">
        <v>48</v>
      </c>
      <c r="D9" s="122">
        <f>D8/D7</f>
        <v>0.69260740740740734</v>
      </c>
      <c r="E9" s="111">
        <f>D9</f>
        <v>0.69260740740740734</v>
      </c>
      <c r="F9" s="112">
        <f>E9</f>
        <v>0.69260740740740734</v>
      </c>
      <c r="H9" s="43"/>
      <c r="I9" s="43"/>
      <c r="J9" s="43"/>
      <c r="L9" s="43"/>
      <c r="M9" s="43"/>
      <c r="N9" s="43"/>
      <c r="P9" s="43"/>
      <c r="Q9" s="43"/>
      <c r="R9" s="43"/>
    </row>
    <row r="10" spans="1:18" x14ac:dyDescent="0.3">
      <c r="C10" s="18"/>
      <c r="D10" s="30"/>
      <c r="E10" s="28"/>
      <c r="F10" s="28"/>
      <c r="H10" s="43"/>
      <c r="I10" s="43"/>
      <c r="J10" s="43"/>
      <c r="L10" s="43"/>
      <c r="M10" s="43"/>
      <c r="N10" s="43"/>
      <c r="P10" s="43"/>
      <c r="Q10" s="43"/>
      <c r="R10" s="43"/>
    </row>
    <row r="11" spans="1:18" x14ac:dyDescent="0.3">
      <c r="A11" t="s">
        <v>24</v>
      </c>
      <c r="C11" s="18" t="s">
        <v>23</v>
      </c>
      <c r="D11" s="28">
        <f>200*(D4/5)</f>
        <v>3000</v>
      </c>
      <c r="E11" s="28">
        <f>200*(E4/5)</f>
        <v>4500</v>
      </c>
      <c r="F11" s="28">
        <f>200*(F4/5)</f>
        <v>6000</v>
      </c>
      <c r="H11" s="43"/>
      <c r="I11" s="43"/>
      <c r="J11" s="43"/>
      <c r="L11" s="43"/>
      <c r="M11" s="43"/>
      <c r="N11" s="43"/>
      <c r="P11" s="43"/>
      <c r="Q11" s="43"/>
      <c r="R11" s="43"/>
    </row>
    <row r="12" spans="1:18" x14ac:dyDescent="0.3">
      <c r="A12" s="21" t="s">
        <v>54</v>
      </c>
      <c r="C12" s="95" t="s">
        <v>52</v>
      </c>
      <c r="D12" s="28"/>
      <c r="E12" s="36">
        <f>$C$21</f>
        <v>0.04</v>
      </c>
      <c r="F12" s="36">
        <f>$C$21</f>
        <v>0.04</v>
      </c>
      <c r="I12" s="36">
        <f>$C$21</f>
        <v>0.04</v>
      </c>
      <c r="J12" s="36">
        <f>$C$21</f>
        <v>0.04</v>
      </c>
      <c r="M12" s="36">
        <f>$C$21</f>
        <v>0.04</v>
      </c>
      <c r="N12" s="36">
        <f>$C$21</f>
        <v>0.04</v>
      </c>
      <c r="Q12" s="36">
        <f>$C$21</f>
        <v>0.04</v>
      </c>
      <c r="R12" s="36">
        <f>$C$21</f>
        <v>0.04</v>
      </c>
    </row>
    <row r="13" spans="1:18" x14ac:dyDescent="0.3">
      <c r="C13" s="18" t="s">
        <v>51</v>
      </c>
      <c r="D13" s="33">
        <v>70000</v>
      </c>
      <c r="E13" s="33">
        <f>D13*(1+E12)</f>
        <v>72800</v>
      </c>
      <c r="F13" s="33">
        <f>E13*(1+F12)</f>
        <v>75712</v>
      </c>
      <c r="H13">
        <v>75000</v>
      </c>
      <c r="I13" s="33">
        <f>H13*(1+I12)</f>
        <v>78000</v>
      </c>
      <c r="J13" s="33">
        <f>I13*(1+J12)</f>
        <v>81120</v>
      </c>
      <c r="L13" s="11">
        <v>150000</v>
      </c>
      <c r="M13" s="33">
        <f>L13*(1+M12)</f>
        <v>156000</v>
      </c>
      <c r="N13" s="33">
        <f>M13*(1+N12)</f>
        <v>162240</v>
      </c>
      <c r="P13">
        <v>175000</v>
      </c>
      <c r="Q13" s="33">
        <f>P13*(1+Q12)</f>
        <v>182000</v>
      </c>
      <c r="R13" s="33">
        <f>Q13*(1+R12)</f>
        <v>189280</v>
      </c>
    </row>
    <row r="14" spans="1:18" x14ac:dyDescent="0.3">
      <c r="C14" s="18"/>
    </row>
    <row r="15" spans="1:18" x14ac:dyDescent="0.3">
      <c r="C15" s="18" t="s">
        <v>57</v>
      </c>
      <c r="E15" s="28">
        <f>E3-D3</f>
        <v>7.5</v>
      </c>
      <c r="F15" s="28">
        <f>F3-E3</f>
        <v>7.5</v>
      </c>
      <c r="G15" s="28"/>
      <c r="H15" s="28"/>
      <c r="I15" s="28">
        <f>I3-H3</f>
        <v>5</v>
      </c>
      <c r="J15" s="28">
        <f>J3-I3</f>
        <v>5</v>
      </c>
      <c r="K15" s="28"/>
      <c r="L15" s="28"/>
      <c r="M15" s="28">
        <f>M3-L3</f>
        <v>5</v>
      </c>
      <c r="N15" s="28">
        <f>N3-M3</f>
        <v>5</v>
      </c>
      <c r="O15" s="28"/>
      <c r="P15" s="28"/>
      <c r="Q15" s="28">
        <f>Q3-P3</f>
        <v>0</v>
      </c>
      <c r="R15" s="28">
        <f>R3-Q3</f>
        <v>0</v>
      </c>
    </row>
    <row r="16" spans="1:18" x14ac:dyDescent="0.3">
      <c r="C16" s="18"/>
    </row>
    <row r="17" spans="1:40" x14ac:dyDescent="0.3">
      <c r="C17" s="18" t="s">
        <v>14</v>
      </c>
      <c r="E17" s="40">
        <f>4000*E15</f>
        <v>30000</v>
      </c>
      <c r="F17" s="40">
        <f>4000*F15</f>
        <v>30000</v>
      </c>
      <c r="G17" s="40">
        <f>SUM(E17:F17)</f>
        <v>60000</v>
      </c>
      <c r="H17" s="40"/>
      <c r="I17" s="40">
        <f>4000*I15</f>
        <v>20000</v>
      </c>
      <c r="J17" s="40">
        <f>4000*J15</f>
        <v>20000</v>
      </c>
      <c r="K17" s="40">
        <f>SUM(I17:J17)</f>
        <v>40000</v>
      </c>
      <c r="L17" s="40"/>
      <c r="M17" s="40">
        <f>4000*M15</f>
        <v>20000</v>
      </c>
      <c r="N17" s="40">
        <f>4000*N15</f>
        <v>20000</v>
      </c>
      <c r="O17" s="40">
        <f>SUM(M17:N17)</f>
        <v>40000</v>
      </c>
      <c r="P17" s="40"/>
      <c r="Q17" s="40">
        <f>4000*Q15</f>
        <v>0</v>
      </c>
      <c r="R17" s="40">
        <f>4000*R15</f>
        <v>0</v>
      </c>
    </row>
    <row r="20" spans="1:40" x14ac:dyDescent="0.3">
      <c r="B20" s="123" t="s">
        <v>56</v>
      </c>
      <c r="C20" s="123" t="s">
        <v>52</v>
      </c>
      <c r="D20" s="85" t="s">
        <v>19</v>
      </c>
    </row>
    <row r="21" spans="1:40" x14ac:dyDescent="0.3">
      <c r="B21" s="124">
        <f>Summary!F2</f>
        <v>-0.06</v>
      </c>
      <c r="C21" s="125">
        <v>0.04</v>
      </c>
      <c r="D21" s="126">
        <v>5</v>
      </c>
      <c r="AC21" s="41" t="s">
        <v>56</v>
      </c>
    </row>
    <row r="22" spans="1:40" x14ac:dyDescent="0.3">
      <c r="B22" s="28"/>
      <c r="C22" s="28"/>
      <c r="AC22" s="31">
        <v>0.01</v>
      </c>
    </row>
    <row r="24" spans="1:40" x14ac:dyDescent="0.3">
      <c r="C24" s="20">
        <v>44197</v>
      </c>
      <c r="D24" s="20">
        <f>EDATE(C24,1)</f>
        <v>44228</v>
      </c>
      <c r="E24" s="20">
        <f t="shared" ref="E24:M24" si="1">EDATE(D24,1)</f>
        <v>44256</v>
      </c>
      <c r="F24" s="20">
        <f t="shared" si="1"/>
        <v>44287</v>
      </c>
      <c r="G24" s="20">
        <f t="shared" si="1"/>
        <v>44317</v>
      </c>
      <c r="H24" s="20">
        <f t="shared" si="1"/>
        <v>44348</v>
      </c>
      <c r="I24" s="20">
        <f t="shared" si="1"/>
        <v>44378</v>
      </c>
      <c r="J24" s="20">
        <f t="shared" si="1"/>
        <v>44409</v>
      </c>
      <c r="K24" s="20">
        <f t="shared" si="1"/>
        <v>44440</v>
      </c>
      <c r="L24" s="20">
        <f>EDATE(K24,1)</f>
        <v>44470</v>
      </c>
      <c r="M24" s="20">
        <f t="shared" si="1"/>
        <v>44501</v>
      </c>
      <c r="N24" s="20">
        <f>EDATE(M24,1)</f>
        <v>44531</v>
      </c>
      <c r="O24" s="18"/>
      <c r="P24" s="32">
        <v>44562</v>
      </c>
      <c r="Q24" s="32">
        <f>EDATE(P24,1)</f>
        <v>44593</v>
      </c>
      <c r="R24" s="32">
        <f t="shared" ref="R24:AA24" si="2">EDATE(Q24,1)</f>
        <v>44621</v>
      </c>
      <c r="S24" s="32">
        <f t="shared" si="2"/>
        <v>44652</v>
      </c>
      <c r="T24" s="32">
        <f t="shared" si="2"/>
        <v>44682</v>
      </c>
      <c r="U24" s="32">
        <f t="shared" si="2"/>
        <v>44713</v>
      </c>
      <c r="V24" s="32">
        <f t="shared" si="2"/>
        <v>44743</v>
      </c>
      <c r="W24" s="32">
        <f t="shared" si="2"/>
        <v>44774</v>
      </c>
      <c r="X24" s="32">
        <f t="shared" si="2"/>
        <v>44805</v>
      </c>
      <c r="Y24" s="32">
        <f t="shared" si="2"/>
        <v>44835</v>
      </c>
      <c r="Z24" s="32">
        <f t="shared" si="2"/>
        <v>44866</v>
      </c>
      <c r="AA24" s="32">
        <f t="shared" si="2"/>
        <v>44896</v>
      </c>
      <c r="AB24" s="18"/>
      <c r="AC24" s="32">
        <v>44927</v>
      </c>
      <c r="AD24" s="32">
        <f>EDATE(AC24,1)</f>
        <v>44958</v>
      </c>
      <c r="AE24" s="32">
        <f t="shared" ref="AE24:AN24" si="3">EDATE(AD24,1)</f>
        <v>44986</v>
      </c>
      <c r="AF24" s="32">
        <f t="shared" si="3"/>
        <v>45017</v>
      </c>
      <c r="AG24" s="32">
        <f t="shared" si="3"/>
        <v>45047</v>
      </c>
      <c r="AH24" s="32">
        <f t="shared" si="3"/>
        <v>45078</v>
      </c>
      <c r="AI24" s="32">
        <f t="shared" si="3"/>
        <v>45108</v>
      </c>
      <c r="AJ24" s="32">
        <f t="shared" si="3"/>
        <v>45139</v>
      </c>
      <c r="AK24" s="32">
        <f>EDATE(AJ24,1)</f>
        <v>45170</v>
      </c>
      <c r="AL24" s="32">
        <f t="shared" si="3"/>
        <v>45200</v>
      </c>
      <c r="AM24" s="32">
        <f t="shared" si="3"/>
        <v>45231</v>
      </c>
      <c r="AN24" s="32">
        <f t="shared" si="3"/>
        <v>45261</v>
      </c>
    </row>
    <row r="26" spans="1:40" x14ac:dyDescent="0.3">
      <c r="B26" s="35" t="s">
        <v>22</v>
      </c>
      <c r="C26" s="28">
        <f>$D$7</f>
        <v>5625</v>
      </c>
      <c r="D26" s="28">
        <f t="shared" ref="D26:N26" si="4">$D$7</f>
        <v>5625</v>
      </c>
      <c r="E26" s="28">
        <f t="shared" si="4"/>
        <v>5625</v>
      </c>
      <c r="F26" s="28">
        <f t="shared" si="4"/>
        <v>5625</v>
      </c>
      <c r="G26" s="28">
        <f t="shared" si="4"/>
        <v>5625</v>
      </c>
      <c r="H26" s="28">
        <f t="shared" si="4"/>
        <v>5625</v>
      </c>
      <c r="I26" s="28">
        <f t="shared" si="4"/>
        <v>5625</v>
      </c>
      <c r="J26" s="28">
        <f t="shared" si="4"/>
        <v>5625</v>
      </c>
      <c r="K26" s="28">
        <f t="shared" si="4"/>
        <v>5625</v>
      </c>
      <c r="L26" s="28">
        <f t="shared" si="4"/>
        <v>5625</v>
      </c>
      <c r="M26" s="28">
        <f t="shared" si="4"/>
        <v>5625</v>
      </c>
      <c r="N26" s="28">
        <f t="shared" si="4"/>
        <v>5625</v>
      </c>
      <c r="O26" s="28"/>
      <c r="P26" s="28">
        <f>$E$7</f>
        <v>12656.25</v>
      </c>
      <c r="Q26" s="28">
        <f>$E$7</f>
        <v>12656.25</v>
      </c>
      <c r="R26" s="28">
        <f>$E$7</f>
        <v>12656.25</v>
      </c>
      <c r="S26" s="28">
        <f>$E$7</f>
        <v>12656.25</v>
      </c>
      <c r="T26" s="28">
        <f>$E$7</f>
        <v>12656.25</v>
      </c>
      <c r="U26" s="28">
        <f>$E$7</f>
        <v>12656.25</v>
      </c>
      <c r="V26" s="28">
        <f>$E$7</f>
        <v>12656.25</v>
      </c>
      <c r="W26" s="28">
        <f>$E$7</f>
        <v>12656.25</v>
      </c>
      <c r="X26" s="28">
        <f>$E$7</f>
        <v>12656.25</v>
      </c>
      <c r="Y26" s="28">
        <f>$E$7</f>
        <v>12656.25</v>
      </c>
      <c r="Z26" s="28">
        <f>$E$7</f>
        <v>12656.25</v>
      </c>
      <c r="AA26" s="28">
        <f>$E$7</f>
        <v>12656.25</v>
      </c>
      <c r="AB26" s="28"/>
      <c r="AC26" s="28">
        <f>$F$7</f>
        <v>22500</v>
      </c>
      <c r="AD26" s="28">
        <f>$F$7</f>
        <v>22500</v>
      </c>
      <c r="AE26" s="28">
        <f>$F$7</f>
        <v>22500</v>
      </c>
      <c r="AF26" s="28">
        <f>$F$7</f>
        <v>22500</v>
      </c>
      <c r="AG26" s="28">
        <f>$F$7</f>
        <v>22500</v>
      </c>
      <c r="AH26" s="28">
        <f>$F$7</f>
        <v>22500</v>
      </c>
      <c r="AI26" s="28">
        <f>$F$7</f>
        <v>22500</v>
      </c>
      <c r="AJ26" s="28">
        <f>$F$7</f>
        <v>22500</v>
      </c>
      <c r="AK26" s="28">
        <f>$F$7</f>
        <v>22500</v>
      </c>
      <c r="AL26" s="28">
        <f>$F$7</f>
        <v>22500</v>
      </c>
      <c r="AM26" s="28">
        <f>$F$7</f>
        <v>22500</v>
      </c>
      <c r="AN26" s="28">
        <f>$F$7</f>
        <v>22500</v>
      </c>
    </row>
    <row r="27" spans="1:40" x14ac:dyDescent="0.3">
      <c r="B27" s="42" t="s">
        <v>0</v>
      </c>
      <c r="C27" s="30">
        <f>SUMIFS(INDEX(PnL!$G$3:$AB$33,0,MATCH('Assumptions and Seasonality (2)'!C$24,PnL!$G$3:$AA$3,0)),PnL!$G$3:$G$33,'Assumptions and Seasonality (2)'!$B$27)</f>
        <v>3296</v>
      </c>
      <c r="D27" s="30">
        <f>SUMIFS(INDEX(PnL!$G$3:$AB$33,0,MATCH('Assumptions and Seasonality (2)'!D$24,PnL!$G$3:$AA$3,0)),PnL!$G$3:$G$33,'Assumptions and Seasonality (2)'!$B$27)</f>
        <v>3151</v>
      </c>
      <c r="E27" s="30">
        <f>SUMIFS(INDEX(PnL!$G$3:$AB$33,0,MATCH('Assumptions and Seasonality (2)'!E$24,PnL!$G$3:$AA$3,0)),PnL!$G$3:$G$33,'Assumptions and Seasonality (2)'!$B$27)</f>
        <v>3402</v>
      </c>
      <c r="F27" s="30">
        <f>SUMIFS(INDEX(PnL!$G$3:$AB$33,0,MATCH('Assumptions and Seasonality (2)'!F$24,PnL!$G$3:$AA$3,0)),PnL!$G$3:$G$33,'Assumptions and Seasonality (2)'!$B$27)</f>
        <v>3531</v>
      </c>
      <c r="G27" s="30">
        <f>SUMIFS(INDEX(PnL!$G$3:$AB$33,0,MATCH('Assumptions and Seasonality (2)'!G$24,PnL!$G$3:$AA$3,0)),PnL!$G$3:$G$33,'Assumptions and Seasonality (2)'!$B$27)</f>
        <v>3251</v>
      </c>
      <c r="H27" s="30">
        <f>SUMIFS(INDEX(PnL!$G$3:$AB$33,0,MATCH('Assumptions and Seasonality (2)'!H$24,PnL!$G$3:$AA$3,0)),PnL!$G$3:$G$33,'Assumptions and Seasonality (2)'!$B$27)</f>
        <v>3268</v>
      </c>
      <c r="I27" s="30">
        <f>SUMIFS(INDEX(PnL!$G$3:$AB$33,0,MATCH('Assumptions and Seasonality (2)'!I$24,PnL!$G$3:$AA$3,0)),PnL!$G$3:$G$33,'Assumptions and Seasonality (2)'!$B$27)</f>
        <v>3600</v>
      </c>
      <c r="J27" s="30">
        <f>SUMIFS(INDEX(PnL!$G$3:$AB$33,0,MATCH('Assumptions and Seasonality (2)'!J$24,PnL!$G$3:$AA$3,0)),PnL!$G$3:$G$33,'Assumptions and Seasonality (2)'!$B$27)</f>
        <v>3831</v>
      </c>
      <c r="K27" s="30">
        <f>SUMIFS(INDEX(PnL!$G$3:$AB$33,0,MATCH('Assumptions and Seasonality (2)'!K$24,PnL!$G$3:$AA$3,0)),PnL!$G$3:$G$33,'Assumptions and Seasonality (2)'!$B$27)</f>
        <v>3325</v>
      </c>
      <c r="L27" s="30">
        <f>SUMIFS(INDEX(PnL!$G$3:$AB$33,0,MATCH('Assumptions and Seasonality (2)'!L$24,PnL!$G$3:$AA$3,0)),PnL!$G$3:$G$33,'Assumptions and Seasonality (2)'!$B$27)</f>
        <v>5346</v>
      </c>
      <c r="M27" s="30">
        <f>SUMIFS(INDEX(PnL!$G$3:$AB$33,0,MATCH('Assumptions and Seasonality (2)'!M$24,PnL!$G$3:$AA$3,0)),PnL!$G$3:$G$33,'Assumptions and Seasonality (2)'!$B$27)</f>
        <v>5250</v>
      </c>
      <c r="N27" s="30">
        <f>SUMIFS(INDEX(PnL!$G$3:$AB$33,0,MATCH('Assumptions and Seasonality (2)'!N$24,PnL!$G$3:$AA$3,0)),PnL!$G$3:$G$33,'Assumptions and Seasonality (2)'!$B$27)</f>
        <v>5500</v>
      </c>
      <c r="O27" s="28"/>
      <c r="P27" s="28">
        <f>P26*P28</f>
        <v>6656.6249999999991</v>
      </c>
      <c r="Q27" s="28">
        <f t="shared" ref="Q27:AA27" si="5">Q26*Q28</f>
        <v>7089.75</v>
      </c>
      <c r="R27" s="28">
        <f t="shared" si="5"/>
        <v>7654.5</v>
      </c>
      <c r="S27" s="28">
        <f t="shared" si="5"/>
        <v>7944.75</v>
      </c>
      <c r="T27" s="28">
        <f t="shared" si="5"/>
        <v>7314.75</v>
      </c>
      <c r="U27" s="28">
        <f t="shared" si="5"/>
        <v>7353.0000000000009</v>
      </c>
      <c r="V27" s="28">
        <f t="shared" si="5"/>
        <v>8100</v>
      </c>
      <c r="W27" s="28">
        <f t="shared" si="5"/>
        <v>8619.75</v>
      </c>
      <c r="X27" s="28">
        <f t="shared" si="5"/>
        <v>7481.25</v>
      </c>
      <c r="Y27" s="28">
        <f t="shared" si="5"/>
        <v>12028.5</v>
      </c>
      <c r="Z27" s="28">
        <f t="shared" si="5"/>
        <v>11812.5</v>
      </c>
      <c r="AA27" s="28">
        <f t="shared" si="5"/>
        <v>12375</v>
      </c>
      <c r="AB27" s="28"/>
      <c r="AC27" s="28">
        <f>AC26*AC28</f>
        <v>10483.999999999998</v>
      </c>
      <c r="AD27" s="28">
        <f t="shared" ref="AD27:AN27" si="6">AD26*AD28</f>
        <v>12604</v>
      </c>
      <c r="AE27" s="28">
        <f t="shared" si="6"/>
        <v>13608</v>
      </c>
      <c r="AF27" s="28">
        <f t="shared" si="6"/>
        <v>14124</v>
      </c>
      <c r="AG27" s="28">
        <f t="shared" si="6"/>
        <v>13004</v>
      </c>
      <c r="AH27" s="28">
        <f t="shared" si="6"/>
        <v>13072</v>
      </c>
      <c r="AI27" s="28">
        <f t="shared" si="6"/>
        <v>14400</v>
      </c>
      <c r="AJ27" s="28">
        <f t="shared" si="6"/>
        <v>15324.000000000002</v>
      </c>
      <c r="AK27" s="28">
        <f t="shared" si="6"/>
        <v>13300</v>
      </c>
      <c r="AL27" s="28">
        <f t="shared" si="6"/>
        <v>21384</v>
      </c>
      <c r="AM27" s="28">
        <f t="shared" si="6"/>
        <v>21000</v>
      </c>
      <c r="AN27" s="28">
        <f t="shared" si="6"/>
        <v>22000</v>
      </c>
    </row>
    <row r="28" spans="1:40" x14ac:dyDescent="0.3">
      <c r="B28" s="35" t="s">
        <v>53</v>
      </c>
      <c r="C28" s="36">
        <f>C27/C26</f>
        <v>0.58595555555555556</v>
      </c>
      <c r="D28" s="36">
        <f>D27/D26</f>
        <v>0.56017777777777777</v>
      </c>
      <c r="E28" s="36">
        <f>E27/E26</f>
        <v>0.6048</v>
      </c>
      <c r="F28" s="36">
        <f>F27/F26</f>
        <v>0.62773333333333337</v>
      </c>
      <c r="G28" s="36">
        <f>G27/G26</f>
        <v>0.57795555555555556</v>
      </c>
      <c r="H28" s="36">
        <f t="shared" ref="H28:N28" si="7">H27/H26</f>
        <v>0.58097777777777782</v>
      </c>
      <c r="I28" s="36">
        <f t="shared" si="7"/>
        <v>0.64</v>
      </c>
      <c r="J28" s="36">
        <f t="shared" si="7"/>
        <v>0.68106666666666671</v>
      </c>
      <c r="K28" s="36">
        <f t="shared" si="7"/>
        <v>0.59111111111111114</v>
      </c>
      <c r="L28" s="36">
        <f t="shared" si="7"/>
        <v>0.95040000000000002</v>
      </c>
      <c r="M28" s="36">
        <f t="shared" si="7"/>
        <v>0.93333333333333335</v>
      </c>
      <c r="N28" s="36">
        <f t="shared" si="7"/>
        <v>0.97777777777777775</v>
      </c>
      <c r="O28" s="38"/>
      <c r="P28" s="36">
        <f>C28+B21</f>
        <v>0.52595555555555551</v>
      </c>
      <c r="Q28" s="36">
        <f t="shared" ref="Q28:AA28" si="8">D28</f>
        <v>0.56017777777777777</v>
      </c>
      <c r="R28" s="36">
        <f t="shared" si="8"/>
        <v>0.6048</v>
      </c>
      <c r="S28" s="36">
        <f t="shared" si="8"/>
        <v>0.62773333333333337</v>
      </c>
      <c r="T28" s="36">
        <f t="shared" si="8"/>
        <v>0.57795555555555556</v>
      </c>
      <c r="U28" s="36">
        <f t="shared" si="8"/>
        <v>0.58097777777777782</v>
      </c>
      <c r="V28" s="36">
        <f t="shared" si="8"/>
        <v>0.64</v>
      </c>
      <c r="W28" s="36">
        <f t="shared" si="8"/>
        <v>0.68106666666666671</v>
      </c>
      <c r="X28" s="36">
        <f t="shared" si="8"/>
        <v>0.59111111111111114</v>
      </c>
      <c r="Y28" s="36">
        <f t="shared" si="8"/>
        <v>0.95040000000000002</v>
      </c>
      <c r="Z28" s="36">
        <f t="shared" si="8"/>
        <v>0.93333333333333335</v>
      </c>
      <c r="AA28" s="36">
        <f t="shared" si="8"/>
        <v>0.97777777777777775</v>
      </c>
      <c r="AB28" s="38"/>
      <c r="AC28" s="36">
        <f>P28+$B$21</f>
        <v>0.46595555555555551</v>
      </c>
      <c r="AD28" s="36">
        <f t="shared" ref="AD28:AN28" si="9">Q28</f>
        <v>0.56017777777777777</v>
      </c>
      <c r="AE28" s="36">
        <f t="shared" si="9"/>
        <v>0.6048</v>
      </c>
      <c r="AF28" s="36">
        <f t="shared" si="9"/>
        <v>0.62773333333333337</v>
      </c>
      <c r="AG28" s="36">
        <f t="shared" si="9"/>
        <v>0.57795555555555556</v>
      </c>
      <c r="AH28" s="36">
        <f t="shared" si="9"/>
        <v>0.58097777777777782</v>
      </c>
      <c r="AI28" s="36">
        <f t="shared" si="9"/>
        <v>0.64</v>
      </c>
      <c r="AJ28" s="36">
        <f t="shared" si="9"/>
        <v>0.68106666666666671</v>
      </c>
      <c r="AK28" s="36">
        <f t="shared" si="9"/>
        <v>0.59111111111111114</v>
      </c>
      <c r="AL28" s="36">
        <f t="shared" si="9"/>
        <v>0.95040000000000002</v>
      </c>
      <c r="AM28" s="36">
        <f t="shared" si="9"/>
        <v>0.93333333333333335</v>
      </c>
      <c r="AN28" s="36">
        <f t="shared" si="9"/>
        <v>0.97777777777777775</v>
      </c>
    </row>
    <row r="32" spans="1:40" x14ac:dyDescent="0.3">
      <c r="A32" s="26">
        <v>0.03</v>
      </c>
    </row>
    <row r="33" spans="1:40" x14ac:dyDescent="0.3">
      <c r="A33" s="26">
        <v>0.04</v>
      </c>
      <c r="B33" s="21" t="s">
        <v>14</v>
      </c>
      <c r="X33">
        <f>(E17+I17+M17)/60</f>
        <v>1166.6666666666667</v>
      </c>
      <c r="AK33">
        <f>(F17+J17+N17)/60</f>
        <v>1166.6666666666667</v>
      </c>
    </row>
    <row r="34" spans="1:40" x14ac:dyDescent="0.3">
      <c r="A34" s="26">
        <v>0.05</v>
      </c>
      <c r="B34" s="21" t="s">
        <v>58</v>
      </c>
      <c r="C34">
        <f>$B$35/12</f>
        <v>2500</v>
      </c>
      <c r="D34">
        <f>$B$35/12</f>
        <v>2500</v>
      </c>
      <c r="E34">
        <f>$B$35/12</f>
        <v>2500</v>
      </c>
      <c r="F34">
        <f>$B$35/12</f>
        <v>2500</v>
      </c>
      <c r="G34">
        <f>$B$35/12</f>
        <v>2500</v>
      </c>
      <c r="H34">
        <f>$B$35/12</f>
        <v>2500</v>
      </c>
      <c r="I34">
        <f>$B$35/12</f>
        <v>2500</v>
      </c>
      <c r="J34">
        <f>$B$35/12</f>
        <v>2500</v>
      </c>
      <c r="K34">
        <f>$B$35/12</f>
        <v>2500</v>
      </c>
      <c r="L34">
        <f>$B$35/12</f>
        <v>2500</v>
      </c>
      <c r="M34">
        <f>$B$35/12</f>
        <v>2500</v>
      </c>
      <c r="N34">
        <f>$B$35/12</f>
        <v>2500</v>
      </c>
      <c r="P34">
        <f>$N$34*(1-$B$21)</f>
        <v>2650</v>
      </c>
      <c r="Q34">
        <f t="shared" ref="Q34:AA34" si="10">$N$34*(1-$B$21)</f>
        <v>2650</v>
      </c>
      <c r="R34">
        <f t="shared" si="10"/>
        <v>2650</v>
      </c>
      <c r="S34">
        <f t="shared" si="10"/>
        <v>2650</v>
      </c>
      <c r="T34">
        <f t="shared" si="10"/>
        <v>2650</v>
      </c>
      <c r="U34">
        <f t="shared" si="10"/>
        <v>2650</v>
      </c>
      <c r="V34">
        <f t="shared" si="10"/>
        <v>2650</v>
      </c>
      <c r="W34">
        <f t="shared" si="10"/>
        <v>2650</v>
      </c>
      <c r="X34">
        <f t="shared" si="10"/>
        <v>2650</v>
      </c>
      <c r="Y34">
        <f t="shared" si="10"/>
        <v>2650</v>
      </c>
      <c r="Z34">
        <f t="shared" si="10"/>
        <v>2650</v>
      </c>
      <c r="AA34">
        <f t="shared" si="10"/>
        <v>2650</v>
      </c>
      <c r="AC34">
        <f>$AA$34*(1+AC22)</f>
        <v>2676.5</v>
      </c>
      <c r="AD34">
        <f t="shared" ref="AD34:AN34" si="11">$AA$34*(1+AD22)</f>
        <v>2650</v>
      </c>
      <c r="AE34">
        <f t="shared" si="11"/>
        <v>2650</v>
      </c>
      <c r="AF34">
        <f t="shared" si="11"/>
        <v>2650</v>
      </c>
      <c r="AG34">
        <f t="shared" si="11"/>
        <v>2650</v>
      </c>
      <c r="AH34">
        <f t="shared" si="11"/>
        <v>2650</v>
      </c>
      <c r="AI34">
        <f t="shared" si="11"/>
        <v>2650</v>
      </c>
      <c r="AJ34">
        <f t="shared" si="11"/>
        <v>2650</v>
      </c>
      <c r="AK34">
        <f t="shared" si="11"/>
        <v>2650</v>
      </c>
      <c r="AL34">
        <f t="shared" si="11"/>
        <v>2650</v>
      </c>
      <c r="AM34">
        <f t="shared" si="11"/>
        <v>2650</v>
      </c>
      <c r="AN34">
        <f t="shared" si="11"/>
        <v>2650</v>
      </c>
    </row>
    <row r="35" spans="1:40" x14ac:dyDescent="0.3">
      <c r="B35" s="11">
        <v>30000</v>
      </c>
    </row>
    <row r="36" spans="1:40" x14ac:dyDescent="0.3">
      <c r="A36">
        <v>5</v>
      </c>
    </row>
    <row r="37" spans="1:40" x14ac:dyDescent="0.3">
      <c r="A37">
        <v>6</v>
      </c>
    </row>
    <row r="38" spans="1:40" x14ac:dyDescent="0.3">
      <c r="A38">
        <v>7</v>
      </c>
    </row>
    <row r="40" spans="1:40" x14ac:dyDescent="0.3">
      <c r="A40">
        <v>0.01</v>
      </c>
    </row>
    <row r="41" spans="1:40" x14ac:dyDescent="0.3">
      <c r="A41">
        <v>0.2</v>
      </c>
    </row>
    <row r="42" spans="1:40" x14ac:dyDescent="0.3">
      <c r="A42">
        <v>0.03</v>
      </c>
    </row>
    <row r="43" spans="1:40" x14ac:dyDescent="0.3">
      <c r="A43">
        <v>-0.01</v>
      </c>
    </row>
    <row r="44" spans="1:40" x14ac:dyDescent="0.3">
      <c r="A44">
        <v>-0.05</v>
      </c>
    </row>
    <row r="45" spans="1:40" x14ac:dyDescent="0.3">
      <c r="A45">
        <v>-0.06</v>
      </c>
    </row>
    <row r="46" spans="1:40" x14ac:dyDescent="0.3">
      <c r="A46">
        <v>0.7</v>
      </c>
    </row>
  </sheetData>
  <dataValidations count="3">
    <dataValidation type="list" allowBlank="1" showInputMessage="1" showErrorMessage="1" sqref="D21" xr:uid="{E92D8936-49BC-4A71-85C2-092BAA643304}">
      <formula1>$A$36:$A$38</formula1>
    </dataValidation>
    <dataValidation type="list" allowBlank="1" showInputMessage="1" showErrorMessage="1" sqref="B21 AC22" xr:uid="{FBE85DF7-C251-4D8A-9BE1-8142F9F2EECD}">
      <formula1>$A$40:$A$46</formula1>
    </dataValidation>
    <dataValidation type="list" allowBlank="1" showInputMessage="1" showErrorMessage="1" sqref="C21" xr:uid="{CAAB56E2-EC91-45C9-A408-7F10EF2C560F}">
      <formula1>$A$32:$A$34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PnL</vt:lpstr>
      <vt:lpstr>Assumptions</vt:lpstr>
      <vt:lpstr>Seasonality</vt:lpstr>
      <vt:lpstr>Mapping</vt:lpstr>
      <vt:lpstr>Visuals</vt:lpstr>
      <vt:lpstr>Assumptions and Seasonality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Simon</dc:creator>
  <cp:lastModifiedBy>Dave Chery</cp:lastModifiedBy>
  <dcterms:created xsi:type="dcterms:W3CDTF">2021-02-25T23:51:27Z</dcterms:created>
  <dcterms:modified xsi:type="dcterms:W3CDTF">2023-03-16T23:19:07Z</dcterms:modified>
</cp:coreProperties>
</file>