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L:\Estudo_Data_Science_do_Zero\Imersao_Alura_Data_Science\"/>
    </mc:Choice>
  </mc:AlternateContent>
  <xr:revisionPtr revIDLastSave="0" documentId="13_ncr:1_{82A1FEB7-B7F4-49C6-9129-A52961D5071F}" xr6:coauthVersionLast="47" xr6:coauthVersionMax="47" xr10:uidLastSave="{00000000-0000-0000-0000-000000000000}"/>
  <bookViews>
    <workbookView xWindow="-120" yWindow="-120" windowWidth="29040" windowHeight="15720" tabRatio="389" xr2:uid="{00000000-000D-0000-FFFF-FFFF00000000}"/>
  </bookViews>
  <sheets>
    <sheet name="Principal" sheetId="1" r:id="rId1"/>
    <sheet name="Analises" sheetId="2" r:id="rId2"/>
    <sheet name="CHATGPT" sheetId="3" r:id="rId3"/>
    <sheet name="Total_de_acoes" sheetId="4" r:id="rId4"/>
    <sheet name="Tick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2" i="1"/>
  <c r="N5" i="1"/>
  <c r="O5" i="1" s="1"/>
  <c r="P5" i="1" s="1"/>
  <c r="R3" i="1"/>
  <c r="A80" i="2"/>
  <c r="A79" i="2"/>
  <c r="A78" i="2"/>
  <c r="A73" i="2"/>
  <c r="A72" i="2"/>
  <c r="A71" i="2"/>
  <c r="A70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S82" i="1"/>
  <c r="T82" i="1" s="1"/>
  <c r="R82" i="1"/>
  <c r="Q82" i="1"/>
  <c r="O82" i="1"/>
  <c r="P82" i="1" s="1"/>
  <c r="N82" i="1"/>
  <c r="M82" i="1"/>
  <c r="L82" i="1"/>
  <c r="Q81" i="1"/>
  <c r="S81" i="1" s="1"/>
  <c r="T81" i="1" s="1"/>
  <c r="P81" i="1"/>
  <c r="N81" i="1"/>
  <c r="L81" i="1"/>
  <c r="M81" i="1" s="1"/>
  <c r="O81" i="1" s="1"/>
  <c r="Q80" i="1"/>
  <c r="N80" i="1"/>
  <c r="L80" i="1"/>
  <c r="M80" i="1" s="1"/>
  <c r="O80" i="1" s="1"/>
  <c r="P80" i="1" s="1"/>
  <c r="S79" i="1"/>
  <c r="T79" i="1" s="1"/>
  <c r="R79" i="1"/>
  <c r="Q79" i="1"/>
  <c r="P79" i="1"/>
  <c r="N79" i="1"/>
  <c r="M79" i="1"/>
  <c r="O79" i="1" s="1"/>
  <c r="L79" i="1"/>
  <c r="Q78" i="1"/>
  <c r="R78" i="1" s="1"/>
  <c r="O78" i="1"/>
  <c r="P78" i="1" s="1"/>
  <c r="N78" i="1"/>
  <c r="L78" i="1"/>
  <c r="M78" i="1" s="1"/>
  <c r="R77" i="1"/>
  <c r="Q77" i="1"/>
  <c r="S77" i="1" s="1"/>
  <c r="T77" i="1" s="1"/>
  <c r="O77" i="1"/>
  <c r="P77" i="1" s="1"/>
  <c r="N77" i="1"/>
  <c r="L77" i="1"/>
  <c r="M77" i="1" s="1"/>
  <c r="S76" i="1"/>
  <c r="T76" i="1" s="1"/>
  <c r="Q76" i="1"/>
  <c r="R76" i="1" s="1"/>
  <c r="N76" i="1"/>
  <c r="M76" i="1"/>
  <c r="O76" i="1" s="1"/>
  <c r="P76" i="1" s="1"/>
  <c r="L76" i="1"/>
  <c r="Q75" i="1"/>
  <c r="S75" i="1" s="1"/>
  <c r="T75" i="1" s="1"/>
  <c r="N75" i="1"/>
  <c r="L75" i="1"/>
  <c r="M75" i="1" s="1"/>
  <c r="S74" i="1"/>
  <c r="T74" i="1" s="1"/>
  <c r="R74" i="1"/>
  <c r="Q74" i="1"/>
  <c r="O74" i="1"/>
  <c r="P74" i="1" s="1"/>
  <c r="N74" i="1"/>
  <c r="M74" i="1"/>
  <c r="L74" i="1"/>
  <c r="S73" i="1"/>
  <c r="T73" i="1" s="1"/>
  <c r="Q73" i="1"/>
  <c r="R73" i="1" s="1"/>
  <c r="N73" i="1"/>
  <c r="L73" i="1"/>
  <c r="M73" i="1" s="1"/>
  <c r="Q72" i="1"/>
  <c r="N72" i="1"/>
  <c r="L72" i="1"/>
  <c r="M72" i="1" s="1"/>
  <c r="O72" i="1" s="1"/>
  <c r="P72" i="1" s="1"/>
  <c r="S71" i="1"/>
  <c r="T71" i="1" s="1"/>
  <c r="R71" i="1"/>
  <c r="Q71" i="1"/>
  <c r="N71" i="1"/>
  <c r="M71" i="1"/>
  <c r="O71" i="1" s="1"/>
  <c r="P71" i="1" s="1"/>
  <c r="L71" i="1"/>
  <c r="Q70" i="1"/>
  <c r="R70" i="1" s="1"/>
  <c r="N70" i="1"/>
  <c r="L70" i="1"/>
  <c r="M70" i="1" s="1"/>
  <c r="O70" i="1" s="1"/>
  <c r="P70" i="1" s="1"/>
  <c r="R69" i="1"/>
  <c r="Q69" i="1"/>
  <c r="S69" i="1" s="1"/>
  <c r="T69" i="1" s="1"/>
  <c r="O69" i="1"/>
  <c r="P69" i="1" s="1"/>
  <c r="N69" i="1"/>
  <c r="L69" i="1"/>
  <c r="M69" i="1" s="1"/>
  <c r="S68" i="1"/>
  <c r="T68" i="1" s="1"/>
  <c r="Q68" i="1"/>
  <c r="R68" i="1" s="1"/>
  <c r="N68" i="1"/>
  <c r="M68" i="1"/>
  <c r="O68" i="1" s="1"/>
  <c r="P68" i="1" s="1"/>
  <c r="L68" i="1"/>
  <c r="Q67" i="1"/>
  <c r="S67" i="1" s="1"/>
  <c r="T67" i="1" s="1"/>
  <c r="N67" i="1"/>
  <c r="L67" i="1"/>
  <c r="M67" i="1" s="1"/>
  <c r="O67" i="1" s="1"/>
  <c r="P67" i="1" s="1"/>
  <c r="S66" i="1"/>
  <c r="T66" i="1" s="1"/>
  <c r="R66" i="1"/>
  <c r="Q66" i="1"/>
  <c r="O66" i="1"/>
  <c r="P66" i="1" s="1"/>
  <c r="N66" i="1"/>
  <c r="M66" i="1"/>
  <c r="L66" i="1"/>
  <c r="Q65" i="1"/>
  <c r="R65" i="1" s="1"/>
  <c r="N65" i="1"/>
  <c r="L65" i="1"/>
  <c r="M65" i="1" s="1"/>
  <c r="O65" i="1" s="1"/>
  <c r="P65" i="1" s="1"/>
  <c r="Q64" i="1"/>
  <c r="S64" i="1" s="1"/>
  <c r="T64" i="1" s="1"/>
  <c r="N64" i="1"/>
  <c r="L64" i="1"/>
  <c r="M64" i="1" s="1"/>
  <c r="O64" i="1" s="1"/>
  <c r="P64" i="1" s="1"/>
  <c r="S63" i="1"/>
  <c r="T63" i="1" s="1"/>
  <c r="R63" i="1"/>
  <c r="Q63" i="1"/>
  <c r="N63" i="1"/>
  <c r="M63" i="1"/>
  <c r="O63" i="1" s="1"/>
  <c r="P63" i="1" s="1"/>
  <c r="L63" i="1"/>
  <c r="S62" i="1"/>
  <c r="T62" i="1" s="1"/>
  <c r="Q62" i="1"/>
  <c r="R62" i="1" s="1"/>
  <c r="N62" i="1"/>
  <c r="L62" i="1"/>
  <c r="M62" i="1" s="1"/>
  <c r="O62" i="1" s="1"/>
  <c r="P62" i="1" s="1"/>
  <c r="R61" i="1"/>
  <c r="Q61" i="1"/>
  <c r="S61" i="1" s="1"/>
  <c r="T61" i="1" s="1"/>
  <c r="N61" i="1"/>
  <c r="M61" i="1"/>
  <c r="O61" i="1" s="1"/>
  <c r="P61" i="1" s="1"/>
  <c r="L61" i="1"/>
  <c r="S60" i="1"/>
  <c r="T60" i="1" s="1"/>
  <c r="Q60" i="1"/>
  <c r="R60" i="1" s="1"/>
  <c r="N60" i="1"/>
  <c r="M60" i="1"/>
  <c r="L60" i="1"/>
  <c r="Q59" i="1"/>
  <c r="S59" i="1" s="1"/>
  <c r="T59" i="1" s="1"/>
  <c r="N59" i="1"/>
  <c r="L59" i="1"/>
  <c r="M59" i="1" s="1"/>
  <c r="O59" i="1" s="1"/>
  <c r="P59" i="1" s="1"/>
  <c r="S58" i="1"/>
  <c r="T58" i="1" s="1"/>
  <c r="R58" i="1"/>
  <c r="Q58" i="1"/>
  <c r="O58" i="1"/>
  <c r="P58" i="1" s="1"/>
  <c r="N58" i="1"/>
  <c r="M58" i="1"/>
  <c r="L58" i="1"/>
  <c r="Q57" i="1"/>
  <c r="R57" i="1" s="1"/>
  <c r="N57" i="1"/>
  <c r="L57" i="1"/>
  <c r="M57" i="1" s="1"/>
  <c r="R56" i="1"/>
  <c r="Q56" i="1"/>
  <c r="S56" i="1" s="1"/>
  <c r="T56" i="1" s="1"/>
  <c r="N56" i="1"/>
  <c r="L56" i="1"/>
  <c r="M56" i="1" s="1"/>
  <c r="O56" i="1" s="1"/>
  <c r="P56" i="1" s="1"/>
  <c r="S55" i="1"/>
  <c r="T55" i="1" s="1"/>
  <c r="R55" i="1"/>
  <c r="Q55" i="1"/>
  <c r="N55" i="1"/>
  <c r="M55" i="1"/>
  <c r="O55" i="1" s="1"/>
  <c r="P55" i="1" s="1"/>
  <c r="L55" i="1"/>
  <c r="S54" i="1"/>
  <c r="T54" i="1" s="1"/>
  <c r="Q54" i="1"/>
  <c r="R54" i="1" s="1"/>
  <c r="O54" i="1"/>
  <c r="P54" i="1" s="1"/>
  <c r="N54" i="1"/>
  <c r="L54" i="1"/>
  <c r="M54" i="1" s="1"/>
  <c r="R53" i="1"/>
  <c r="Q53" i="1"/>
  <c r="S53" i="1" s="1"/>
  <c r="T53" i="1" s="1"/>
  <c r="N53" i="1"/>
  <c r="L53" i="1"/>
  <c r="M53" i="1" s="1"/>
  <c r="O53" i="1" s="1"/>
  <c r="P53" i="1" s="1"/>
  <c r="S52" i="1"/>
  <c r="T52" i="1" s="1"/>
  <c r="Q52" i="1"/>
  <c r="R52" i="1" s="1"/>
  <c r="N52" i="1"/>
  <c r="M52" i="1"/>
  <c r="L52" i="1"/>
  <c r="Q51" i="1"/>
  <c r="S51" i="1" s="1"/>
  <c r="T51" i="1" s="1"/>
  <c r="N51" i="1"/>
  <c r="L51" i="1"/>
  <c r="M51" i="1" s="1"/>
  <c r="O51" i="1" s="1"/>
  <c r="P51" i="1" s="1"/>
  <c r="S50" i="1"/>
  <c r="T50" i="1" s="1"/>
  <c r="R50" i="1"/>
  <c r="Q50" i="1"/>
  <c r="N50" i="1"/>
  <c r="M50" i="1"/>
  <c r="O50" i="1" s="1"/>
  <c r="P50" i="1" s="1"/>
  <c r="L50" i="1"/>
  <c r="S49" i="1"/>
  <c r="T49" i="1" s="1"/>
  <c r="Q49" i="1"/>
  <c r="R49" i="1" s="1"/>
  <c r="N49" i="1"/>
  <c r="L49" i="1"/>
  <c r="M49" i="1" s="1"/>
  <c r="T48" i="1"/>
  <c r="R48" i="1"/>
  <c r="Q48" i="1"/>
  <c r="S48" i="1" s="1"/>
  <c r="N48" i="1"/>
  <c r="L48" i="1"/>
  <c r="M48" i="1" s="1"/>
  <c r="O48" i="1" s="1"/>
  <c r="P48" i="1" s="1"/>
  <c r="S47" i="1"/>
  <c r="T47" i="1" s="1"/>
  <c r="R47" i="1"/>
  <c r="Q47" i="1"/>
  <c r="N47" i="1"/>
  <c r="M47" i="1"/>
  <c r="L47" i="1"/>
  <c r="Q46" i="1"/>
  <c r="R46" i="1" s="1"/>
  <c r="N46" i="1"/>
  <c r="L46" i="1"/>
  <c r="M46" i="1" s="1"/>
  <c r="O46" i="1" s="1"/>
  <c r="P46" i="1" s="1"/>
  <c r="R45" i="1"/>
  <c r="Q45" i="1"/>
  <c r="S45" i="1" s="1"/>
  <c r="T45" i="1" s="1"/>
  <c r="N45" i="1"/>
  <c r="L45" i="1"/>
  <c r="M45" i="1" s="1"/>
  <c r="O45" i="1" s="1"/>
  <c r="P45" i="1" s="1"/>
  <c r="Q44" i="1"/>
  <c r="R44" i="1" s="1"/>
  <c r="N44" i="1"/>
  <c r="M44" i="1"/>
  <c r="O44" i="1" s="1"/>
  <c r="P44" i="1" s="1"/>
  <c r="L44" i="1"/>
  <c r="T43" i="1"/>
  <c r="R43" i="1"/>
  <c r="Q43" i="1"/>
  <c r="S43" i="1" s="1"/>
  <c r="N43" i="1"/>
  <c r="L43" i="1"/>
  <c r="M43" i="1" s="1"/>
  <c r="O43" i="1" s="1"/>
  <c r="P43" i="1" s="1"/>
  <c r="S42" i="1"/>
  <c r="T42" i="1" s="1"/>
  <c r="R42" i="1"/>
  <c r="Q42" i="1"/>
  <c r="N42" i="1"/>
  <c r="M42" i="1"/>
  <c r="O42" i="1" s="1"/>
  <c r="P42" i="1" s="1"/>
  <c r="L42" i="1"/>
  <c r="S41" i="1"/>
  <c r="T41" i="1" s="1"/>
  <c r="Q41" i="1"/>
  <c r="R41" i="1" s="1"/>
  <c r="P41" i="1"/>
  <c r="N41" i="1"/>
  <c r="L41" i="1"/>
  <c r="M41" i="1" s="1"/>
  <c r="O41" i="1" s="1"/>
  <c r="Q40" i="1"/>
  <c r="S40" i="1" s="1"/>
  <c r="T40" i="1" s="1"/>
  <c r="N40" i="1"/>
  <c r="M40" i="1"/>
  <c r="O40" i="1" s="1"/>
  <c r="P40" i="1" s="1"/>
  <c r="L40" i="1"/>
  <c r="S39" i="1"/>
  <c r="T39" i="1" s="1"/>
  <c r="R39" i="1"/>
  <c r="Q39" i="1"/>
  <c r="N39" i="1"/>
  <c r="M39" i="1"/>
  <c r="L39" i="1"/>
  <c r="Q38" i="1"/>
  <c r="R38" i="1" s="1"/>
  <c r="N38" i="1"/>
  <c r="L38" i="1"/>
  <c r="M38" i="1" s="1"/>
  <c r="O38" i="1" s="1"/>
  <c r="P38" i="1" s="1"/>
  <c r="T37" i="1"/>
  <c r="R37" i="1"/>
  <c r="Q37" i="1"/>
  <c r="S37" i="1" s="1"/>
  <c r="N37" i="1"/>
  <c r="L37" i="1"/>
  <c r="M37" i="1" s="1"/>
  <c r="O37" i="1" s="1"/>
  <c r="P37" i="1" s="1"/>
  <c r="Q36" i="1"/>
  <c r="R36" i="1" s="1"/>
  <c r="N36" i="1"/>
  <c r="M36" i="1"/>
  <c r="O36" i="1" s="1"/>
  <c r="P36" i="1" s="1"/>
  <c r="L36" i="1"/>
  <c r="R35" i="1"/>
  <c r="Q35" i="1"/>
  <c r="S35" i="1" s="1"/>
  <c r="T35" i="1" s="1"/>
  <c r="O35" i="1"/>
  <c r="P35" i="1" s="1"/>
  <c r="N35" i="1"/>
  <c r="L35" i="1"/>
  <c r="M35" i="1" s="1"/>
  <c r="S34" i="1"/>
  <c r="T34" i="1" s="1"/>
  <c r="R34" i="1"/>
  <c r="Q34" i="1"/>
  <c r="P34" i="1"/>
  <c r="O34" i="1"/>
  <c r="N34" i="1"/>
  <c r="M34" i="1"/>
  <c r="L34" i="1"/>
  <c r="Q33" i="1"/>
  <c r="R33" i="1" s="1"/>
  <c r="N33" i="1"/>
  <c r="L33" i="1"/>
  <c r="M33" i="1" s="1"/>
  <c r="Q32" i="1"/>
  <c r="S32" i="1" s="1"/>
  <c r="T32" i="1" s="1"/>
  <c r="N32" i="1"/>
  <c r="L32" i="1"/>
  <c r="M32" i="1" s="1"/>
  <c r="O32" i="1" s="1"/>
  <c r="P32" i="1" s="1"/>
  <c r="S31" i="1"/>
  <c r="T31" i="1" s="1"/>
  <c r="R31" i="1"/>
  <c r="Q31" i="1"/>
  <c r="N31" i="1"/>
  <c r="M31" i="1"/>
  <c r="O31" i="1" s="1"/>
  <c r="P31" i="1" s="1"/>
  <c r="L31" i="1"/>
  <c r="S30" i="1"/>
  <c r="T30" i="1" s="1"/>
  <c r="Q30" i="1"/>
  <c r="R30" i="1" s="1"/>
  <c r="N30" i="1"/>
  <c r="L30" i="1"/>
  <c r="M30" i="1" s="1"/>
  <c r="O30" i="1" s="1"/>
  <c r="P30" i="1" s="1"/>
  <c r="R29" i="1"/>
  <c r="Q29" i="1"/>
  <c r="S29" i="1" s="1"/>
  <c r="T29" i="1" s="1"/>
  <c r="N29" i="1"/>
  <c r="M29" i="1"/>
  <c r="O29" i="1" s="1"/>
  <c r="P29" i="1" s="1"/>
  <c r="L29" i="1"/>
  <c r="Q28" i="1"/>
  <c r="R28" i="1" s="1"/>
  <c r="N28" i="1"/>
  <c r="M28" i="1"/>
  <c r="L28" i="1"/>
  <c r="Q27" i="1"/>
  <c r="S27" i="1" s="1"/>
  <c r="T27" i="1" s="1"/>
  <c r="N27" i="1"/>
  <c r="L27" i="1"/>
  <c r="M27" i="1" s="1"/>
  <c r="O27" i="1" s="1"/>
  <c r="P27" i="1" s="1"/>
  <c r="S26" i="1"/>
  <c r="T26" i="1" s="1"/>
  <c r="R26" i="1"/>
  <c r="Q26" i="1"/>
  <c r="N26" i="1"/>
  <c r="M26" i="1"/>
  <c r="O26" i="1" s="1"/>
  <c r="P26" i="1" s="1"/>
  <c r="L26" i="1"/>
  <c r="Q25" i="1"/>
  <c r="R25" i="1" s="1"/>
  <c r="N25" i="1"/>
  <c r="L25" i="1"/>
  <c r="M25" i="1" s="1"/>
  <c r="O25" i="1" s="1"/>
  <c r="P25" i="1" s="1"/>
  <c r="R24" i="1"/>
  <c r="Q24" i="1"/>
  <c r="S24" i="1" s="1"/>
  <c r="T24" i="1" s="1"/>
  <c r="N24" i="1"/>
  <c r="L24" i="1"/>
  <c r="M24" i="1" s="1"/>
  <c r="O24" i="1" s="1"/>
  <c r="P24" i="1" s="1"/>
  <c r="S23" i="1"/>
  <c r="T23" i="1" s="1"/>
  <c r="R23" i="1"/>
  <c r="Q23" i="1"/>
  <c r="N23" i="1"/>
  <c r="M23" i="1"/>
  <c r="O23" i="1" s="1"/>
  <c r="P23" i="1" s="1"/>
  <c r="L23" i="1"/>
  <c r="Q22" i="1"/>
  <c r="R22" i="1" s="1"/>
  <c r="O22" i="1"/>
  <c r="P22" i="1" s="1"/>
  <c r="N22" i="1"/>
  <c r="L22" i="1"/>
  <c r="M22" i="1" s="1"/>
  <c r="R21" i="1"/>
  <c r="Q21" i="1"/>
  <c r="S21" i="1" s="1"/>
  <c r="T21" i="1" s="1"/>
  <c r="N21" i="1"/>
  <c r="L21" i="1"/>
  <c r="M21" i="1" s="1"/>
  <c r="O21" i="1" s="1"/>
  <c r="P21" i="1" s="1"/>
  <c r="Q20" i="1"/>
  <c r="S20" i="1" s="1"/>
  <c r="T20" i="1" s="1"/>
  <c r="N20" i="1"/>
  <c r="M20" i="1"/>
  <c r="O20" i="1" s="1"/>
  <c r="P20" i="1" s="1"/>
  <c r="L20" i="1"/>
  <c r="Q19" i="1"/>
  <c r="S19" i="1" s="1"/>
  <c r="T19" i="1" s="1"/>
  <c r="N19" i="1"/>
  <c r="L19" i="1"/>
  <c r="M19" i="1" s="1"/>
  <c r="O19" i="1" s="1"/>
  <c r="P19" i="1" s="1"/>
  <c r="S18" i="1"/>
  <c r="T18" i="1" s="1"/>
  <c r="R18" i="1"/>
  <c r="Q18" i="1"/>
  <c r="N18" i="1"/>
  <c r="M18" i="1"/>
  <c r="O18" i="1" s="1"/>
  <c r="P18" i="1" s="1"/>
  <c r="L18" i="1"/>
  <c r="S17" i="1"/>
  <c r="T17" i="1" s="1"/>
  <c r="Q17" i="1"/>
  <c r="R17" i="1" s="1"/>
  <c r="N17" i="1"/>
  <c r="L17" i="1"/>
  <c r="M17" i="1" s="1"/>
  <c r="O17" i="1" s="1"/>
  <c r="P17" i="1" s="1"/>
  <c r="Q16" i="1"/>
  <c r="S16" i="1" s="1"/>
  <c r="T16" i="1" s="1"/>
  <c r="N16" i="1"/>
  <c r="L16" i="1"/>
  <c r="M16" i="1" s="1"/>
  <c r="O16" i="1" s="1"/>
  <c r="P16" i="1" s="1"/>
  <c r="S15" i="1"/>
  <c r="T15" i="1" s="1"/>
  <c r="R15" i="1"/>
  <c r="Q15" i="1"/>
  <c r="N15" i="1"/>
  <c r="M15" i="1"/>
  <c r="O15" i="1" s="1"/>
  <c r="P15" i="1" s="1"/>
  <c r="L15" i="1"/>
  <c r="Q14" i="1"/>
  <c r="R14" i="1" s="1"/>
  <c r="N14" i="1"/>
  <c r="L14" i="1"/>
  <c r="M14" i="1" s="1"/>
  <c r="O14" i="1" s="1"/>
  <c r="P14" i="1" s="1"/>
  <c r="R13" i="1"/>
  <c r="Q13" i="1"/>
  <c r="S13" i="1" s="1"/>
  <c r="T13" i="1" s="1"/>
  <c r="N13" i="1"/>
  <c r="L13" i="1"/>
  <c r="M13" i="1" s="1"/>
  <c r="O13" i="1" s="1"/>
  <c r="P13" i="1" s="1"/>
  <c r="S12" i="1"/>
  <c r="T12" i="1" s="1"/>
  <c r="R12" i="1"/>
  <c r="Q12" i="1"/>
  <c r="N12" i="1"/>
  <c r="M12" i="1"/>
  <c r="L12" i="1"/>
  <c r="S11" i="1"/>
  <c r="T11" i="1" s="1"/>
  <c r="R11" i="1"/>
  <c r="Q11" i="1"/>
  <c r="N11" i="1"/>
  <c r="L11" i="1"/>
  <c r="M11" i="1" s="1"/>
  <c r="O11" i="1" s="1"/>
  <c r="P11" i="1" s="1"/>
  <c r="S10" i="1"/>
  <c r="T10" i="1" s="1"/>
  <c r="R10" i="1"/>
  <c r="Q10" i="1"/>
  <c r="N10" i="1"/>
  <c r="L10" i="1"/>
  <c r="M10" i="1" s="1"/>
  <c r="O10" i="1" s="1"/>
  <c r="P10" i="1" s="1"/>
  <c r="Q9" i="1"/>
  <c r="R9" i="1" s="1"/>
  <c r="N9" i="1"/>
  <c r="M9" i="1"/>
  <c r="O9" i="1" s="1"/>
  <c r="P9" i="1" s="1"/>
  <c r="L9" i="1"/>
  <c r="Q8" i="1"/>
  <c r="S8" i="1" s="1"/>
  <c r="T8" i="1" s="1"/>
  <c r="N8" i="1"/>
  <c r="L8" i="1"/>
  <c r="M8" i="1" s="1"/>
  <c r="O8" i="1" s="1"/>
  <c r="P8" i="1" s="1"/>
  <c r="S7" i="1"/>
  <c r="T7" i="1" s="1"/>
  <c r="R7" i="1"/>
  <c r="Q7" i="1"/>
  <c r="O7" i="1"/>
  <c r="P7" i="1" s="1"/>
  <c r="N7" i="1"/>
  <c r="M7" i="1"/>
  <c r="L7" i="1"/>
  <c r="Q6" i="1"/>
  <c r="R6" i="1" s="1"/>
  <c r="O6" i="1"/>
  <c r="P6" i="1" s="1"/>
  <c r="N6" i="1"/>
  <c r="L6" i="1"/>
  <c r="M6" i="1" s="1"/>
  <c r="Q5" i="1"/>
  <c r="S5" i="1" s="1"/>
  <c r="T5" i="1" s="1"/>
  <c r="M5" i="1"/>
  <c r="L5" i="1"/>
  <c r="Q4" i="1"/>
  <c r="S4" i="1" s="1"/>
  <c r="T4" i="1" s="1"/>
  <c r="N4" i="1"/>
  <c r="M4" i="1"/>
  <c r="O4" i="1" s="1"/>
  <c r="P4" i="1" s="1"/>
  <c r="L4" i="1"/>
  <c r="Q3" i="1"/>
  <c r="N3" i="1"/>
  <c r="L3" i="1"/>
  <c r="M3" i="1" s="1"/>
  <c r="O3" i="1" s="1"/>
  <c r="P3" i="1" s="1"/>
  <c r="T2" i="1"/>
  <c r="S2" i="1"/>
  <c r="R2" i="1"/>
  <c r="Q2" i="1"/>
  <c r="N2" i="1"/>
  <c r="M2" i="1"/>
  <c r="O2" i="1" s="1"/>
  <c r="L2" i="1"/>
  <c r="P2" i="1" l="1"/>
  <c r="S22" i="1"/>
  <c r="T22" i="1" s="1"/>
  <c r="S3" i="1"/>
  <c r="T3" i="1" s="1"/>
  <c r="R16" i="1"/>
  <c r="S25" i="1"/>
  <c r="T25" i="1" s="1"/>
  <c r="R32" i="1"/>
  <c r="S38" i="1"/>
  <c r="T38" i="1" s="1"/>
  <c r="R51" i="1"/>
  <c r="S57" i="1"/>
  <c r="T57" i="1" s="1"/>
  <c r="R64" i="1"/>
  <c r="O33" i="1"/>
  <c r="P33" i="1" s="1"/>
  <c r="S14" i="1"/>
  <c r="T14" i="1" s="1"/>
  <c r="O28" i="1"/>
  <c r="P28" i="1" s="1"/>
  <c r="S44" i="1"/>
  <c r="T44" i="1" s="1"/>
  <c r="O47" i="1"/>
  <c r="P47" i="1" s="1"/>
  <c r="O60" i="1"/>
  <c r="P60" i="1" s="1"/>
  <c r="O75" i="1"/>
  <c r="P75" i="1" s="1"/>
  <c r="S72" i="1"/>
  <c r="T72" i="1" s="1"/>
  <c r="R72" i="1"/>
  <c r="S80" i="1"/>
  <c r="T80" i="1" s="1"/>
  <c r="R80" i="1"/>
  <c r="S36" i="1"/>
  <c r="T36" i="1" s="1"/>
  <c r="O39" i="1"/>
  <c r="P39" i="1" s="1"/>
  <c r="O52" i="1"/>
  <c r="P52" i="1" s="1"/>
  <c r="R67" i="1"/>
  <c r="S9" i="1"/>
  <c r="T9" i="1" s="1"/>
  <c r="R8" i="1"/>
  <c r="O57" i="1"/>
  <c r="P57" i="1" s="1"/>
  <c r="O73" i="1"/>
  <c r="P73" i="1" s="1"/>
  <c r="R75" i="1"/>
  <c r="R4" i="1"/>
  <c r="B18" i="2" s="1"/>
  <c r="R5" i="1"/>
  <c r="O12" i="1"/>
  <c r="P12" i="1" s="1"/>
  <c r="B71" i="2" s="1"/>
  <c r="R19" i="1"/>
  <c r="R20" i="1"/>
  <c r="R27" i="1"/>
  <c r="S33" i="1"/>
  <c r="T33" i="1" s="1"/>
  <c r="R40" i="1"/>
  <c r="S46" i="1"/>
  <c r="T46" i="1" s="1"/>
  <c r="C80" i="2" s="1"/>
  <c r="O49" i="1"/>
  <c r="P49" i="1" s="1"/>
  <c r="R59" i="1"/>
  <c r="S65" i="1"/>
  <c r="T65" i="1" s="1"/>
  <c r="S70" i="1"/>
  <c r="T70" i="1" s="1"/>
  <c r="S6" i="1"/>
  <c r="T6" i="1" s="1"/>
  <c r="S28" i="1"/>
  <c r="T28" i="1" s="1"/>
  <c r="B57" i="2"/>
  <c r="C16" i="2"/>
  <c r="C45" i="2"/>
  <c r="S78" i="1"/>
  <c r="T78" i="1" s="1"/>
  <c r="R81" i="1"/>
  <c r="B51" i="2"/>
  <c r="C79" i="2" l="1"/>
  <c r="C47" i="2"/>
  <c r="C24" i="2"/>
  <c r="C17" i="2"/>
  <c r="B78" i="2"/>
  <c r="B36" i="2"/>
  <c r="C62" i="2"/>
  <c r="C37" i="2"/>
  <c r="B34" i="2"/>
  <c r="C20" i="2"/>
  <c r="B79" i="2"/>
  <c r="B43" i="2"/>
  <c r="B17" i="2"/>
  <c r="C42" i="2"/>
  <c r="B35" i="2"/>
  <c r="C13" i="2"/>
  <c r="B33" i="2"/>
  <c r="C35" i="2"/>
  <c r="B45" i="2"/>
  <c r="C49" i="2"/>
  <c r="B48" i="2"/>
  <c r="C40" i="2"/>
  <c r="C38" i="2"/>
  <c r="C14" i="2"/>
  <c r="C63" i="2"/>
  <c r="C28" i="2"/>
  <c r="B28" i="2"/>
  <c r="B72" i="2"/>
  <c r="C39" i="2"/>
  <c r="C57" i="2"/>
  <c r="B12" i="2"/>
  <c r="C78" i="2"/>
  <c r="C56" i="2"/>
  <c r="C18" i="2"/>
  <c r="B16" i="2"/>
  <c r="B80" i="2"/>
  <c r="B19" i="2"/>
  <c r="C43" i="2"/>
  <c r="C21" i="2"/>
  <c r="C53" i="2"/>
  <c r="B38" i="2"/>
  <c r="B41" i="2"/>
  <c r="C22" i="2"/>
  <c r="C55" i="2"/>
  <c r="B22" i="2"/>
  <c r="B21" i="2"/>
  <c r="C60" i="2"/>
  <c r="B26" i="2"/>
  <c r="C58" i="2"/>
  <c r="B50" i="2"/>
  <c r="B65" i="2"/>
  <c r="C34" i="2"/>
  <c r="C12" i="2"/>
  <c r="B60" i="2"/>
  <c r="B56" i="2"/>
  <c r="C48" i="2"/>
  <c r="B15" i="2"/>
  <c r="C15" i="2"/>
  <c r="C52" i="2"/>
  <c r="C26" i="2"/>
  <c r="C51" i="2"/>
  <c r="C50" i="2"/>
  <c r="B47" i="2"/>
  <c r="C27" i="2"/>
  <c r="C23" i="2"/>
  <c r="B27" i="2"/>
  <c r="C36" i="2"/>
  <c r="C46" i="2"/>
  <c r="B30" i="2"/>
  <c r="C29" i="2"/>
  <c r="C61" i="2"/>
  <c r="B54" i="2"/>
  <c r="B49" i="2"/>
  <c r="B55" i="2"/>
  <c r="B42" i="2"/>
  <c r="B61" i="2"/>
  <c r="B39" i="2"/>
  <c r="B20" i="2"/>
  <c r="C44" i="2"/>
  <c r="B44" i="2"/>
  <c r="B73" i="2"/>
  <c r="B74" i="2" s="1"/>
  <c r="B5" i="2"/>
  <c r="B4" i="2"/>
  <c r="C32" i="2"/>
  <c r="B14" i="2"/>
  <c r="C65" i="2"/>
  <c r="B24" i="2"/>
  <c r="B46" i="2"/>
  <c r="B25" i="2"/>
  <c r="B59" i="2"/>
  <c r="B58" i="2"/>
  <c r="B23" i="2"/>
  <c r="B32" i="2"/>
  <c r="B64" i="2"/>
  <c r="B62" i="2"/>
  <c r="C54" i="2"/>
  <c r="B63" i="2"/>
  <c r="B53" i="2"/>
  <c r="C33" i="2"/>
  <c r="B13" i="2"/>
  <c r="B31" i="2"/>
  <c r="B37" i="2"/>
  <c r="B2" i="2"/>
  <c r="C2" i="2" s="1"/>
  <c r="C59" i="2"/>
  <c r="C25" i="2"/>
  <c r="C31" i="2"/>
  <c r="B3" i="2"/>
  <c r="C64" i="2"/>
  <c r="B40" i="2"/>
  <c r="C30" i="2"/>
  <c r="B29" i="2"/>
  <c r="C41" i="2"/>
  <c r="B52" i="2"/>
  <c r="C19" i="2"/>
  <c r="B1" i="2"/>
  <c r="C1" i="2" s="1"/>
</calcChain>
</file>

<file path=xl/sharedStrings.xml><?xml version="1.0" encoding="utf-8"?>
<sst xmlns="http://schemas.openxmlformats.org/spreadsheetml/2006/main" count="1526" uniqueCount="1097">
  <si>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</si>
  <si>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</si>
  <si>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</si>
  <si>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</si>
  <si>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</si>
  <si>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</si>
  <si>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</si>
  <si>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</si>
  <si>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</si>
  <si>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</si>
  <si>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</si>
  <si>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Variaçao %</t>
  </si>
  <si>
    <t>Valor Inicial (R$)</t>
  </si>
  <si>
    <t>Quantidade de Açoes</t>
  </si>
  <si>
    <t>Variaçao $</t>
  </si>
  <si>
    <t>Resultado</t>
  </si>
  <si>
    <t>Empresas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</si>
  <si>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</si>
  <si>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</si>
  <si>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</si>
  <si>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</si>
  <si>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</si>
  <si>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</si>
  <si>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</si>
  <si>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</si>
  <si>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</si>
  <si>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</si>
  <si>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</si>
  <si>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</si>
  <si>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</si>
  <si>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</si>
  <si>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</si>
  <si>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</si>
  <si>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</si>
  <si>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</si>
  <si>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</si>
  <si>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</si>
  <si>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</si>
  <si>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</si>
  <si>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</si>
  <si>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</si>
  <si>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</si>
  <si>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</si>
  <si>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</si>
  <si>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</si>
  <si>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</si>
  <si>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</si>
  <si>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</si>
  <si>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</si>
  <si>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</si>
  <si>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</si>
  <si>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</si>
  <si>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</si>
  <si>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</si>
  <si>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</si>
  <si>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</si>
  <si>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</si>
  <si>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</si>
  <si>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</si>
  <si>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</si>
  <si>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</si>
  <si>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</si>
  <si>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</si>
  <si>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</si>
  <si>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</si>
  <si>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</si>
  <si>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</si>
  <si>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</si>
  <si>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</si>
  <si>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</si>
  <si>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</si>
  <si>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</si>
  <si>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</si>
  <si>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</si>
  <si>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</si>
  <si>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</si>
  <si>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</si>
  <si>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</si>
  <si>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</si>
  <si>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</si>
  <si>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</si>
  <si>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</si>
  <si>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</si>
  <si>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</si>
  <si>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</si>
  <si>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</si>
  <si>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</si>
  <si>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</si>
  <si>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</si>
  <si>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</si>
  <si>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</si>
  <si>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</si>
  <si>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</si>
  <si>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</si>
  <si>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</si>
  <si>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</si>
  <si>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</si>
  <si>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</si>
  <si>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</si>
  <si>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</si>
  <si>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</si>
  <si>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</si>
  <si>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</si>
  <si>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</si>
  <si>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</si>
  <si>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</si>
  <si>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</si>
  <si>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</si>
  <si>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</si>
  <si>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</si>
  <si>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</si>
  <si>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</si>
  <si>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</si>
  <si>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</si>
  <si>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</si>
  <si>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</si>
  <si>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</si>
  <si>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</si>
  <si>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</si>
  <si>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</si>
  <si>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</si>
  <si>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</si>
  <si>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</si>
  <si>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</si>
  <si>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</si>
  <si>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</si>
  <si>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</si>
  <si>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</si>
  <si>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</si>
  <si>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</si>
  <si>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</si>
  <si>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</si>
  <si>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</si>
  <si>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</si>
  <si>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</si>
  <si>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</si>
  <si>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</si>
  <si>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</si>
  <si>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</si>
  <si>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</si>
  <si>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</si>
  <si>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</si>
  <si>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</si>
  <si>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</si>
  <si>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</si>
  <si>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</si>
  <si>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</si>
  <si>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</si>
  <si>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</si>
  <si>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</si>
  <si>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</si>
  <si>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</si>
  <si>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</si>
  <si>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</si>
  <si>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</si>
  <si>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</si>
  <si>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</si>
  <si>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</si>
  <si>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</si>
  <si>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</si>
  <si>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</si>
  <si>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</si>
  <si>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</si>
  <si>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</si>
  <si>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</si>
  <si>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</si>
  <si>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</si>
  <si>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</si>
  <si>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</si>
  <si>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</si>
  <si>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</si>
  <si>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</si>
  <si>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</si>
  <si>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</si>
  <si>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</si>
  <si>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</si>
  <si>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</si>
  <si>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</si>
  <si>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</si>
  <si>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</si>
  <si>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</si>
  <si>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</si>
  <si>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Media</t>
  </si>
  <si>
    <t>Media de Quem Subiu</t>
  </si>
  <si>
    <t>Media de Quem Desceu</t>
  </si>
  <si>
    <t>Variaçoes</t>
  </si>
  <si>
    <t>Variaçoes de Quem Subiu</t>
  </si>
  <si>
    <t>Variação em Reais</t>
  </si>
  <si>
    <t>Variação Por Idade</t>
  </si>
  <si>
    <t>Quantiade de Empresas</t>
  </si>
  <si>
    <t>Empresa</t>
  </si>
  <si>
    <t>Segmento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</si>
  <si>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</si>
  <si>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</si>
  <si>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</si>
  <si>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</si>
  <si>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</si>
  <si>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</si>
  <si>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</si>
  <si>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</si>
  <si>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</si>
  <si>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</si>
  <si>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</si>
  <si>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</si>
  <si>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</si>
  <si>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</si>
  <si>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</si>
  <si>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Instituição Financeira</t>
  </si>
  <si>
    <t>13 (como Itaú Unibanco)</t>
  </si>
  <si>
    <t>Rede D'Or</t>
  </si>
  <si>
    <t>Saúde (Hospitais)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</si>
  <si>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</si>
  <si>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</si>
  <si>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</si>
  <si>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</si>
  <si>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</si>
  <si>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</si>
  <si>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</si>
  <si>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</si>
  <si>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</si>
  <si>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</si>
  <si>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 e Varejo</t>
  </si>
  <si>
    <t>MRV</t>
  </si>
  <si>
    <t>Construção Civil</t>
  </si>
  <si>
    <t>Arezzo</t>
  </si>
  <si>
    <t>Calçados e Moda</t>
  </si>
  <si>
    <t>Banco Bradesco</t>
  </si>
  <si>
    <t>Minerva</t>
  </si>
  <si>
    <t>Alimentos (Carnes)</t>
  </si>
  <si>
    <t>Grupo Pão de Açúcar</t>
  </si>
  <si>
    <t>Varejo (Supermercados)</t>
  </si>
  <si>
    <t>BRF</t>
  </si>
  <si>
    <t>Alimentos (Processados)</t>
  </si>
  <si>
    <t>9 (como BRF)</t>
  </si>
  <si>
    <t>Vivo</t>
  </si>
  <si>
    <t>Telecomunicações</t>
  </si>
  <si>
    <t>23 (como Vivo)</t>
  </si>
  <si>
    <t>Rumo</t>
  </si>
  <si>
    <t>Transporte (Ferrovias)</t>
  </si>
  <si>
    <t>Cielo</t>
  </si>
  <si>
    <t>Serviços Financeiros</t>
  </si>
  <si>
    <t>Dexco</t>
  </si>
  <si>
    <t>Indústria</t>
  </si>
  <si>
    <t>-</t>
  </si>
  <si>
    <t>TIM</t>
  </si>
  <si>
    <t>Bradespar</t>
  </si>
  <si>
    <t>Investimentos Diversificados</t>
  </si>
  <si>
    <t>Locaweb</t>
  </si>
  <si>
    <t>Tecnologia (Hospedagem de Sites)</t>
  </si>
  <si>
    <t>PetroRecôncavo</t>
  </si>
  <si>
    <t>Itaúsa</t>
  </si>
  <si>
    <t>Conglomerado Financeiro</t>
  </si>
  <si>
    <t>Banco do Brasil</t>
  </si>
  <si>
    <t>RaiaDrogasil</t>
  </si>
  <si>
    <t>Varejo (Farmácias)</t>
  </si>
  <si>
    <t>Metalúrgica Gerdau</t>
  </si>
  <si>
    <t>Metalurgia</t>
  </si>
  <si>
    <t>Cosan</t>
  </si>
  <si>
    <t>Energia e Infraestrutura</t>
  </si>
  <si>
    <t>JBS</t>
  </si>
  <si>
    <t>Magazine Luiza</t>
  </si>
  <si>
    <t>Varejo (Lojas de Departamento)</t>
  </si>
  <si>
    <t>Gerdau</t>
  </si>
  <si>
    <t>Raízen</t>
  </si>
  <si>
    <t>Energia e Biocombustíveis</t>
  </si>
  <si>
    <t>Copel</t>
  </si>
  <si>
    <t>Grupo Vamos</t>
  </si>
  <si>
    <t>Transporte e Logística</t>
  </si>
  <si>
    <t>Marfrig</t>
  </si>
  <si>
    <t>14 (como Marfrig)</t>
  </si>
  <si>
    <t>Ambev</t>
  </si>
  <si>
    <t>Bebidas</t>
  </si>
  <si>
    <t>BB Seguridade</t>
  </si>
  <si>
    <t>Seguros e Previdência</t>
  </si>
  <si>
    <t>Sabesp</t>
  </si>
  <si>
    <t>Saneamento Básico</t>
  </si>
  <si>
    <t>Totvs</t>
  </si>
  <si>
    <t>Tecnologia (Software)</t>
  </si>
  <si>
    <t>CEMIG</t>
  </si>
  <si>
    <t>Eletrobras</t>
  </si>
  <si>
    <t>Eneva</t>
  </si>
  <si>
    <t>Energia (Geração e Exploração)</t>
  </si>
  <si>
    <t>WEG</t>
  </si>
  <si>
    <t>Tecnologia (Motores Elétricos)</t>
  </si>
  <si>
    <t>SLC Agrícola</t>
  </si>
  <si>
    <t>Agricultura</t>
  </si>
  <si>
    <t>Logística e Transporte</t>
  </si>
  <si>
    <t>Grupo CCR</t>
  </si>
  <si>
    <t>Transporte (Concessões)</t>
  </si>
  <si>
    <t>Cogna</t>
  </si>
  <si>
    <t>Transmissão Paulista</t>
  </si>
  <si>
    <t>Engie</t>
  </si>
  <si>
    <t>Energia</t>
  </si>
  <si>
    <t>Vibra Energia</t>
  </si>
  <si>
    <t>IRB Brasil RE</t>
  </si>
  <si>
    <t>Seguros</t>
  </si>
  <si>
    <t>Petz</t>
  </si>
  <si>
    <t>Varejo (Pet Shops)</t>
  </si>
  <si>
    <t>EZTEC</t>
  </si>
  <si>
    <t>42 (como EZTEC)</t>
  </si>
  <si>
    <t>Fleury</t>
  </si>
  <si>
    <t>Saúde (Laboratórios)</t>
  </si>
  <si>
    <t>Grupo Soma</t>
  </si>
  <si>
    <t>Moda e Vestuário</t>
  </si>
  <si>
    <t>Alpargatas</t>
  </si>
  <si>
    <t>Cyrela</t>
  </si>
  <si>
    <t>Embraer</t>
  </si>
  <si>
    <t>Aeroespacial e Defesa</t>
  </si>
  <si>
    <t>Natura</t>
  </si>
  <si>
    <t>Cosméticos e Bem-estar</t>
  </si>
  <si>
    <t>Assaí</t>
  </si>
  <si>
    <t>Varejo (Atacado)</t>
  </si>
  <si>
    <t>B3</t>
  </si>
  <si>
    <t>Hypera</t>
  </si>
  <si>
    <t>Farmacêutica</t>
  </si>
  <si>
    <t>São Martinho</t>
  </si>
  <si>
    <t>Agronegócio (Açúcar e Álcool)</t>
  </si>
  <si>
    <t>Hapvida</t>
  </si>
  <si>
    <t>Saúde (Planos de Saúde)</t>
  </si>
  <si>
    <t>Lojas Renner</t>
  </si>
  <si>
    <t>Varejo (Moda)</t>
  </si>
  <si>
    <t>Carrefour Brasil</t>
  </si>
  <si>
    <t>Casas Bahia</t>
  </si>
  <si>
    <t>Varejo (Eletrodomésticos)</t>
  </si>
  <si>
    <t>Localiza</t>
  </si>
  <si>
    <t>Aluguel de Carros</t>
  </si>
  <si>
    <t>CVC</t>
  </si>
  <si>
    <t>Agência de Viagens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</si>
  <si>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</si>
  <si>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</si>
  <si>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</si>
  <si>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</si>
  <si>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</si>
  <si>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</si>
  <si>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</si>
  <si>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</si>
  <si>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</si>
  <si>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</si>
  <si>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</si>
  <si>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</si>
  <si>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</si>
  <si>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</si>
  <si>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</si>
  <si>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</si>
  <si>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</si>
  <si>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</si>
  <si>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</si>
  <si>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</si>
  <si>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</si>
  <si>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</si>
  <si>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</si>
  <si>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</si>
  <si>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</si>
  <si>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</si>
  <si>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</si>
  <si>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</si>
  <si>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</si>
  <si>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</si>
  <si>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</si>
  <si>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</si>
  <si>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</si>
  <si>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</si>
  <si>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</si>
  <si>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</si>
  <si>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</si>
  <si>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</si>
  <si>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</si>
  <si>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</si>
  <si>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</si>
  <si>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</si>
  <si>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</si>
  <si>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</si>
  <si>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</si>
  <si>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</si>
  <si>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</si>
  <si>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</si>
  <si>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</si>
  <si>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</si>
  <si>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</si>
  <si>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</si>
  <si>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</si>
  <si>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</si>
  <si>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</si>
  <si>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</si>
  <si>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</si>
  <si>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</si>
  <si>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</si>
  <si>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</si>
  <si>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</si>
  <si>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</si>
  <si>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</si>
  <si>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</si>
  <si>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</si>
  <si>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</si>
  <si>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</si>
  <si>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</si>
  <si>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</si>
  <si>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</si>
  <si>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</si>
  <si>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</si>
  <si>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</si>
  <si>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</si>
  <si>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</si>
  <si>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</si>
  <si>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</si>
  <si>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</si>
  <si>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</si>
  <si>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</si>
  <si>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</si>
  <si>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</si>
  <si>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</si>
  <si>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</si>
  <si>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</si>
  <si>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</si>
  <si>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</si>
  <si>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</si>
  <si>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</si>
  <si>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</si>
  <si>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</si>
  <si>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</si>
  <si>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</si>
  <si>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</si>
  <si>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</si>
  <si>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</si>
  <si>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</si>
  <si>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</si>
  <si>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</si>
  <si>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</si>
  <si>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</si>
  <si>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</si>
  <si>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</si>
  <si>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</si>
  <si>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</si>
  <si>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</si>
  <si>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</si>
  <si>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</si>
  <si>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</si>
  <si>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</si>
  <si>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</si>
  <si>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</si>
  <si>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</si>
  <si>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</si>
  <si>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</si>
  <si>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</si>
  <si>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</si>
  <si>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</si>
  <si>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</si>
  <si>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</si>
  <si>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</si>
  <si>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</si>
  <si>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</si>
  <si>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</si>
  <si>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</si>
  <si>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</si>
  <si>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</si>
  <si>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</si>
  <si>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</si>
  <si>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</si>
  <si>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</si>
  <si>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</si>
  <si>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</si>
  <si>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</si>
  <si>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</si>
  <si>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</si>
  <si>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</si>
  <si>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</si>
  <si>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</si>
  <si>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</si>
  <si>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</si>
  <si>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</si>
  <si>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</si>
  <si>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</si>
  <si>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</si>
  <si>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</si>
  <si>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</si>
  <si>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</si>
  <si>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</si>
  <si>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</si>
  <si>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</si>
  <si>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</si>
  <si>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</si>
  <si>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</si>
  <si>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</si>
  <si>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</si>
  <si>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</si>
  <si>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</si>
  <si>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</si>
  <si>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</si>
  <si>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</si>
  <si>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</si>
  <si>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</si>
  <si>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</si>
  <si>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</si>
  <si>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</si>
  <si>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</si>
  <si>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</si>
  <si>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</si>
  <si>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</si>
  <si>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</si>
  <si>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</si>
  <si>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</si>
  <si>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</si>
  <si>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</si>
  <si>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</si>
  <si>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</si>
  <si>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</si>
  <si>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</si>
  <si>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</si>
  <si>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</si>
  <si>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</si>
  <si>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</si>
  <si>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</si>
  <si>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</si>
  <si>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</si>
  <si>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</si>
  <si>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</si>
  <si>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</si>
  <si>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</si>
  <si>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</si>
  <si>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</si>
  <si>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</si>
  <si>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</si>
  <si>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</si>
  <si>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</si>
  <si>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</si>
  <si>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</si>
  <si>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</si>
  <si>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</si>
  <si>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</si>
  <si>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</si>
  <si>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</si>
  <si>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</si>
  <si>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</si>
  <si>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</si>
  <si>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</si>
  <si>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</si>
  <si>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</si>
  <si>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</si>
  <si>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</si>
  <si>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</si>
  <si>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</si>
  <si>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</si>
  <si>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</si>
  <si>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</si>
  <si>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</si>
  <si>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</si>
  <si>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</si>
  <si>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</si>
  <si>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</si>
  <si>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</si>
  <si>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</si>
  <si>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</si>
  <si>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</si>
  <si>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</si>
  <si>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</si>
  <si>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</si>
  <si>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</si>
  <si>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</si>
  <si>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</si>
  <si>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</si>
  <si>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</si>
  <si>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</si>
  <si>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</si>
  <si>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</si>
  <si>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</si>
  <si>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</si>
  <si>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</si>
  <si>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</si>
  <si>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</si>
  <si>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</si>
  <si>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</si>
  <si>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</si>
  <si>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</si>
  <si>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</si>
  <si>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</si>
  <si>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</si>
  <si>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</si>
  <si>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</si>
  <si>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</si>
  <si>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</si>
  <si>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</si>
  <si>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</si>
  <si>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</si>
  <si>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</si>
  <si>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</si>
  <si>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</si>
  <si>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</si>
  <si>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</si>
  <si>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</si>
  <si>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</si>
  <si>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</si>
  <si>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</si>
  <si>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</si>
  <si>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</si>
  <si>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</si>
  <si>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</si>
  <si>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</si>
  <si>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</si>
  <si>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</si>
  <si>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</si>
  <si>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</si>
  <si>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</si>
  <si>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</si>
  <si>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</si>
  <si>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</si>
  <si>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</si>
  <si>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</si>
  <si>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</si>
  <si>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</si>
  <si>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</si>
  <si>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</si>
  <si>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</si>
  <si>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</si>
  <si>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</si>
  <si>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</si>
  <si>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</si>
  <si>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</si>
  <si>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</si>
  <si>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</si>
  <si>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</si>
  <si>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</si>
  <si>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</si>
  <si>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</si>
  <si>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</si>
  <si>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</si>
  <si>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</si>
  <si>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</si>
  <si>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</si>
  <si>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</si>
  <si>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</si>
  <si>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</si>
  <si>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</si>
  <si>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</si>
  <si>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</si>
  <si>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</si>
  <si>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</si>
  <si>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</si>
  <si>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</si>
  <si>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</si>
  <si>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</si>
  <si>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</si>
  <si>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</si>
  <si>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</si>
  <si>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</si>
  <si>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</si>
  <si>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</si>
  <si>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</si>
  <si>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</si>
  <si>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</si>
  <si>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</si>
  <si>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</si>
  <si>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</si>
  <si>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</si>
  <si>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</si>
  <si>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</si>
  <si>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</si>
  <si>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</si>
  <si>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</si>
  <si>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</si>
  <si>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</si>
  <si>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</si>
  <si>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</si>
  <si>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</si>
  <si>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</si>
  <si>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</si>
  <si>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</si>
  <si>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</si>
  <si>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</si>
  <si>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</si>
  <si>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</si>
  <si>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</si>
  <si>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</si>
  <si>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</si>
  <si>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</si>
  <si>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</si>
  <si>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</si>
  <si>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</si>
  <si>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</si>
  <si>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</si>
  <si>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</si>
  <si>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</si>
  <si>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</si>
  <si>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</si>
  <si>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</si>
  <si>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</si>
  <si>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</si>
  <si>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</si>
  <si>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</si>
  <si>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</si>
  <si>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</si>
  <si>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</si>
  <si>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</si>
  <si>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</si>
  <si>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</si>
  <si>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</si>
  <si>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</si>
  <si>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</si>
  <si>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</si>
  <si>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</si>
  <si>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</si>
  <si>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</si>
  <si>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</si>
  <si>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</si>
  <si>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</si>
  <si>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</si>
  <si>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</si>
  <si>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</si>
  <si>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</si>
  <si>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</si>
  <si>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</si>
  <si>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</si>
  <si>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</si>
  <si>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</si>
  <si>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</si>
  <si>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</si>
  <si>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</si>
  <si>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</si>
  <si>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</si>
  <si>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</si>
  <si>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</si>
  <si>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</si>
  <si>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</si>
  <si>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</si>
  <si>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</si>
  <si>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</si>
  <si>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</si>
  <si>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</si>
  <si>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</si>
  <si>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</si>
  <si>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</si>
  <si>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</si>
  <si>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</si>
  <si>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</si>
  <si>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</si>
  <si>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</si>
  <si>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</si>
  <si>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</si>
  <si>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</si>
  <si>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</si>
  <si>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</si>
  <si>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</si>
  <si>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</si>
  <si>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</si>
  <si>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</si>
  <si>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</si>
  <si>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</si>
  <si>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</si>
  <si>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</si>
  <si>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</si>
  <si>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</si>
  <si>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</si>
  <si>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</si>
  <si>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</si>
  <si>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</si>
  <si>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</si>
  <si>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</si>
  <si>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</si>
  <si>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</si>
  <si>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</si>
  <si>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</si>
  <si>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</si>
  <si>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</si>
  <si>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</si>
  <si>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</si>
  <si>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</si>
  <si>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</si>
  <si>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</si>
  <si>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</si>
  <si>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</si>
  <si>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</si>
  <si>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</si>
  <si>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</si>
  <si>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</si>
  <si>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</si>
  <si>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</si>
  <si>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</si>
  <si>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</si>
  <si>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</si>
  <si>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</si>
  <si>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</si>
  <si>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</si>
  <si>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</si>
  <si>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</si>
  <si>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</si>
  <si>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</si>
  <si>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</si>
  <si>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</si>
  <si>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</si>
  <si>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</si>
  <si>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</si>
  <si>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</si>
  <si>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</si>
  <si>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</si>
  <si>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</si>
  <si>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</si>
  <si>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</si>
  <si>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</si>
  <si>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</si>
  <si>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</si>
  <si>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</si>
  <si>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</si>
  <si>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</si>
  <si>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</si>
  <si>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</si>
  <si>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</si>
  <si>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</si>
  <si>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</si>
  <si>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</si>
  <si>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</si>
  <si>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</si>
  <si>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</si>
  <si>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</si>
  <si>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</si>
  <si>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</si>
  <si>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</si>
  <si>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</si>
  <si>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</si>
  <si>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</si>
  <si>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</si>
  <si>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</si>
  <si>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</si>
  <si>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</si>
  <si>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</si>
  <si>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</si>
  <si>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</si>
  <si>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</si>
  <si>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</si>
  <si>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</si>
  <si>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</si>
  <si>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</si>
  <si>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</si>
  <si>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</si>
  <si>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</si>
  <si>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</si>
  <si>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</si>
  <si>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</si>
  <si>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</si>
  <si>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</si>
  <si>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</si>
  <si>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</si>
  <si>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</si>
  <si>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</si>
  <si>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</si>
  <si>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</si>
  <si>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</si>
  <si>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</si>
  <si>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</si>
  <si>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</si>
  <si>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</si>
  <si>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</si>
  <si>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</si>
  <si>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</si>
  <si>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</si>
  <si>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</si>
  <si>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</si>
  <si>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</si>
  <si>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</si>
  <si>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</si>
  <si>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</si>
  <si>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</si>
  <si>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</si>
  <si>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</si>
  <si>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</si>
  <si>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</si>
  <si>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</si>
  <si>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</si>
  <si>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</si>
  <si>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</si>
  <si>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</si>
  <si>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</si>
  <si>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</si>
  <si>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</si>
  <si>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</si>
  <si>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</si>
  <si>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</si>
  <si>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</si>
  <si>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</si>
  <si>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</si>
  <si>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</si>
  <si>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</si>
  <si>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</si>
  <si>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</si>
  <si>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</si>
  <si>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</si>
  <si>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</si>
  <si>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</si>
  <si>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</si>
  <si>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</si>
  <si>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</si>
  <si>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</si>
  <si>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</si>
  <si>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</si>
  <si>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</si>
  <si>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</si>
  <si>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</si>
  <si>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</si>
  <si>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</si>
  <si>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</si>
  <si>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</si>
  <si>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</si>
  <si>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</si>
  <si>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</si>
  <si>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</si>
  <si>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</si>
  <si>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</si>
  <si>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</si>
  <si>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</si>
  <si>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</si>
  <si>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</si>
  <si>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</si>
  <si>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</si>
  <si>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</si>
  <si>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</si>
  <si>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</si>
  <si>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</si>
  <si>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</si>
  <si>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</si>
  <si>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</si>
  <si>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</si>
  <si>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</si>
  <si>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</si>
  <si>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</si>
  <si>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</si>
  <si>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</si>
  <si>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</si>
  <si>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</si>
  <si>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</si>
  <si>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</si>
  <si>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</si>
  <si>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</si>
  <si>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</si>
  <si>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</si>
  <si>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</si>
  <si>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</si>
  <si>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</si>
  <si>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</si>
  <si>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</si>
  <si>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</si>
  <si>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</si>
  <si>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</si>
  <si>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</si>
  <si>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</si>
  <si>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</si>
  <si>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</si>
  <si>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</si>
  <si>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</si>
  <si>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</si>
  <si>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</si>
  <si>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</si>
  <si>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</si>
  <si>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</si>
  <si>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</si>
  <si>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</si>
  <si>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</si>
  <si>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</si>
  <si>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</si>
  <si>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</si>
  <si>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</si>
  <si>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</si>
  <si>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</si>
  <si>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</si>
  <si>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</si>
  <si>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</si>
  <si>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</si>
  <si>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</si>
  <si>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</si>
  <si>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</si>
  <si>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</si>
  <si>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</si>
  <si>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</si>
  <si>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</si>
  <si>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</si>
  <si>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</si>
  <si>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</si>
  <si>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</si>
  <si>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</si>
  <si>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</si>
  <si>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</si>
  <si>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</si>
  <si>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</si>
  <si>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</si>
  <si>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</si>
  <si>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</si>
  <si>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</si>
  <si>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</si>
  <si>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</si>
  <si>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</si>
  <si>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</si>
  <si>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</si>
  <si>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</si>
  <si>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</si>
  <si>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</si>
  <si>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</si>
  <si>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</si>
  <si>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</si>
  <si>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</si>
  <si>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</si>
  <si>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</si>
  <si>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</si>
  <si>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</si>
  <si>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</si>
  <si>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</si>
  <si>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</si>
  <si>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</si>
  <si>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</si>
  <si>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</si>
  <si>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</si>
  <si>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</si>
  <si>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</si>
  <si>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</si>
  <si>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</si>
  <si>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</si>
  <si>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</si>
  <si>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</si>
  <si>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</si>
  <si>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</si>
  <si>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</si>
  <si>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</si>
  <si>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</si>
  <si>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</si>
  <si>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</si>
  <si>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</si>
  <si>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</si>
  <si>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</si>
  <si>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</si>
  <si>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</si>
  <si>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</si>
  <si>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</si>
  <si>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</si>
  <si>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</si>
  <si>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</si>
  <si>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</si>
  <si>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</si>
  <si>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</si>
  <si>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</si>
  <si>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</si>
  <si>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</si>
  <si>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</si>
  <si>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</si>
  <si>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</si>
  <si>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</si>
  <si>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</si>
  <si>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</si>
  <si>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</si>
  <si>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</si>
  <si>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</si>
  <si>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</si>
  <si>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</si>
  <si>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</si>
  <si>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</si>
  <si>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</si>
  <si>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</si>
  <si>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</si>
  <si>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</si>
  <si>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</si>
  <si>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</si>
  <si>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</si>
  <si>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</si>
  <si>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</si>
  <si>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</si>
  <si>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</si>
  <si>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</si>
  <si>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</si>
  <si>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</si>
  <si>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</si>
  <si>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</si>
  <si>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</si>
  <si>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</si>
  <si>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</si>
  <si>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</si>
  <si>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</si>
  <si>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</si>
  <si>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</si>
  <si>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</si>
  <si>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</si>
  <si>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</si>
  <si>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</si>
  <si>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</si>
  <si>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</si>
  <si>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</si>
  <si>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</si>
  <si>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</si>
  <si>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</si>
  <si>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</si>
  <si>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</si>
  <si>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</si>
  <si>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</si>
  <si>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</si>
  <si>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</si>
  <si>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</si>
  <si>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</si>
  <si>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( anos)</t>
  </si>
  <si>
    <t>Segmentos</t>
  </si>
  <si>
    <t>Varuacao_Semanal</t>
  </si>
  <si>
    <t xml:space="preserve">Variaoca_Mes </t>
  </si>
  <si>
    <t>Variacao_Ano %</t>
  </si>
  <si>
    <t>Variação 12M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</si>
</sst>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R$-416]\ * #,##0.00_-;\-[$R$-416]\ * #,##0.00_-;_-[$R$-416]\ * &quot;-&quot;??_-;_-@"/>
    <numFmt numFmtId="165" formatCode="[$R$ -416]#,##0.00"/>
    <numFmt numFmtId="166" formatCode="_-[$R$-416]\ * #,##0.00_-;\-[$R$-416]\ * #,##0.00_-;_-[$R$-416]\ * &quot;-&quot;??_-;_-@_-"/>
  </numFmts>
  <fonts count="16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</font>
    <font>
      <sz val="11"/>
      <color rgb="FFFF0000"/>
      <name val="Arial"/>
    </font>
    <font>
      <sz val="11"/>
      <color theme="1"/>
      <name val="&quot;aptos narrow&quot;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2"/>
      <color rgb="FFECECEC"/>
      <name val="Quattrocento Sans"/>
    </font>
    <font>
      <sz val="12"/>
      <color rgb="FF000000"/>
      <name val="Arial"/>
    </font>
    <font>
      <sz val="12"/>
      <color theme="1"/>
      <name val="Quattrocento Sans"/>
    </font>
    <font>
      <sz val="11"/>
      <color theme="1"/>
      <name val="Quattrocento Sans"/>
    </font>
    <font>
      <b/>
      <sz val="10"/>
      <color theme="1"/>
      <name val="Arial"/>
    </font>
    <font>
      <sz val="10"/>
      <color rgb="FF000000"/>
      <name val="Arial"/>
      <scheme val="minor"/>
    </font>
    <font>
      <sz val="10"/>
      <color theme="5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BC8D03"/>
        <bgColor rgb="FFBC8D03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theme="0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/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50">
    <xf numFmtId="0" fontId="0" fillId="0" borderId="0" xfId="0" applyFont="1" applyAlignme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5" fontId="7" fillId="0" borderId="0" xfId="0" applyNumberFormat="1" applyFont="1"/>
    <xf numFmtId="0" fontId="7" fillId="0" borderId="0" xfId="0" applyFont="1" applyAlignment="1">
      <alignment horizontal="left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1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164" fontId="2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14" fontId="4" fillId="4" borderId="1" xfId="0" applyNumberFormat="1" applyFont="1" applyFill="1" applyBorder="1" applyAlignment="1">
      <alignment horizontal="center" vertical="top"/>
    </xf>
    <xf numFmtId="2" fontId="4" fillId="4" borderId="1" xfId="0" applyNumberFormat="1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2" fontId="5" fillId="0" borderId="1" xfId="0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14" fontId="4" fillId="5" borderId="1" xfId="0" applyNumberFormat="1" applyFont="1" applyFill="1" applyBorder="1" applyAlignment="1">
      <alignment horizontal="center" vertical="top"/>
    </xf>
    <xf numFmtId="164" fontId="5" fillId="0" borderId="1" xfId="0" applyNumberFormat="1" applyFont="1" applyBorder="1" applyAlignment="1">
      <alignment vertical="top"/>
    </xf>
    <xf numFmtId="2" fontId="4" fillId="5" borderId="1" xfId="0" applyNumberFormat="1" applyFont="1" applyFill="1" applyBorder="1" applyAlignment="1">
      <alignment horizontal="center" vertical="top"/>
    </xf>
    <xf numFmtId="0" fontId="6" fillId="5" borderId="2" xfId="0" applyFont="1" applyFill="1" applyBorder="1" applyAlignment="1">
      <alignment horizontal="center" vertical="top"/>
    </xf>
    <xf numFmtId="164" fontId="2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top"/>
    </xf>
    <xf numFmtId="0" fontId="6" fillId="4" borderId="2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15" fillId="7" borderId="5" xfId="0" applyFont="1" applyFill="1" applyBorder="1" applyAlignment="1">
      <alignment horizontal="center" vertical="top"/>
    </xf>
    <xf numFmtId="166" fontId="15" fillId="0" borderId="5" xfId="0" applyNumberFormat="1" applyFont="1" applyBorder="1" applyAlignment="1">
      <alignment horizontal="center" vertical="top"/>
    </xf>
    <xf numFmtId="43" fontId="15" fillId="0" borderId="5" xfId="1" applyFont="1" applyBorder="1" applyAlignment="1">
      <alignment horizontal="center" vertical="top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Variaçoes de Quem Subiu versus Segementos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Analises!$C$11</c:f>
              <c:strCache>
                <c:ptCount val="1"/>
                <c:pt idx="0">
                  <c:v>Variaçoes de Quem Subiu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924-4130-9E03-AF284DDDAB6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D924-4130-9E03-AF284DDDAB6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D924-4130-9E03-AF284DDDAB6A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D924-4130-9E03-AF284DDDAB6A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D924-4130-9E03-AF284DDDAB6A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D924-4130-9E03-AF284DDDAB6A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D924-4130-9E03-AF284DDDAB6A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D924-4130-9E03-AF284DDDAB6A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D924-4130-9E03-AF284DDDAB6A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D924-4130-9E03-AF284DDDAB6A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D924-4130-9E03-AF284DDDAB6A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D924-4130-9E03-AF284DDDAB6A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D924-4130-9E03-AF284DDDAB6A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D924-4130-9E03-AF284DDDAB6A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D924-4130-9E03-AF284DDDAB6A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D924-4130-9E03-AF284DDDAB6A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D924-4130-9E03-AF284DDDAB6A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D924-4130-9E03-AF284DDDAB6A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D924-4130-9E03-AF284DDDAB6A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D924-4130-9E03-AF284DDDAB6A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D924-4130-9E03-AF284DDDAB6A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D924-4130-9E03-AF284DDDAB6A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D924-4130-9E03-AF284DDDAB6A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D924-4130-9E03-AF284DDDAB6A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D924-4130-9E03-AF284DDDAB6A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D924-4130-9E03-AF284DDDAB6A}"/>
              </c:ext>
            </c:extLst>
          </c:dPt>
          <c:dPt>
            <c:idx val="26"/>
            <c:bubble3D val="0"/>
            <c:spPr>
              <a:solidFill>
                <a:srgbClr val="000C31"/>
              </a:solidFill>
            </c:spPr>
            <c:extLst>
              <c:ext xmlns:c16="http://schemas.microsoft.com/office/drawing/2014/chart" uri="{C3380CC4-5D6E-409C-BE32-E72D297353CC}">
                <c16:uniqueId val="{00000035-D924-4130-9E03-AF284DDDAB6A}"/>
              </c:ext>
            </c:extLst>
          </c:dPt>
          <c:dPt>
            <c:idx val="27"/>
            <c:bubble3D val="0"/>
            <c:spPr>
              <a:solidFill>
                <a:srgbClr val="281021"/>
              </a:solidFill>
            </c:spPr>
            <c:extLst>
              <c:ext xmlns:c16="http://schemas.microsoft.com/office/drawing/2014/chart" uri="{C3380CC4-5D6E-409C-BE32-E72D297353CC}">
                <c16:uniqueId val="{00000037-D924-4130-9E03-AF284DDDAB6A}"/>
              </c:ext>
            </c:extLst>
          </c:dPt>
          <c:dPt>
            <c:idx val="28"/>
            <c:bubble3D val="0"/>
            <c:spPr>
              <a:solidFill>
                <a:srgbClr val="FF1C32"/>
              </a:solidFill>
            </c:spPr>
            <c:extLst>
              <c:ext xmlns:c16="http://schemas.microsoft.com/office/drawing/2014/chart" uri="{C3380CC4-5D6E-409C-BE32-E72D297353CC}">
                <c16:uniqueId val="{00000039-D924-4130-9E03-AF284DDDAB6A}"/>
              </c:ext>
            </c:extLst>
          </c:dPt>
          <c:dPt>
            <c:idx val="29"/>
            <c:bubble3D val="0"/>
            <c:spPr>
              <a:solidFill>
                <a:srgbClr val="240C0A"/>
              </a:solidFill>
            </c:spPr>
            <c:extLst>
              <c:ext xmlns:c16="http://schemas.microsoft.com/office/drawing/2014/chart" uri="{C3380CC4-5D6E-409C-BE32-E72D297353CC}">
                <c16:uniqueId val="{0000003B-D924-4130-9E03-AF284DDDAB6A}"/>
              </c:ext>
            </c:extLst>
          </c:dPt>
          <c:dPt>
            <c:idx val="30"/>
            <c:bubble3D val="0"/>
            <c:spPr>
              <a:solidFill>
                <a:srgbClr val="5E3C05"/>
              </a:solidFill>
            </c:spPr>
            <c:extLst>
              <c:ext xmlns:c16="http://schemas.microsoft.com/office/drawing/2014/chart" uri="{C3380CC4-5D6E-409C-BE32-E72D297353CC}">
                <c16:uniqueId val="{0000003D-D924-4130-9E03-AF284DDDAB6A}"/>
              </c:ext>
            </c:extLst>
          </c:dPt>
          <c:dPt>
            <c:idx val="31"/>
            <c:bubble3D val="0"/>
            <c:spPr>
              <a:solidFill>
                <a:srgbClr val="0A5D64"/>
              </a:solidFill>
            </c:spPr>
            <c:extLst>
              <c:ext xmlns:c16="http://schemas.microsoft.com/office/drawing/2014/chart" uri="{C3380CC4-5D6E-409C-BE32-E72D297353CC}">
                <c16:uniqueId val="{0000003F-D924-4130-9E03-AF284DDDAB6A}"/>
              </c:ext>
            </c:extLst>
          </c:dPt>
          <c:dPt>
            <c:idx val="32"/>
            <c:bubble3D val="0"/>
            <c:spPr>
              <a:solidFill>
                <a:srgbClr val="01217D"/>
              </a:solidFill>
            </c:spPr>
            <c:extLst>
              <c:ext xmlns:c16="http://schemas.microsoft.com/office/drawing/2014/chart" uri="{C3380CC4-5D6E-409C-BE32-E72D297353CC}">
                <c16:uniqueId val="{00000041-D924-4130-9E03-AF284DDDAB6A}"/>
              </c:ext>
            </c:extLst>
          </c:dPt>
          <c:dPt>
            <c:idx val="33"/>
            <c:bubble3D val="0"/>
            <c:spPr>
              <a:solidFill>
                <a:srgbClr val="652B55"/>
              </a:solidFill>
            </c:spPr>
            <c:extLst>
              <c:ext xmlns:c16="http://schemas.microsoft.com/office/drawing/2014/chart" uri="{C3380CC4-5D6E-409C-BE32-E72D297353CC}">
                <c16:uniqueId val="{00000043-D924-4130-9E03-AF284DDDAB6A}"/>
              </c:ext>
            </c:extLst>
          </c:dPt>
          <c:dPt>
            <c:idx val="34"/>
            <c:bubble3D val="0"/>
            <c:spPr>
              <a:solidFill>
                <a:srgbClr val="FF487E"/>
              </a:solidFill>
            </c:spPr>
            <c:extLst>
              <c:ext xmlns:c16="http://schemas.microsoft.com/office/drawing/2014/chart" uri="{C3380CC4-5D6E-409C-BE32-E72D297353CC}">
                <c16:uniqueId val="{00000045-D924-4130-9E03-AF284DDDAB6A}"/>
              </c:ext>
            </c:extLst>
          </c:dPt>
          <c:dPt>
            <c:idx val="35"/>
            <c:bubble3D val="0"/>
            <c:spPr>
              <a:solidFill>
                <a:srgbClr val="5C201C"/>
              </a:solidFill>
            </c:spPr>
            <c:extLst>
              <c:ext xmlns:c16="http://schemas.microsoft.com/office/drawing/2014/chart" uri="{C3380CC4-5D6E-409C-BE32-E72D297353CC}">
                <c16:uniqueId val="{00000047-D924-4130-9E03-AF284DDDAB6A}"/>
              </c:ext>
            </c:extLst>
          </c:dPt>
          <c:dPt>
            <c:idx val="36"/>
            <c:bubble3D val="0"/>
            <c:spPr>
              <a:solidFill>
                <a:srgbClr val="966108"/>
              </a:solidFill>
            </c:spPr>
            <c:extLst>
              <c:ext xmlns:c16="http://schemas.microsoft.com/office/drawing/2014/chart" uri="{C3380CC4-5D6E-409C-BE32-E72D297353CC}">
                <c16:uniqueId val="{00000049-D924-4130-9E03-AF284DDDAB6A}"/>
              </c:ext>
            </c:extLst>
          </c:dPt>
          <c:dPt>
            <c:idx val="37"/>
            <c:bubble3D val="0"/>
            <c:spPr>
              <a:solidFill>
                <a:srgbClr val="1095A1"/>
              </a:solidFill>
            </c:spPr>
            <c:extLst>
              <c:ext xmlns:c16="http://schemas.microsoft.com/office/drawing/2014/chart" uri="{C3380CC4-5D6E-409C-BE32-E72D297353CC}">
                <c16:uniqueId val="{0000004B-D924-4130-9E03-AF284DDDAB6A}"/>
              </c:ext>
            </c:extLst>
          </c:dPt>
          <c:dPt>
            <c:idx val="38"/>
            <c:bubble3D val="0"/>
            <c:spPr>
              <a:solidFill>
                <a:srgbClr val="0235C8"/>
              </a:solidFill>
            </c:spPr>
            <c:extLst>
              <c:ext xmlns:c16="http://schemas.microsoft.com/office/drawing/2014/chart" uri="{C3380CC4-5D6E-409C-BE32-E72D297353CC}">
                <c16:uniqueId val="{0000004D-D924-4130-9E03-AF284DDDAB6A}"/>
              </c:ext>
            </c:extLst>
          </c:dPt>
          <c:dPt>
            <c:idx val="39"/>
            <c:bubble3D val="0"/>
            <c:spPr>
              <a:solidFill>
                <a:srgbClr val="A14589"/>
              </a:solidFill>
            </c:spPr>
            <c:extLst>
              <c:ext xmlns:c16="http://schemas.microsoft.com/office/drawing/2014/chart" uri="{C3380CC4-5D6E-409C-BE32-E72D297353CC}">
                <c16:uniqueId val="{0000004F-D924-4130-9E03-AF284DDDAB6A}"/>
              </c:ext>
            </c:extLst>
          </c:dPt>
          <c:dPt>
            <c:idx val="40"/>
            <c:bubble3D val="0"/>
            <c:spPr>
              <a:solidFill>
                <a:srgbClr val="FF74CA"/>
              </a:solidFill>
            </c:spPr>
            <c:extLst>
              <c:ext xmlns:c16="http://schemas.microsoft.com/office/drawing/2014/chart" uri="{C3380CC4-5D6E-409C-BE32-E72D297353CC}">
                <c16:uniqueId val="{00000051-D924-4130-9E03-AF284DDDAB6A}"/>
              </c:ext>
            </c:extLst>
          </c:dPt>
          <c:dPt>
            <c:idx val="41"/>
            <c:bubble3D val="0"/>
            <c:spPr>
              <a:solidFill>
                <a:srgbClr val="93342D"/>
              </a:solidFill>
            </c:spPr>
            <c:extLst>
              <c:ext xmlns:c16="http://schemas.microsoft.com/office/drawing/2014/chart" uri="{C3380CC4-5D6E-409C-BE32-E72D297353CC}">
                <c16:uniqueId val="{00000053-D924-4130-9E03-AF284DDDAB6A}"/>
              </c:ext>
            </c:extLst>
          </c:dPt>
          <c:dPt>
            <c:idx val="42"/>
            <c:bubble3D val="0"/>
            <c:spPr>
              <a:solidFill>
                <a:srgbClr val="CF850B"/>
              </a:solidFill>
            </c:spPr>
            <c:extLst>
              <c:ext xmlns:c16="http://schemas.microsoft.com/office/drawing/2014/chart" uri="{C3380CC4-5D6E-409C-BE32-E72D297353CC}">
                <c16:uniqueId val="{00000055-D924-4130-9E03-AF284DDDAB6A}"/>
              </c:ext>
            </c:extLst>
          </c:dPt>
          <c:dPt>
            <c:idx val="43"/>
            <c:bubble3D val="0"/>
            <c:spPr>
              <a:solidFill>
                <a:srgbClr val="16CEDD"/>
              </a:solidFill>
            </c:spPr>
            <c:extLst>
              <c:ext xmlns:c16="http://schemas.microsoft.com/office/drawing/2014/chart" uri="{C3380CC4-5D6E-409C-BE32-E72D297353CC}">
                <c16:uniqueId val="{00000057-D924-4130-9E03-AF284DDDAB6A}"/>
              </c:ext>
            </c:extLst>
          </c:dPt>
          <c:dPt>
            <c:idx val="44"/>
            <c:bubble3D val="0"/>
            <c:spPr>
              <a:solidFill>
                <a:srgbClr val="034913"/>
              </a:solidFill>
            </c:spPr>
            <c:extLst>
              <c:ext xmlns:c16="http://schemas.microsoft.com/office/drawing/2014/chart" uri="{C3380CC4-5D6E-409C-BE32-E72D297353CC}">
                <c16:uniqueId val="{00000059-D924-4130-9E03-AF284DDDAB6A}"/>
              </c:ext>
            </c:extLst>
          </c:dPt>
          <c:dPt>
            <c:idx val="45"/>
            <c:bubble3D val="0"/>
            <c:spPr>
              <a:solidFill>
                <a:srgbClr val="DE5FBC"/>
              </a:solidFill>
            </c:spPr>
            <c:extLst>
              <c:ext xmlns:c16="http://schemas.microsoft.com/office/drawing/2014/chart" uri="{C3380CC4-5D6E-409C-BE32-E72D297353CC}">
                <c16:uniqueId val="{0000005B-D924-4130-9E03-AF284DDDAB6A}"/>
              </c:ext>
            </c:extLst>
          </c:dPt>
          <c:dPt>
            <c:idx val="46"/>
            <c:bubble3D val="0"/>
            <c:spPr>
              <a:solidFill>
                <a:srgbClr val="FFA016"/>
              </a:solidFill>
            </c:spPr>
            <c:extLst>
              <c:ext xmlns:c16="http://schemas.microsoft.com/office/drawing/2014/chart" uri="{C3380CC4-5D6E-409C-BE32-E72D297353CC}">
                <c16:uniqueId val="{0000005D-D924-4130-9E03-AF284DDDAB6A}"/>
              </c:ext>
            </c:extLst>
          </c:dPt>
          <c:dPt>
            <c:idx val="47"/>
            <c:bubble3D val="0"/>
            <c:spPr>
              <a:solidFill>
                <a:srgbClr val="CA483E"/>
              </a:solidFill>
            </c:spPr>
            <c:extLst>
              <c:ext xmlns:c16="http://schemas.microsoft.com/office/drawing/2014/chart" uri="{C3380CC4-5D6E-409C-BE32-E72D297353CC}">
                <c16:uniqueId val="{0000005F-D924-4130-9E03-AF284DDDAB6A}"/>
              </c:ext>
            </c:extLst>
          </c:dPt>
          <c:dPt>
            <c:idx val="48"/>
            <c:bubble3D val="0"/>
            <c:spPr>
              <a:solidFill>
                <a:srgbClr val="08AA0E"/>
              </a:solidFill>
            </c:spPr>
            <c:extLst>
              <c:ext xmlns:c16="http://schemas.microsoft.com/office/drawing/2014/chart" uri="{C3380CC4-5D6E-409C-BE32-E72D297353CC}">
                <c16:uniqueId val="{00000061-D924-4130-9E03-AF284DDDAB6A}"/>
              </c:ext>
            </c:extLst>
          </c:dPt>
          <c:dPt>
            <c:idx val="49"/>
            <c:bubble3D val="0"/>
            <c:spPr>
              <a:solidFill>
                <a:srgbClr val="1C061A"/>
              </a:solidFill>
            </c:spPr>
            <c:extLst>
              <c:ext xmlns:c16="http://schemas.microsoft.com/office/drawing/2014/chart" uri="{C3380CC4-5D6E-409C-BE32-E72D297353CC}">
                <c16:uniqueId val="{00000063-D924-4130-9E03-AF284DDDAB6A}"/>
              </c:ext>
            </c:extLst>
          </c:dPt>
          <c:dPt>
            <c:idx val="50"/>
            <c:bubble3D val="0"/>
            <c:spPr>
              <a:solidFill>
                <a:srgbClr val="055D5E"/>
              </a:solidFill>
            </c:spPr>
            <c:extLst>
              <c:ext xmlns:c16="http://schemas.microsoft.com/office/drawing/2014/chart" uri="{C3380CC4-5D6E-409C-BE32-E72D297353CC}">
                <c16:uniqueId val="{00000065-D924-4130-9E03-AF284DDDAB6A}"/>
              </c:ext>
            </c:extLst>
          </c:dPt>
          <c:dPt>
            <c:idx val="51"/>
            <c:bubble3D val="0"/>
            <c:spPr>
              <a:solidFill>
                <a:srgbClr val="1B79F0"/>
              </a:solidFill>
            </c:spPr>
            <c:extLst>
              <c:ext xmlns:c16="http://schemas.microsoft.com/office/drawing/2014/chart" uri="{C3380CC4-5D6E-409C-BE32-E72D297353CC}">
                <c16:uniqueId val="{00000067-D924-4130-9E03-AF284DDDAB6A}"/>
              </c:ext>
            </c:extLst>
          </c:dPt>
          <c:dPt>
            <c:idx val="52"/>
            <c:bubble3D val="0"/>
            <c:spPr>
              <a:solidFill>
                <a:srgbClr val="FFCB63"/>
              </a:solidFill>
            </c:spPr>
            <c:extLst>
              <c:ext xmlns:c16="http://schemas.microsoft.com/office/drawing/2014/chart" uri="{C3380CC4-5D6E-409C-BE32-E72D297353CC}">
                <c16:uniqueId val="{00000069-D924-4130-9E03-AF284DDDAB6A}"/>
              </c:ext>
            </c:extLst>
          </c:dPt>
          <c:dPt>
            <c:idx val="53"/>
            <c:bubble3D val="0"/>
            <c:spPr>
              <a:solidFill>
                <a:srgbClr val="025B4F"/>
              </a:solidFill>
            </c:spPr>
            <c:extLst>
              <c:ext xmlns:c16="http://schemas.microsoft.com/office/drawing/2014/chart" uri="{C3380CC4-5D6E-409C-BE32-E72D297353CC}">
                <c16:uniqueId val="{0000006B-D924-4130-9E03-AF284DDDAB6A}"/>
              </c:ext>
            </c:extLst>
          </c:dPt>
          <c:cat>
            <c:strRef>
              <c:f>Analises!$A$12:$A$65</c:f>
              <c:strCache>
                <c:ptCount val="54"/>
                <c:pt idx="0">
                  <c:v>Siderurgia</c:v>
                </c:pt>
                <c:pt idx="1">
                  <c:v>Mineração</c:v>
                </c:pt>
                <c:pt idx="2">
                  <c:v>Petróleo e Gás</c:v>
                </c:pt>
                <c:pt idx="3">
                  <c:v>Papel e Celulose</c:v>
                </c:pt>
                <c:pt idx="4">
                  <c:v>Energia Elétrica</c:v>
                </c:pt>
                <c:pt idx="5">
                  <c:v>Shopping Centers</c:v>
                </c:pt>
                <c:pt idx="6">
                  <c:v>Instituição Financeira</c:v>
                </c:pt>
                <c:pt idx="7">
                  <c:v>Saúde (Hospitais)</c:v>
                </c:pt>
                <c:pt idx="8">
                  <c:v>Petroquímica</c:v>
                </c:pt>
                <c:pt idx="9">
                  <c:v>Transporte Aéreo</c:v>
                </c:pt>
                <c:pt idx="10">
                  <c:v>Educação</c:v>
                </c:pt>
                <c:pt idx="11">
                  <c:v>Distribuição e Varejo</c:v>
                </c:pt>
                <c:pt idx="12">
                  <c:v>Construção Civil</c:v>
                </c:pt>
                <c:pt idx="13">
                  <c:v>Calçados e Moda</c:v>
                </c:pt>
                <c:pt idx="14">
                  <c:v>Alimentos (Carnes)</c:v>
                </c:pt>
                <c:pt idx="15">
                  <c:v>Varejo (Supermercados)</c:v>
                </c:pt>
                <c:pt idx="16">
                  <c:v>Alimentos (Processados)</c:v>
                </c:pt>
                <c:pt idx="17">
                  <c:v>Telecomunicações</c:v>
                </c:pt>
                <c:pt idx="18">
                  <c:v>Transporte (Ferrovias)</c:v>
                </c:pt>
                <c:pt idx="19">
                  <c:v>Serviços Financeiros</c:v>
                </c:pt>
                <c:pt idx="20">
                  <c:v>Indústria</c:v>
                </c:pt>
                <c:pt idx="21">
                  <c:v>Investimentos Diversificados</c:v>
                </c:pt>
                <c:pt idx="22">
                  <c:v>Tecnologia (Hospedagem de Sites)</c:v>
                </c:pt>
                <c:pt idx="23">
                  <c:v>Conglomerado Financeiro</c:v>
                </c:pt>
                <c:pt idx="24">
                  <c:v>Varejo (Farmácias)</c:v>
                </c:pt>
                <c:pt idx="25">
                  <c:v>Metalurgia</c:v>
                </c:pt>
                <c:pt idx="26">
                  <c:v>Energia e Infraestrutura</c:v>
                </c:pt>
                <c:pt idx="27">
                  <c:v>Varejo (Lojas de Departamento)</c:v>
                </c:pt>
                <c:pt idx="28">
                  <c:v>Energia e Biocombustíveis</c:v>
                </c:pt>
                <c:pt idx="29">
                  <c:v>Transporte e Logística</c:v>
                </c:pt>
                <c:pt idx="30">
                  <c:v>Bebidas</c:v>
                </c:pt>
                <c:pt idx="31">
                  <c:v>Seguros e Previdência</c:v>
                </c:pt>
                <c:pt idx="32">
                  <c:v>Saneamento Básico</c:v>
                </c:pt>
                <c:pt idx="33">
                  <c:v>Tecnologia (Software)</c:v>
                </c:pt>
                <c:pt idx="34">
                  <c:v>Energia (Geração e Exploração)</c:v>
                </c:pt>
                <c:pt idx="35">
                  <c:v>Tecnologia (Motores Elétricos)</c:v>
                </c:pt>
                <c:pt idx="36">
                  <c:v>Agricultura</c:v>
                </c:pt>
                <c:pt idx="37">
                  <c:v>Logística e Transporte</c:v>
                </c:pt>
                <c:pt idx="38">
                  <c:v>Transporte (Concessões)</c:v>
                </c:pt>
                <c:pt idx="39">
                  <c:v>Energia</c:v>
                </c:pt>
                <c:pt idx="40">
                  <c:v>Seguros</c:v>
                </c:pt>
                <c:pt idx="41">
                  <c:v>Varejo (Pet Shops)</c:v>
                </c:pt>
                <c:pt idx="42">
                  <c:v>Saúde (Laboratórios)</c:v>
                </c:pt>
                <c:pt idx="43">
                  <c:v>Moda e Vestuário</c:v>
                </c:pt>
                <c:pt idx="44">
                  <c:v>Aeroespacial e Defesa</c:v>
                </c:pt>
                <c:pt idx="45">
                  <c:v>Cosméticos e Bem-estar</c:v>
                </c:pt>
                <c:pt idx="46">
                  <c:v>Varejo (Atacado)</c:v>
                </c:pt>
                <c:pt idx="47">
                  <c:v>Farmacêutica</c:v>
                </c:pt>
                <c:pt idx="48">
                  <c:v>Agronegócio (Açúcar e Álcool)</c:v>
                </c:pt>
                <c:pt idx="49">
                  <c:v>Saúde (Planos de Saúde)</c:v>
                </c:pt>
                <c:pt idx="50">
                  <c:v>Varejo (Moda)</c:v>
                </c:pt>
                <c:pt idx="51">
                  <c:v>Varejo (Eletrodomésticos)</c:v>
                </c:pt>
                <c:pt idx="52">
                  <c:v>Aluguel de Carros</c:v>
                </c:pt>
                <c:pt idx="53">
                  <c:v>Agência de Viagens</c:v>
                </c:pt>
              </c:strCache>
            </c:strRef>
          </c:cat>
          <c:val>
            <c:numRef>
              <c:f>Analises!$C$12:$C$65</c:f>
              <c:numCache>
                <c:formatCode>[$R$ -416]#,##0.00</c:formatCode>
                <c:ptCount val="54"/>
                <c:pt idx="0">
                  <c:v>450890323.99287391</c:v>
                </c:pt>
                <c:pt idx="1">
                  <c:v>4940442965.5504341</c:v>
                </c:pt>
                <c:pt idx="2">
                  <c:v>6093288832.2628355</c:v>
                </c:pt>
                <c:pt idx="3">
                  <c:v>722946282.7090385</c:v>
                </c:pt>
                <c:pt idx="4">
                  <c:v>682315640.01204407</c:v>
                </c:pt>
                <c:pt idx="5">
                  <c:v>117732680.07842509</c:v>
                </c:pt>
                <c:pt idx="6">
                  <c:v>3740512018.7834516</c:v>
                </c:pt>
                <c:pt idx="7">
                  <c:v>453917907.01323998</c:v>
                </c:pt>
                <c:pt idx="8">
                  <c:v>69054317.636038527</c:v>
                </c:pt>
                <c:pt idx="9">
                  <c:v>65452205.552800186</c:v>
                </c:pt>
                <c:pt idx="10">
                  <c:v>72295838.986160949</c:v>
                </c:pt>
                <c:pt idx="11">
                  <c:v>388705223.95601785</c:v>
                </c:pt>
                <c:pt idx="12">
                  <c:v>37525872.377283879</c:v>
                </c:pt>
                <c:pt idx="13">
                  <c:v>41021792.090771534</c:v>
                </c:pt>
                <c:pt idx="14">
                  <c:v>174787913.52611017</c:v>
                </c:pt>
                <c:pt idx="15">
                  <c:v>6340916.223143544</c:v>
                </c:pt>
                <c:pt idx="16">
                  <c:v>233045769.56633979</c:v>
                </c:pt>
                <c:pt idx="17">
                  <c:v>292938114.42357796</c:v>
                </c:pt>
                <c:pt idx="18">
                  <c:v>229771333.63468358</c:v>
                </c:pt>
                <c:pt idx="19">
                  <c:v>43657683.375540853</c:v>
                </c:pt>
                <c:pt idx="20">
                  <c:v>18068446.609983239</c:v>
                </c:pt>
                <c:pt idx="21">
                  <c:v>42238249.539986439</c:v>
                </c:pt>
                <c:pt idx="22">
                  <c:v>15598886.650556229</c:v>
                </c:pt>
                <c:pt idx="23">
                  <c:v>373853994.88377655</c:v>
                </c:pt>
                <c:pt idx="24">
                  <c:v>202352473.73982856</c:v>
                </c:pt>
                <c:pt idx="25">
                  <c:v>39045606.935449012</c:v>
                </c:pt>
                <c:pt idx="26">
                  <c:v>127229653.18222687</c:v>
                </c:pt>
                <c:pt idx="27">
                  <c:v>28493619.274394516</c:v>
                </c:pt>
                <c:pt idx="28">
                  <c:v>11571106.417007603</c:v>
                </c:pt>
                <c:pt idx="29">
                  <c:v>4131341.1578905098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D924-4130-9E03-AF284DDDA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Variação em Reais versus Resultado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Analises!$B$70</c:f>
              <c:strCache>
                <c:ptCount val="1"/>
                <c:pt idx="0">
                  <c:v>Variação em Reais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Analises!$A$71:$A$73</c:f>
              <c:strCache>
                <c:ptCount val="3"/>
                <c:pt idx="0">
                  <c:v>Subiu</c:v>
                </c:pt>
                <c:pt idx="1">
                  <c:v>Manteve</c:v>
                </c:pt>
                <c:pt idx="2">
                  <c:v>Desceu</c:v>
                </c:pt>
              </c:strCache>
            </c:strRef>
          </c:cat>
          <c:val>
            <c:numRef>
              <c:f>Analises!$B$71:$B$73</c:f>
              <c:numCache>
                <c:formatCode>[$R$ -416]#,##0.00</c:formatCode>
                <c:ptCount val="3"/>
                <c:pt idx="0">
                  <c:v>19719227010.141911</c:v>
                </c:pt>
                <c:pt idx="1">
                  <c:v>0</c:v>
                </c:pt>
                <c:pt idx="2">
                  <c:v>-6338819961.3153486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F7-437E-8510-03CE229E4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915155"/>
        <c:axId val="1054413120"/>
      </c:barChart>
      <c:catAx>
        <c:axId val="7479151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54413120"/>
        <c:crosses val="autoZero"/>
        <c:auto val="1"/>
        <c:lblAlgn val="ctr"/>
        <c:lblOffset val="100"/>
        <c:noMultiLvlLbl val="1"/>
      </c:catAx>
      <c:valAx>
        <c:axId val="10544131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Variação em Reais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4791515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Quantiade de Empresas versus Variação Por Idade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Analises!$C$77</c:f>
              <c:strCache>
                <c:ptCount val="1"/>
                <c:pt idx="0">
                  <c:v>Quantiade de Empresas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Analises!$A$78:$A$80</c:f>
              <c:strCache>
                <c:ptCount val="3"/>
                <c:pt idx="0">
                  <c:v>Entre 50 e 100</c:v>
                </c:pt>
                <c:pt idx="1">
                  <c:v>Menos que 50 Anos</c:v>
                </c:pt>
                <c:pt idx="2">
                  <c:v>Mais de 100 Anos</c:v>
                </c:pt>
              </c:strCache>
            </c:strRef>
          </c:cat>
          <c:val>
            <c:numRef>
              <c:f>Analises!$C$78:$C$80</c:f>
              <c:numCache>
                <c:formatCode>General</c:formatCode>
                <c:ptCount val="3"/>
                <c:pt idx="0">
                  <c:v>32</c:v>
                </c:pt>
                <c:pt idx="1">
                  <c:v>34</c:v>
                </c:pt>
                <c:pt idx="2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9C6-4A2A-BF7D-FE9A10B6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69311"/>
        <c:axId val="499942372"/>
      </c:barChart>
      <c:catAx>
        <c:axId val="212176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Variação Por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99942372"/>
        <c:crosses val="autoZero"/>
        <c:auto val="1"/>
        <c:lblAlgn val="ctr"/>
        <c:lblOffset val="100"/>
        <c:noMultiLvlLbl val="1"/>
      </c:catAx>
      <c:valAx>
        <c:axId val="499942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Quantiade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17693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10</xdr:row>
      <xdr:rowOff>19050</xdr:rowOff>
    </xdr:from>
    <xdr:ext cx="4848225" cy="40290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28575</xdr:colOff>
      <xdr:row>64</xdr:row>
      <xdr:rowOff>19050</xdr:rowOff>
    </xdr:from>
    <xdr:ext cx="5076825" cy="31337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95250</xdr:colOff>
      <xdr:row>83</xdr:row>
      <xdr:rowOff>85725</xdr:rowOff>
    </xdr:from>
    <xdr:ext cx="4905375" cy="302895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P1" workbookViewId="0">
      <selection activeCell="AA8" sqref="AA8"/>
    </sheetView>
  </sheetViews>
  <sheetFormatPr defaultColWidth="12.5703125" defaultRowHeight="15" customHeight="1"/>
  <cols>
    <col min="1" max="12" width="16.28515625" style="25" customWidth="1"/>
    <col min="13" max="13" width="18.85546875" style="25" customWidth="1"/>
    <col min="14" max="14" width="27.7109375" style="25" customWidth="1"/>
    <col min="15" max="15" width="26" style="25" customWidth="1"/>
    <col min="16" max="16" width="12.5703125" style="25" customWidth="1"/>
    <col min="17" max="17" width="22.85546875" style="25" customWidth="1"/>
    <col min="18" max="18" width="30.5703125" style="25" customWidth="1"/>
    <col min="19" max="19" width="21.5703125" style="25" customWidth="1"/>
    <col min="20" max="20" width="23.7109375" style="25" customWidth="1"/>
    <col min="21" max="21" width="19.7109375" style="25" customWidth="1"/>
    <col min="22" max="22" width="17.140625" style="25" customWidth="1"/>
    <col min="23" max="23" width="15" style="25" bestFit="1" customWidth="1"/>
    <col min="24" max="24" width="14.85546875" style="25" bestFit="1" customWidth="1"/>
    <col min="25" max="16384" width="12.5703125" style="25"/>
  </cols>
  <sheetData>
    <row r="1" spans="1:26" ht="15.75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7" t="s">
        <v>11</v>
      </c>
      <c r="M1" s="27" t="s">
        <v>12</v>
      </c>
      <c r="N1" s="28" t="s">
        <v>13</v>
      </c>
      <c r="O1" s="27" t="s">
        <v>14</v>
      </c>
      <c r="P1" s="29" t="s">
        <v>15</v>
      </c>
      <c r="Q1" s="30" t="s">
        <v>16</v>
      </c>
      <c r="R1" s="30" t="s">
        <v>1092</v>
      </c>
      <c r="S1" s="30" t="s">
        <v>17</v>
      </c>
      <c r="T1" s="30" t="s">
        <v>18</v>
      </c>
      <c r="U1" s="47" t="s">
        <v>1093</v>
      </c>
      <c r="V1" s="47" t="s">
        <v>1094</v>
      </c>
      <c r="W1" s="47" t="s">
        <v>1095</v>
      </c>
      <c r="X1" s="47" t="s">
        <v>1096</v>
      </c>
      <c r="Y1" s="24"/>
      <c r="Z1" s="24"/>
    </row>
    <row r="2" spans="1:26" ht="15.75" customHeight="1">
      <c r="A2" s="31" t="s">
        <v>19</v>
      </c>
      <c r="B2" s="32">
        <v>45317</v>
      </c>
      <c r="C2" s="33">
        <v>9.5</v>
      </c>
      <c r="D2" s="31">
        <v>5.2</v>
      </c>
      <c r="E2" s="31">
        <v>11.76</v>
      </c>
      <c r="F2" s="31">
        <v>2.2599999999999998</v>
      </c>
      <c r="G2" s="31">
        <v>2.2599999999999998</v>
      </c>
      <c r="H2" s="31">
        <v>15.97</v>
      </c>
      <c r="I2" s="31">
        <v>9.18</v>
      </c>
      <c r="J2" s="31">
        <v>9.56</v>
      </c>
      <c r="K2" s="31" t="s">
        <v>20</v>
      </c>
      <c r="L2" s="34">
        <f t="shared" ref="L2:L82" si="0">D2/100</f>
        <v>5.2000000000000005E-2</v>
      </c>
      <c r="M2" s="35">
        <f t="shared" ref="M2:M82" si="1">C2/(L2+1)</f>
        <v>9.0304182509505697</v>
      </c>
      <c r="N2" s="36">
        <f>VLOOKUP(A2,Total_de_acoes!A:B,2,0)</f>
        <v>515117391</v>
      </c>
      <c r="O2" s="36">
        <f t="shared" ref="O2:O82" si="2">(C2-M2)*N2</f>
        <v>241889725.43155926</v>
      </c>
      <c r="P2" s="37" t="str">
        <f t="shared" ref="P2:P82" si="3">IF(O2&gt;0,"Subiu",IF(O2&lt;0,"Desceu","Manteve"))</f>
        <v>Subiu</v>
      </c>
      <c r="Q2" s="37" t="str">
        <f>VLOOKUP(A2,Ticker!A:B,2,0)</f>
        <v>Usiminas</v>
      </c>
      <c r="R2" s="37" t="str">
        <f>VLOOKUP(Principal!Q2,CHATGPT!A:C,2,0)</f>
        <v>Siderurgia</v>
      </c>
      <c r="S2" s="37">
        <f>VLOOKUP(Q2,CHATGPT!A:C,3,0)</f>
        <v>60</v>
      </c>
      <c r="T2" s="46" t="str">
        <f t="shared" ref="T2:T82" si="4">IF(S2&gt;100,"Mais de 100 Anos",IF(S2&lt;50,"Menos que 50 Anos","Entre 50 e 100"))</f>
        <v>Entre 50 e 100</v>
      </c>
      <c r="U2" s="48">
        <f>E2/100</f>
        <v>0.1176</v>
      </c>
      <c r="V2" s="49">
        <f>F2/100</f>
        <v>2.2599999999999999E-2</v>
      </c>
      <c r="W2" s="49">
        <f>G2/100</f>
        <v>2.2599999999999999E-2</v>
      </c>
      <c r="X2" s="49">
        <f>H2/100</f>
        <v>0.15970000000000001</v>
      </c>
      <c r="Y2" s="24"/>
      <c r="Z2" s="24"/>
    </row>
    <row r="3" spans="1:26" ht="15.75" customHeight="1">
      <c r="A3" s="38" t="s">
        <v>21</v>
      </c>
      <c r="B3" s="39">
        <v>45317</v>
      </c>
      <c r="C3" s="38">
        <v>6.82</v>
      </c>
      <c r="D3" s="38">
        <v>2.4</v>
      </c>
      <c r="E3" s="38">
        <v>2.4</v>
      </c>
      <c r="F3" s="38">
        <v>-12.11</v>
      </c>
      <c r="G3" s="38">
        <v>-12.11</v>
      </c>
      <c r="H3" s="38">
        <v>50.56</v>
      </c>
      <c r="I3" s="38">
        <v>6.66</v>
      </c>
      <c r="J3" s="38">
        <v>6.86</v>
      </c>
      <c r="K3" s="38" t="s">
        <v>22</v>
      </c>
      <c r="L3" s="34">
        <f t="shared" si="0"/>
        <v>2.4E-2</v>
      </c>
      <c r="M3" s="35">
        <f t="shared" si="1"/>
        <v>6.66015625</v>
      </c>
      <c r="N3" s="40">
        <f>VLOOKUP(A3,Total_de_acoes!A:B,2,0)</f>
        <v>1110559345</v>
      </c>
      <c r="O3" s="36">
        <f t="shared" si="2"/>
        <v>177515970.30234405</v>
      </c>
      <c r="P3" s="37" t="str">
        <f t="shared" si="3"/>
        <v>Subiu</v>
      </c>
      <c r="Q3" s="37" t="str">
        <f>VLOOKUP(A3,Ticker!A:B,2,0)</f>
        <v>CSN Mineração</v>
      </c>
      <c r="R3" s="37" t="str">
        <f>VLOOKUP(Principal!Q3,CHATGPT!A:C,2,0)</f>
        <v>Mineração</v>
      </c>
      <c r="S3" s="37">
        <f>VLOOKUP(Q3,CHATGPT!A:C,3,0)</f>
        <v>10</v>
      </c>
      <c r="T3" s="46" t="str">
        <f t="shared" si="4"/>
        <v>Menos que 50 Anos</v>
      </c>
      <c r="U3" s="48">
        <f t="shared" ref="U3:U66" si="5">E3/100</f>
        <v>2.4E-2</v>
      </c>
      <c r="V3" s="49">
        <f t="shared" ref="V3:V66" si="6">F3/100</f>
        <v>-0.1211</v>
      </c>
      <c r="W3" s="49">
        <f t="shared" ref="W3:W66" si="7">G3/100</f>
        <v>-0.1211</v>
      </c>
      <c r="X3" s="49">
        <f t="shared" ref="X3:X66" si="8">H3/100</f>
        <v>0.50560000000000005</v>
      </c>
      <c r="Y3" s="24"/>
      <c r="Z3" s="24"/>
    </row>
    <row r="4" spans="1:26" ht="15.75" customHeight="1">
      <c r="A4" s="31" t="s">
        <v>23</v>
      </c>
      <c r="B4" s="32">
        <v>45317</v>
      </c>
      <c r="C4" s="31">
        <v>41.96</v>
      </c>
      <c r="D4" s="31">
        <v>2.19</v>
      </c>
      <c r="E4" s="31">
        <v>7.73</v>
      </c>
      <c r="F4" s="31">
        <v>7.64</v>
      </c>
      <c r="G4" s="31">
        <v>7.64</v>
      </c>
      <c r="H4" s="31">
        <v>77.55</v>
      </c>
      <c r="I4" s="31">
        <v>40.81</v>
      </c>
      <c r="J4" s="31">
        <v>42.34</v>
      </c>
      <c r="K4" s="31" t="s">
        <v>24</v>
      </c>
      <c r="L4" s="34">
        <f t="shared" si="0"/>
        <v>2.1899999999999999E-2</v>
      </c>
      <c r="M4" s="35">
        <f t="shared" si="1"/>
        <v>41.060769155494668</v>
      </c>
      <c r="N4" s="40">
        <f>VLOOKUP(A4,Total_de_acoes!A:B,2,0)</f>
        <v>2379877655</v>
      </c>
      <c r="O4" s="36">
        <f t="shared" si="2"/>
        <v>2140059393.5250204</v>
      </c>
      <c r="P4" s="37" t="str">
        <f t="shared" si="3"/>
        <v>Subiu</v>
      </c>
      <c r="Q4" s="37" t="str">
        <f>VLOOKUP(A4,Ticker!A:B,2,0)</f>
        <v>Petrobras</v>
      </c>
      <c r="R4" s="37" t="str">
        <f>VLOOKUP(Principal!Q4,CHATGPT!A:C,2,0)</f>
        <v>Petróleo e Gás</v>
      </c>
      <c r="S4" s="37">
        <f>VLOOKUP(Q4,CHATGPT!A:C,3,0)</f>
        <v>68</v>
      </c>
      <c r="T4" s="46" t="str">
        <f t="shared" si="4"/>
        <v>Entre 50 e 100</v>
      </c>
      <c r="U4" s="48">
        <f t="shared" si="5"/>
        <v>7.7300000000000008E-2</v>
      </c>
      <c r="V4" s="49">
        <f t="shared" si="6"/>
        <v>7.6399999999999996E-2</v>
      </c>
      <c r="W4" s="49">
        <f t="shared" si="7"/>
        <v>7.6399999999999996E-2</v>
      </c>
      <c r="X4" s="49">
        <f t="shared" si="8"/>
        <v>0.77549999999999997</v>
      </c>
      <c r="Y4" s="24"/>
      <c r="Z4" s="24"/>
    </row>
    <row r="5" spans="1:26" ht="15.75" customHeight="1">
      <c r="A5" s="38" t="s">
        <v>25</v>
      </c>
      <c r="B5" s="39">
        <v>45317</v>
      </c>
      <c r="C5" s="38">
        <v>52.91</v>
      </c>
      <c r="D5" s="38">
        <v>2.04</v>
      </c>
      <c r="E5" s="38">
        <v>2.14</v>
      </c>
      <c r="F5" s="38">
        <v>-4.8899999999999997</v>
      </c>
      <c r="G5" s="38">
        <v>-4.8899999999999997</v>
      </c>
      <c r="H5" s="38">
        <v>18.850000000000001</v>
      </c>
      <c r="I5" s="38">
        <v>51.89</v>
      </c>
      <c r="J5" s="38">
        <v>53.17</v>
      </c>
      <c r="K5" s="38" t="s">
        <v>26</v>
      </c>
      <c r="L5" s="34">
        <f t="shared" si="0"/>
        <v>2.0400000000000001E-2</v>
      </c>
      <c r="M5" s="35">
        <f t="shared" si="1"/>
        <v>51.85221481771854</v>
      </c>
      <c r="N5" s="40">
        <f>VLOOKUP(A5,Total_de_acoes!A:B,2,0)</f>
        <v>683452836</v>
      </c>
      <c r="O5" s="36">
        <f t="shared" si="2"/>
        <v>722946282.7090385</v>
      </c>
      <c r="P5" s="37" t="str">
        <f t="shared" si="3"/>
        <v>Subiu</v>
      </c>
      <c r="Q5" s="37" t="str">
        <f>VLOOKUP(A5,Ticker!A:B,2,0)</f>
        <v>Suzano</v>
      </c>
      <c r="R5" s="37" t="str">
        <f>VLOOKUP(Principal!Q5,CHATGPT!A:C,2,0)</f>
        <v>Papel e Celulose</v>
      </c>
      <c r="S5" s="37">
        <f>VLOOKUP(Q5,CHATGPT!A:C,3,0)</f>
        <v>100</v>
      </c>
      <c r="T5" s="46" t="str">
        <f t="shared" si="4"/>
        <v>Entre 50 e 100</v>
      </c>
      <c r="U5" s="48">
        <f t="shared" si="5"/>
        <v>2.1400000000000002E-2</v>
      </c>
      <c r="V5" s="49">
        <f t="shared" si="6"/>
        <v>-4.8899999999999999E-2</v>
      </c>
      <c r="W5" s="49">
        <f t="shared" si="7"/>
        <v>-4.8899999999999999E-2</v>
      </c>
      <c r="X5" s="49">
        <f t="shared" si="8"/>
        <v>0.1885</v>
      </c>
      <c r="Y5" s="24"/>
      <c r="Z5" s="24"/>
    </row>
    <row r="6" spans="1:26" ht="15.75" customHeight="1">
      <c r="A6" s="31" t="s">
        <v>27</v>
      </c>
      <c r="B6" s="32">
        <v>45317</v>
      </c>
      <c r="C6" s="33">
        <v>37.1</v>
      </c>
      <c r="D6" s="31">
        <v>2.0299999999999998</v>
      </c>
      <c r="E6" s="31">
        <v>2.4900000000000002</v>
      </c>
      <c r="F6" s="31">
        <v>-3.66</v>
      </c>
      <c r="G6" s="31">
        <v>-3.66</v>
      </c>
      <c r="H6" s="31">
        <v>20.7</v>
      </c>
      <c r="I6" s="31">
        <v>36.369999999999997</v>
      </c>
      <c r="J6" s="31">
        <v>37.32</v>
      </c>
      <c r="K6" s="31" t="s">
        <v>28</v>
      </c>
      <c r="L6" s="34">
        <f t="shared" si="0"/>
        <v>2.0299999999999999E-2</v>
      </c>
      <c r="M6" s="35">
        <f t="shared" si="1"/>
        <v>36.3618543565618</v>
      </c>
      <c r="N6" s="40">
        <f>VLOOKUP(A6,Total_de_acoes!A:B,2,0)</f>
        <v>187732538</v>
      </c>
      <c r="O6" s="36">
        <f t="shared" si="2"/>
        <v>138573955.05629665</v>
      </c>
      <c r="P6" s="37" t="str">
        <f t="shared" si="3"/>
        <v>Subiu</v>
      </c>
      <c r="Q6" s="37" t="str">
        <f>VLOOKUP(A6,Ticker!A:B,2,0)</f>
        <v>CPFL Energia</v>
      </c>
      <c r="R6" s="37" t="str">
        <f>VLOOKUP(Principal!Q6,CHATGPT!A:C,2,0)</f>
        <v>Energia Elétrica</v>
      </c>
      <c r="S6" s="37">
        <f>VLOOKUP(Q6,CHATGPT!A:C,3,0)</f>
        <v>108</v>
      </c>
      <c r="T6" s="46" t="str">
        <f t="shared" si="4"/>
        <v>Mais de 100 Anos</v>
      </c>
      <c r="U6" s="48">
        <f t="shared" si="5"/>
        <v>2.4900000000000002E-2</v>
      </c>
      <c r="V6" s="49">
        <f t="shared" si="6"/>
        <v>-3.6600000000000001E-2</v>
      </c>
      <c r="W6" s="49">
        <f t="shared" si="7"/>
        <v>-3.6600000000000001E-2</v>
      </c>
      <c r="X6" s="49">
        <f t="shared" si="8"/>
        <v>0.20699999999999999</v>
      </c>
      <c r="Y6" s="24"/>
      <c r="Z6" s="24"/>
    </row>
    <row r="7" spans="1:26" ht="15.75" customHeight="1">
      <c r="A7" s="38" t="s">
        <v>29</v>
      </c>
      <c r="B7" s="39">
        <v>45317</v>
      </c>
      <c r="C7" s="38">
        <v>45.69</v>
      </c>
      <c r="D7" s="38">
        <v>1.98</v>
      </c>
      <c r="E7" s="38">
        <v>2.42</v>
      </c>
      <c r="F7" s="38">
        <v>-0.78</v>
      </c>
      <c r="G7" s="38">
        <v>-0.78</v>
      </c>
      <c r="H7" s="38">
        <v>8.08</v>
      </c>
      <c r="I7" s="38">
        <v>44.25</v>
      </c>
      <c r="J7" s="38">
        <v>45.69</v>
      </c>
      <c r="K7" s="38" t="s">
        <v>30</v>
      </c>
      <c r="L7" s="34">
        <f t="shared" si="0"/>
        <v>1.9799999999999998E-2</v>
      </c>
      <c r="M7" s="35">
        <f t="shared" si="1"/>
        <v>44.802902529907819</v>
      </c>
      <c r="N7" s="40">
        <f>VLOOKUP(A7,Total_de_acoes!A:B,2,0)</f>
        <v>800010734</v>
      </c>
      <c r="O7" s="36">
        <f t="shared" si="2"/>
        <v>709687498.17798734</v>
      </c>
      <c r="P7" s="37" t="str">
        <f t="shared" si="3"/>
        <v>Subiu</v>
      </c>
      <c r="Q7" s="37" t="str">
        <f>VLOOKUP(A7,Ticker!A:B,2,0)</f>
        <v>PetroRio</v>
      </c>
      <c r="R7" s="37" t="str">
        <f>VLOOKUP(Principal!Q7,CHATGPT!A:C,2,0)</f>
        <v>Petróleo e Gás</v>
      </c>
      <c r="S7" s="37">
        <f>VLOOKUP(Q7,CHATGPT!A:C,3,0)</f>
        <v>8</v>
      </c>
      <c r="T7" s="46" t="str">
        <f t="shared" si="4"/>
        <v>Menos que 50 Anos</v>
      </c>
      <c r="U7" s="48">
        <f t="shared" si="5"/>
        <v>2.4199999999999999E-2</v>
      </c>
      <c r="V7" s="49">
        <f t="shared" si="6"/>
        <v>-7.8000000000000005E-3</v>
      </c>
      <c r="W7" s="49">
        <f t="shared" si="7"/>
        <v>-7.8000000000000005E-3</v>
      </c>
      <c r="X7" s="49">
        <f t="shared" si="8"/>
        <v>8.0799999999999997E-2</v>
      </c>
      <c r="Y7" s="24"/>
      <c r="Z7" s="24"/>
    </row>
    <row r="8" spans="1:26" ht="15.75" customHeight="1">
      <c r="A8" s="31" t="s">
        <v>31</v>
      </c>
      <c r="B8" s="32">
        <v>45317</v>
      </c>
      <c r="C8" s="31">
        <v>39.96</v>
      </c>
      <c r="D8" s="31">
        <v>1.73</v>
      </c>
      <c r="E8" s="31">
        <v>6.47</v>
      </c>
      <c r="F8" s="31">
        <v>7.3</v>
      </c>
      <c r="G8" s="31">
        <v>7.3</v>
      </c>
      <c r="H8" s="31">
        <v>95.01</v>
      </c>
      <c r="I8" s="31">
        <v>38.909999999999997</v>
      </c>
      <c r="J8" s="31">
        <v>40.090000000000003</v>
      </c>
      <c r="K8" s="31" t="s">
        <v>32</v>
      </c>
      <c r="L8" s="34">
        <f t="shared" si="0"/>
        <v>1.7299999999999999E-2</v>
      </c>
      <c r="M8" s="35">
        <f t="shared" si="1"/>
        <v>39.280448245355352</v>
      </c>
      <c r="N8" s="40">
        <f>VLOOKUP(A8,Total_de_acoes!A:B,2,0)</f>
        <v>4566445852</v>
      </c>
      <c r="O8" s="36">
        <f t="shared" si="2"/>
        <v>3103136291.2163792</v>
      </c>
      <c r="P8" s="37" t="str">
        <f t="shared" si="3"/>
        <v>Subiu</v>
      </c>
      <c r="Q8" s="37" t="str">
        <f>VLOOKUP(A8,Ticker!A:B,2,0)</f>
        <v>Petrobras</v>
      </c>
      <c r="R8" s="37" t="str">
        <f>VLOOKUP(Principal!Q8,CHATGPT!A:C,2,0)</f>
        <v>Petróleo e Gás</v>
      </c>
      <c r="S8" s="37">
        <f>VLOOKUP(Q8,CHATGPT!A:C,3,0)</f>
        <v>68</v>
      </c>
      <c r="T8" s="46" t="str">
        <f t="shared" si="4"/>
        <v>Entre 50 e 100</v>
      </c>
      <c r="U8" s="48">
        <f t="shared" si="5"/>
        <v>6.4699999999999994E-2</v>
      </c>
      <c r="V8" s="49">
        <f t="shared" si="6"/>
        <v>7.2999999999999995E-2</v>
      </c>
      <c r="W8" s="49">
        <f t="shared" si="7"/>
        <v>7.2999999999999995E-2</v>
      </c>
      <c r="X8" s="49">
        <f t="shared" si="8"/>
        <v>0.95010000000000006</v>
      </c>
      <c r="Y8" s="24"/>
      <c r="Z8" s="24"/>
    </row>
    <row r="9" spans="1:26" ht="15.75" customHeight="1">
      <c r="A9" s="38" t="s">
        <v>33</v>
      </c>
      <c r="B9" s="39">
        <v>45317</v>
      </c>
      <c r="C9" s="41">
        <v>69.5</v>
      </c>
      <c r="D9" s="38">
        <v>1.66</v>
      </c>
      <c r="E9" s="38">
        <v>2.06</v>
      </c>
      <c r="F9" s="38">
        <v>-9.9700000000000006</v>
      </c>
      <c r="G9" s="38">
        <v>-9.9700000000000006</v>
      </c>
      <c r="H9" s="38">
        <v>-23.49</v>
      </c>
      <c r="I9" s="38">
        <v>67.5</v>
      </c>
      <c r="J9" s="38">
        <v>69.81</v>
      </c>
      <c r="K9" s="38" t="s">
        <v>34</v>
      </c>
      <c r="L9" s="34">
        <f t="shared" si="0"/>
        <v>1.66E-2</v>
      </c>
      <c r="M9" s="35">
        <f t="shared" si="1"/>
        <v>68.365138697619514</v>
      </c>
      <c r="N9" s="40">
        <f>VLOOKUP(A9,Total_de_acoes!A:B,2,0)</f>
        <v>4196924316</v>
      </c>
      <c r="O9" s="36">
        <f t="shared" si="2"/>
        <v>4762926995.2480898</v>
      </c>
      <c r="P9" s="37" t="str">
        <f t="shared" si="3"/>
        <v>Subiu</v>
      </c>
      <c r="Q9" s="37" t="str">
        <f>VLOOKUP(A9,Ticker!A:B,2,0)</f>
        <v>Vale</v>
      </c>
      <c r="R9" s="37" t="str">
        <f>VLOOKUP(Principal!Q9,CHATGPT!A:C,2,0)</f>
        <v>Mineração</v>
      </c>
      <c r="S9" s="37">
        <f>VLOOKUP(Q9,CHATGPT!A:C,3,0)</f>
        <v>79</v>
      </c>
      <c r="T9" s="46" t="str">
        <f t="shared" si="4"/>
        <v>Entre 50 e 100</v>
      </c>
      <c r="U9" s="48">
        <f t="shared" si="5"/>
        <v>2.06E-2</v>
      </c>
      <c r="V9" s="49">
        <f t="shared" si="6"/>
        <v>-9.9700000000000011E-2</v>
      </c>
      <c r="W9" s="49">
        <f t="shared" si="7"/>
        <v>-9.9700000000000011E-2</v>
      </c>
      <c r="X9" s="49">
        <f t="shared" si="8"/>
        <v>-0.2349</v>
      </c>
      <c r="Y9" s="24"/>
      <c r="Z9" s="24"/>
    </row>
    <row r="10" spans="1:26" ht="15.75" customHeight="1">
      <c r="A10" s="31" t="s">
        <v>35</v>
      </c>
      <c r="B10" s="32">
        <v>45317</v>
      </c>
      <c r="C10" s="31">
        <v>28.19</v>
      </c>
      <c r="D10" s="31">
        <v>1.58</v>
      </c>
      <c r="E10" s="31">
        <v>2.0299999999999998</v>
      </c>
      <c r="F10" s="31">
        <v>-0.81</v>
      </c>
      <c r="G10" s="31">
        <v>-0.81</v>
      </c>
      <c r="H10" s="31">
        <v>24.02</v>
      </c>
      <c r="I10" s="31">
        <v>27.71</v>
      </c>
      <c r="J10" s="31">
        <v>28.36</v>
      </c>
      <c r="K10" s="31" t="s">
        <v>36</v>
      </c>
      <c r="L10" s="34">
        <f t="shared" si="0"/>
        <v>1.5800000000000002E-2</v>
      </c>
      <c r="M10" s="35">
        <f t="shared" si="1"/>
        <v>27.751525890923411</v>
      </c>
      <c r="N10" s="40">
        <f>VLOOKUP(A10,Total_de_acoes!A:B,2,0)</f>
        <v>268505432</v>
      </c>
      <c r="O10" s="36">
        <f t="shared" si="2"/>
        <v>117732680.07842509</v>
      </c>
      <c r="P10" s="37" t="str">
        <f t="shared" si="3"/>
        <v>Subiu</v>
      </c>
      <c r="Q10" s="37" t="str">
        <f>VLOOKUP(A10,Ticker!A:B,2,0)</f>
        <v>Multiplan</v>
      </c>
      <c r="R10" s="37" t="str">
        <f>VLOOKUP(Principal!Q10,CHATGPT!A:C,2,0)</f>
        <v>Shopping Centers</v>
      </c>
      <c r="S10" s="37">
        <f>VLOOKUP(Q10,CHATGPT!A:C,3,0)</f>
        <v>50</v>
      </c>
      <c r="T10" s="46" t="str">
        <f t="shared" si="4"/>
        <v>Entre 50 e 100</v>
      </c>
      <c r="U10" s="48">
        <f t="shared" si="5"/>
        <v>2.0299999999999999E-2</v>
      </c>
      <c r="V10" s="49">
        <f t="shared" si="6"/>
        <v>-8.1000000000000013E-3</v>
      </c>
      <c r="W10" s="49">
        <f t="shared" si="7"/>
        <v>-8.1000000000000013E-3</v>
      </c>
      <c r="X10" s="49">
        <f t="shared" si="8"/>
        <v>0.2402</v>
      </c>
      <c r="Y10" s="24"/>
      <c r="Z10" s="24"/>
    </row>
    <row r="11" spans="1:26" ht="15.75" customHeight="1">
      <c r="A11" s="38" t="s">
        <v>37</v>
      </c>
      <c r="B11" s="39">
        <v>45317</v>
      </c>
      <c r="C11" s="38">
        <v>32.81</v>
      </c>
      <c r="D11" s="38">
        <v>1.48</v>
      </c>
      <c r="E11" s="38">
        <v>-0.39</v>
      </c>
      <c r="F11" s="38">
        <v>-3.36</v>
      </c>
      <c r="G11" s="38">
        <v>-3.36</v>
      </c>
      <c r="H11" s="38">
        <v>34.25</v>
      </c>
      <c r="I11" s="38">
        <v>32.35</v>
      </c>
      <c r="J11" s="38">
        <v>32.909999999999997</v>
      </c>
      <c r="K11" s="38" t="s">
        <v>38</v>
      </c>
      <c r="L11" s="34">
        <f t="shared" si="0"/>
        <v>1.4800000000000001E-2</v>
      </c>
      <c r="M11" s="35">
        <f t="shared" si="1"/>
        <v>32.331493890421761</v>
      </c>
      <c r="N11" s="40">
        <f>VLOOKUP(A11,Total_de_acoes!A:B,2,0)</f>
        <v>4801593832</v>
      </c>
      <c r="O11" s="36">
        <f t="shared" si="2"/>
        <v>2297591984.3251982</v>
      </c>
      <c r="P11" s="37" t="str">
        <f t="shared" si="3"/>
        <v>Subiu</v>
      </c>
      <c r="Q11" s="37" t="str">
        <f>VLOOKUP(A11,Ticker!A:B,2,0)</f>
        <v>Itaú Unibanco</v>
      </c>
      <c r="R11" s="37" t="str">
        <f>VLOOKUP(Principal!Q11,CHATGPT!A:C,2,0)</f>
        <v>Instituição Financeira</v>
      </c>
      <c r="S11" s="37" t="str">
        <f>VLOOKUP(Q11,CHATGPT!A:C,3,0)</f>
        <v>13 (como Itaú Unibanco)</v>
      </c>
      <c r="T11" s="46" t="str">
        <f t="shared" si="4"/>
        <v>Mais de 100 Anos</v>
      </c>
      <c r="U11" s="48">
        <f t="shared" si="5"/>
        <v>-3.9000000000000003E-3</v>
      </c>
      <c r="V11" s="49">
        <f t="shared" si="6"/>
        <v>-3.3599999999999998E-2</v>
      </c>
      <c r="W11" s="49">
        <f t="shared" si="7"/>
        <v>-3.3599999999999998E-2</v>
      </c>
      <c r="X11" s="49">
        <f t="shared" si="8"/>
        <v>0.34250000000000003</v>
      </c>
      <c r="Y11" s="24"/>
      <c r="Z11" s="24"/>
    </row>
    <row r="12" spans="1:26" ht="15.75" customHeight="1">
      <c r="A12" s="31" t="s">
        <v>39</v>
      </c>
      <c r="B12" s="32">
        <v>45317</v>
      </c>
      <c r="C12" s="31">
        <v>27.56</v>
      </c>
      <c r="D12" s="31">
        <v>1.43</v>
      </c>
      <c r="E12" s="31">
        <v>3.41</v>
      </c>
      <c r="F12" s="31">
        <v>-4.17</v>
      </c>
      <c r="G12" s="31">
        <v>-4.17</v>
      </c>
      <c r="H12" s="31">
        <v>-6.01</v>
      </c>
      <c r="I12" s="31">
        <v>26.9</v>
      </c>
      <c r="J12" s="31">
        <v>27.91</v>
      </c>
      <c r="K12" s="31" t="s">
        <v>40</v>
      </c>
      <c r="L12" s="34">
        <f t="shared" si="0"/>
        <v>1.43E-2</v>
      </c>
      <c r="M12" s="35">
        <f t="shared" si="1"/>
        <v>27.171448289460709</v>
      </c>
      <c r="N12" s="40">
        <f>VLOOKUP(A12,Total_de_acoes!A:B,2,0)</f>
        <v>1168230366</v>
      </c>
      <c r="O12" s="36">
        <f t="shared" si="2"/>
        <v>453917907.01323998</v>
      </c>
      <c r="P12" s="37" t="str">
        <f t="shared" si="3"/>
        <v>Subiu</v>
      </c>
      <c r="Q12" s="37" t="str">
        <f>VLOOKUP(A12,Ticker!A:B,2,0)</f>
        <v>Rede D'Or</v>
      </c>
      <c r="R12" s="37" t="str">
        <f>VLOOKUP(Principal!Q12,CHATGPT!A:C,2,0)</f>
        <v>Saúde (Hospitais)</v>
      </c>
      <c r="S12" s="37">
        <f>VLOOKUP(Q12,CHATGPT!A:C,3,0)</f>
        <v>45</v>
      </c>
      <c r="T12" s="46" t="str">
        <f t="shared" si="4"/>
        <v>Menos que 50 Anos</v>
      </c>
      <c r="U12" s="48">
        <f t="shared" si="5"/>
        <v>3.4099999999999998E-2</v>
      </c>
      <c r="V12" s="49">
        <f t="shared" si="6"/>
        <v>-4.1700000000000001E-2</v>
      </c>
      <c r="W12" s="49">
        <f t="shared" si="7"/>
        <v>-4.1700000000000001E-2</v>
      </c>
      <c r="X12" s="49">
        <f t="shared" si="8"/>
        <v>-6.0100000000000001E-2</v>
      </c>
      <c r="Y12" s="24"/>
      <c r="Z12" s="24"/>
    </row>
    <row r="13" spans="1:26" ht="15.75" customHeight="1">
      <c r="A13" s="38" t="s">
        <v>41</v>
      </c>
      <c r="B13" s="39">
        <v>45317</v>
      </c>
      <c r="C13" s="38">
        <v>18.55</v>
      </c>
      <c r="D13" s="38">
        <v>1.42</v>
      </c>
      <c r="E13" s="38">
        <v>5.0999999999999996</v>
      </c>
      <c r="F13" s="38">
        <v>-15.14</v>
      </c>
      <c r="G13" s="38">
        <v>-15.14</v>
      </c>
      <c r="H13" s="38">
        <v>-18.39</v>
      </c>
      <c r="I13" s="38">
        <v>18.29</v>
      </c>
      <c r="J13" s="38">
        <v>18.73</v>
      </c>
      <c r="K13" s="38" t="s">
        <v>42</v>
      </c>
      <c r="L13" s="34">
        <f t="shared" si="0"/>
        <v>1.4199999999999999E-2</v>
      </c>
      <c r="M13" s="35">
        <f t="shared" si="1"/>
        <v>18.290278051666338</v>
      </c>
      <c r="N13" s="40">
        <f>VLOOKUP(A13,Total_de_acoes!A:B,2,0)</f>
        <v>265877867</v>
      </c>
      <c r="O13" s="36">
        <f t="shared" si="2"/>
        <v>69054317.636038527</v>
      </c>
      <c r="P13" s="37" t="str">
        <f t="shared" si="3"/>
        <v>Subiu</v>
      </c>
      <c r="Q13" s="37" t="str">
        <f>VLOOKUP(A13,Ticker!A:B,2,0)</f>
        <v>Braskem</v>
      </c>
      <c r="R13" s="37" t="str">
        <f>VLOOKUP(Principal!Q13,CHATGPT!A:C,2,0)</f>
        <v>Petroquímica</v>
      </c>
      <c r="S13" s="37">
        <f>VLOOKUP(Q13,CHATGPT!A:C,3,0)</f>
        <v>20</v>
      </c>
      <c r="T13" s="46" t="str">
        <f t="shared" si="4"/>
        <v>Menos que 50 Anos</v>
      </c>
      <c r="U13" s="48">
        <f t="shared" si="5"/>
        <v>5.0999999999999997E-2</v>
      </c>
      <c r="V13" s="49">
        <f t="shared" si="6"/>
        <v>-0.15140000000000001</v>
      </c>
      <c r="W13" s="49">
        <f t="shared" si="7"/>
        <v>-0.15140000000000001</v>
      </c>
      <c r="X13" s="49">
        <f t="shared" si="8"/>
        <v>-0.18390000000000001</v>
      </c>
      <c r="Y13" s="24"/>
      <c r="Z13" s="24"/>
    </row>
    <row r="14" spans="1:26" ht="15.75" customHeight="1">
      <c r="A14" s="31" t="s">
        <v>43</v>
      </c>
      <c r="B14" s="32">
        <v>45317</v>
      </c>
      <c r="C14" s="31">
        <v>14.27</v>
      </c>
      <c r="D14" s="31">
        <v>1.42</v>
      </c>
      <c r="E14" s="31">
        <v>8.85</v>
      </c>
      <c r="F14" s="31">
        <v>-10.87</v>
      </c>
      <c r="G14" s="31">
        <v>-10.87</v>
      </c>
      <c r="H14" s="31">
        <v>18.52</v>
      </c>
      <c r="I14" s="31">
        <v>13.8</v>
      </c>
      <c r="J14" s="31">
        <v>14.36</v>
      </c>
      <c r="K14" s="31" t="s">
        <v>44</v>
      </c>
      <c r="L14" s="34">
        <f t="shared" si="0"/>
        <v>1.4199999999999999E-2</v>
      </c>
      <c r="M14" s="35">
        <f t="shared" si="1"/>
        <v>14.070203115756261</v>
      </c>
      <c r="N14" s="40">
        <f>VLOOKUP(A14,Total_de_acoes!A:B,2,0)</f>
        <v>327593725</v>
      </c>
      <c r="O14" s="36">
        <f t="shared" si="2"/>
        <v>65452205.552800186</v>
      </c>
      <c r="P14" s="37" t="str">
        <f t="shared" si="3"/>
        <v>Subiu</v>
      </c>
      <c r="Q14" s="37" t="str">
        <f>VLOOKUP(A14,Ticker!A:B,2,0)</f>
        <v>Azul</v>
      </c>
      <c r="R14" s="37" t="str">
        <f>VLOOKUP(Principal!Q14,CHATGPT!A:C,2,0)</f>
        <v>Transporte Aéreo</v>
      </c>
      <c r="S14" s="37">
        <f>VLOOKUP(Q14,CHATGPT!A:C,3,0)</f>
        <v>13</v>
      </c>
      <c r="T14" s="46" t="str">
        <f t="shared" si="4"/>
        <v>Menos que 50 Anos</v>
      </c>
      <c r="U14" s="48">
        <f t="shared" si="5"/>
        <v>8.8499999999999995E-2</v>
      </c>
      <c r="V14" s="49">
        <f t="shared" si="6"/>
        <v>-0.10869999999999999</v>
      </c>
      <c r="W14" s="49">
        <f t="shared" si="7"/>
        <v>-0.10869999999999999</v>
      </c>
      <c r="X14" s="49">
        <f t="shared" si="8"/>
        <v>0.1852</v>
      </c>
      <c r="Y14" s="24"/>
      <c r="Z14" s="24"/>
    </row>
    <row r="15" spans="1:26" ht="15.75" customHeight="1">
      <c r="A15" s="38" t="s">
        <v>45</v>
      </c>
      <c r="B15" s="39">
        <v>45317</v>
      </c>
      <c r="C15" s="38">
        <v>28.75</v>
      </c>
      <c r="D15" s="38">
        <v>1.41</v>
      </c>
      <c r="E15" s="38">
        <v>-2.71</v>
      </c>
      <c r="F15" s="38">
        <v>9.4</v>
      </c>
      <c r="G15" s="38">
        <v>9.4</v>
      </c>
      <c r="H15" s="38">
        <v>-37.700000000000003</v>
      </c>
      <c r="I15" s="38">
        <v>28</v>
      </c>
      <c r="J15" s="38">
        <v>28.75</v>
      </c>
      <c r="K15" s="38" t="s">
        <v>46</v>
      </c>
      <c r="L15" s="34">
        <f t="shared" si="0"/>
        <v>1.41E-2</v>
      </c>
      <c r="M15" s="35">
        <f t="shared" si="1"/>
        <v>28.350261315452126</v>
      </c>
      <c r="N15" s="40">
        <f>VLOOKUP(A15,Total_de_acoes!A:B,2,0)</f>
        <v>235665566</v>
      </c>
      <c r="O15" s="36">
        <f t="shared" si="2"/>
        <v>94204643.346070096</v>
      </c>
      <c r="P15" s="37" t="str">
        <f t="shared" si="3"/>
        <v>Subiu</v>
      </c>
      <c r="Q15" s="37" t="str">
        <f>VLOOKUP(A15,Ticker!A:B,2,0)</f>
        <v>3R Petroleum</v>
      </c>
      <c r="R15" s="37" t="str">
        <f>VLOOKUP(Principal!Q15,CHATGPT!A:C,2,0)</f>
        <v>Petróleo e Gás</v>
      </c>
      <c r="S15" s="37">
        <f>VLOOKUP(Q15,CHATGPT!A:C,3,0)</f>
        <v>6</v>
      </c>
      <c r="T15" s="46" t="str">
        <f t="shared" si="4"/>
        <v>Menos que 50 Anos</v>
      </c>
      <c r="U15" s="48">
        <f t="shared" si="5"/>
        <v>-2.7099999999999999E-2</v>
      </c>
      <c r="V15" s="49">
        <f t="shared" si="6"/>
        <v>9.4E-2</v>
      </c>
      <c r="W15" s="49">
        <f t="shared" si="7"/>
        <v>9.4E-2</v>
      </c>
      <c r="X15" s="49">
        <f t="shared" si="8"/>
        <v>-0.377</v>
      </c>
      <c r="Y15" s="24"/>
      <c r="Z15" s="24"/>
    </row>
    <row r="16" spans="1:26" ht="15.75" customHeight="1">
      <c r="A16" s="31" t="s">
        <v>47</v>
      </c>
      <c r="B16" s="32">
        <v>45317</v>
      </c>
      <c r="C16" s="31">
        <v>35.32</v>
      </c>
      <c r="D16" s="31">
        <v>1.34</v>
      </c>
      <c r="E16" s="31">
        <v>2.76</v>
      </c>
      <c r="F16" s="31">
        <v>-1.1200000000000001</v>
      </c>
      <c r="G16" s="31">
        <v>-1.1200000000000001</v>
      </c>
      <c r="H16" s="31">
        <v>28.01</v>
      </c>
      <c r="I16" s="31">
        <v>34.85</v>
      </c>
      <c r="J16" s="31">
        <v>35.76</v>
      </c>
      <c r="K16" s="31" t="s">
        <v>48</v>
      </c>
      <c r="L16" s="34">
        <f t="shared" si="0"/>
        <v>1.34E-2</v>
      </c>
      <c r="M16" s="35">
        <f t="shared" si="1"/>
        <v>34.852970199328986</v>
      </c>
      <c r="N16" s="40">
        <f>VLOOKUP(A16,Total_de_acoes!A:B,2,0)</f>
        <v>1095587251</v>
      </c>
      <c r="O16" s="36">
        <f t="shared" si="2"/>
        <v>511671895.45223427</v>
      </c>
      <c r="P16" s="37" t="str">
        <f t="shared" si="3"/>
        <v>Subiu</v>
      </c>
      <c r="Q16" s="37" t="str">
        <f>VLOOKUP(A16,Ticker!A:B,2,0)</f>
        <v>Equatorial Energia</v>
      </c>
      <c r="R16" s="37" t="str">
        <f>VLOOKUP(Principal!Q16,CHATGPT!A:C,2,0)</f>
        <v>Energia Elétrica</v>
      </c>
      <c r="S16" s="37">
        <f>VLOOKUP(Q16,CHATGPT!A:C,3,0)</f>
        <v>23</v>
      </c>
      <c r="T16" s="46" t="str">
        <f t="shared" si="4"/>
        <v>Menos que 50 Anos</v>
      </c>
      <c r="U16" s="48">
        <f t="shared" si="5"/>
        <v>2.76E-2</v>
      </c>
      <c r="V16" s="49">
        <f t="shared" si="6"/>
        <v>-1.1200000000000002E-2</v>
      </c>
      <c r="W16" s="49">
        <f t="shared" si="7"/>
        <v>-1.1200000000000002E-2</v>
      </c>
      <c r="X16" s="49">
        <f t="shared" si="8"/>
        <v>0.28010000000000002</v>
      </c>
      <c r="Y16" s="24"/>
      <c r="Z16" s="24"/>
    </row>
    <row r="17" spans="1:26" ht="15.75" customHeight="1">
      <c r="A17" s="38" t="s">
        <v>49</v>
      </c>
      <c r="B17" s="39">
        <v>45317</v>
      </c>
      <c r="C17" s="38">
        <v>18.16</v>
      </c>
      <c r="D17" s="38">
        <v>1.33</v>
      </c>
      <c r="E17" s="38">
        <v>4.79</v>
      </c>
      <c r="F17" s="38">
        <v>-7.63</v>
      </c>
      <c r="G17" s="38">
        <v>-7.63</v>
      </c>
      <c r="H17" s="38">
        <v>12.45</v>
      </c>
      <c r="I17" s="38">
        <v>18</v>
      </c>
      <c r="J17" s="38">
        <v>18.489999999999998</v>
      </c>
      <c r="K17" s="38" t="s">
        <v>50</v>
      </c>
      <c r="L17" s="34">
        <f t="shared" si="0"/>
        <v>1.3300000000000001E-2</v>
      </c>
      <c r="M17" s="35">
        <f t="shared" si="1"/>
        <v>17.921642159281554</v>
      </c>
      <c r="N17" s="40">
        <f>VLOOKUP(A17,Total_de_acoes!A:B,2,0)</f>
        <v>600865451</v>
      </c>
      <c r="O17" s="36">
        <f t="shared" si="2"/>
        <v>143220991.46267557</v>
      </c>
      <c r="P17" s="37" t="str">
        <f t="shared" si="3"/>
        <v>Subiu</v>
      </c>
      <c r="Q17" s="37" t="str">
        <f>VLOOKUP(A17,Ticker!A:B,2,0)</f>
        <v>Siderúrgica Nacional</v>
      </c>
      <c r="R17" s="37" t="str">
        <f>VLOOKUP(Principal!Q17,CHATGPT!A:C,2,0)</f>
        <v>Siderurgia</v>
      </c>
      <c r="S17" s="37">
        <f>VLOOKUP(Q17,CHATGPT!A:C,3,0)</f>
        <v>80</v>
      </c>
      <c r="T17" s="46" t="str">
        <f t="shared" si="4"/>
        <v>Entre 50 e 100</v>
      </c>
      <c r="U17" s="48">
        <f t="shared" si="5"/>
        <v>4.7899999999999998E-2</v>
      </c>
      <c r="V17" s="49">
        <f t="shared" si="6"/>
        <v>-7.6299999999999993E-2</v>
      </c>
      <c r="W17" s="49">
        <f t="shared" si="7"/>
        <v>-7.6299999999999993E-2</v>
      </c>
      <c r="X17" s="49">
        <f t="shared" si="8"/>
        <v>0.1245</v>
      </c>
      <c r="Y17" s="24"/>
      <c r="Z17" s="24"/>
    </row>
    <row r="18" spans="1:26" ht="15.75" customHeight="1">
      <c r="A18" s="31" t="s">
        <v>51</v>
      </c>
      <c r="B18" s="32">
        <v>45317</v>
      </c>
      <c r="C18" s="31">
        <v>19.77</v>
      </c>
      <c r="D18" s="31">
        <v>1.28</v>
      </c>
      <c r="E18" s="31">
        <v>-5.9</v>
      </c>
      <c r="F18" s="31">
        <v>-11.82</v>
      </c>
      <c r="G18" s="31">
        <v>-11.82</v>
      </c>
      <c r="H18" s="31">
        <v>108.45</v>
      </c>
      <c r="I18" s="31">
        <v>18.989999999999998</v>
      </c>
      <c r="J18" s="31">
        <v>19.78</v>
      </c>
      <c r="K18" s="31" t="s">
        <v>52</v>
      </c>
      <c r="L18" s="34">
        <f t="shared" si="0"/>
        <v>1.2800000000000001E-2</v>
      </c>
      <c r="M18" s="35">
        <f t="shared" si="1"/>
        <v>19.520142180094787</v>
      </c>
      <c r="N18" s="40">
        <f>VLOOKUP(A18,Total_de_acoes!A:B,2,0)</f>
        <v>289347914</v>
      </c>
      <c r="O18" s="36">
        <f t="shared" si="2"/>
        <v>72295838.986160949</v>
      </c>
      <c r="P18" s="37" t="str">
        <f t="shared" si="3"/>
        <v>Subiu</v>
      </c>
      <c r="Q18" s="37" t="str">
        <f>VLOOKUP(A18,Ticker!A:B,2,0)</f>
        <v>YDUQS</v>
      </c>
      <c r="R18" s="37" t="str">
        <f>VLOOKUP(Principal!Q18,CHATGPT!A:C,2,0)</f>
        <v>Educação</v>
      </c>
      <c r="S18" s="37">
        <f>VLOOKUP(Q18,CHATGPT!A:C,3,0)</f>
        <v>53</v>
      </c>
      <c r="T18" s="46" t="str">
        <f t="shared" si="4"/>
        <v>Entre 50 e 100</v>
      </c>
      <c r="U18" s="48">
        <f t="shared" si="5"/>
        <v>-5.9000000000000004E-2</v>
      </c>
      <c r="V18" s="49">
        <f t="shared" si="6"/>
        <v>-0.1182</v>
      </c>
      <c r="W18" s="49">
        <f t="shared" si="7"/>
        <v>-0.1182</v>
      </c>
      <c r="X18" s="49">
        <f t="shared" si="8"/>
        <v>1.0845</v>
      </c>
      <c r="Y18" s="24"/>
      <c r="Z18" s="24"/>
    </row>
    <row r="19" spans="1:26" ht="15.75" customHeight="1">
      <c r="A19" s="38" t="s">
        <v>53</v>
      </c>
      <c r="B19" s="39">
        <v>45317</v>
      </c>
      <c r="C19" s="38">
        <v>28.31</v>
      </c>
      <c r="D19" s="38">
        <v>1.28</v>
      </c>
      <c r="E19" s="38">
        <v>2.35</v>
      </c>
      <c r="F19" s="38">
        <v>6.79</v>
      </c>
      <c r="G19" s="38">
        <v>6.79</v>
      </c>
      <c r="H19" s="38">
        <v>119.82</v>
      </c>
      <c r="I19" s="38">
        <v>27.84</v>
      </c>
      <c r="J19" s="38">
        <v>28.39</v>
      </c>
      <c r="K19" s="38" t="s">
        <v>54</v>
      </c>
      <c r="L19" s="34">
        <f t="shared" si="0"/>
        <v>1.2800000000000001E-2</v>
      </c>
      <c r="M19" s="35">
        <f t="shared" si="1"/>
        <v>27.952211690363349</v>
      </c>
      <c r="N19" s="40">
        <f>VLOOKUP(A19,Total_de_acoes!A:B,2,0)</f>
        <v>1086411192</v>
      </c>
      <c r="O19" s="36">
        <f t="shared" si="2"/>
        <v>388705223.95601785</v>
      </c>
      <c r="P19" s="37" t="str">
        <f t="shared" si="3"/>
        <v>Subiu</v>
      </c>
      <c r="Q19" s="37" t="str">
        <f>VLOOKUP(A19,Ticker!A:B,2,0)</f>
        <v>Ultrapar</v>
      </c>
      <c r="R19" s="37" t="str">
        <f>VLOOKUP(Principal!Q19,CHATGPT!A:C,2,0)</f>
        <v>Distribuição e Varejo</v>
      </c>
      <c r="S19" s="37">
        <f>VLOOKUP(Q19,CHATGPT!A:C,3,0)</f>
        <v>84</v>
      </c>
      <c r="T19" s="46" t="str">
        <f t="shared" si="4"/>
        <v>Entre 50 e 100</v>
      </c>
      <c r="U19" s="48">
        <f t="shared" si="5"/>
        <v>2.35E-2</v>
      </c>
      <c r="V19" s="49">
        <f t="shared" si="6"/>
        <v>6.7900000000000002E-2</v>
      </c>
      <c r="W19" s="49">
        <f t="shared" si="7"/>
        <v>6.7900000000000002E-2</v>
      </c>
      <c r="X19" s="49">
        <f t="shared" si="8"/>
        <v>1.1981999999999999</v>
      </c>
      <c r="Y19" s="24"/>
      <c r="Z19" s="24"/>
    </row>
    <row r="20" spans="1:26" ht="15.75" customHeight="1">
      <c r="A20" s="31" t="s">
        <v>55</v>
      </c>
      <c r="B20" s="32">
        <v>45317</v>
      </c>
      <c r="C20" s="31">
        <v>8.08</v>
      </c>
      <c r="D20" s="31">
        <v>1.25</v>
      </c>
      <c r="E20" s="31">
        <v>1.38</v>
      </c>
      <c r="F20" s="31">
        <v>-28.05</v>
      </c>
      <c r="G20" s="31">
        <v>-28.05</v>
      </c>
      <c r="H20" s="31">
        <v>14.12</v>
      </c>
      <c r="I20" s="31">
        <v>7.93</v>
      </c>
      <c r="J20" s="31">
        <v>8.23</v>
      </c>
      <c r="K20" s="31" t="s">
        <v>56</v>
      </c>
      <c r="L20" s="34">
        <f t="shared" si="0"/>
        <v>1.2500000000000001E-2</v>
      </c>
      <c r="M20" s="35">
        <f t="shared" si="1"/>
        <v>7.9802469135802472</v>
      </c>
      <c r="N20" s="40">
        <f>VLOOKUP(A20,Total_de_acoes!A:B,2,0)</f>
        <v>376187582</v>
      </c>
      <c r="O20" s="36">
        <f t="shared" si="2"/>
        <v>37525872.377283879</v>
      </c>
      <c r="P20" s="37" t="str">
        <f t="shared" si="3"/>
        <v>Subiu</v>
      </c>
      <c r="Q20" s="37" t="str">
        <f>VLOOKUP(A20,Ticker!A:B,2,0)</f>
        <v>MRV</v>
      </c>
      <c r="R20" s="37" t="str">
        <f>VLOOKUP(Principal!Q20,CHATGPT!A:C,2,0)</f>
        <v>Construção Civil</v>
      </c>
      <c r="S20" s="37">
        <f>VLOOKUP(Q20,CHATGPT!A:C,3,0)</f>
        <v>42</v>
      </c>
      <c r="T20" s="46" t="str">
        <f t="shared" si="4"/>
        <v>Menos que 50 Anos</v>
      </c>
      <c r="U20" s="48">
        <f t="shared" si="5"/>
        <v>1.38E-2</v>
      </c>
      <c r="V20" s="49">
        <f t="shared" si="6"/>
        <v>-0.28050000000000003</v>
      </c>
      <c r="W20" s="49">
        <f t="shared" si="7"/>
        <v>-0.28050000000000003</v>
      </c>
      <c r="X20" s="49">
        <f t="shared" si="8"/>
        <v>0.14119999999999999</v>
      </c>
      <c r="Y20" s="24"/>
      <c r="Z20" s="24"/>
    </row>
    <row r="21" spans="1:26" ht="15.75" customHeight="1">
      <c r="A21" s="38" t="s">
        <v>57</v>
      </c>
      <c r="B21" s="39">
        <v>45317</v>
      </c>
      <c r="C21" s="38">
        <v>57.91</v>
      </c>
      <c r="D21" s="38">
        <v>1.1499999999999999</v>
      </c>
      <c r="E21" s="38">
        <v>-1.03</v>
      </c>
      <c r="F21" s="38">
        <v>-10.26</v>
      </c>
      <c r="G21" s="38">
        <v>-10.26</v>
      </c>
      <c r="H21" s="38">
        <v>-28.97</v>
      </c>
      <c r="I21" s="38">
        <v>56.22</v>
      </c>
      <c r="J21" s="38">
        <v>59.29</v>
      </c>
      <c r="K21" s="38" t="s">
        <v>58</v>
      </c>
      <c r="L21" s="34">
        <f t="shared" si="0"/>
        <v>1.15E-2</v>
      </c>
      <c r="M21" s="35">
        <f t="shared" si="1"/>
        <v>57.251606524962916</v>
      </c>
      <c r="N21" s="40">
        <f>VLOOKUP(A21,Total_de_acoes!A:B,2,0)</f>
        <v>62305891</v>
      </c>
      <c r="O21" s="36">
        <f t="shared" si="2"/>
        <v>41021792.090771534</v>
      </c>
      <c r="P21" s="37" t="str">
        <f t="shared" si="3"/>
        <v>Subiu</v>
      </c>
      <c r="Q21" s="37" t="str">
        <f>VLOOKUP(A21,Ticker!A:B,2,0)</f>
        <v>Arezzo</v>
      </c>
      <c r="R21" s="37" t="str">
        <f>VLOOKUP(Principal!Q21,CHATGPT!A:C,2,0)</f>
        <v>Calçados e Moda</v>
      </c>
      <c r="S21" s="37">
        <f>VLOOKUP(Q21,CHATGPT!A:C,3,0)</f>
        <v>50</v>
      </c>
      <c r="T21" s="46" t="str">
        <f t="shared" si="4"/>
        <v>Entre 50 e 100</v>
      </c>
      <c r="U21" s="48">
        <f t="shared" si="5"/>
        <v>-1.03E-2</v>
      </c>
      <c r="V21" s="49">
        <f t="shared" si="6"/>
        <v>-0.1026</v>
      </c>
      <c r="W21" s="49">
        <f t="shared" si="7"/>
        <v>-0.1026</v>
      </c>
      <c r="X21" s="49">
        <f t="shared" si="8"/>
        <v>-0.28970000000000001</v>
      </c>
      <c r="Y21" s="24"/>
      <c r="Z21" s="24"/>
    </row>
    <row r="22" spans="1:26" ht="15.75" customHeight="1">
      <c r="A22" s="31" t="s">
        <v>59</v>
      </c>
      <c r="B22" s="32">
        <v>45317</v>
      </c>
      <c r="C22" s="31">
        <v>15.52</v>
      </c>
      <c r="D22" s="31">
        <v>1.04</v>
      </c>
      <c r="E22" s="31">
        <v>-0.77</v>
      </c>
      <c r="F22" s="31">
        <v>-9.08</v>
      </c>
      <c r="G22" s="31">
        <v>-9.08</v>
      </c>
      <c r="H22" s="31">
        <v>16.11</v>
      </c>
      <c r="I22" s="31">
        <v>15.35</v>
      </c>
      <c r="J22" s="31">
        <v>15.62</v>
      </c>
      <c r="K22" s="31" t="s">
        <v>60</v>
      </c>
      <c r="L22" s="34">
        <f t="shared" si="0"/>
        <v>1.04E-2</v>
      </c>
      <c r="M22" s="35">
        <f t="shared" si="1"/>
        <v>15.36025336500396</v>
      </c>
      <c r="N22" s="40">
        <f>VLOOKUP(A22,Total_de_acoes!A:B,2,0)</f>
        <v>5146576868</v>
      </c>
      <c r="O22" s="36">
        <f t="shared" si="2"/>
        <v>822148336.41145825</v>
      </c>
      <c r="P22" s="37" t="str">
        <f t="shared" si="3"/>
        <v>Subiu</v>
      </c>
      <c r="Q22" s="37" t="str">
        <f>VLOOKUP(A22,Ticker!A:B,2,0)</f>
        <v>Banco Bradesco</v>
      </c>
      <c r="R22" s="37" t="str">
        <f>VLOOKUP(Principal!Q22,CHATGPT!A:C,2,0)</f>
        <v>Instituição Financeira</v>
      </c>
      <c r="S22" s="37">
        <f>VLOOKUP(Q22,CHATGPT!A:C,3,0)</f>
        <v>78</v>
      </c>
      <c r="T22" s="46" t="str">
        <f t="shared" si="4"/>
        <v>Entre 50 e 100</v>
      </c>
      <c r="U22" s="48">
        <f t="shared" si="5"/>
        <v>-7.7000000000000002E-3</v>
      </c>
      <c r="V22" s="49">
        <f t="shared" si="6"/>
        <v>-9.0800000000000006E-2</v>
      </c>
      <c r="W22" s="49">
        <f t="shared" si="7"/>
        <v>-9.0800000000000006E-2</v>
      </c>
      <c r="X22" s="49">
        <f t="shared" si="8"/>
        <v>0.16109999999999999</v>
      </c>
      <c r="Y22" s="24"/>
      <c r="Z22" s="24"/>
    </row>
    <row r="23" spans="1:26" ht="15.75" customHeight="1">
      <c r="A23" s="38" t="s">
        <v>61</v>
      </c>
      <c r="B23" s="39">
        <v>45317</v>
      </c>
      <c r="C23" s="38">
        <v>7.19</v>
      </c>
      <c r="D23" s="38">
        <v>0.98</v>
      </c>
      <c r="E23" s="38">
        <v>6.05</v>
      </c>
      <c r="F23" s="38">
        <v>-3.75</v>
      </c>
      <c r="G23" s="38">
        <v>-3.75</v>
      </c>
      <c r="H23" s="38">
        <v>-48.31</v>
      </c>
      <c r="I23" s="38">
        <v>7.11</v>
      </c>
      <c r="J23" s="38">
        <v>7.24</v>
      </c>
      <c r="K23" s="38" t="s">
        <v>62</v>
      </c>
      <c r="L23" s="34">
        <f t="shared" si="0"/>
        <v>9.7999999999999997E-3</v>
      </c>
      <c r="M23" s="35">
        <f t="shared" si="1"/>
        <v>7.1202218261041796</v>
      </c>
      <c r="N23" s="40">
        <f>VLOOKUP(A23,Total_de_acoes!A:B,2,0)</f>
        <v>261036182</v>
      </c>
      <c r="O23" s="36">
        <f t="shared" si="2"/>
        <v>18214628.100697115</v>
      </c>
      <c r="P23" s="37" t="str">
        <f t="shared" si="3"/>
        <v>Subiu</v>
      </c>
      <c r="Q23" s="37" t="str">
        <f>VLOOKUP(A23,Ticker!A:B,2,0)</f>
        <v>Minerva</v>
      </c>
      <c r="R23" s="37" t="str">
        <f>VLOOKUP(Principal!Q23,CHATGPT!A:C,2,0)</f>
        <v>Alimentos (Carnes)</v>
      </c>
      <c r="S23" s="37">
        <f>VLOOKUP(Q23,CHATGPT!A:C,3,0)</f>
        <v>30</v>
      </c>
      <c r="T23" s="46" t="str">
        <f t="shared" si="4"/>
        <v>Menos que 50 Anos</v>
      </c>
      <c r="U23" s="48">
        <f t="shared" si="5"/>
        <v>6.0499999999999998E-2</v>
      </c>
      <c r="V23" s="49">
        <f t="shared" si="6"/>
        <v>-3.7499999999999999E-2</v>
      </c>
      <c r="W23" s="49">
        <f t="shared" si="7"/>
        <v>-3.7499999999999999E-2</v>
      </c>
      <c r="X23" s="49">
        <f t="shared" si="8"/>
        <v>-0.48310000000000003</v>
      </c>
      <c r="Y23" s="24"/>
      <c r="Z23" s="24"/>
    </row>
    <row r="24" spans="1:26" ht="15.75" customHeight="1">
      <c r="A24" s="31" t="s">
        <v>63</v>
      </c>
      <c r="B24" s="32">
        <v>45317</v>
      </c>
      <c r="C24" s="31">
        <v>4.1399999999999997</v>
      </c>
      <c r="D24" s="31">
        <v>0.97</v>
      </c>
      <c r="E24" s="31">
        <v>-6.33</v>
      </c>
      <c r="F24" s="31">
        <v>1.97</v>
      </c>
      <c r="G24" s="31">
        <v>1.97</v>
      </c>
      <c r="H24" s="31">
        <v>-51.18</v>
      </c>
      <c r="I24" s="31">
        <v>4.08</v>
      </c>
      <c r="J24" s="31">
        <v>4.2</v>
      </c>
      <c r="K24" s="31" t="s">
        <v>64</v>
      </c>
      <c r="L24" s="34">
        <f t="shared" si="0"/>
        <v>9.7000000000000003E-3</v>
      </c>
      <c r="M24" s="35">
        <f t="shared" si="1"/>
        <v>4.1002277904328013</v>
      </c>
      <c r="N24" s="40">
        <f>VLOOKUP(A24,Total_de_acoes!A:B,2,0)</f>
        <v>159430826</v>
      </c>
      <c r="O24" s="36">
        <f t="shared" si="2"/>
        <v>6340916.223143544</v>
      </c>
      <c r="P24" s="37" t="str">
        <f t="shared" si="3"/>
        <v>Subiu</v>
      </c>
      <c r="Q24" s="37" t="str">
        <f>VLOOKUP(A24,Ticker!A:B,2,0)</f>
        <v>Grupo Pão de Açúcar</v>
      </c>
      <c r="R24" s="37" t="str">
        <f>VLOOKUP(Principal!Q24,CHATGPT!A:C,2,0)</f>
        <v>Varejo (Supermercados)</v>
      </c>
      <c r="S24" s="37">
        <f>VLOOKUP(Q24,CHATGPT!A:C,3,0)</f>
        <v>72</v>
      </c>
      <c r="T24" s="46" t="str">
        <f t="shared" si="4"/>
        <v>Entre 50 e 100</v>
      </c>
      <c r="U24" s="48">
        <f t="shared" si="5"/>
        <v>-6.3299999999999995E-2</v>
      </c>
      <c r="V24" s="49">
        <f t="shared" si="6"/>
        <v>1.9699999999999999E-2</v>
      </c>
      <c r="W24" s="49">
        <f t="shared" si="7"/>
        <v>1.9699999999999999E-2</v>
      </c>
      <c r="X24" s="49">
        <f t="shared" si="8"/>
        <v>-0.51180000000000003</v>
      </c>
      <c r="Y24" s="24"/>
      <c r="Z24" s="24"/>
    </row>
    <row r="25" spans="1:26" ht="15.75" customHeight="1">
      <c r="A25" s="38" t="s">
        <v>65</v>
      </c>
      <c r="B25" s="39">
        <v>45317</v>
      </c>
      <c r="C25" s="38">
        <v>14.61</v>
      </c>
      <c r="D25" s="38">
        <v>0.96</v>
      </c>
      <c r="E25" s="38">
        <v>12.38</v>
      </c>
      <c r="F25" s="38">
        <v>5.79</v>
      </c>
      <c r="G25" s="38">
        <v>5.79</v>
      </c>
      <c r="H25" s="38">
        <v>78.17</v>
      </c>
      <c r="I25" s="38">
        <v>14.46</v>
      </c>
      <c r="J25" s="38">
        <v>14.93</v>
      </c>
      <c r="K25" s="38" t="s">
        <v>66</v>
      </c>
      <c r="L25" s="34">
        <f t="shared" si="0"/>
        <v>9.5999999999999992E-3</v>
      </c>
      <c r="M25" s="35">
        <f t="shared" si="1"/>
        <v>14.471077654516639</v>
      </c>
      <c r="N25" s="40">
        <f>VLOOKUP(A25,Total_de_acoes!A:B,2,0)</f>
        <v>1677525446</v>
      </c>
      <c r="O25" s="36">
        <f t="shared" si="2"/>
        <v>233045769.56633979</v>
      </c>
      <c r="P25" s="37" t="str">
        <f t="shared" si="3"/>
        <v>Subiu</v>
      </c>
      <c r="Q25" s="37" t="str">
        <f>VLOOKUP(A25,Ticker!A:B,2,0)</f>
        <v>BRF</v>
      </c>
      <c r="R25" s="37" t="str">
        <f>VLOOKUP(Principal!Q25,CHATGPT!A:C,2,0)</f>
        <v>Alimentos (Processados)</v>
      </c>
      <c r="S25" s="37" t="str">
        <f>VLOOKUP(Q25,CHATGPT!A:C,3,0)</f>
        <v>9 (como BRF)</v>
      </c>
      <c r="T25" s="46" t="str">
        <f t="shared" si="4"/>
        <v>Mais de 100 Anos</v>
      </c>
      <c r="U25" s="48">
        <f t="shared" si="5"/>
        <v>0.12380000000000001</v>
      </c>
      <c r="V25" s="49">
        <f t="shared" si="6"/>
        <v>5.79E-2</v>
      </c>
      <c r="W25" s="49">
        <f t="shared" si="7"/>
        <v>5.79E-2</v>
      </c>
      <c r="X25" s="49">
        <f t="shared" si="8"/>
        <v>0.78170000000000006</v>
      </c>
      <c r="Y25" s="24"/>
      <c r="Z25" s="24"/>
    </row>
    <row r="26" spans="1:26" ht="15.75" customHeight="1">
      <c r="A26" s="31" t="s">
        <v>67</v>
      </c>
      <c r="B26" s="32">
        <v>45317</v>
      </c>
      <c r="C26" s="33">
        <v>51.2</v>
      </c>
      <c r="D26" s="31">
        <v>0.88</v>
      </c>
      <c r="E26" s="31">
        <v>1.0900000000000001</v>
      </c>
      <c r="F26" s="31">
        <v>-4.1900000000000004</v>
      </c>
      <c r="G26" s="31">
        <v>-4.1900000000000004</v>
      </c>
      <c r="H26" s="31">
        <v>32.78</v>
      </c>
      <c r="I26" s="31">
        <v>50.62</v>
      </c>
      <c r="J26" s="31">
        <v>51.26</v>
      </c>
      <c r="K26" s="31" t="s">
        <v>68</v>
      </c>
      <c r="L26" s="34">
        <f t="shared" si="0"/>
        <v>8.8000000000000005E-3</v>
      </c>
      <c r="M26" s="35">
        <f t="shared" si="1"/>
        <v>50.753370340999211</v>
      </c>
      <c r="N26" s="40">
        <f>VLOOKUP(A26,Total_de_acoes!A:B,2,0)</f>
        <v>423091712</v>
      </c>
      <c r="O26" s="36">
        <f t="shared" si="2"/>
        <v>188965307.05662104</v>
      </c>
      <c r="P26" s="37" t="str">
        <f t="shared" si="3"/>
        <v>Subiu</v>
      </c>
      <c r="Q26" s="37" t="str">
        <f>VLOOKUP(A26,Ticker!A:B,2,0)</f>
        <v>Vivo</v>
      </c>
      <c r="R26" s="37" t="str">
        <f>VLOOKUP(Principal!Q26,CHATGPT!A:C,2,0)</f>
        <v>Telecomunicações</v>
      </c>
      <c r="S26" s="37" t="str">
        <f>VLOOKUP(Q26,CHATGPT!A:C,3,0)</f>
        <v>23 (como Vivo)</v>
      </c>
      <c r="T26" s="46" t="str">
        <f t="shared" si="4"/>
        <v>Mais de 100 Anos</v>
      </c>
      <c r="U26" s="48">
        <f t="shared" si="5"/>
        <v>1.09E-2</v>
      </c>
      <c r="V26" s="49">
        <f t="shared" si="6"/>
        <v>-4.1900000000000007E-2</v>
      </c>
      <c r="W26" s="49">
        <f t="shared" si="7"/>
        <v>-4.1900000000000007E-2</v>
      </c>
      <c r="X26" s="49">
        <f t="shared" si="8"/>
        <v>0.32780000000000004</v>
      </c>
      <c r="Y26" s="24"/>
      <c r="Z26" s="24"/>
    </row>
    <row r="27" spans="1:26" ht="15.75" customHeight="1">
      <c r="A27" s="38" t="s">
        <v>69</v>
      </c>
      <c r="B27" s="39">
        <v>45317</v>
      </c>
      <c r="C27" s="38">
        <v>22.64</v>
      </c>
      <c r="D27" s="38">
        <v>0.84</v>
      </c>
      <c r="E27" s="38">
        <v>1.07</v>
      </c>
      <c r="F27" s="38">
        <v>-1.35</v>
      </c>
      <c r="G27" s="38">
        <v>-1.35</v>
      </c>
      <c r="H27" s="38">
        <v>20.93</v>
      </c>
      <c r="I27" s="38">
        <v>22.32</v>
      </c>
      <c r="J27" s="38">
        <v>22.83</v>
      </c>
      <c r="K27" s="38" t="s">
        <v>70</v>
      </c>
      <c r="L27" s="34">
        <f t="shared" si="0"/>
        <v>8.3999999999999995E-3</v>
      </c>
      <c r="M27" s="35">
        <f t="shared" si="1"/>
        <v>22.451408171360573</v>
      </c>
      <c r="N27" s="40">
        <f>VLOOKUP(A27,Total_de_acoes!A:B,2,0)</f>
        <v>1218352541</v>
      </c>
      <c r="O27" s="36">
        <f t="shared" si="2"/>
        <v>229771333.63468358</v>
      </c>
      <c r="P27" s="37" t="str">
        <f t="shared" si="3"/>
        <v>Subiu</v>
      </c>
      <c r="Q27" s="37" t="str">
        <f>VLOOKUP(A27,Ticker!A:B,2,0)</f>
        <v>Rumo</v>
      </c>
      <c r="R27" s="37" t="str">
        <f>VLOOKUP(Principal!Q27,CHATGPT!A:C,2,0)</f>
        <v>Transporte (Ferrovias)</v>
      </c>
      <c r="S27" s="37">
        <f>VLOOKUP(Q27,CHATGPT!A:C,3,0)</f>
        <v>5</v>
      </c>
      <c r="T27" s="46" t="str">
        <f t="shared" si="4"/>
        <v>Menos que 50 Anos</v>
      </c>
      <c r="U27" s="48">
        <f t="shared" si="5"/>
        <v>1.0700000000000001E-2</v>
      </c>
      <c r="V27" s="49">
        <f t="shared" si="6"/>
        <v>-1.3500000000000002E-2</v>
      </c>
      <c r="W27" s="49">
        <f t="shared" si="7"/>
        <v>-1.3500000000000002E-2</v>
      </c>
      <c r="X27" s="49">
        <f t="shared" si="8"/>
        <v>0.20929999999999999</v>
      </c>
      <c r="Y27" s="24"/>
      <c r="Z27" s="24"/>
    </row>
    <row r="28" spans="1:26" ht="15.75" customHeight="1">
      <c r="A28" s="31" t="s">
        <v>71</v>
      </c>
      <c r="B28" s="32">
        <v>45317</v>
      </c>
      <c r="C28" s="33">
        <v>4.9000000000000004</v>
      </c>
      <c r="D28" s="31">
        <v>0.82</v>
      </c>
      <c r="E28" s="31">
        <v>9.3800000000000008</v>
      </c>
      <c r="F28" s="31">
        <v>5.83</v>
      </c>
      <c r="G28" s="31">
        <v>5.83</v>
      </c>
      <c r="H28" s="31">
        <v>-2.19</v>
      </c>
      <c r="I28" s="31">
        <v>4.82</v>
      </c>
      <c r="J28" s="31">
        <v>4.97</v>
      </c>
      <c r="K28" s="31" t="s">
        <v>72</v>
      </c>
      <c r="L28" s="34">
        <f t="shared" si="0"/>
        <v>8.199999999999999E-3</v>
      </c>
      <c r="M28" s="35">
        <f t="shared" si="1"/>
        <v>4.8601467962705813</v>
      </c>
      <c r="N28" s="40">
        <f>VLOOKUP(A28,Total_de_acoes!A:B,2,0)</f>
        <v>1095462329</v>
      </c>
      <c r="O28" s="36">
        <f t="shared" si="2"/>
        <v>43657683.375540853</v>
      </c>
      <c r="P28" s="37" t="str">
        <f t="shared" si="3"/>
        <v>Subiu</v>
      </c>
      <c r="Q28" s="37" t="str">
        <f>VLOOKUP(A28,Ticker!A:B,2,0)</f>
        <v>Cielo</v>
      </c>
      <c r="R28" s="37" t="str">
        <f>VLOOKUP(Principal!Q28,CHATGPT!A:C,2,0)</f>
        <v>Serviços Financeiros</v>
      </c>
      <c r="S28" s="37">
        <f>VLOOKUP(Q28,CHATGPT!A:C,3,0)</f>
        <v>10</v>
      </c>
      <c r="T28" s="46" t="str">
        <f t="shared" si="4"/>
        <v>Menos que 50 Anos</v>
      </c>
      <c r="U28" s="48">
        <f t="shared" si="5"/>
        <v>9.3800000000000008E-2</v>
      </c>
      <c r="V28" s="49">
        <f t="shared" si="6"/>
        <v>5.8299999999999998E-2</v>
      </c>
      <c r="W28" s="49">
        <f t="shared" si="7"/>
        <v>5.8299999999999998E-2</v>
      </c>
      <c r="X28" s="49">
        <f t="shared" si="8"/>
        <v>-2.1899999999999999E-2</v>
      </c>
      <c r="Y28" s="24"/>
      <c r="Z28" s="24"/>
    </row>
    <row r="29" spans="1:26" ht="15.75" customHeight="1">
      <c r="A29" s="38" t="s">
        <v>73</v>
      </c>
      <c r="B29" s="39">
        <v>45317</v>
      </c>
      <c r="C29" s="38">
        <v>7.81</v>
      </c>
      <c r="D29" s="38">
        <v>0.77</v>
      </c>
      <c r="E29" s="38">
        <v>3.17</v>
      </c>
      <c r="F29" s="38">
        <v>-3.22</v>
      </c>
      <c r="G29" s="38">
        <v>-3.22</v>
      </c>
      <c r="H29" s="38">
        <v>9.94</v>
      </c>
      <c r="I29" s="38">
        <v>7.7</v>
      </c>
      <c r="J29" s="38">
        <v>7.85</v>
      </c>
      <c r="K29" s="38" t="s">
        <v>74</v>
      </c>
      <c r="L29" s="34">
        <f t="shared" si="0"/>
        <v>7.7000000000000002E-3</v>
      </c>
      <c r="M29" s="35">
        <f t="shared" si="1"/>
        <v>7.7503225166220098</v>
      </c>
      <c r="N29" s="40">
        <f>VLOOKUP(A29,Total_de_acoes!A:B,2,0)</f>
        <v>302768240</v>
      </c>
      <c r="O29" s="36">
        <f t="shared" si="2"/>
        <v>18068446.609983239</v>
      </c>
      <c r="P29" s="37" t="str">
        <f t="shared" si="3"/>
        <v>Subiu</v>
      </c>
      <c r="Q29" s="37" t="str">
        <f>VLOOKUP(A29,Ticker!A:B,2,0)</f>
        <v>Dexco</v>
      </c>
      <c r="R29" s="37" t="str">
        <f>VLOOKUP(Principal!Q29,CHATGPT!A:C,2,0)</f>
        <v>Indústria</v>
      </c>
      <c r="S29" s="37" t="str">
        <f>VLOOKUP(Q29,CHATGPT!A:C,3,0)</f>
        <v>-</v>
      </c>
      <c r="T29" s="46" t="str">
        <f t="shared" si="4"/>
        <v>Mais de 100 Anos</v>
      </c>
      <c r="U29" s="48">
        <f t="shared" si="5"/>
        <v>3.1699999999999999E-2</v>
      </c>
      <c r="V29" s="49">
        <f t="shared" si="6"/>
        <v>-3.2199999999999999E-2</v>
      </c>
      <c r="W29" s="49">
        <f t="shared" si="7"/>
        <v>-3.2199999999999999E-2</v>
      </c>
      <c r="X29" s="49">
        <f t="shared" si="8"/>
        <v>9.9399999999999988E-2</v>
      </c>
      <c r="Y29" s="24"/>
      <c r="Z29" s="24"/>
    </row>
    <row r="30" spans="1:26" ht="15.75" customHeight="1">
      <c r="A30" s="31" t="s">
        <v>75</v>
      </c>
      <c r="B30" s="32">
        <v>45317</v>
      </c>
      <c r="C30" s="31">
        <v>17.52</v>
      </c>
      <c r="D30" s="31">
        <v>0.74</v>
      </c>
      <c r="E30" s="31">
        <v>-0.56999999999999995</v>
      </c>
      <c r="F30" s="31">
        <v>-2.29</v>
      </c>
      <c r="G30" s="31">
        <v>-2.29</v>
      </c>
      <c r="H30" s="31">
        <v>56.87</v>
      </c>
      <c r="I30" s="31">
        <v>17.36</v>
      </c>
      <c r="J30" s="31">
        <v>17.579999999999998</v>
      </c>
      <c r="K30" s="31" t="s">
        <v>76</v>
      </c>
      <c r="L30" s="34">
        <f t="shared" si="0"/>
        <v>7.4000000000000003E-3</v>
      </c>
      <c r="M30" s="35">
        <f t="shared" si="1"/>
        <v>17.391304347826086</v>
      </c>
      <c r="N30" s="40">
        <f>VLOOKUP(A30,Total_de_acoes!A:B,2,0)</f>
        <v>807896814</v>
      </c>
      <c r="O30" s="36">
        <f t="shared" si="2"/>
        <v>103972807.36695692</v>
      </c>
      <c r="P30" s="37" t="str">
        <f t="shared" si="3"/>
        <v>Subiu</v>
      </c>
      <c r="Q30" s="37" t="str">
        <f>VLOOKUP(A30,Ticker!A:B,2,0)</f>
        <v>TIM</v>
      </c>
      <c r="R30" s="37" t="str">
        <f>VLOOKUP(Principal!Q30,CHATGPT!A:C,2,0)</f>
        <v>Telecomunicações</v>
      </c>
      <c r="S30" s="37">
        <f>VLOOKUP(Q30,CHATGPT!A:C,3,0)</f>
        <v>25</v>
      </c>
      <c r="T30" s="46" t="str">
        <f t="shared" si="4"/>
        <v>Menos que 50 Anos</v>
      </c>
      <c r="U30" s="48">
        <f t="shared" si="5"/>
        <v>-5.6999999999999993E-3</v>
      </c>
      <c r="V30" s="49">
        <f t="shared" si="6"/>
        <v>-2.29E-2</v>
      </c>
      <c r="W30" s="49">
        <f t="shared" si="7"/>
        <v>-2.29E-2</v>
      </c>
      <c r="X30" s="49">
        <f t="shared" si="8"/>
        <v>0.56869999999999998</v>
      </c>
      <c r="Y30" s="24"/>
      <c r="Z30" s="24"/>
    </row>
    <row r="31" spans="1:26" ht="15.75" customHeight="1">
      <c r="A31" s="38" t="s">
        <v>77</v>
      </c>
      <c r="B31" s="39">
        <v>45317</v>
      </c>
      <c r="C31" s="38">
        <v>23.22</v>
      </c>
      <c r="D31" s="38">
        <v>0.73</v>
      </c>
      <c r="E31" s="38">
        <v>1.93</v>
      </c>
      <c r="F31" s="38">
        <v>-9.51</v>
      </c>
      <c r="G31" s="38">
        <v>-9.51</v>
      </c>
      <c r="H31" s="38">
        <v>-20.399999999999999</v>
      </c>
      <c r="I31" s="38">
        <v>22.69</v>
      </c>
      <c r="J31" s="38">
        <v>23.28</v>
      </c>
      <c r="K31" s="38" t="s">
        <v>78</v>
      </c>
      <c r="L31" s="34">
        <f t="shared" si="0"/>
        <v>7.3000000000000001E-3</v>
      </c>
      <c r="M31" s="35">
        <f t="shared" si="1"/>
        <v>23.051722426288094</v>
      </c>
      <c r="N31" s="40">
        <f>VLOOKUP(A31,Total_de_acoes!A:B,2,0)</f>
        <v>251003438</v>
      </c>
      <c r="O31" s="36">
        <f t="shared" si="2"/>
        <v>42238249.539986439</v>
      </c>
      <c r="P31" s="37" t="str">
        <f t="shared" si="3"/>
        <v>Subiu</v>
      </c>
      <c r="Q31" s="37" t="str">
        <f>VLOOKUP(A31,Ticker!A:B,2,0)</f>
        <v>Bradespar</v>
      </c>
      <c r="R31" s="37" t="str">
        <f>VLOOKUP(Principal!Q31,CHATGPT!A:C,2,0)</f>
        <v>Investimentos Diversificados</v>
      </c>
      <c r="S31" s="37">
        <f>VLOOKUP(Q31,CHATGPT!A:C,3,0)</f>
        <v>21</v>
      </c>
      <c r="T31" s="46" t="str">
        <f t="shared" si="4"/>
        <v>Menos que 50 Anos</v>
      </c>
      <c r="U31" s="48">
        <f t="shared" si="5"/>
        <v>1.9299999999999998E-2</v>
      </c>
      <c r="V31" s="49">
        <f t="shared" si="6"/>
        <v>-9.5100000000000004E-2</v>
      </c>
      <c r="W31" s="49">
        <f t="shared" si="7"/>
        <v>-9.5100000000000004E-2</v>
      </c>
      <c r="X31" s="49">
        <f t="shared" si="8"/>
        <v>-0.20399999999999999</v>
      </c>
      <c r="Y31" s="24"/>
      <c r="Z31" s="24"/>
    </row>
    <row r="32" spans="1:26" ht="15.75" customHeight="1">
      <c r="A32" s="31" t="s">
        <v>79</v>
      </c>
      <c r="B32" s="32">
        <v>45317</v>
      </c>
      <c r="C32" s="31">
        <v>5.55</v>
      </c>
      <c r="D32" s="31">
        <v>0.72</v>
      </c>
      <c r="E32" s="31">
        <v>-3.65</v>
      </c>
      <c r="F32" s="31">
        <v>-7.65</v>
      </c>
      <c r="G32" s="31">
        <v>-7.65</v>
      </c>
      <c r="H32" s="31">
        <v>-14.03</v>
      </c>
      <c r="I32" s="31">
        <v>5.46</v>
      </c>
      <c r="J32" s="31">
        <v>5.6</v>
      </c>
      <c r="K32" s="31" t="s">
        <v>80</v>
      </c>
      <c r="L32" s="34">
        <f t="shared" si="0"/>
        <v>7.1999999999999998E-3</v>
      </c>
      <c r="M32" s="35">
        <f t="shared" si="1"/>
        <v>5.510325655281969</v>
      </c>
      <c r="N32" s="40">
        <f>VLOOKUP(A32,Total_de_acoes!A:B,2,0)</f>
        <v>393173139</v>
      </c>
      <c r="O32" s="36">
        <f t="shared" si="2"/>
        <v>15598886.650556229</v>
      </c>
      <c r="P32" s="37" t="str">
        <f t="shared" si="3"/>
        <v>Subiu</v>
      </c>
      <c r="Q32" s="37" t="str">
        <f>VLOOKUP(A32,Ticker!A:B,2,0)</f>
        <v>Locaweb</v>
      </c>
      <c r="R32" s="37" t="str">
        <f>VLOOKUP(Principal!Q32,CHATGPT!A:C,2,0)</f>
        <v>Tecnologia (Hospedagem de Sites)</v>
      </c>
      <c r="S32" s="37">
        <f>VLOOKUP(Q32,CHATGPT!A:C,3,0)</f>
        <v>23</v>
      </c>
      <c r="T32" s="46" t="str">
        <f t="shared" si="4"/>
        <v>Menos que 50 Anos</v>
      </c>
      <c r="U32" s="48">
        <f t="shared" si="5"/>
        <v>-3.6499999999999998E-2</v>
      </c>
      <c r="V32" s="49">
        <f t="shared" si="6"/>
        <v>-7.6499999999999999E-2</v>
      </c>
      <c r="W32" s="49">
        <f t="shared" si="7"/>
        <v>-7.6499999999999999E-2</v>
      </c>
      <c r="X32" s="49">
        <f t="shared" si="8"/>
        <v>-0.14029999999999998</v>
      </c>
      <c r="Y32" s="24"/>
      <c r="Z32" s="24"/>
    </row>
    <row r="33" spans="1:26" ht="15.75" customHeight="1">
      <c r="A33" s="38" t="s">
        <v>81</v>
      </c>
      <c r="B33" s="39">
        <v>45317</v>
      </c>
      <c r="C33" s="38">
        <v>23.83</v>
      </c>
      <c r="D33" s="38">
        <v>0.71</v>
      </c>
      <c r="E33" s="38">
        <v>1.49</v>
      </c>
      <c r="F33" s="38">
        <v>9.7100000000000009</v>
      </c>
      <c r="G33" s="38">
        <v>9.7100000000000009</v>
      </c>
      <c r="H33" s="38">
        <v>-26.61</v>
      </c>
      <c r="I33" s="38">
        <v>23.36</v>
      </c>
      <c r="J33" s="38">
        <v>23.99</v>
      </c>
      <c r="K33" s="38" t="s">
        <v>82</v>
      </c>
      <c r="L33" s="34">
        <f t="shared" si="0"/>
        <v>7.0999999999999995E-3</v>
      </c>
      <c r="M33" s="35">
        <f t="shared" si="1"/>
        <v>23.661999801409983</v>
      </c>
      <c r="N33" s="40">
        <f>VLOOKUP(A33,Total_de_acoes!A:B,2,0)</f>
        <v>275005663</v>
      </c>
      <c r="O33" s="36">
        <f t="shared" si="2"/>
        <v>46201005.997378685</v>
      </c>
      <c r="P33" s="37" t="str">
        <f t="shared" si="3"/>
        <v>Subiu</v>
      </c>
      <c r="Q33" s="37" t="str">
        <f>VLOOKUP(A33,Ticker!A:B,2,0)</f>
        <v>PetroRecôncavo</v>
      </c>
      <c r="R33" s="37" t="str">
        <f>VLOOKUP(Principal!Q33,CHATGPT!A:C,2,0)</f>
        <v>Petróleo e Gás</v>
      </c>
      <c r="S33" s="37">
        <f>VLOOKUP(Q33,CHATGPT!A:C,3,0)</f>
        <v>5</v>
      </c>
      <c r="T33" s="46" t="str">
        <f t="shared" si="4"/>
        <v>Menos que 50 Anos</v>
      </c>
      <c r="U33" s="48">
        <f t="shared" si="5"/>
        <v>1.49E-2</v>
      </c>
      <c r="V33" s="49">
        <f t="shared" si="6"/>
        <v>9.7100000000000006E-2</v>
      </c>
      <c r="W33" s="49">
        <f t="shared" si="7"/>
        <v>9.7100000000000006E-2</v>
      </c>
      <c r="X33" s="49">
        <f t="shared" si="8"/>
        <v>-0.2661</v>
      </c>
      <c r="Y33" s="24"/>
      <c r="Z33" s="24"/>
    </row>
    <row r="34" spans="1:26" ht="15.75" customHeight="1">
      <c r="A34" s="31" t="s">
        <v>83</v>
      </c>
      <c r="B34" s="32">
        <v>45317</v>
      </c>
      <c r="C34" s="31">
        <v>10.01</v>
      </c>
      <c r="D34" s="31">
        <v>0.7</v>
      </c>
      <c r="E34" s="31">
        <v>-0.3</v>
      </c>
      <c r="F34" s="31">
        <v>-3.47</v>
      </c>
      <c r="G34" s="31">
        <v>-3.47</v>
      </c>
      <c r="H34" s="31">
        <v>29</v>
      </c>
      <c r="I34" s="31">
        <v>9.93</v>
      </c>
      <c r="J34" s="31">
        <v>10.06</v>
      </c>
      <c r="K34" s="31" t="s">
        <v>84</v>
      </c>
      <c r="L34" s="34">
        <f t="shared" si="0"/>
        <v>6.9999999999999993E-3</v>
      </c>
      <c r="M34" s="35">
        <f t="shared" si="1"/>
        <v>9.9404170804369425</v>
      </c>
      <c r="N34" s="40">
        <f>VLOOKUP(A34,Total_de_acoes!A:B,2,0)</f>
        <v>5372783971</v>
      </c>
      <c r="O34" s="36">
        <f t="shared" si="2"/>
        <v>373853994.88377655</v>
      </c>
      <c r="P34" s="37" t="str">
        <f t="shared" si="3"/>
        <v>Subiu</v>
      </c>
      <c r="Q34" s="37" t="str">
        <f>VLOOKUP(A34,Ticker!A:B,2,0)</f>
        <v>Itaúsa</v>
      </c>
      <c r="R34" s="37" t="str">
        <f>VLOOKUP(Principal!Q34,CHATGPT!A:C,2,0)</f>
        <v>Conglomerado Financeiro</v>
      </c>
      <c r="S34" s="37">
        <f>VLOOKUP(Q34,CHATGPT!A:C,3,0)</f>
        <v>55</v>
      </c>
      <c r="T34" s="46" t="str">
        <f t="shared" si="4"/>
        <v>Entre 50 e 100</v>
      </c>
      <c r="U34" s="48">
        <f t="shared" si="5"/>
        <v>-3.0000000000000001E-3</v>
      </c>
      <c r="V34" s="49">
        <f t="shared" si="6"/>
        <v>-3.4700000000000002E-2</v>
      </c>
      <c r="W34" s="49">
        <f t="shared" si="7"/>
        <v>-3.4700000000000002E-2</v>
      </c>
      <c r="X34" s="49">
        <f t="shared" si="8"/>
        <v>0.28999999999999998</v>
      </c>
      <c r="Y34" s="24"/>
      <c r="Z34" s="24"/>
    </row>
    <row r="35" spans="1:26" ht="15.75" customHeight="1">
      <c r="A35" s="38" t="s">
        <v>85</v>
      </c>
      <c r="B35" s="39">
        <v>45317</v>
      </c>
      <c r="C35" s="38">
        <v>56.97</v>
      </c>
      <c r="D35" s="38">
        <v>0.68</v>
      </c>
      <c r="E35" s="38">
        <v>1.88</v>
      </c>
      <c r="F35" s="38">
        <v>2.85</v>
      </c>
      <c r="G35" s="38">
        <v>2.85</v>
      </c>
      <c r="H35" s="38">
        <v>52.87</v>
      </c>
      <c r="I35" s="38">
        <v>56.55</v>
      </c>
      <c r="J35" s="38">
        <v>56.99</v>
      </c>
      <c r="K35" s="38" t="s">
        <v>86</v>
      </c>
      <c r="L35" s="34">
        <f t="shared" si="0"/>
        <v>6.8000000000000005E-3</v>
      </c>
      <c r="M35" s="35">
        <f t="shared" si="1"/>
        <v>56.585220500595952</v>
      </c>
      <c r="N35" s="40">
        <f>VLOOKUP(A35,Total_de_acoes!A:B,2,0)</f>
        <v>1420949112</v>
      </c>
      <c r="O35" s="36">
        <f t="shared" si="2"/>
        <v>546752087.99398506</v>
      </c>
      <c r="P35" s="37" t="str">
        <f t="shared" si="3"/>
        <v>Subiu</v>
      </c>
      <c r="Q35" s="37" t="str">
        <f>VLOOKUP(A35,Ticker!A:B,2,0)</f>
        <v>Banco do Brasil</v>
      </c>
      <c r="R35" s="37" t="str">
        <f>VLOOKUP(Principal!Q35,CHATGPT!A:C,2,0)</f>
        <v>Instituição Financeira</v>
      </c>
      <c r="S35" s="37">
        <f>VLOOKUP(Q35,CHATGPT!A:C,3,0)</f>
        <v>213</v>
      </c>
      <c r="T35" s="46" t="str">
        <f t="shared" si="4"/>
        <v>Mais de 100 Anos</v>
      </c>
      <c r="U35" s="48">
        <f t="shared" si="5"/>
        <v>1.8799999999999997E-2</v>
      </c>
      <c r="V35" s="49">
        <f t="shared" si="6"/>
        <v>2.8500000000000001E-2</v>
      </c>
      <c r="W35" s="49">
        <f t="shared" si="7"/>
        <v>2.8500000000000001E-2</v>
      </c>
      <c r="X35" s="49">
        <f t="shared" si="8"/>
        <v>0.52869999999999995</v>
      </c>
      <c r="Y35" s="24"/>
      <c r="Z35" s="24"/>
    </row>
    <row r="36" spans="1:26" ht="15.75" customHeight="1">
      <c r="A36" s="31" t="s">
        <v>87</v>
      </c>
      <c r="B36" s="32">
        <v>45317</v>
      </c>
      <c r="C36" s="31">
        <v>26.16</v>
      </c>
      <c r="D36" s="31">
        <v>0.61</v>
      </c>
      <c r="E36" s="31">
        <v>-2.75</v>
      </c>
      <c r="F36" s="31">
        <v>-11.02</v>
      </c>
      <c r="G36" s="31">
        <v>-11.02</v>
      </c>
      <c r="H36" s="31">
        <v>10.07</v>
      </c>
      <c r="I36" s="31">
        <v>25.87</v>
      </c>
      <c r="J36" s="31">
        <v>26.38</v>
      </c>
      <c r="K36" s="31" t="s">
        <v>88</v>
      </c>
      <c r="L36" s="34">
        <f t="shared" si="0"/>
        <v>6.0999999999999995E-3</v>
      </c>
      <c r="M36" s="35">
        <f t="shared" si="1"/>
        <v>26.001391511778152</v>
      </c>
      <c r="N36" s="40">
        <f>VLOOKUP(A36,Total_de_acoes!A:B,2,0)</f>
        <v>1275798515</v>
      </c>
      <c r="O36" s="36">
        <f t="shared" si="2"/>
        <v>202352473.73982856</v>
      </c>
      <c r="P36" s="37" t="str">
        <f t="shared" si="3"/>
        <v>Subiu</v>
      </c>
      <c r="Q36" s="37" t="str">
        <f>VLOOKUP(A36,Ticker!A:B,2,0)</f>
        <v>RaiaDrogasil</v>
      </c>
      <c r="R36" s="37" t="str">
        <f>VLOOKUP(Principal!Q36,CHATGPT!A:C,2,0)</f>
        <v>Varejo (Farmácias)</v>
      </c>
      <c r="S36" s="37">
        <f>VLOOKUP(Q36,CHATGPT!A:C,3,0)</f>
        <v>118</v>
      </c>
      <c r="T36" s="46" t="str">
        <f t="shared" si="4"/>
        <v>Mais de 100 Anos</v>
      </c>
      <c r="U36" s="48">
        <f t="shared" si="5"/>
        <v>-2.75E-2</v>
      </c>
      <c r="V36" s="49">
        <f t="shared" si="6"/>
        <v>-0.11019999999999999</v>
      </c>
      <c r="W36" s="49">
        <f t="shared" si="7"/>
        <v>-0.11019999999999999</v>
      </c>
      <c r="X36" s="49">
        <f t="shared" si="8"/>
        <v>0.1007</v>
      </c>
      <c r="Y36" s="24"/>
      <c r="Z36" s="24"/>
    </row>
    <row r="37" spans="1:26" ht="15.75" customHeight="1">
      <c r="A37" s="38" t="s">
        <v>89</v>
      </c>
      <c r="B37" s="39">
        <v>45317</v>
      </c>
      <c r="C37" s="38">
        <v>10.08</v>
      </c>
      <c r="D37" s="38">
        <v>0.59</v>
      </c>
      <c r="E37" s="38">
        <v>3.28</v>
      </c>
      <c r="F37" s="38">
        <v>-7.18</v>
      </c>
      <c r="G37" s="38">
        <v>-7.18</v>
      </c>
      <c r="H37" s="38">
        <v>-21.14</v>
      </c>
      <c r="I37" s="38">
        <v>10.029999999999999</v>
      </c>
      <c r="J37" s="38">
        <v>10.14</v>
      </c>
      <c r="K37" s="38" t="s">
        <v>90</v>
      </c>
      <c r="L37" s="34">
        <f t="shared" si="0"/>
        <v>5.8999999999999999E-3</v>
      </c>
      <c r="M37" s="35">
        <f t="shared" si="1"/>
        <v>10.020876826722338</v>
      </c>
      <c r="N37" s="40">
        <f>VLOOKUP(A37,Total_de_acoes!A:B,2,0)</f>
        <v>660411219</v>
      </c>
      <c r="O37" s="36">
        <f t="shared" si="2"/>
        <v>39045606.935449012</v>
      </c>
      <c r="P37" s="37" t="str">
        <f t="shared" si="3"/>
        <v>Subiu</v>
      </c>
      <c r="Q37" s="37" t="str">
        <f>VLOOKUP(A37,Ticker!A:B,2,0)</f>
        <v>Metalúrgica Gerdau</v>
      </c>
      <c r="R37" s="37" t="str">
        <f>VLOOKUP(Principal!Q37,CHATGPT!A:C,2,0)</f>
        <v>Metalurgia</v>
      </c>
      <c r="S37" s="37">
        <f>VLOOKUP(Q37,CHATGPT!A:C,3,0)</f>
        <v>120</v>
      </c>
      <c r="T37" s="46" t="str">
        <f t="shared" si="4"/>
        <v>Mais de 100 Anos</v>
      </c>
      <c r="U37" s="48">
        <f t="shared" si="5"/>
        <v>3.2799999999999996E-2</v>
      </c>
      <c r="V37" s="49">
        <f t="shared" si="6"/>
        <v>-7.1800000000000003E-2</v>
      </c>
      <c r="W37" s="49">
        <f t="shared" si="7"/>
        <v>-7.1800000000000003E-2</v>
      </c>
      <c r="X37" s="49">
        <f t="shared" si="8"/>
        <v>-0.2114</v>
      </c>
      <c r="Y37" s="24"/>
      <c r="Z37" s="24"/>
    </row>
    <row r="38" spans="1:26" ht="15.75" customHeight="1">
      <c r="A38" s="31" t="s">
        <v>91</v>
      </c>
      <c r="B38" s="32">
        <v>45317</v>
      </c>
      <c r="C38" s="31">
        <v>18.57</v>
      </c>
      <c r="D38" s="31">
        <v>0.59</v>
      </c>
      <c r="E38" s="31">
        <v>2.65</v>
      </c>
      <c r="F38" s="31">
        <v>-4.08</v>
      </c>
      <c r="G38" s="31">
        <v>-4.08</v>
      </c>
      <c r="H38" s="31">
        <v>13.35</v>
      </c>
      <c r="I38" s="31">
        <v>18.3</v>
      </c>
      <c r="J38" s="31">
        <v>18.66</v>
      </c>
      <c r="K38" s="31" t="s">
        <v>92</v>
      </c>
      <c r="L38" s="34">
        <f t="shared" si="0"/>
        <v>5.8999999999999999E-3</v>
      </c>
      <c r="M38" s="35">
        <f t="shared" si="1"/>
        <v>18.461079630181928</v>
      </c>
      <c r="N38" s="40">
        <f>VLOOKUP(A38,Total_de_acoes!A:B,2,0)</f>
        <v>1168097881</v>
      </c>
      <c r="O38" s="36">
        <f t="shared" si="2"/>
        <v>127229653.18222687</v>
      </c>
      <c r="P38" s="37" t="str">
        <f t="shared" si="3"/>
        <v>Subiu</v>
      </c>
      <c r="Q38" s="37" t="str">
        <f>VLOOKUP(A38,Ticker!A:B,2,0)</f>
        <v>Cosan</v>
      </c>
      <c r="R38" s="37" t="str">
        <f>VLOOKUP(Principal!Q38,CHATGPT!A:C,2,0)</f>
        <v>Energia e Infraestrutura</v>
      </c>
      <c r="S38" s="37">
        <f>VLOOKUP(Q38,CHATGPT!A:C,3,0)</f>
        <v>84</v>
      </c>
      <c r="T38" s="46" t="str">
        <f t="shared" si="4"/>
        <v>Entre 50 e 100</v>
      </c>
      <c r="U38" s="48">
        <f t="shared" si="5"/>
        <v>2.6499999999999999E-2</v>
      </c>
      <c r="V38" s="49">
        <f t="shared" si="6"/>
        <v>-4.0800000000000003E-2</v>
      </c>
      <c r="W38" s="49">
        <f t="shared" si="7"/>
        <v>-4.0800000000000003E-2</v>
      </c>
      <c r="X38" s="49">
        <f t="shared" si="8"/>
        <v>0.13350000000000001</v>
      </c>
      <c r="Y38" s="24"/>
      <c r="Z38" s="24"/>
    </row>
    <row r="39" spans="1:26" ht="15.75" customHeight="1">
      <c r="A39" s="38" t="s">
        <v>93</v>
      </c>
      <c r="B39" s="39">
        <v>45317</v>
      </c>
      <c r="C39" s="38">
        <v>24.34</v>
      </c>
      <c r="D39" s="38">
        <v>0.56999999999999995</v>
      </c>
      <c r="E39" s="38">
        <v>2.48</v>
      </c>
      <c r="F39" s="38">
        <v>-2.29</v>
      </c>
      <c r="G39" s="38">
        <v>-2.29</v>
      </c>
      <c r="H39" s="38">
        <v>17.29</v>
      </c>
      <c r="I39" s="38">
        <v>24.17</v>
      </c>
      <c r="J39" s="38">
        <v>24.56</v>
      </c>
      <c r="K39" s="38" t="s">
        <v>94</v>
      </c>
      <c r="L39" s="34">
        <f t="shared" si="0"/>
        <v>5.6999999999999993E-3</v>
      </c>
      <c r="M39" s="35">
        <f t="shared" si="1"/>
        <v>24.202048324550063</v>
      </c>
      <c r="N39" s="40">
        <f>VLOOKUP(A39,Total_de_acoes!A:B,2,0)</f>
        <v>1134986472</v>
      </c>
      <c r="O39" s="36">
        <f t="shared" si="2"/>
        <v>156573285.42541304</v>
      </c>
      <c r="P39" s="37" t="str">
        <f t="shared" si="3"/>
        <v>Subiu</v>
      </c>
      <c r="Q39" s="37" t="str">
        <f>VLOOKUP(A39,Ticker!A:B,2,0)</f>
        <v>JBS</v>
      </c>
      <c r="R39" s="37" t="str">
        <f>VLOOKUP(Principal!Q39,CHATGPT!A:C,2,0)</f>
        <v>Alimentos (Carnes)</v>
      </c>
      <c r="S39" s="37">
        <f>VLOOKUP(Q39,CHATGPT!A:C,3,0)</f>
        <v>68</v>
      </c>
      <c r="T39" s="46" t="str">
        <f t="shared" si="4"/>
        <v>Entre 50 e 100</v>
      </c>
      <c r="U39" s="48">
        <f t="shared" si="5"/>
        <v>2.4799999999999999E-2</v>
      </c>
      <c r="V39" s="49">
        <f t="shared" si="6"/>
        <v>-2.29E-2</v>
      </c>
      <c r="W39" s="49">
        <f t="shared" si="7"/>
        <v>-2.29E-2</v>
      </c>
      <c r="X39" s="49">
        <f t="shared" si="8"/>
        <v>0.1729</v>
      </c>
      <c r="Y39" s="24"/>
      <c r="Z39" s="24"/>
    </row>
    <row r="40" spans="1:26" ht="15.75" customHeight="1">
      <c r="A40" s="31" t="s">
        <v>95</v>
      </c>
      <c r="B40" s="32">
        <v>45317</v>
      </c>
      <c r="C40" s="31">
        <v>2.08</v>
      </c>
      <c r="D40" s="31">
        <v>0.48</v>
      </c>
      <c r="E40" s="31">
        <v>2.46</v>
      </c>
      <c r="F40" s="31">
        <v>-3.7</v>
      </c>
      <c r="G40" s="31">
        <v>-3.7</v>
      </c>
      <c r="H40" s="31">
        <v>-51.4</v>
      </c>
      <c r="I40" s="31">
        <v>2.02</v>
      </c>
      <c r="J40" s="31">
        <v>2.1</v>
      </c>
      <c r="K40" s="31" t="s">
        <v>96</v>
      </c>
      <c r="L40" s="34">
        <f t="shared" si="0"/>
        <v>4.7999999999999996E-3</v>
      </c>
      <c r="M40" s="35">
        <f t="shared" si="1"/>
        <v>2.0700636942675161</v>
      </c>
      <c r="N40" s="40">
        <f>VLOOKUP(A40,Total_de_acoes!A:B,2,0)</f>
        <v>2867627068</v>
      </c>
      <c r="O40" s="36">
        <f t="shared" si="2"/>
        <v>28493619.274394516</v>
      </c>
      <c r="P40" s="37" t="str">
        <f t="shared" si="3"/>
        <v>Subiu</v>
      </c>
      <c r="Q40" s="37" t="str">
        <f>VLOOKUP(A40,Ticker!A:B,2,0)</f>
        <v>Magazine Luiza</v>
      </c>
      <c r="R40" s="37" t="str">
        <f>VLOOKUP(Principal!Q40,CHATGPT!A:C,2,0)</f>
        <v>Varejo (Lojas de Departamento)</v>
      </c>
      <c r="S40" s="37">
        <f>VLOOKUP(Q40,CHATGPT!A:C,3,0)</f>
        <v>64</v>
      </c>
      <c r="T40" s="46" t="str">
        <f t="shared" si="4"/>
        <v>Entre 50 e 100</v>
      </c>
      <c r="U40" s="48">
        <f t="shared" si="5"/>
        <v>2.46E-2</v>
      </c>
      <c r="V40" s="49">
        <f t="shared" si="6"/>
        <v>-3.7000000000000005E-2</v>
      </c>
      <c r="W40" s="49">
        <f t="shared" si="7"/>
        <v>-3.7000000000000005E-2</v>
      </c>
      <c r="X40" s="49">
        <f t="shared" si="8"/>
        <v>-0.51400000000000001</v>
      </c>
      <c r="Y40" s="24"/>
      <c r="Z40" s="24"/>
    </row>
    <row r="41" spans="1:26" ht="15.75" customHeight="1">
      <c r="A41" s="38" t="s">
        <v>97</v>
      </c>
      <c r="B41" s="39">
        <v>45317</v>
      </c>
      <c r="C41" s="38">
        <v>13.75</v>
      </c>
      <c r="D41" s="38">
        <v>0.36</v>
      </c>
      <c r="E41" s="38">
        <v>-0.72</v>
      </c>
      <c r="F41" s="38">
        <v>-9.9499999999999993</v>
      </c>
      <c r="G41" s="38">
        <v>-9.9499999999999993</v>
      </c>
      <c r="H41" s="38">
        <v>15.78</v>
      </c>
      <c r="I41" s="38">
        <v>13.67</v>
      </c>
      <c r="J41" s="38">
        <v>13.9</v>
      </c>
      <c r="K41" s="38" t="s">
        <v>98</v>
      </c>
      <c r="L41" s="34">
        <f t="shared" si="0"/>
        <v>3.5999999999999999E-3</v>
      </c>
      <c r="M41" s="35">
        <f t="shared" si="1"/>
        <v>13.700677560781187</v>
      </c>
      <c r="N41" s="40">
        <f>VLOOKUP(A41,Total_de_acoes!A:B,2,0)</f>
        <v>1500728902</v>
      </c>
      <c r="O41" s="36">
        <f t="shared" si="2"/>
        <v>74019610.052810252</v>
      </c>
      <c r="P41" s="37" t="str">
        <f t="shared" si="3"/>
        <v>Subiu</v>
      </c>
      <c r="Q41" s="37" t="str">
        <f>VLOOKUP(A41,Ticker!A:B,2,0)</f>
        <v>Banco Bradesco</v>
      </c>
      <c r="R41" s="37" t="str">
        <f>VLOOKUP(Principal!Q41,CHATGPT!A:C,2,0)</f>
        <v>Instituição Financeira</v>
      </c>
      <c r="S41" s="37">
        <f>VLOOKUP(Q41,CHATGPT!A:C,3,0)</f>
        <v>78</v>
      </c>
      <c r="T41" s="46" t="str">
        <f t="shared" si="4"/>
        <v>Entre 50 e 100</v>
      </c>
      <c r="U41" s="48">
        <f t="shared" si="5"/>
        <v>-7.1999999999999998E-3</v>
      </c>
      <c r="V41" s="49">
        <f t="shared" si="6"/>
        <v>-9.9499999999999991E-2</v>
      </c>
      <c r="W41" s="49">
        <f t="shared" si="7"/>
        <v>-9.9499999999999991E-2</v>
      </c>
      <c r="X41" s="49">
        <f t="shared" si="8"/>
        <v>0.1578</v>
      </c>
      <c r="Y41" s="24"/>
      <c r="Z41" s="24"/>
    </row>
    <row r="42" spans="1:26" ht="15.75" customHeight="1">
      <c r="A42" s="31" t="s">
        <v>99</v>
      </c>
      <c r="B42" s="32">
        <v>45317</v>
      </c>
      <c r="C42" s="31">
        <v>21.84</v>
      </c>
      <c r="D42" s="31">
        <v>0.27</v>
      </c>
      <c r="E42" s="31">
        <v>3.65</v>
      </c>
      <c r="F42" s="31">
        <v>-8.08</v>
      </c>
      <c r="G42" s="31">
        <v>-8.08</v>
      </c>
      <c r="H42" s="31">
        <v>-26.1</v>
      </c>
      <c r="I42" s="31">
        <v>21.7</v>
      </c>
      <c r="J42" s="31">
        <v>21.94</v>
      </c>
      <c r="K42" s="31" t="s">
        <v>100</v>
      </c>
      <c r="L42" s="34">
        <f t="shared" si="0"/>
        <v>2.7000000000000001E-3</v>
      </c>
      <c r="M42" s="35">
        <f t="shared" si="1"/>
        <v>21.781190784880824</v>
      </c>
      <c r="N42" s="40">
        <f>VLOOKUP(A42,Total_de_acoes!A:B,2,0)</f>
        <v>1118525506</v>
      </c>
      <c r="O42" s="36">
        <f t="shared" si="2"/>
        <v>65779607.098639093</v>
      </c>
      <c r="P42" s="37" t="str">
        <f t="shared" si="3"/>
        <v>Subiu</v>
      </c>
      <c r="Q42" s="37" t="str">
        <f>VLOOKUP(A42,Ticker!A:B,2,0)</f>
        <v>Gerdau</v>
      </c>
      <c r="R42" s="37" t="str">
        <f>VLOOKUP(Principal!Q42,CHATGPT!A:C,2,0)</f>
        <v>Siderurgia</v>
      </c>
      <c r="S42" s="37">
        <f>VLOOKUP(Q42,CHATGPT!A:C,3,0)</f>
        <v>120</v>
      </c>
      <c r="T42" s="46" t="str">
        <f t="shared" si="4"/>
        <v>Mais de 100 Anos</v>
      </c>
      <c r="U42" s="48">
        <f t="shared" si="5"/>
        <v>3.6499999999999998E-2</v>
      </c>
      <c r="V42" s="49">
        <f t="shared" si="6"/>
        <v>-8.0799999999999997E-2</v>
      </c>
      <c r="W42" s="49">
        <f t="shared" si="7"/>
        <v>-8.0799999999999997E-2</v>
      </c>
      <c r="X42" s="49">
        <f t="shared" si="8"/>
        <v>-0.26100000000000001</v>
      </c>
      <c r="Y42" s="24"/>
      <c r="Z42" s="24"/>
    </row>
    <row r="43" spans="1:26" ht="15.75" customHeight="1">
      <c r="A43" s="38" t="s">
        <v>101</v>
      </c>
      <c r="B43" s="39">
        <v>45317</v>
      </c>
      <c r="C43" s="38">
        <v>3.74</v>
      </c>
      <c r="D43" s="38">
        <v>0.26</v>
      </c>
      <c r="E43" s="38">
        <v>0</v>
      </c>
      <c r="F43" s="38">
        <v>-7.2</v>
      </c>
      <c r="G43" s="38">
        <v>-7.2</v>
      </c>
      <c r="H43" s="38">
        <v>15.46</v>
      </c>
      <c r="I43" s="38">
        <v>3.71</v>
      </c>
      <c r="J43" s="38">
        <v>3.78</v>
      </c>
      <c r="K43" s="38" t="s">
        <v>102</v>
      </c>
      <c r="L43" s="34">
        <f t="shared" si="0"/>
        <v>2.5999999999999999E-3</v>
      </c>
      <c r="M43" s="35">
        <f t="shared" si="1"/>
        <v>3.7303012168362262</v>
      </c>
      <c r="N43" s="40">
        <f>VLOOKUP(A43,Total_de_acoes!A:B,2,0)</f>
        <v>1193047233</v>
      </c>
      <c r="O43" s="36">
        <f t="shared" si="2"/>
        <v>11571106.417007603</v>
      </c>
      <c r="P43" s="37" t="str">
        <f t="shared" si="3"/>
        <v>Subiu</v>
      </c>
      <c r="Q43" s="37" t="str">
        <f>VLOOKUP(A43,Ticker!A:B,2,0)</f>
        <v>Raízen</v>
      </c>
      <c r="R43" s="37" t="str">
        <f>VLOOKUP(Principal!Q43,CHATGPT!A:C,2,0)</f>
        <v>Energia e Biocombustíveis</v>
      </c>
      <c r="S43" s="37">
        <f>VLOOKUP(Q43,CHATGPT!A:C,3,0)</f>
        <v>9</v>
      </c>
      <c r="T43" s="46" t="str">
        <f t="shared" si="4"/>
        <v>Menos que 50 Anos</v>
      </c>
      <c r="U43" s="48">
        <f t="shared" si="5"/>
        <v>0</v>
      </c>
      <c r="V43" s="49">
        <f t="shared" si="6"/>
        <v>-7.2000000000000008E-2</v>
      </c>
      <c r="W43" s="49">
        <f t="shared" si="7"/>
        <v>-7.2000000000000008E-2</v>
      </c>
      <c r="X43" s="49">
        <f t="shared" si="8"/>
        <v>0.15460000000000002</v>
      </c>
      <c r="Y43" s="24"/>
      <c r="Z43" s="24"/>
    </row>
    <row r="44" spans="1:26" ht="15.75" customHeight="1">
      <c r="A44" s="31" t="s">
        <v>103</v>
      </c>
      <c r="B44" s="32">
        <v>45317</v>
      </c>
      <c r="C44" s="31">
        <v>10.07</v>
      </c>
      <c r="D44" s="31">
        <v>0.19</v>
      </c>
      <c r="E44" s="31">
        <v>0.9</v>
      </c>
      <c r="F44" s="31">
        <v>-2.8</v>
      </c>
      <c r="G44" s="31">
        <v>-2.8</v>
      </c>
      <c r="H44" s="31">
        <v>32.08</v>
      </c>
      <c r="I44" s="31">
        <v>9.9600000000000009</v>
      </c>
      <c r="J44" s="31">
        <v>10.130000000000001</v>
      </c>
      <c r="K44" s="31" t="s">
        <v>104</v>
      </c>
      <c r="L44" s="34">
        <f t="shared" si="0"/>
        <v>1.9E-3</v>
      </c>
      <c r="M44" s="35">
        <f t="shared" si="1"/>
        <v>10.050903283760855</v>
      </c>
      <c r="N44" s="40">
        <f>VLOOKUP(A44,Total_de_acoes!A:B,2,0)</f>
        <v>1679335290</v>
      </c>
      <c r="O44" s="36">
        <f t="shared" si="2"/>
        <v>32069789.503513202</v>
      </c>
      <c r="P44" s="37" t="str">
        <f t="shared" si="3"/>
        <v>Subiu</v>
      </c>
      <c r="Q44" s="37" t="str">
        <f>VLOOKUP(A44,Ticker!A:B,2,0)</f>
        <v>Copel</v>
      </c>
      <c r="R44" s="37" t="str">
        <f>VLOOKUP(Principal!Q44,CHATGPT!A:C,2,0)</f>
        <v>Energia Elétrica</v>
      </c>
      <c r="S44" s="37">
        <f>VLOOKUP(Q44,CHATGPT!A:C,3,0)</f>
        <v>66</v>
      </c>
      <c r="T44" s="46" t="str">
        <f t="shared" si="4"/>
        <v>Entre 50 e 100</v>
      </c>
      <c r="U44" s="48">
        <f t="shared" si="5"/>
        <v>9.0000000000000011E-3</v>
      </c>
      <c r="V44" s="49">
        <f t="shared" si="6"/>
        <v>-2.7999999999999997E-2</v>
      </c>
      <c r="W44" s="49">
        <f t="shared" si="7"/>
        <v>-2.7999999999999997E-2</v>
      </c>
      <c r="X44" s="49">
        <f t="shared" si="8"/>
        <v>0.32079999999999997</v>
      </c>
      <c r="Y44" s="24"/>
      <c r="Z44" s="24"/>
    </row>
    <row r="45" spans="1:26" ht="15.75" customHeight="1">
      <c r="A45" s="38" t="s">
        <v>105</v>
      </c>
      <c r="B45" s="39">
        <v>45317</v>
      </c>
      <c r="C45" s="38">
        <v>8.18</v>
      </c>
      <c r="D45" s="38">
        <v>0.12</v>
      </c>
      <c r="E45" s="38">
        <v>-3.76</v>
      </c>
      <c r="F45" s="38">
        <v>-18.77</v>
      </c>
      <c r="G45" s="38">
        <v>-18.77</v>
      </c>
      <c r="H45" s="38">
        <v>-40.74</v>
      </c>
      <c r="I45" s="38">
        <v>8.11</v>
      </c>
      <c r="J45" s="38">
        <v>8.27</v>
      </c>
      <c r="K45" s="38" t="s">
        <v>106</v>
      </c>
      <c r="L45" s="34">
        <f t="shared" si="0"/>
        <v>1.1999999999999999E-3</v>
      </c>
      <c r="M45" s="35">
        <f t="shared" si="1"/>
        <v>8.1701957650819015</v>
      </c>
      <c r="N45" s="40">
        <f>VLOOKUP(A45,Total_de_acoes!A:B,2,0)</f>
        <v>421383330</v>
      </c>
      <c r="O45" s="36">
        <f t="shared" si="2"/>
        <v>4131341.1578905098</v>
      </c>
      <c r="P45" s="37" t="str">
        <f t="shared" si="3"/>
        <v>Subiu</v>
      </c>
      <c r="Q45" s="37" t="str">
        <f>VLOOKUP(A45,Ticker!A:B,2,0)</f>
        <v>Grupo Vamos</v>
      </c>
      <c r="R45" s="37" t="str">
        <f>VLOOKUP(Principal!Q45,CHATGPT!A:C,2,0)</f>
        <v>Transporte e Logística</v>
      </c>
      <c r="S45" s="37">
        <f>VLOOKUP(Q45,CHATGPT!A:C,3,0)</f>
        <v>14</v>
      </c>
      <c r="T45" s="46" t="str">
        <f t="shared" si="4"/>
        <v>Menos que 50 Anos</v>
      </c>
      <c r="U45" s="48">
        <f t="shared" si="5"/>
        <v>-3.7599999999999995E-2</v>
      </c>
      <c r="V45" s="49">
        <f t="shared" si="6"/>
        <v>-0.18770000000000001</v>
      </c>
      <c r="W45" s="49">
        <f t="shared" si="7"/>
        <v>-0.18770000000000001</v>
      </c>
      <c r="X45" s="49">
        <f t="shared" si="8"/>
        <v>-0.40740000000000004</v>
      </c>
      <c r="Y45" s="24"/>
      <c r="Z45" s="24"/>
    </row>
    <row r="46" spans="1:26" ht="15.75" customHeight="1">
      <c r="A46" s="31" t="s">
        <v>107</v>
      </c>
      <c r="B46" s="32">
        <v>45317</v>
      </c>
      <c r="C46" s="31">
        <v>9.74</v>
      </c>
      <c r="D46" s="31">
        <v>0</v>
      </c>
      <c r="E46" s="31">
        <v>5.3</v>
      </c>
      <c r="F46" s="31">
        <v>0.41</v>
      </c>
      <c r="G46" s="31">
        <v>0.41</v>
      </c>
      <c r="H46" s="31">
        <v>17.989999999999998</v>
      </c>
      <c r="I46" s="31">
        <v>9.61</v>
      </c>
      <c r="J46" s="31">
        <v>9.86</v>
      </c>
      <c r="K46" s="31" t="s">
        <v>108</v>
      </c>
      <c r="L46" s="34">
        <f t="shared" si="0"/>
        <v>0</v>
      </c>
      <c r="M46" s="35">
        <f t="shared" si="1"/>
        <v>9.74</v>
      </c>
      <c r="N46" s="40">
        <f>VLOOKUP(A46,Total_de_acoes!A:B,2,0)</f>
        <v>331799687</v>
      </c>
      <c r="O46" s="36">
        <f t="shared" si="2"/>
        <v>0</v>
      </c>
      <c r="P46" s="37" t="str">
        <f t="shared" si="3"/>
        <v>Manteve</v>
      </c>
      <c r="Q46" s="37" t="str">
        <f>VLOOKUP(A46,Ticker!A:B,2,0)</f>
        <v>Marfrig</v>
      </c>
      <c r="R46" s="37" t="str">
        <f>VLOOKUP(Principal!Q46,CHATGPT!A:C,2,0)</f>
        <v>Alimentos (Carnes)</v>
      </c>
      <c r="S46" s="37" t="str">
        <f>VLOOKUP(Q46,CHATGPT!A:C,3,0)</f>
        <v>14 (como Marfrig)</v>
      </c>
      <c r="T46" s="46" t="str">
        <f t="shared" si="4"/>
        <v>Mais de 100 Anos</v>
      </c>
      <c r="U46" s="48">
        <f t="shared" si="5"/>
        <v>5.2999999999999999E-2</v>
      </c>
      <c r="V46" s="49">
        <f t="shared" si="6"/>
        <v>4.0999999999999995E-3</v>
      </c>
      <c r="W46" s="49">
        <f t="shared" si="7"/>
        <v>4.0999999999999995E-3</v>
      </c>
      <c r="X46" s="49">
        <f t="shared" si="8"/>
        <v>0.17989999999999998</v>
      </c>
      <c r="Y46" s="24"/>
      <c r="Z46" s="24"/>
    </row>
    <row r="47" spans="1:26" ht="15.75" customHeight="1">
      <c r="A47" s="38" t="s">
        <v>109</v>
      </c>
      <c r="B47" s="39">
        <v>45317</v>
      </c>
      <c r="C47" s="41">
        <v>13.2</v>
      </c>
      <c r="D47" s="38">
        <v>0</v>
      </c>
      <c r="E47" s="38">
        <v>-1.1200000000000001</v>
      </c>
      <c r="F47" s="38">
        <v>-3.86</v>
      </c>
      <c r="G47" s="38">
        <v>-3.86</v>
      </c>
      <c r="H47" s="38">
        <v>0.3</v>
      </c>
      <c r="I47" s="38">
        <v>13.15</v>
      </c>
      <c r="J47" s="38">
        <v>13.29</v>
      </c>
      <c r="K47" s="38" t="s">
        <v>110</v>
      </c>
      <c r="L47" s="34">
        <f t="shared" si="0"/>
        <v>0</v>
      </c>
      <c r="M47" s="35">
        <f t="shared" si="1"/>
        <v>13.2</v>
      </c>
      <c r="N47" s="40">
        <f>VLOOKUP(A47,Total_de_acoes!A:B,2,0)</f>
        <v>4394245879</v>
      </c>
      <c r="O47" s="36">
        <f t="shared" si="2"/>
        <v>0</v>
      </c>
      <c r="P47" s="37" t="str">
        <f t="shared" si="3"/>
        <v>Manteve</v>
      </c>
      <c r="Q47" s="37" t="str">
        <f>VLOOKUP(A47,Ticker!A:B,2,0)</f>
        <v>Ambev</v>
      </c>
      <c r="R47" s="37" t="str">
        <f>VLOOKUP(Principal!Q47,CHATGPT!A:C,2,0)</f>
        <v>Bebidas</v>
      </c>
      <c r="S47" s="37">
        <f>VLOOKUP(Q47,CHATGPT!A:C,3,0)</f>
        <v>31</v>
      </c>
      <c r="T47" s="46" t="str">
        <f t="shared" si="4"/>
        <v>Menos que 50 Anos</v>
      </c>
      <c r="U47" s="48">
        <f t="shared" si="5"/>
        <v>-1.1200000000000002E-2</v>
      </c>
      <c r="V47" s="49">
        <f t="shared" si="6"/>
        <v>-3.8599999999999995E-2</v>
      </c>
      <c r="W47" s="49">
        <f t="shared" si="7"/>
        <v>-3.8599999999999995E-2</v>
      </c>
      <c r="X47" s="49">
        <f t="shared" si="8"/>
        <v>3.0000000000000001E-3</v>
      </c>
      <c r="Y47" s="24"/>
      <c r="Z47" s="24"/>
    </row>
    <row r="48" spans="1:26" ht="15.75" customHeight="1">
      <c r="A48" s="31" t="s">
        <v>111</v>
      </c>
      <c r="B48" s="32">
        <v>45317</v>
      </c>
      <c r="C48" s="31">
        <v>33.729999999999997</v>
      </c>
      <c r="D48" s="31">
        <v>-0.02</v>
      </c>
      <c r="E48" s="31">
        <v>-2.37</v>
      </c>
      <c r="F48" s="31">
        <v>0.24</v>
      </c>
      <c r="G48" s="31">
        <v>0.24</v>
      </c>
      <c r="H48" s="31">
        <v>0.91</v>
      </c>
      <c r="I48" s="31">
        <v>33.729999999999997</v>
      </c>
      <c r="J48" s="31">
        <v>34.03</v>
      </c>
      <c r="K48" s="31" t="s">
        <v>112</v>
      </c>
      <c r="L48" s="34">
        <f t="shared" si="0"/>
        <v>-2.0000000000000001E-4</v>
      </c>
      <c r="M48" s="35">
        <f t="shared" si="1"/>
        <v>33.736747349469887</v>
      </c>
      <c r="N48" s="40">
        <f>VLOOKUP(A48,Total_de_acoes!A:B,2,0)</f>
        <v>671750768</v>
      </c>
      <c r="O48" s="36">
        <f t="shared" si="2"/>
        <v>-4532537.1883631321</v>
      </c>
      <c r="P48" s="37" t="str">
        <f t="shared" si="3"/>
        <v>Desceu</v>
      </c>
      <c r="Q48" s="37" t="str">
        <f>VLOOKUP(A48,Ticker!A:B,2,0)</f>
        <v>BB Seguridade</v>
      </c>
      <c r="R48" s="37" t="str">
        <f>VLOOKUP(Principal!Q48,CHATGPT!A:C,2,0)</f>
        <v>Seguros e Previdência</v>
      </c>
      <c r="S48" s="37">
        <f>VLOOKUP(Q48,CHATGPT!A:C,3,0)</f>
        <v>8</v>
      </c>
      <c r="T48" s="46" t="str">
        <f t="shared" si="4"/>
        <v>Menos que 50 Anos</v>
      </c>
      <c r="U48" s="48">
        <f t="shared" si="5"/>
        <v>-2.3700000000000002E-2</v>
      </c>
      <c r="V48" s="49">
        <f t="shared" si="6"/>
        <v>2.3999999999999998E-3</v>
      </c>
      <c r="W48" s="49">
        <f t="shared" si="7"/>
        <v>2.3999999999999998E-3</v>
      </c>
      <c r="X48" s="49">
        <f t="shared" si="8"/>
        <v>9.1000000000000004E-3</v>
      </c>
      <c r="Y48" s="24"/>
      <c r="Z48" s="24"/>
    </row>
    <row r="49" spans="1:26" ht="15.75" customHeight="1">
      <c r="A49" s="38" t="s">
        <v>113</v>
      </c>
      <c r="B49" s="39">
        <v>45317</v>
      </c>
      <c r="C49" s="38">
        <v>77.040000000000006</v>
      </c>
      <c r="D49" s="38">
        <v>-0.06</v>
      </c>
      <c r="E49" s="38">
        <v>1.37</v>
      </c>
      <c r="F49" s="38">
        <v>2.2200000000000002</v>
      </c>
      <c r="G49" s="38">
        <v>2.2200000000000002</v>
      </c>
      <c r="H49" s="38">
        <v>45.92</v>
      </c>
      <c r="I49" s="38">
        <v>76.52</v>
      </c>
      <c r="J49" s="38">
        <v>77.69</v>
      </c>
      <c r="K49" s="38" t="s">
        <v>114</v>
      </c>
      <c r="L49" s="34">
        <f t="shared" si="0"/>
        <v>-5.9999999999999995E-4</v>
      </c>
      <c r="M49" s="35">
        <f t="shared" si="1"/>
        <v>77.086251751050639</v>
      </c>
      <c r="N49" s="40">
        <f>VLOOKUP(A49,Total_de_acoes!A:B,2,0)</f>
        <v>340001799</v>
      </c>
      <c r="O49" s="36">
        <f t="shared" si="2"/>
        <v>-15725678.564115381</v>
      </c>
      <c r="P49" s="37" t="str">
        <f t="shared" si="3"/>
        <v>Desceu</v>
      </c>
      <c r="Q49" s="37" t="str">
        <f>VLOOKUP(A49,Ticker!A:B,2,0)</f>
        <v>Sabesp</v>
      </c>
      <c r="R49" s="37" t="str">
        <f>VLOOKUP(Principal!Q49,CHATGPT!A:C,2,0)</f>
        <v>Saneamento Básico</v>
      </c>
      <c r="S49" s="37">
        <f>VLOOKUP(Q49,CHATGPT!A:C,3,0)</f>
        <v>48</v>
      </c>
      <c r="T49" s="46" t="str">
        <f t="shared" si="4"/>
        <v>Menos que 50 Anos</v>
      </c>
      <c r="U49" s="48">
        <f t="shared" si="5"/>
        <v>1.37E-2</v>
      </c>
      <c r="V49" s="49">
        <f t="shared" si="6"/>
        <v>2.2200000000000001E-2</v>
      </c>
      <c r="W49" s="49">
        <f t="shared" si="7"/>
        <v>2.2200000000000001E-2</v>
      </c>
      <c r="X49" s="49">
        <f t="shared" si="8"/>
        <v>0.4592</v>
      </c>
      <c r="Y49" s="24"/>
      <c r="Z49" s="24"/>
    </row>
    <row r="50" spans="1:26" ht="15.75" customHeight="1">
      <c r="A50" s="31" t="s">
        <v>115</v>
      </c>
      <c r="B50" s="32">
        <v>45317</v>
      </c>
      <c r="C50" s="31">
        <v>30.88</v>
      </c>
      <c r="D50" s="31">
        <v>-0.06</v>
      </c>
      <c r="E50" s="31">
        <v>-2.65</v>
      </c>
      <c r="F50" s="31">
        <v>-8.34</v>
      </c>
      <c r="G50" s="31">
        <v>-8.34</v>
      </c>
      <c r="H50" s="31">
        <v>5.89</v>
      </c>
      <c r="I50" s="31">
        <v>30.65</v>
      </c>
      <c r="J50" s="31">
        <v>31.34</v>
      </c>
      <c r="K50" s="31" t="s">
        <v>116</v>
      </c>
      <c r="L50" s="34">
        <f t="shared" si="0"/>
        <v>-5.9999999999999995E-4</v>
      </c>
      <c r="M50" s="35">
        <f t="shared" si="1"/>
        <v>30.898539123474084</v>
      </c>
      <c r="N50" s="40">
        <f>VLOOKUP(A50,Total_de_acoes!A:B,2,0)</f>
        <v>514122351</v>
      </c>
      <c r="O50" s="36">
        <f t="shared" si="2"/>
        <v>-9531377.7459757738</v>
      </c>
      <c r="P50" s="37" t="str">
        <f t="shared" si="3"/>
        <v>Desceu</v>
      </c>
      <c r="Q50" s="37" t="str">
        <f>VLOOKUP(A50,Ticker!A:B,2,0)</f>
        <v>Totvs</v>
      </c>
      <c r="R50" s="37" t="str">
        <f>VLOOKUP(Principal!Q50,CHATGPT!A:C,2,0)</f>
        <v>Tecnologia (Software)</v>
      </c>
      <c r="S50" s="37">
        <f>VLOOKUP(Q50,CHATGPT!A:C,3,0)</f>
        <v>54</v>
      </c>
      <c r="T50" s="46" t="str">
        <f t="shared" si="4"/>
        <v>Entre 50 e 100</v>
      </c>
      <c r="U50" s="48">
        <f t="shared" si="5"/>
        <v>-2.6499999999999999E-2</v>
      </c>
      <c r="V50" s="49">
        <f t="shared" si="6"/>
        <v>-8.3400000000000002E-2</v>
      </c>
      <c r="W50" s="49">
        <f t="shared" si="7"/>
        <v>-8.3400000000000002E-2</v>
      </c>
      <c r="X50" s="49">
        <f t="shared" si="8"/>
        <v>5.8899999999999994E-2</v>
      </c>
      <c r="Y50" s="24"/>
      <c r="Z50" s="24"/>
    </row>
    <row r="51" spans="1:26" ht="15.75" customHeight="1">
      <c r="A51" s="38" t="s">
        <v>117</v>
      </c>
      <c r="B51" s="39">
        <v>45317</v>
      </c>
      <c r="C51" s="38">
        <v>11.64</v>
      </c>
      <c r="D51" s="38">
        <v>-0.17</v>
      </c>
      <c r="E51" s="38">
        <v>0.95</v>
      </c>
      <c r="F51" s="38">
        <v>1.39</v>
      </c>
      <c r="G51" s="38">
        <v>1.39</v>
      </c>
      <c r="H51" s="38">
        <v>12.26</v>
      </c>
      <c r="I51" s="38">
        <v>11.64</v>
      </c>
      <c r="J51" s="38">
        <v>11.8</v>
      </c>
      <c r="K51" s="38" t="s">
        <v>118</v>
      </c>
      <c r="L51" s="34">
        <f t="shared" si="0"/>
        <v>-1.7000000000000001E-3</v>
      </c>
      <c r="M51" s="35">
        <f t="shared" si="1"/>
        <v>11.659821696884705</v>
      </c>
      <c r="N51" s="40">
        <f>VLOOKUP(A51,Total_de_acoes!A:B,2,0)</f>
        <v>1437415777</v>
      </c>
      <c r="O51" s="36">
        <f t="shared" si="2"/>
        <v>-28492019.828986604</v>
      </c>
      <c r="P51" s="37" t="str">
        <f t="shared" si="3"/>
        <v>Desceu</v>
      </c>
      <c r="Q51" s="37" t="str">
        <f>VLOOKUP(A51,Ticker!A:B,2,0)</f>
        <v>CEMIG</v>
      </c>
      <c r="R51" s="37" t="str">
        <f>VLOOKUP(Principal!Q51,CHATGPT!A:C,2,0)</f>
        <v>Energia Elétrica</v>
      </c>
      <c r="S51" s="37">
        <f>VLOOKUP(Q51,CHATGPT!A:C,3,0)</f>
        <v>69</v>
      </c>
      <c r="T51" s="46" t="str">
        <f t="shared" si="4"/>
        <v>Entre 50 e 100</v>
      </c>
      <c r="U51" s="48">
        <f t="shared" si="5"/>
        <v>9.4999999999999998E-3</v>
      </c>
      <c r="V51" s="49">
        <f t="shared" si="6"/>
        <v>1.3899999999999999E-2</v>
      </c>
      <c r="W51" s="49">
        <f t="shared" si="7"/>
        <v>1.3899999999999999E-2</v>
      </c>
      <c r="X51" s="49">
        <f t="shared" si="8"/>
        <v>0.1226</v>
      </c>
      <c r="Y51" s="24"/>
      <c r="Z51" s="24"/>
    </row>
    <row r="52" spans="1:26" ht="15.75" customHeight="1">
      <c r="A52" s="31" t="s">
        <v>119</v>
      </c>
      <c r="B52" s="32">
        <v>45317</v>
      </c>
      <c r="C52" s="31">
        <v>46.04</v>
      </c>
      <c r="D52" s="31">
        <v>-0.19</v>
      </c>
      <c r="E52" s="31">
        <v>-1.41</v>
      </c>
      <c r="F52" s="31">
        <v>-2</v>
      </c>
      <c r="G52" s="31">
        <v>-2</v>
      </c>
      <c r="H52" s="31">
        <v>7.43</v>
      </c>
      <c r="I52" s="31">
        <v>45.91</v>
      </c>
      <c r="J52" s="31">
        <v>46.42</v>
      </c>
      <c r="K52" s="31" t="s">
        <v>120</v>
      </c>
      <c r="L52" s="34">
        <f t="shared" si="0"/>
        <v>-1.9E-3</v>
      </c>
      <c r="M52" s="35">
        <f t="shared" si="1"/>
        <v>46.1276425207895</v>
      </c>
      <c r="N52" s="40">
        <f>VLOOKUP(A52,Total_de_acoes!A:B,2,0)</f>
        <v>268544014</v>
      </c>
      <c r="O52" s="36">
        <f t="shared" si="2"/>
        <v>-23535874.329891067</v>
      </c>
      <c r="P52" s="37" t="str">
        <f t="shared" si="3"/>
        <v>Desceu</v>
      </c>
      <c r="Q52" s="37" t="str">
        <f>VLOOKUP(A52,Ticker!A:B,2,0)</f>
        <v>Eletrobras</v>
      </c>
      <c r="R52" s="37" t="str">
        <f>VLOOKUP(Principal!Q52,CHATGPT!A:C,2,0)</f>
        <v>Energia Elétrica</v>
      </c>
      <c r="S52" s="37">
        <f>VLOOKUP(Q52,CHATGPT!A:C,3,0)</f>
        <v>60</v>
      </c>
      <c r="T52" s="46" t="str">
        <f t="shared" si="4"/>
        <v>Entre 50 e 100</v>
      </c>
      <c r="U52" s="48">
        <f t="shared" si="5"/>
        <v>-1.41E-2</v>
      </c>
      <c r="V52" s="49">
        <f t="shared" si="6"/>
        <v>-0.02</v>
      </c>
      <c r="W52" s="49">
        <f t="shared" si="7"/>
        <v>-0.02</v>
      </c>
      <c r="X52" s="49">
        <f t="shared" si="8"/>
        <v>7.4299999999999991E-2</v>
      </c>
      <c r="Y52" s="24"/>
      <c r="Z52" s="24"/>
    </row>
    <row r="53" spans="1:26" ht="15.75" customHeight="1">
      <c r="A53" s="38" t="s">
        <v>121</v>
      </c>
      <c r="B53" s="39">
        <v>45317</v>
      </c>
      <c r="C53" s="38">
        <v>12.87</v>
      </c>
      <c r="D53" s="38">
        <v>-0.23</v>
      </c>
      <c r="E53" s="38">
        <v>1.42</v>
      </c>
      <c r="F53" s="38">
        <v>-5.44</v>
      </c>
      <c r="G53" s="38">
        <v>-5.44</v>
      </c>
      <c r="H53" s="38">
        <v>6.36</v>
      </c>
      <c r="I53" s="38">
        <v>12.84</v>
      </c>
      <c r="J53" s="38">
        <v>13.09</v>
      </c>
      <c r="K53" s="38" t="s">
        <v>122</v>
      </c>
      <c r="L53" s="34">
        <f t="shared" si="0"/>
        <v>-2.3E-3</v>
      </c>
      <c r="M53" s="35">
        <f t="shared" si="1"/>
        <v>12.899669239250274</v>
      </c>
      <c r="N53" s="40">
        <f>VLOOKUP(A53,Total_de_acoes!A:B,2,0)</f>
        <v>1579130168</v>
      </c>
      <c r="O53" s="36">
        <f t="shared" si="2"/>
        <v>-46851590.76171875</v>
      </c>
      <c r="P53" s="37" t="str">
        <f t="shared" si="3"/>
        <v>Desceu</v>
      </c>
      <c r="Q53" s="37" t="str">
        <f>VLOOKUP(A53,Ticker!A:B,2,0)</f>
        <v>Eneva</v>
      </c>
      <c r="R53" s="37" t="str">
        <f>VLOOKUP(Principal!Q53,CHATGPT!A:C,2,0)</f>
        <v>Energia (Geração e Exploração)</v>
      </c>
      <c r="S53" s="37">
        <f>VLOOKUP(Q53,CHATGPT!A:C,3,0)</f>
        <v>10</v>
      </c>
      <c r="T53" s="46" t="str">
        <f t="shared" si="4"/>
        <v>Menos que 50 Anos</v>
      </c>
      <c r="U53" s="48">
        <f t="shared" si="5"/>
        <v>1.4199999999999999E-2</v>
      </c>
      <c r="V53" s="49">
        <f t="shared" si="6"/>
        <v>-5.4400000000000004E-2</v>
      </c>
      <c r="W53" s="49">
        <f t="shared" si="7"/>
        <v>-5.4400000000000004E-2</v>
      </c>
      <c r="X53" s="49">
        <f t="shared" si="8"/>
        <v>6.3600000000000004E-2</v>
      </c>
      <c r="Y53" s="24"/>
      <c r="Z53" s="24"/>
    </row>
    <row r="54" spans="1:26" ht="15.75" customHeight="1">
      <c r="A54" s="31" t="s">
        <v>123</v>
      </c>
      <c r="B54" s="32">
        <v>45317</v>
      </c>
      <c r="C54" s="31">
        <v>33.17</v>
      </c>
      <c r="D54" s="31">
        <v>-0.24</v>
      </c>
      <c r="E54" s="31">
        <v>-0.93</v>
      </c>
      <c r="F54" s="31">
        <v>-10.130000000000001</v>
      </c>
      <c r="G54" s="31">
        <v>-10.130000000000001</v>
      </c>
      <c r="H54" s="31">
        <v>-11.84</v>
      </c>
      <c r="I54" s="31">
        <v>33.04</v>
      </c>
      <c r="J54" s="31">
        <v>33.5</v>
      </c>
      <c r="K54" s="31" t="s">
        <v>124</v>
      </c>
      <c r="L54" s="34">
        <f t="shared" si="0"/>
        <v>-2.3999999999999998E-3</v>
      </c>
      <c r="M54" s="35">
        <f t="shared" si="1"/>
        <v>33.249799518845229</v>
      </c>
      <c r="N54" s="40">
        <f>VLOOKUP(A54,Total_de_acoes!A:B,2,0)</f>
        <v>1481593024</v>
      </c>
      <c r="O54" s="36">
        <f t="shared" si="2"/>
        <v>-118230410.43964578</v>
      </c>
      <c r="P54" s="37" t="str">
        <f t="shared" si="3"/>
        <v>Desceu</v>
      </c>
      <c r="Q54" s="37" t="str">
        <f>VLOOKUP(A54,Ticker!A:B,2,0)</f>
        <v>WEG</v>
      </c>
      <c r="R54" s="37" t="str">
        <f>VLOOKUP(Principal!Q54,CHATGPT!A:C,2,0)</f>
        <v>Tecnologia (Motores Elétricos)</v>
      </c>
      <c r="S54" s="37">
        <f>VLOOKUP(Q54,CHATGPT!A:C,3,0)</f>
        <v>59</v>
      </c>
      <c r="T54" s="46" t="str">
        <f t="shared" si="4"/>
        <v>Entre 50 e 100</v>
      </c>
      <c r="U54" s="48">
        <f t="shared" si="5"/>
        <v>-9.300000000000001E-3</v>
      </c>
      <c r="V54" s="49">
        <f t="shared" si="6"/>
        <v>-0.1013</v>
      </c>
      <c r="W54" s="49">
        <f t="shared" si="7"/>
        <v>-0.1013</v>
      </c>
      <c r="X54" s="49">
        <f t="shared" si="8"/>
        <v>-0.11840000000000001</v>
      </c>
      <c r="Y54" s="24"/>
      <c r="Z54" s="24"/>
    </row>
    <row r="55" spans="1:26" ht="15.75" customHeight="1">
      <c r="A55" s="38" t="s">
        <v>125</v>
      </c>
      <c r="B55" s="39">
        <v>45317</v>
      </c>
      <c r="C55" s="41">
        <v>19.3</v>
      </c>
      <c r="D55" s="38">
        <v>-0.25</v>
      </c>
      <c r="E55" s="38">
        <v>2.0099999999999998</v>
      </c>
      <c r="F55" s="38">
        <v>2.5499999999999998</v>
      </c>
      <c r="G55" s="38">
        <v>2.5499999999999998</v>
      </c>
      <c r="H55" s="38">
        <v>-10.11</v>
      </c>
      <c r="I55" s="38">
        <v>19.100000000000001</v>
      </c>
      <c r="J55" s="38">
        <v>19.510000000000002</v>
      </c>
      <c r="K55" s="38" t="s">
        <v>126</v>
      </c>
      <c r="L55" s="34">
        <f t="shared" si="0"/>
        <v>-2.5000000000000001E-3</v>
      </c>
      <c r="M55" s="35">
        <f t="shared" si="1"/>
        <v>19.348370927318296</v>
      </c>
      <c r="N55" s="40">
        <f>VLOOKUP(A55,Total_de_acoes!A:B,2,0)</f>
        <v>195751130</v>
      </c>
      <c r="O55" s="36">
        <f t="shared" si="2"/>
        <v>-9468663.6817041729</v>
      </c>
      <c r="P55" s="37" t="str">
        <f t="shared" si="3"/>
        <v>Desceu</v>
      </c>
      <c r="Q55" s="37" t="str">
        <f>VLOOKUP(A55,Ticker!A:B,2,0)</f>
        <v>SLC Agrícola</v>
      </c>
      <c r="R55" s="37" t="str">
        <f>VLOOKUP(Principal!Q55,CHATGPT!A:C,2,0)</f>
        <v>Agricultura</v>
      </c>
      <c r="S55" s="37">
        <f>VLOOKUP(Q55,CHATGPT!A:C,3,0)</f>
        <v>45</v>
      </c>
      <c r="T55" s="46" t="str">
        <f t="shared" si="4"/>
        <v>Menos que 50 Anos</v>
      </c>
      <c r="U55" s="48">
        <f t="shared" si="5"/>
        <v>2.0099999999999996E-2</v>
      </c>
      <c r="V55" s="49">
        <f t="shared" si="6"/>
        <v>2.5499999999999998E-2</v>
      </c>
      <c r="W55" s="49">
        <f t="shared" si="7"/>
        <v>2.5499999999999998E-2</v>
      </c>
      <c r="X55" s="49">
        <f t="shared" si="8"/>
        <v>-0.1011</v>
      </c>
      <c r="Y55" s="24"/>
      <c r="Z55" s="24"/>
    </row>
    <row r="56" spans="1:26" ht="15.75" customHeight="1">
      <c r="A56" s="31" t="s">
        <v>127</v>
      </c>
      <c r="B56" s="32">
        <v>45317</v>
      </c>
      <c r="C56" s="31">
        <v>24.62</v>
      </c>
      <c r="D56" s="31">
        <v>-0.28000000000000003</v>
      </c>
      <c r="E56" s="31">
        <v>0.53</v>
      </c>
      <c r="F56" s="31">
        <v>-7.27</v>
      </c>
      <c r="G56" s="31">
        <v>-7.27</v>
      </c>
      <c r="H56" s="31">
        <v>39.82</v>
      </c>
      <c r="I56" s="31">
        <v>24.53</v>
      </c>
      <c r="J56" s="31">
        <v>24.92</v>
      </c>
      <c r="K56" s="31" t="s">
        <v>128</v>
      </c>
      <c r="L56" s="34">
        <f t="shared" si="0"/>
        <v>-2.8000000000000004E-3</v>
      </c>
      <c r="M56" s="35">
        <f t="shared" si="1"/>
        <v>24.689129562775772</v>
      </c>
      <c r="N56" s="40">
        <f>VLOOKUP(A56,Total_de_acoes!A:B,2,0)</f>
        <v>532616595</v>
      </c>
      <c r="O56" s="36">
        <f t="shared" si="2"/>
        <v>-36819552.339469947</v>
      </c>
      <c r="P56" s="37" t="str">
        <f t="shared" si="3"/>
        <v>Desceu</v>
      </c>
      <c r="Q56" s="37" t="str">
        <f>VLOOKUP(A56,Ticker!A:B,2,0)</f>
        <v>ALOS3</v>
      </c>
      <c r="R56" s="37" t="str">
        <f>VLOOKUP(Principal!Q56,CHATGPT!A:C,2,0)</f>
        <v>Logística e Transporte</v>
      </c>
      <c r="S56" s="37" t="str">
        <f>VLOOKUP(Q56,CHATGPT!A:C,3,0)</f>
        <v>-</v>
      </c>
      <c r="T56" s="46" t="str">
        <f t="shared" si="4"/>
        <v>Mais de 100 Anos</v>
      </c>
      <c r="U56" s="48">
        <f t="shared" si="5"/>
        <v>5.3E-3</v>
      </c>
      <c r="V56" s="49">
        <f t="shared" si="6"/>
        <v>-7.2700000000000001E-2</v>
      </c>
      <c r="W56" s="49">
        <f t="shared" si="7"/>
        <v>-7.2700000000000001E-2</v>
      </c>
      <c r="X56" s="49">
        <f t="shared" si="8"/>
        <v>0.3982</v>
      </c>
      <c r="Y56" s="24"/>
      <c r="Z56" s="24"/>
    </row>
    <row r="57" spans="1:26" ht="15.75" customHeight="1">
      <c r="A57" s="38" t="s">
        <v>129</v>
      </c>
      <c r="B57" s="39">
        <v>45317</v>
      </c>
      <c r="C57" s="38">
        <v>13.27</v>
      </c>
      <c r="D57" s="38">
        <v>-0.3</v>
      </c>
      <c r="E57" s="38">
        <v>-1.78</v>
      </c>
      <c r="F57" s="38">
        <v>-6.42</v>
      </c>
      <c r="G57" s="38">
        <v>-6.42</v>
      </c>
      <c r="H57" s="38">
        <v>13.59</v>
      </c>
      <c r="I57" s="38">
        <v>13.23</v>
      </c>
      <c r="J57" s="38">
        <v>13.41</v>
      </c>
      <c r="K57" s="38" t="s">
        <v>130</v>
      </c>
      <c r="L57" s="34">
        <f t="shared" si="0"/>
        <v>-3.0000000000000001E-3</v>
      </c>
      <c r="M57" s="35">
        <f t="shared" si="1"/>
        <v>13.309929789368104</v>
      </c>
      <c r="N57" s="40">
        <f>VLOOKUP(A57,Total_de_acoes!A:B,2,0)</f>
        <v>995335937</v>
      </c>
      <c r="O57" s="36">
        <f t="shared" si="2"/>
        <v>-39743554.314914532</v>
      </c>
      <c r="P57" s="37" t="str">
        <f t="shared" si="3"/>
        <v>Desceu</v>
      </c>
      <c r="Q57" s="37" t="str">
        <f>VLOOKUP(A57,Ticker!A:B,2,0)</f>
        <v>Grupo CCR</v>
      </c>
      <c r="R57" s="37" t="str">
        <f>VLOOKUP(Principal!Q57,CHATGPT!A:C,2,0)</f>
        <v>Transporte (Concessões)</v>
      </c>
      <c r="S57" s="37">
        <f>VLOOKUP(Q57,CHATGPT!A:C,3,0)</f>
        <v>23</v>
      </c>
      <c r="T57" s="46" t="str">
        <f t="shared" si="4"/>
        <v>Menos que 50 Anos</v>
      </c>
      <c r="U57" s="48">
        <f t="shared" si="5"/>
        <v>-1.78E-2</v>
      </c>
      <c r="V57" s="49">
        <f t="shared" si="6"/>
        <v>-6.4199999999999993E-2</v>
      </c>
      <c r="W57" s="49">
        <f t="shared" si="7"/>
        <v>-6.4199999999999993E-2</v>
      </c>
      <c r="X57" s="49">
        <f t="shared" si="8"/>
        <v>0.13589999999999999</v>
      </c>
      <c r="Y57" s="24"/>
      <c r="Z57" s="24"/>
    </row>
    <row r="58" spans="1:26" ht="15.75" customHeight="1">
      <c r="A58" s="31" t="s">
        <v>131</v>
      </c>
      <c r="B58" s="32">
        <v>45317</v>
      </c>
      <c r="C58" s="31">
        <v>3.03</v>
      </c>
      <c r="D58" s="31">
        <v>-0.32</v>
      </c>
      <c r="E58" s="31">
        <v>-5.0199999999999996</v>
      </c>
      <c r="F58" s="31">
        <v>-13.18</v>
      </c>
      <c r="G58" s="31">
        <v>-13.18</v>
      </c>
      <c r="H58" s="31">
        <v>37.729999999999997</v>
      </c>
      <c r="I58" s="31">
        <v>2.97</v>
      </c>
      <c r="J58" s="31">
        <v>3.06</v>
      </c>
      <c r="K58" s="31" t="s">
        <v>132</v>
      </c>
      <c r="L58" s="34">
        <f t="shared" si="0"/>
        <v>-3.2000000000000002E-3</v>
      </c>
      <c r="M58" s="35">
        <f t="shared" si="1"/>
        <v>3.0397271268057784</v>
      </c>
      <c r="N58" s="40">
        <f>VLOOKUP(A58,Total_de_acoes!A:B,2,0)</f>
        <v>1814920980</v>
      </c>
      <c r="O58" s="36">
        <f t="shared" si="2"/>
        <v>-17653966.514927939</v>
      </c>
      <c r="P58" s="37" t="str">
        <f t="shared" si="3"/>
        <v>Desceu</v>
      </c>
      <c r="Q58" s="37" t="str">
        <f>VLOOKUP(A58,Ticker!A:B,2,0)</f>
        <v>Cogna</v>
      </c>
      <c r="R58" s="37" t="str">
        <f>VLOOKUP(Principal!Q58,CHATGPT!A:C,2,0)</f>
        <v>Educação</v>
      </c>
      <c r="S58" s="37">
        <f>VLOOKUP(Q58,CHATGPT!A:C,3,0)</f>
        <v>18</v>
      </c>
      <c r="T58" s="46" t="str">
        <f t="shared" si="4"/>
        <v>Menos que 50 Anos</v>
      </c>
      <c r="U58" s="48">
        <f t="shared" si="5"/>
        <v>-5.0199999999999995E-2</v>
      </c>
      <c r="V58" s="49">
        <f t="shared" si="6"/>
        <v>-0.1318</v>
      </c>
      <c r="W58" s="49">
        <f t="shared" si="7"/>
        <v>-0.1318</v>
      </c>
      <c r="X58" s="49">
        <f t="shared" si="8"/>
        <v>0.37729999999999997</v>
      </c>
      <c r="Y58" s="24"/>
      <c r="Z58" s="24"/>
    </row>
    <row r="59" spans="1:26" ht="15.75" customHeight="1">
      <c r="A59" s="38" t="s">
        <v>133</v>
      </c>
      <c r="B59" s="39">
        <v>45317</v>
      </c>
      <c r="C59" s="38">
        <v>26.12</v>
      </c>
      <c r="D59" s="38">
        <v>-0.41</v>
      </c>
      <c r="E59" s="38">
        <v>-1.25</v>
      </c>
      <c r="F59" s="38">
        <v>-1.43</v>
      </c>
      <c r="G59" s="38">
        <v>-1.43</v>
      </c>
      <c r="H59" s="38">
        <v>22.81</v>
      </c>
      <c r="I59" s="38">
        <v>26.09</v>
      </c>
      <c r="J59" s="38">
        <v>26.4</v>
      </c>
      <c r="K59" s="38" t="s">
        <v>134</v>
      </c>
      <c r="L59" s="34">
        <f t="shared" si="0"/>
        <v>-4.0999999999999995E-3</v>
      </c>
      <c r="M59" s="35">
        <f t="shared" si="1"/>
        <v>26.227532884827795</v>
      </c>
      <c r="N59" s="40">
        <f>VLOOKUP(A59,Total_de_acoes!A:B,2,0)</f>
        <v>395801044</v>
      </c>
      <c r="O59" s="36">
        <f t="shared" si="2"/>
        <v>-42561628.079172671</v>
      </c>
      <c r="P59" s="37" t="str">
        <f t="shared" si="3"/>
        <v>Desceu</v>
      </c>
      <c r="Q59" s="37" t="str">
        <f>VLOOKUP(A59,Ticker!A:B,2,0)</f>
        <v>Transmissão Paulista</v>
      </c>
      <c r="R59" s="37" t="str">
        <f>VLOOKUP(Principal!Q59,CHATGPT!A:C,2,0)</f>
        <v>Energia Elétrica</v>
      </c>
      <c r="S59" s="37">
        <f>VLOOKUP(Q59,CHATGPT!A:C,3,0)</f>
        <v>23</v>
      </c>
      <c r="T59" s="46" t="str">
        <f t="shared" si="4"/>
        <v>Menos que 50 Anos</v>
      </c>
      <c r="U59" s="48">
        <f t="shared" si="5"/>
        <v>-1.2500000000000001E-2</v>
      </c>
      <c r="V59" s="49">
        <f t="shared" si="6"/>
        <v>-1.43E-2</v>
      </c>
      <c r="W59" s="49">
        <f t="shared" si="7"/>
        <v>-1.43E-2</v>
      </c>
      <c r="X59" s="49">
        <f t="shared" si="8"/>
        <v>0.2281</v>
      </c>
      <c r="Y59" s="24"/>
      <c r="Z59" s="24"/>
    </row>
    <row r="60" spans="1:26" ht="15.75" customHeight="1">
      <c r="A60" s="31" t="s">
        <v>135</v>
      </c>
      <c r="B60" s="32">
        <v>45317</v>
      </c>
      <c r="C60" s="31">
        <v>41.04</v>
      </c>
      <c r="D60" s="31">
        <v>-0.46</v>
      </c>
      <c r="E60" s="31">
        <v>0.56000000000000005</v>
      </c>
      <c r="F60" s="31">
        <v>-9.4600000000000009</v>
      </c>
      <c r="G60" s="31">
        <v>-9.4600000000000009</v>
      </c>
      <c r="H60" s="31">
        <v>13.41</v>
      </c>
      <c r="I60" s="31">
        <v>40.92</v>
      </c>
      <c r="J60" s="31">
        <v>41.59</v>
      </c>
      <c r="K60" s="31" t="s">
        <v>136</v>
      </c>
      <c r="L60" s="34">
        <f t="shared" si="0"/>
        <v>-4.5999999999999999E-3</v>
      </c>
      <c r="M60" s="35">
        <f t="shared" si="1"/>
        <v>41.229656419529839</v>
      </c>
      <c r="N60" s="40">
        <f>VLOOKUP(A60,Total_de_acoes!A:B,2,0)</f>
        <v>255236961</v>
      </c>
      <c r="O60" s="36">
        <f t="shared" si="2"/>
        <v>-48407328.154937305</v>
      </c>
      <c r="P60" s="37" t="str">
        <f t="shared" si="3"/>
        <v>Desceu</v>
      </c>
      <c r="Q60" s="37" t="str">
        <f>VLOOKUP(A60,Ticker!A:B,2,0)</f>
        <v>Engie</v>
      </c>
      <c r="R60" s="37" t="str">
        <f>VLOOKUP(Principal!Q60,CHATGPT!A:C,2,0)</f>
        <v>Energia</v>
      </c>
      <c r="S60" s="37">
        <f>VLOOKUP(Q60,CHATGPT!A:C,3,0)</f>
        <v>184</v>
      </c>
      <c r="T60" s="46" t="str">
        <f t="shared" si="4"/>
        <v>Mais de 100 Anos</v>
      </c>
      <c r="U60" s="48">
        <f t="shared" si="5"/>
        <v>5.6000000000000008E-3</v>
      </c>
      <c r="V60" s="49">
        <f t="shared" si="6"/>
        <v>-9.4600000000000004E-2</v>
      </c>
      <c r="W60" s="49">
        <f t="shared" si="7"/>
        <v>-9.4600000000000004E-2</v>
      </c>
      <c r="X60" s="49">
        <f t="shared" si="8"/>
        <v>0.1341</v>
      </c>
      <c r="Y60" s="24"/>
      <c r="Z60" s="24"/>
    </row>
    <row r="61" spans="1:26" ht="15.75" customHeight="1">
      <c r="A61" s="38" t="s">
        <v>137</v>
      </c>
      <c r="B61" s="39">
        <v>45317</v>
      </c>
      <c r="C61" s="38">
        <v>23.23</v>
      </c>
      <c r="D61" s="38">
        <v>-0.47</v>
      </c>
      <c r="E61" s="38">
        <v>2.4300000000000002</v>
      </c>
      <c r="F61" s="38">
        <v>2.0699999999999998</v>
      </c>
      <c r="G61" s="38">
        <v>2.0699999999999998</v>
      </c>
      <c r="H61" s="38">
        <v>50.65</v>
      </c>
      <c r="I61" s="38">
        <v>22.97</v>
      </c>
      <c r="J61" s="38">
        <v>23.4</v>
      </c>
      <c r="K61" s="38" t="s">
        <v>138</v>
      </c>
      <c r="L61" s="34">
        <f t="shared" si="0"/>
        <v>-4.6999999999999993E-3</v>
      </c>
      <c r="M61" s="35">
        <f t="shared" si="1"/>
        <v>23.339696573897317</v>
      </c>
      <c r="N61" s="40">
        <f>VLOOKUP(A61,Total_de_acoes!A:B,2,0)</f>
        <v>1114412532</v>
      </c>
      <c r="O61" s="36">
        <f t="shared" si="2"/>
        <v>-122247236.66863392</v>
      </c>
      <c r="P61" s="37" t="str">
        <f t="shared" si="3"/>
        <v>Desceu</v>
      </c>
      <c r="Q61" s="37" t="str">
        <f>VLOOKUP(A61,Ticker!A:B,2,0)</f>
        <v>Vibra Energia</v>
      </c>
      <c r="R61" s="37" t="str">
        <f>VLOOKUP(Principal!Q61,CHATGPT!A:C,2,0)</f>
        <v>Energia</v>
      </c>
      <c r="S61" s="37">
        <f>VLOOKUP(Q61,CHATGPT!A:C,3,0)</f>
        <v>8</v>
      </c>
      <c r="T61" s="46" t="str">
        <f t="shared" si="4"/>
        <v>Menos que 50 Anos</v>
      </c>
      <c r="U61" s="48">
        <f t="shared" si="5"/>
        <v>2.4300000000000002E-2</v>
      </c>
      <c r="V61" s="49">
        <f t="shared" si="6"/>
        <v>2.07E-2</v>
      </c>
      <c r="W61" s="49">
        <f t="shared" si="7"/>
        <v>2.07E-2</v>
      </c>
      <c r="X61" s="49">
        <f t="shared" si="8"/>
        <v>0.50649999999999995</v>
      </c>
      <c r="Y61" s="24"/>
      <c r="Z61" s="24"/>
    </row>
    <row r="62" spans="1:26" ht="15.75" customHeight="1">
      <c r="A62" s="31" t="s">
        <v>139</v>
      </c>
      <c r="B62" s="32">
        <v>45317</v>
      </c>
      <c r="C62" s="31">
        <v>40.65</v>
      </c>
      <c r="D62" s="31">
        <v>-0.65</v>
      </c>
      <c r="E62" s="31">
        <v>5.45</v>
      </c>
      <c r="F62" s="31">
        <v>-8.24</v>
      </c>
      <c r="G62" s="31">
        <v>-8.24</v>
      </c>
      <c r="H62" s="31">
        <v>73.5</v>
      </c>
      <c r="I62" s="31">
        <v>40.090000000000003</v>
      </c>
      <c r="J62" s="31">
        <v>41.4</v>
      </c>
      <c r="K62" s="31" t="s">
        <v>140</v>
      </c>
      <c r="L62" s="34">
        <f t="shared" si="0"/>
        <v>-6.5000000000000006E-3</v>
      </c>
      <c r="M62" s="35">
        <f t="shared" si="1"/>
        <v>40.915953699043783</v>
      </c>
      <c r="N62" s="40">
        <f>VLOOKUP(A62,Total_de_acoes!A:B,2,0)</f>
        <v>81838843</v>
      </c>
      <c r="O62" s="36">
        <f t="shared" si="2"/>
        <v>-21765343.021313515</v>
      </c>
      <c r="P62" s="37" t="str">
        <f t="shared" si="3"/>
        <v>Desceu</v>
      </c>
      <c r="Q62" s="37" t="str">
        <f>VLOOKUP(A62,Ticker!A:B,2,0)</f>
        <v>IRB Brasil RE</v>
      </c>
      <c r="R62" s="37" t="str">
        <f>VLOOKUP(Principal!Q62,CHATGPT!A:C,2,0)</f>
        <v>Seguros</v>
      </c>
      <c r="S62" s="37">
        <f>VLOOKUP(Q62,CHATGPT!A:C,3,0)</f>
        <v>82</v>
      </c>
      <c r="T62" s="46" t="str">
        <f t="shared" si="4"/>
        <v>Entre 50 e 100</v>
      </c>
      <c r="U62" s="48">
        <f t="shared" si="5"/>
        <v>5.45E-2</v>
      </c>
      <c r="V62" s="49">
        <f t="shared" si="6"/>
        <v>-8.2400000000000001E-2</v>
      </c>
      <c r="W62" s="49">
        <f t="shared" si="7"/>
        <v>-8.2400000000000001E-2</v>
      </c>
      <c r="X62" s="49">
        <f t="shared" si="8"/>
        <v>0.73499999999999999</v>
      </c>
      <c r="Y62" s="24"/>
      <c r="Z62" s="24"/>
    </row>
    <row r="63" spans="1:26" ht="15.75" customHeight="1">
      <c r="A63" s="38" t="s">
        <v>141</v>
      </c>
      <c r="B63" s="39">
        <v>45317</v>
      </c>
      <c r="C63" s="38">
        <v>40.86</v>
      </c>
      <c r="D63" s="38">
        <v>-0.65</v>
      </c>
      <c r="E63" s="38">
        <v>-2.04</v>
      </c>
      <c r="F63" s="38">
        <v>-3.7</v>
      </c>
      <c r="G63" s="38">
        <v>-3.7</v>
      </c>
      <c r="H63" s="38">
        <v>-3.64</v>
      </c>
      <c r="I63" s="38">
        <v>40.86</v>
      </c>
      <c r="J63" s="38">
        <v>41.44</v>
      </c>
      <c r="K63" s="38" t="s">
        <v>142</v>
      </c>
      <c r="L63" s="34">
        <f t="shared" si="0"/>
        <v>-6.5000000000000006E-3</v>
      </c>
      <c r="M63" s="35">
        <f t="shared" si="1"/>
        <v>41.127327629592351</v>
      </c>
      <c r="N63" s="40">
        <f>VLOOKUP(A63,Total_de_acoes!A:B,2,0)</f>
        <v>1980568384</v>
      </c>
      <c r="O63" s="36">
        <f t="shared" si="2"/>
        <v>-529460651.3402741</v>
      </c>
      <c r="P63" s="37" t="str">
        <f t="shared" si="3"/>
        <v>Desceu</v>
      </c>
      <c r="Q63" s="37" t="str">
        <f>VLOOKUP(A63,Ticker!A:B,2,0)</f>
        <v>Eletrobras</v>
      </c>
      <c r="R63" s="37" t="str">
        <f>VLOOKUP(Principal!Q63,CHATGPT!A:C,2,0)</f>
        <v>Energia Elétrica</v>
      </c>
      <c r="S63" s="37">
        <f>VLOOKUP(Q63,CHATGPT!A:C,3,0)</f>
        <v>60</v>
      </c>
      <c r="T63" s="46" t="str">
        <f t="shared" si="4"/>
        <v>Entre 50 e 100</v>
      </c>
      <c r="U63" s="48">
        <f t="shared" si="5"/>
        <v>-2.0400000000000001E-2</v>
      </c>
      <c r="V63" s="49">
        <f t="shared" si="6"/>
        <v>-3.7000000000000005E-2</v>
      </c>
      <c r="W63" s="49">
        <f t="shared" si="7"/>
        <v>-3.7000000000000005E-2</v>
      </c>
      <c r="X63" s="49">
        <f t="shared" si="8"/>
        <v>-3.6400000000000002E-2</v>
      </c>
      <c r="Y63" s="24"/>
      <c r="Z63" s="24"/>
    </row>
    <row r="64" spans="1:26" ht="15.75" customHeight="1">
      <c r="A64" s="31" t="s">
        <v>143</v>
      </c>
      <c r="B64" s="32">
        <v>45317</v>
      </c>
      <c r="C64" s="33">
        <v>3.4</v>
      </c>
      <c r="D64" s="31">
        <v>-0.87</v>
      </c>
      <c r="E64" s="31">
        <v>-4.2300000000000004</v>
      </c>
      <c r="F64" s="31">
        <v>-13.92</v>
      </c>
      <c r="G64" s="31">
        <v>-13.92</v>
      </c>
      <c r="H64" s="31">
        <v>-46.63</v>
      </c>
      <c r="I64" s="31">
        <v>3.35</v>
      </c>
      <c r="J64" s="31">
        <v>3.47</v>
      </c>
      <c r="K64" s="31" t="s">
        <v>144</v>
      </c>
      <c r="L64" s="34">
        <f t="shared" si="0"/>
        <v>-8.6999999999999994E-3</v>
      </c>
      <c r="M64" s="35">
        <f t="shared" si="1"/>
        <v>3.4298396045596693</v>
      </c>
      <c r="N64" s="40">
        <f>VLOOKUP(A64,Total_de_acoes!A:B,2,0)</f>
        <v>309729428</v>
      </c>
      <c r="O64" s="36">
        <f t="shared" si="2"/>
        <v>-9242203.6520125903</v>
      </c>
      <c r="P64" s="37" t="str">
        <f t="shared" si="3"/>
        <v>Desceu</v>
      </c>
      <c r="Q64" s="37" t="str">
        <f>VLOOKUP(A64,Ticker!A:B,2,0)</f>
        <v>Petz</v>
      </c>
      <c r="R64" s="37" t="str">
        <f>VLOOKUP(Principal!Q64,CHATGPT!A:C,2,0)</f>
        <v>Varejo (Pet Shops)</v>
      </c>
      <c r="S64" s="37">
        <f>VLOOKUP(Q64,CHATGPT!A:C,3,0)</f>
        <v>18</v>
      </c>
      <c r="T64" s="46" t="str">
        <f t="shared" si="4"/>
        <v>Menos que 50 Anos</v>
      </c>
      <c r="U64" s="48">
        <f t="shared" si="5"/>
        <v>-4.2300000000000004E-2</v>
      </c>
      <c r="V64" s="49">
        <f t="shared" si="6"/>
        <v>-0.13919999999999999</v>
      </c>
      <c r="W64" s="49">
        <f t="shared" si="7"/>
        <v>-0.13919999999999999</v>
      </c>
      <c r="X64" s="49">
        <f t="shared" si="8"/>
        <v>-0.46630000000000005</v>
      </c>
      <c r="Y64" s="24"/>
      <c r="Z64" s="24"/>
    </row>
    <row r="65" spans="1:26" ht="15.75" customHeight="1">
      <c r="A65" s="38" t="s">
        <v>145</v>
      </c>
      <c r="B65" s="39">
        <v>45317</v>
      </c>
      <c r="C65" s="38">
        <v>15.91</v>
      </c>
      <c r="D65" s="38">
        <v>-0.93</v>
      </c>
      <c r="E65" s="38">
        <v>-2.39</v>
      </c>
      <c r="F65" s="38">
        <v>-14.92</v>
      </c>
      <c r="G65" s="38">
        <v>-14.92</v>
      </c>
      <c r="H65" s="38">
        <v>8.93</v>
      </c>
      <c r="I65" s="38">
        <v>15.85</v>
      </c>
      <c r="J65" s="38">
        <v>16.309999999999999</v>
      </c>
      <c r="K65" s="38" t="s">
        <v>146</v>
      </c>
      <c r="L65" s="34">
        <f t="shared" si="0"/>
        <v>-9.300000000000001E-3</v>
      </c>
      <c r="M65" s="35">
        <f t="shared" si="1"/>
        <v>16.059351973352175</v>
      </c>
      <c r="N65" s="40">
        <f>VLOOKUP(A65,Total_de_acoes!A:B,2,0)</f>
        <v>91514307</v>
      </c>
      <c r="O65" s="36">
        <f t="shared" si="2"/>
        <v>-13667842.34040677</v>
      </c>
      <c r="P65" s="37" t="str">
        <f t="shared" si="3"/>
        <v>Desceu</v>
      </c>
      <c r="Q65" s="37" t="str">
        <f>VLOOKUP(A65,Ticker!A:B,2,0)</f>
        <v>EZTEC</v>
      </c>
      <c r="R65" s="37" t="str">
        <f>VLOOKUP(Principal!Q65,CHATGPT!A:C,2,0)</f>
        <v>Construção Civil</v>
      </c>
      <c r="S65" s="37" t="str">
        <f>VLOOKUP(Q65,CHATGPT!A:C,3,0)</f>
        <v>42 (como EZTEC)</v>
      </c>
      <c r="T65" s="46" t="str">
        <f t="shared" si="4"/>
        <v>Mais de 100 Anos</v>
      </c>
      <c r="U65" s="48">
        <f t="shared" si="5"/>
        <v>-2.3900000000000001E-2</v>
      </c>
      <c r="V65" s="49">
        <f t="shared" si="6"/>
        <v>-0.1492</v>
      </c>
      <c r="W65" s="49">
        <f t="shared" si="7"/>
        <v>-0.1492</v>
      </c>
      <c r="X65" s="49">
        <f t="shared" si="8"/>
        <v>8.929999999999999E-2</v>
      </c>
      <c r="Y65" s="24"/>
      <c r="Z65" s="24"/>
    </row>
    <row r="66" spans="1:26" ht="15.75" customHeight="1">
      <c r="A66" s="31" t="s">
        <v>147</v>
      </c>
      <c r="B66" s="32">
        <v>45317</v>
      </c>
      <c r="C66" s="31">
        <v>16.489999999999998</v>
      </c>
      <c r="D66" s="31">
        <v>-1.07</v>
      </c>
      <c r="E66" s="31">
        <v>1.04</v>
      </c>
      <c r="F66" s="31">
        <v>-8.59</v>
      </c>
      <c r="G66" s="31">
        <v>-8.59</v>
      </c>
      <c r="H66" s="31">
        <v>17.16</v>
      </c>
      <c r="I66" s="31">
        <v>16.399999999999999</v>
      </c>
      <c r="J66" s="31">
        <v>16.71</v>
      </c>
      <c r="K66" s="31" t="s">
        <v>90</v>
      </c>
      <c r="L66" s="34">
        <f t="shared" si="0"/>
        <v>-1.0700000000000001E-2</v>
      </c>
      <c r="M66" s="35">
        <f t="shared" si="1"/>
        <v>16.668351359547152</v>
      </c>
      <c r="N66" s="40">
        <f>VLOOKUP(A66,Total_de_acoes!A:B,2,0)</f>
        <v>240822651</v>
      </c>
      <c r="O66" s="36">
        <f t="shared" si="2"/>
        <v>-42951047.215599783</v>
      </c>
      <c r="P66" s="37" t="str">
        <f t="shared" si="3"/>
        <v>Desceu</v>
      </c>
      <c r="Q66" s="37" t="str">
        <f>VLOOKUP(A66,Ticker!A:B,2,0)</f>
        <v>Fleury</v>
      </c>
      <c r="R66" s="37" t="str">
        <f>VLOOKUP(Principal!Q66,CHATGPT!A:C,2,0)</f>
        <v>Saúde (Laboratórios)</v>
      </c>
      <c r="S66" s="37">
        <f>VLOOKUP(Q66,CHATGPT!A:C,3,0)</f>
        <v>94</v>
      </c>
      <c r="T66" s="46" t="str">
        <f t="shared" si="4"/>
        <v>Entre 50 e 100</v>
      </c>
      <c r="U66" s="48">
        <f t="shared" si="5"/>
        <v>1.04E-2</v>
      </c>
      <c r="V66" s="49">
        <f t="shared" si="6"/>
        <v>-8.5900000000000004E-2</v>
      </c>
      <c r="W66" s="49">
        <f t="shared" si="7"/>
        <v>-8.5900000000000004E-2</v>
      </c>
      <c r="X66" s="49">
        <f t="shared" si="8"/>
        <v>0.1716</v>
      </c>
      <c r="Y66" s="24"/>
      <c r="Z66" s="24"/>
    </row>
    <row r="67" spans="1:26" ht="15.75" customHeight="1">
      <c r="A67" s="38" t="s">
        <v>148</v>
      </c>
      <c r="B67" s="39">
        <v>45317</v>
      </c>
      <c r="C67" s="38">
        <v>6.95</v>
      </c>
      <c r="D67" s="38">
        <v>-1.27</v>
      </c>
      <c r="E67" s="38">
        <v>-0.43</v>
      </c>
      <c r="F67" s="38">
        <v>-6.71</v>
      </c>
      <c r="G67" s="38">
        <v>-6.71</v>
      </c>
      <c r="H67" s="38">
        <v>-30.01</v>
      </c>
      <c r="I67" s="38">
        <v>6.87</v>
      </c>
      <c r="J67" s="38">
        <v>7.14</v>
      </c>
      <c r="K67" s="38" t="s">
        <v>149</v>
      </c>
      <c r="L67" s="34">
        <f t="shared" si="0"/>
        <v>-1.2699999999999999E-2</v>
      </c>
      <c r="M67" s="35">
        <f t="shared" si="1"/>
        <v>7.0394003848880793</v>
      </c>
      <c r="N67" s="40">
        <f>VLOOKUP(A67,Total_de_acoes!A:B,2,0)</f>
        <v>496029967</v>
      </c>
      <c r="O67" s="36">
        <f t="shared" si="2"/>
        <v>-44345269.965821177</v>
      </c>
      <c r="P67" s="37" t="str">
        <f t="shared" si="3"/>
        <v>Desceu</v>
      </c>
      <c r="Q67" s="37" t="str">
        <f>VLOOKUP(A67,Ticker!A:B,2,0)</f>
        <v>Grupo Soma</v>
      </c>
      <c r="R67" s="37" t="str">
        <f>VLOOKUP(Principal!Q67,CHATGPT!A:C,2,0)</f>
        <v>Moda e Vestuário</v>
      </c>
      <c r="S67" s="37">
        <f>VLOOKUP(Q67,CHATGPT!A:C,3,0)</f>
        <v>9</v>
      </c>
      <c r="T67" s="46" t="str">
        <f t="shared" si="4"/>
        <v>Menos que 50 Anos</v>
      </c>
      <c r="U67" s="48">
        <f t="shared" ref="U67:U82" si="9">E67/100</f>
        <v>-4.3E-3</v>
      </c>
      <c r="V67" s="49">
        <f t="shared" ref="V67:V82" si="10">F67/100</f>
        <v>-6.7099999999999993E-2</v>
      </c>
      <c r="W67" s="49">
        <f t="shared" ref="W67:W82" si="11">G67/100</f>
        <v>-6.7099999999999993E-2</v>
      </c>
      <c r="X67" s="49">
        <f t="shared" ref="X67:X82" si="12">H67/100</f>
        <v>-0.30010000000000003</v>
      </c>
      <c r="Y67" s="24"/>
      <c r="Z67" s="24"/>
    </row>
    <row r="68" spans="1:26" ht="15.75" customHeight="1">
      <c r="A68" s="31" t="s">
        <v>150</v>
      </c>
      <c r="B68" s="32">
        <v>45317</v>
      </c>
      <c r="C68" s="31">
        <v>8.67</v>
      </c>
      <c r="D68" s="31">
        <v>-1.36</v>
      </c>
      <c r="E68" s="31">
        <v>4.08</v>
      </c>
      <c r="F68" s="31">
        <v>-14.33</v>
      </c>
      <c r="G68" s="31">
        <v>-14.33</v>
      </c>
      <c r="H68" s="31">
        <v>-34.520000000000003</v>
      </c>
      <c r="I68" s="31">
        <v>8.6199999999999992</v>
      </c>
      <c r="J68" s="31">
        <v>8.8000000000000007</v>
      </c>
      <c r="K68" s="31" t="s">
        <v>151</v>
      </c>
      <c r="L68" s="34">
        <f t="shared" si="0"/>
        <v>-1.3600000000000001E-2</v>
      </c>
      <c r="M68" s="35">
        <f t="shared" si="1"/>
        <v>8.7895377128953776</v>
      </c>
      <c r="N68" s="40">
        <f>VLOOKUP(A68,Total_de_acoes!A:B,2,0)</f>
        <v>176733968</v>
      </c>
      <c r="O68" s="36">
        <f t="shared" si="2"/>
        <v>-21126374.325644854</v>
      </c>
      <c r="P68" s="37" t="str">
        <f t="shared" si="3"/>
        <v>Desceu</v>
      </c>
      <c r="Q68" s="37" t="str">
        <f>VLOOKUP(A68,Ticker!A:B,2,0)</f>
        <v>Alpargatas</v>
      </c>
      <c r="R68" s="37" t="str">
        <f>VLOOKUP(Principal!Q68,CHATGPT!A:C,2,0)</f>
        <v>Calçados e Moda</v>
      </c>
      <c r="S68" s="37">
        <f>VLOOKUP(Q68,CHATGPT!A:C,3,0)</f>
        <v>114</v>
      </c>
      <c r="T68" s="46" t="str">
        <f t="shared" si="4"/>
        <v>Mais de 100 Anos</v>
      </c>
      <c r="U68" s="48">
        <f t="shared" si="9"/>
        <v>4.0800000000000003E-2</v>
      </c>
      <c r="V68" s="49">
        <f t="shared" si="10"/>
        <v>-0.14330000000000001</v>
      </c>
      <c r="W68" s="49">
        <f t="shared" si="11"/>
        <v>-0.14330000000000001</v>
      </c>
      <c r="X68" s="49">
        <f t="shared" si="12"/>
        <v>-0.34520000000000001</v>
      </c>
      <c r="Y68" s="24"/>
      <c r="Z68" s="24"/>
    </row>
    <row r="69" spans="1:26" ht="15.75" customHeight="1">
      <c r="A69" s="38" t="s">
        <v>152</v>
      </c>
      <c r="B69" s="39">
        <v>45317</v>
      </c>
      <c r="C69" s="38">
        <v>22.84</v>
      </c>
      <c r="D69" s="38">
        <v>-1.38</v>
      </c>
      <c r="E69" s="38">
        <v>2.38</v>
      </c>
      <c r="F69" s="38">
        <v>-5.15</v>
      </c>
      <c r="G69" s="38">
        <v>-5.15</v>
      </c>
      <c r="H69" s="38">
        <v>60.09</v>
      </c>
      <c r="I69" s="38">
        <v>22.62</v>
      </c>
      <c r="J69" s="38">
        <v>23.34</v>
      </c>
      <c r="K69" s="38" t="s">
        <v>153</v>
      </c>
      <c r="L69" s="34">
        <f t="shared" si="0"/>
        <v>-1.38E-2</v>
      </c>
      <c r="M69" s="35">
        <f t="shared" si="1"/>
        <v>23.1596025147029</v>
      </c>
      <c r="N69" s="40">
        <f>VLOOKUP(A69,Total_de_acoes!A:B,2,0)</f>
        <v>265784616</v>
      </c>
      <c r="O69" s="36">
        <f t="shared" si="2"/>
        <v>-84945431.642944753</v>
      </c>
      <c r="P69" s="37" t="str">
        <f t="shared" si="3"/>
        <v>Desceu</v>
      </c>
      <c r="Q69" s="37" t="str">
        <f>VLOOKUP(A69,Ticker!A:B,2,0)</f>
        <v>Cyrela</v>
      </c>
      <c r="R69" s="37" t="str">
        <f>VLOOKUP(Principal!Q69,CHATGPT!A:C,2,0)</f>
        <v>Construção Civil</v>
      </c>
      <c r="S69" s="37">
        <f>VLOOKUP(Q69,CHATGPT!A:C,3,0)</f>
        <v>58</v>
      </c>
      <c r="T69" s="46" t="str">
        <f t="shared" si="4"/>
        <v>Entre 50 e 100</v>
      </c>
      <c r="U69" s="48">
        <f t="shared" si="9"/>
        <v>2.3799999999999998E-2</v>
      </c>
      <c r="V69" s="49">
        <f t="shared" si="10"/>
        <v>-5.1500000000000004E-2</v>
      </c>
      <c r="W69" s="49">
        <f t="shared" si="11"/>
        <v>-5.1500000000000004E-2</v>
      </c>
      <c r="X69" s="49">
        <f t="shared" si="12"/>
        <v>0.60089999999999999</v>
      </c>
      <c r="Y69" s="24"/>
      <c r="Z69" s="24"/>
    </row>
    <row r="70" spans="1:26" ht="15.75" customHeight="1">
      <c r="A70" s="31" t="s">
        <v>154</v>
      </c>
      <c r="B70" s="32">
        <v>45317</v>
      </c>
      <c r="C70" s="33">
        <v>22.4</v>
      </c>
      <c r="D70" s="31">
        <v>-1.4</v>
      </c>
      <c r="E70" s="31">
        <v>5.0199999999999996</v>
      </c>
      <c r="F70" s="31">
        <v>0.04</v>
      </c>
      <c r="G70" s="31">
        <v>0.04</v>
      </c>
      <c r="H70" s="31">
        <v>34.29</v>
      </c>
      <c r="I70" s="31">
        <v>22.26</v>
      </c>
      <c r="J70" s="31">
        <v>22.92</v>
      </c>
      <c r="K70" s="31" t="s">
        <v>155</v>
      </c>
      <c r="L70" s="34">
        <f t="shared" si="0"/>
        <v>-1.3999999999999999E-2</v>
      </c>
      <c r="M70" s="35">
        <f t="shared" si="1"/>
        <v>22.718052738336713</v>
      </c>
      <c r="N70" s="40">
        <f>VLOOKUP(A70,Total_de_acoes!A:B,2,0)</f>
        <v>734632705</v>
      </c>
      <c r="O70" s="36">
        <f t="shared" si="2"/>
        <v>-233651943.49695757</v>
      </c>
      <c r="P70" s="37" t="str">
        <f t="shared" si="3"/>
        <v>Desceu</v>
      </c>
      <c r="Q70" s="37" t="str">
        <f>VLOOKUP(A70,Ticker!A:B,2,0)</f>
        <v>Embraer</v>
      </c>
      <c r="R70" s="37" t="str">
        <f>VLOOKUP(Principal!Q70,CHATGPT!A:C,2,0)</f>
        <v>Aeroespacial e Defesa</v>
      </c>
      <c r="S70" s="37">
        <f>VLOOKUP(Q70,CHATGPT!A:C,3,0)</f>
        <v>53</v>
      </c>
      <c r="T70" s="46" t="str">
        <f t="shared" si="4"/>
        <v>Entre 50 e 100</v>
      </c>
      <c r="U70" s="48">
        <f t="shared" si="9"/>
        <v>5.0199999999999995E-2</v>
      </c>
      <c r="V70" s="49">
        <f t="shared" si="10"/>
        <v>4.0000000000000002E-4</v>
      </c>
      <c r="W70" s="49">
        <f t="shared" si="11"/>
        <v>4.0000000000000002E-4</v>
      </c>
      <c r="X70" s="49">
        <f t="shared" si="12"/>
        <v>0.34289999999999998</v>
      </c>
      <c r="Y70" s="24"/>
      <c r="Z70" s="24"/>
    </row>
    <row r="71" spans="1:26" ht="15.75" customHeight="1">
      <c r="A71" s="38" t="s">
        <v>156</v>
      </c>
      <c r="B71" s="39">
        <v>45317</v>
      </c>
      <c r="C71" s="38">
        <v>15.97</v>
      </c>
      <c r="D71" s="38">
        <v>-1.41</v>
      </c>
      <c r="E71" s="38">
        <v>-7.37</v>
      </c>
      <c r="F71" s="38">
        <v>-5.45</v>
      </c>
      <c r="G71" s="38">
        <v>-5.45</v>
      </c>
      <c r="H71" s="38">
        <v>23.51</v>
      </c>
      <c r="I71" s="38">
        <v>15.84</v>
      </c>
      <c r="J71" s="38">
        <v>16.43</v>
      </c>
      <c r="K71" s="38" t="s">
        <v>157</v>
      </c>
      <c r="L71" s="34">
        <f t="shared" si="0"/>
        <v>-1.41E-2</v>
      </c>
      <c r="M71" s="35">
        <f t="shared" si="1"/>
        <v>16.198397403387769</v>
      </c>
      <c r="N71" s="40">
        <f>VLOOKUP(A71,Total_de_acoes!A:B,2,0)</f>
        <v>846244302</v>
      </c>
      <c r="O71" s="36">
        <f t="shared" si="2"/>
        <v>-193280001.20849475</v>
      </c>
      <c r="P71" s="37" t="str">
        <f t="shared" si="3"/>
        <v>Desceu</v>
      </c>
      <c r="Q71" s="37" t="str">
        <f>VLOOKUP(A71,Ticker!A:B,2,0)</f>
        <v>Natura</v>
      </c>
      <c r="R71" s="37" t="str">
        <f>VLOOKUP(Principal!Q71,CHATGPT!A:C,2,0)</f>
        <v>Cosméticos e Bem-estar</v>
      </c>
      <c r="S71" s="37">
        <f>VLOOKUP(Q71,CHATGPT!A:C,3,0)</f>
        <v>54</v>
      </c>
      <c r="T71" s="46" t="str">
        <f t="shared" si="4"/>
        <v>Entre 50 e 100</v>
      </c>
      <c r="U71" s="48">
        <f t="shared" si="9"/>
        <v>-7.3700000000000002E-2</v>
      </c>
      <c r="V71" s="49">
        <f t="shared" si="10"/>
        <v>-5.45E-2</v>
      </c>
      <c r="W71" s="49">
        <f t="shared" si="11"/>
        <v>-5.45E-2</v>
      </c>
      <c r="X71" s="49">
        <f t="shared" si="12"/>
        <v>0.2351</v>
      </c>
      <c r="Y71" s="24"/>
      <c r="Z71" s="24"/>
    </row>
    <row r="72" spans="1:26" ht="15.75" customHeight="1">
      <c r="A72" s="31" t="s">
        <v>158</v>
      </c>
      <c r="B72" s="32">
        <v>45317</v>
      </c>
      <c r="C72" s="33">
        <v>13.8</v>
      </c>
      <c r="D72" s="31">
        <v>-1.42</v>
      </c>
      <c r="E72" s="31">
        <v>-3.5</v>
      </c>
      <c r="F72" s="31">
        <v>2</v>
      </c>
      <c r="G72" s="31">
        <v>2</v>
      </c>
      <c r="H72" s="31">
        <v>-34.020000000000003</v>
      </c>
      <c r="I72" s="31">
        <v>13.63</v>
      </c>
      <c r="J72" s="31">
        <v>14</v>
      </c>
      <c r="K72" s="31" t="s">
        <v>159</v>
      </c>
      <c r="L72" s="34">
        <f t="shared" si="0"/>
        <v>-1.4199999999999999E-2</v>
      </c>
      <c r="M72" s="35">
        <f t="shared" si="1"/>
        <v>13.998782714546561</v>
      </c>
      <c r="N72" s="40">
        <f>VLOOKUP(A72,Total_de_acoes!A:B,2,0)</f>
        <v>1349217892</v>
      </c>
      <c r="O72" s="36">
        <f t="shared" si="2"/>
        <v>-268201195.08654764</v>
      </c>
      <c r="P72" s="37" t="str">
        <f t="shared" si="3"/>
        <v>Desceu</v>
      </c>
      <c r="Q72" s="37" t="str">
        <f>VLOOKUP(A72,Ticker!A:B,2,0)</f>
        <v>Assaí</v>
      </c>
      <c r="R72" s="37" t="str">
        <f>VLOOKUP(Principal!Q72,CHATGPT!A:C,2,0)</f>
        <v>Varejo (Atacado)</v>
      </c>
      <c r="S72" s="37">
        <f>VLOOKUP(Q72,CHATGPT!A:C,3,0)</f>
        <v>47</v>
      </c>
      <c r="T72" s="46" t="str">
        <f t="shared" si="4"/>
        <v>Menos que 50 Anos</v>
      </c>
      <c r="U72" s="48">
        <f t="shared" si="9"/>
        <v>-3.5000000000000003E-2</v>
      </c>
      <c r="V72" s="49">
        <f t="shared" si="10"/>
        <v>0.02</v>
      </c>
      <c r="W72" s="49">
        <f t="shared" si="11"/>
        <v>0.02</v>
      </c>
      <c r="X72" s="49">
        <f t="shared" si="12"/>
        <v>-0.34020000000000006</v>
      </c>
      <c r="Y72" s="24"/>
      <c r="Z72" s="24"/>
    </row>
    <row r="73" spans="1:26" ht="15.75" customHeight="1">
      <c r="A73" s="38" t="s">
        <v>160</v>
      </c>
      <c r="B73" s="39">
        <v>45317</v>
      </c>
      <c r="C73" s="38">
        <v>13.22</v>
      </c>
      <c r="D73" s="38">
        <v>-1.56</v>
      </c>
      <c r="E73" s="38">
        <v>-4.13</v>
      </c>
      <c r="F73" s="38">
        <v>-8.58</v>
      </c>
      <c r="G73" s="38">
        <v>-8.58</v>
      </c>
      <c r="H73" s="38">
        <v>3.88</v>
      </c>
      <c r="I73" s="38">
        <v>13.18</v>
      </c>
      <c r="J73" s="38">
        <v>13.42</v>
      </c>
      <c r="K73" s="38" t="s">
        <v>161</v>
      </c>
      <c r="L73" s="34">
        <f t="shared" si="0"/>
        <v>-1.5600000000000001E-2</v>
      </c>
      <c r="M73" s="35">
        <f t="shared" si="1"/>
        <v>13.429500203169443</v>
      </c>
      <c r="N73" s="40">
        <f>VLOOKUP(A73,Total_de_acoes!A:B,2,0)</f>
        <v>5602790110</v>
      </c>
      <c r="O73" s="36">
        <f t="shared" si="2"/>
        <v>-1173785666.3607426</v>
      </c>
      <c r="P73" s="37" t="str">
        <f t="shared" si="3"/>
        <v>Desceu</v>
      </c>
      <c r="Q73" s="37" t="str">
        <f>VLOOKUP(A73,Ticker!A:B,2,0)</f>
        <v>B3</v>
      </c>
      <c r="R73" s="37" t="str">
        <f>VLOOKUP(Principal!Q73,CHATGPT!A:C,2,0)</f>
        <v>Serviços Financeiros</v>
      </c>
      <c r="S73" s="37">
        <f>VLOOKUP(Q73,CHATGPT!A:C,3,0)</f>
        <v>125</v>
      </c>
      <c r="T73" s="46" t="str">
        <f t="shared" si="4"/>
        <v>Mais de 100 Anos</v>
      </c>
      <c r="U73" s="48">
        <f t="shared" si="9"/>
        <v>-4.1299999999999996E-2</v>
      </c>
      <c r="V73" s="49">
        <f t="shared" si="10"/>
        <v>-8.5800000000000001E-2</v>
      </c>
      <c r="W73" s="49">
        <f t="shared" si="11"/>
        <v>-8.5800000000000001E-2</v>
      </c>
      <c r="X73" s="49">
        <f t="shared" si="12"/>
        <v>3.8800000000000001E-2</v>
      </c>
      <c r="Y73" s="24"/>
      <c r="Z73" s="24"/>
    </row>
    <row r="74" spans="1:26" ht="15.75" customHeight="1">
      <c r="A74" s="31" t="s">
        <v>162</v>
      </c>
      <c r="B74" s="32">
        <v>45317</v>
      </c>
      <c r="C74" s="31">
        <v>31.08</v>
      </c>
      <c r="D74" s="31">
        <v>-1.61</v>
      </c>
      <c r="E74" s="31">
        <v>-5.27</v>
      </c>
      <c r="F74" s="31">
        <v>-13.06</v>
      </c>
      <c r="G74" s="31">
        <v>-13.06</v>
      </c>
      <c r="H74" s="31">
        <v>-27.52</v>
      </c>
      <c r="I74" s="31">
        <v>30.91</v>
      </c>
      <c r="J74" s="31">
        <v>31.72</v>
      </c>
      <c r="K74" s="31" t="s">
        <v>163</v>
      </c>
      <c r="L74" s="34">
        <f t="shared" si="0"/>
        <v>-1.61E-2</v>
      </c>
      <c r="M74" s="35">
        <f t="shared" si="1"/>
        <v>31.588576074804347</v>
      </c>
      <c r="N74" s="40">
        <f>VLOOKUP(A74,Total_de_acoes!A:B,2,0)</f>
        <v>409490388</v>
      </c>
      <c r="O74" s="36">
        <f t="shared" si="2"/>
        <v>-208257014.19914994</v>
      </c>
      <c r="P74" s="37" t="str">
        <f t="shared" si="3"/>
        <v>Desceu</v>
      </c>
      <c r="Q74" s="37" t="str">
        <f>VLOOKUP(A74,Ticker!A:B,2,0)</f>
        <v>Hypera</v>
      </c>
      <c r="R74" s="37" t="str">
        <f>VLOOKUP(Principal!Q74,CHATGPT!A:C,2,0)</f>
        <v>Farmacêutica</v>
      </c>
      <c r="S74" s="37">
        <f>VLOOKUP(Q74,CHATGPT!A:C,3,0)</f>
        <v>19</v>
      </c>
      <c r="T74" s="46" t="str">
        <f t="shared" si="4"/>
        <v>Menos que 50 Anos</v>
      </c>
      <c r="U74" s="48">
        <f t="shared" si="9"/>
        <v>-5.2699999999999997E-2</v>
      </c>
      <c r="V74" s="49">
        <f t="shared" si="10"/>
        <v>-0.13059999999999999</v>
      </c>
      <c r="W74" s="49">
        <f t="shared" si="11"/>
        <v>-0.13059999999999999</v>
      </c>
      <c r="X74" s="49">
        <f t="shared" si="12"/>
        <v>-0.2752</v>
      </c>
      <c r="Y74" s="24"/>
      <c r="Z74" s="24"/>
    </row>
    <row r="75" spans="1:26" ht="15.75" customHeight="1">
      <c r="A75" s="38" t="s">
        <v>164</v>
      </c>
      <c r="B75" s="39">
        <v>45317</v>
      </c>
      <c r="C75" s="41">
        <v>28.2</v>
      </c>
      <c r="D75" s="38">
        <v>-1.94</v>
      </c>
      <c r="E75" s="38">
        <v>0.36</v>
      </c>
      <c r="F75" s="38">
        <v>-3.79</v>
      </c>
      <c r="G75" s="38">
        <v>-3.79</v>
      </c>
      <c r="H75" s="38">
        <v>17.100000000000001</v>
      </c>
      <c r="I75" s="38">
        <v>28.13</v>
      </c>
      <c r="J75" s="38">
        <v>28.97</v>
      </c>
      <c r="K75" s="38" t="s">
        <v>165</v>
      </c>
      <c r="L75" s="34">
        <f t="shared" si="0"/>
        <v>-1.9400000000000001E-2</v>
      </c>
      <c r="M75" s="35">
        <f t="shared" si="1"/>
        <v>28.757903324495206</v>
      </c>
      <c r="N75" s="40">
        <f>VLOOKUP(A75,Total_de_acoes!A:B,2,0)</f>
        <v>142377330</v>
      </c>
      <c r="O75" s="36">
        <f t="shared" si="2"/>
        <v>-79432785.73975119</v>
      </c>
      <c r="P75" s="37" t="str">
        <f t="shared" si="3"/>
        <v>Desceu</v>
      </c>
      <c r="Q75" s="37" t="str">
        <f>VLOOKUP(A75,Ticker!A:B,2,0)</f>
        <v>São Martinho</v>
      </c>
      <c r="R75" s="37" t="str">
        <f>VLOOKUP(Principal!Q75,CHATGPT!A:C,2,0)</f>
        <v>Agronegócio (Açúcar e Álcool)</v>
      </c>
      <c r="S75" s="37">
        <f>VLOOKUP(Q75,CHATGPT!A:C,3,0)</f>
        <v>81</v>
      </c>
      <c r="T75" s="46" t="str">
        <f t="shared" si="4"/>
        <v>Entre 50 e 100</v>
      </c>
      <c r="U75" s="48">
        <f t="shared" si="9"/>
        <v>3.5999999999999999E-3</v>
      </c>
      <c r="V75" s="49">
        <f t="shared" si="10"/>
        <v>-3.7900000000000003E-2</v>
      </c>
      <c r="W75" s="49">
        <f t="shared" si="11"/>
        <v>-3.7900000000000003E-2</v>
      </c>
      <c r="X75" s="49">
        <f t="shared" si="12"/>
        <v>0.17100000000000001</v>
      </c>
      <c r="Y75" s="24"/>
      <c r="Z75" s="24"/>
    </row>
    <row r="76" spans="1:26" ht="15.75" customHeight="1">
      <c r="A76" s="31" t="s">
        <v>166</v>
      </c>
      <c r="B76" s="32">
        <v>45317</v>
      </c>
      <c r="C76" s="31">
        <v>3.93</v>
      </c>
      <c r="D76" s="31">
        <v>-1.99</v>
      </c>
      <c r="E76" s="31">
        <v>-2.2400000000000002</v>
      </c>
      <c r="F76" s="31">
        <v>-11.69</v>
      </c>
      <c r="G76" s="31">
        <v>-11.69</v>
      </c>
      <c r="H76" s="31">
        <v>-11.49</v>
      </c>
      <c r="I76" s="31">
        <v>3.89</v>
      </c>
      <c r="J76" s="31">
        <v>4.0599999999999996</v>
      </c>
      <c r="K76" s="31" t="s">
        <v>167</v>
      </c>
      <c r="L76" s="34">
        <f t="shared" si="0"/>
        <v>-1.9900000000000001E-2</v>
      </c>
      <c r="M76" s="35">
        <f t="shared" si="1"/>
        <v>4.0097949188858282</v>
      </c>
      <c r="N76" s="40">
        <f>VLOOKUP(A76,Total_de_acoes!A:B,2,0)</f>
        <v>4394332306</v>
      </c>
      <c r="O76" s="36">
        <f t="shared" si="2"/>
        <v>-350645389.91464359</v>
      </c>
      <c r="P76" s="37" t="str">
        <f t="shared" si="3"/>
        <v>Desceu</v>
      </c>
      <c r="Q76" s="37" t="str">
        <f>VLOOKUP(A76,Ticker!A:B,2,0)</f>
        <v>Hapvida</v>
      </c>
      <c r="R76" s="37" t="str">
        <f>VLOOKUP(Principal!Q76,CHATGPT!A:C,2,0)</f>
        <v>Saúde (Planos de Saúde)</v>
      </c>
      <c r="S76" s="37">
        <f>VLOOKUP(Q76,CHATGPT!A:C,3,0)</f>
        <v>44</v>
      </c>
      <c r="T76" s="46" t="str">
        <f t="shared" si="4"/>
        <v>Menos que 50 Anos</v>
      </c>
      <c r="U76" s="48">
        <f t="shared" si="9"/>
        <v>-2.2400000000000003E-2</v>
      </c>
      <c r="V76" s="49">
        <f t="shared" si="10"/>
        <v>-0.11689999999999999</v>
      </c>
      <c r="W76" s="49">
        <f t="shared" si="11"/>
        <v>-0.11689999999999999</v>
      </c>
      <c r="X76" s="49">
        <f t="shared" si="12"/>
        <v>-0.1149</v>
      </c>
      <c r="Y76" s="24"/>
      <c r="Z76" s="24"/>
    </row>
    <row r="77" spans="1:26" ht="15.75" customHeight="1">
      <c r="A77" s="38" t="s">
        <v>168</v>
      </c>
      <c r="B77" s="39">
        <v>45317</v>
      </c>
      <c r="C77" s="38">
        <v>15.78</v>
      </c>
      <c r="D77" s="38">
        <v>-2.29</v>
      </c>
      <c r="E77" s="38">
        <v>-5.62</v>
      </c>
      <c r="F77" s="38">
        <v>-9.41</v>
      </c>
      <c r="G77" s="38">
        <v>-9.41</v>
      </c>
      <c r="H77" s="38">
        <v>-24.94</v>
      </c>
      <c r="I77" s="38">
        <v>15.7</v>
      </c>
      <c r="J77" s="38">
        <v>16.23</v>
      </c>
      <c r="K77" s="38" t="s">
        <v>169</v>
      </c>
      <c r="L77" s="34">
        <f t="shared" si="0"/>
        <v>-2.29E-2</v>
      </c>
      <c r="M77" s="35">
        <f t="shared" si="1"/>
        <v>16.149831132944428</v>
      </c>
      <c r="N77" s="40">
        <f>VLOOKUP(A77,Total_de_acoes!A:B,2,0)</f>
        <v>951329770</v>
      </c>
      <c r="O77" s="36">
        <f t="shared" si="2"/>
        <v>-351831366.6428625</v>
      </c>
      <c r="P77" s="37" t="str">
        <f t="shared" si="3"/>
        <v>Desceu</v>
      </c>
      <c r="Q77" s="37" t="str">
        <f>VLOOKUP(A77,Ticker!A:B,2,0)</f>
        <v>Lojas Renner</v>
      </c>
      <c r="R77" s="37" t="str">
        <f>VLOOKUP(Principal!Q77,CHATGPT!A:C,2,0)</f>
        <v>Varejo (Moda)</v>
      </c>
      <c r="S77" s="37">
        <f>VLOOKUP(Q77,CHATGPT!A:C,3,0)</f>
        <v>58</v>
      </c>
      <c r="T77" s="46" t="str">
        <f t="shared" si="4"/>
        <v>Entre 50 e 100</v>
      </c>
      <c r="U77" s="48">
        <f t="shared" si="9"/>
        <v>-5.62E-2</v>
      </c>
      <c r="V77" s="49">
        <f t="shared" si="10"/>
        <v>-9.4100000000000003E-2</v>
      </c>
      <c r="W77" s="49">
        <f t="shared" si="11"/>
        <v>-9.4100000000000003E-2</v>
      </c>
      <c r="X77" s="49">
        <f t="shared" si="12"/>
        <v>-0.24940000000000001</v>
      </c>
      <c r="Y77" s="24"/>
      <c r="Z77" s="24"/>
    </row>
    <row r="78" spans="1:26" ht="15.75" customHeight="1">
      <c r="A78" s="31" t="s">
        <v>170</v>
      </c>
      <c r="B78" s="32">
        <v>45317</v>
      </c>
      <c r="C78" s="31">
        <v>10.71</v>
      </c>
      <c r="D78" s="31">
        <v>-2.4500000000000002</v>
      </c>
      <c r="E78" s="31">
        <v>-9.4700000000000006</v>
      </c>
      <c r="F78" s="31">
        <v>-13.98</v>
      </c>
      <c r="G78" s="31">
        <v>-13.98</v>
      </c>
      <c r="H78" s="31">
        <v>-32.72</v>
      </c>
      <c r="I78" s="31">
        <v>10.7</v>
      </c>
      <c r="J78" s="31">
        <v>11.08</v>
      </c>
      <c r="K78" s="31" t="s">
        <v>171</v>
      </c>
      <c r="L78" s="34">
        <f t="shared" si="0"/>
        <v>-2.4500000000000001E-2</v>
      </c>
      <c r="M78" s="35">
        <f t="shared" si="1"/>
        <v>10.978985135827781</v>
      </c>
      <c r="N78" s="40">
        <f>VLOOKUP(A78,Total_de_acoes!A:B,2,0)</f>
        <v>533990587</v>
      </c>
      <c r="O78" s="36">
        <f t="shared" si="2"/>
        <v>-143635530.57495093</v>
      </c>
      <c r="P78" s="37" t="str">
        <f t="shared" si="3"/>
        <v>Desceu</v>
      </c>
      <c r="Q78" s="37" t="str">
        <f>VLOOKUP(A78,Ticker!A:B,2,0)</f>
        <v>Carrefour Brasil</v>
      </c>
      <c r="R78" s="37" t="str">
        <f>VLOOKUP(Principal!Q78,CHATGPT!A:C,2,0)</f>
        <v>Varejo (Supermercados)</v>
      </c>
      <c r="S78" s="37">
        <f>VLOOKUP(Q78,CHATGPT!A:C,3,0)</f>
        <v>46</v>
      </c>
      <c r="T78" s="46" t="str">
        <f t="shared" si="4"/>
        <v>Menos que 50 Anos</v>
      </c>
      <c r="U78" s="48">
        <f t="shared" si="9"/>
        <v>-9.4700000000000006E-2</v>
      </c>
      <c r="V78" s="49">
        <f t="shared" si="10"/>
        <v>-0.13980000000000001</v>
      </c>
      <c r="W78" s="49">
        <f t="shared" si="11"/>
        <v>-0.13980000000000001</v>
      </c>
      <c r="X78" s="49">
        <f t="shared" si="12"/>
        <v>-0.32719999999999999</v>
      </c>
      <c r="Y78" s="24"/>
      <c r="Z78" s="24"/>
    </row>
    <row r="79" spans="1:26" ht="15.75" customHeight="1">
      <c r="A79" s="38" t="s">
        <v>172</v>
      </c>
      <c r="B79" s="39">
        <v>45317</v>
      </c>
      <c r="C79" s="41">
        <v>8.6999999999999993</v>
      </c>
      <c r="D79" s="38">
        <v>-2.46</v>
      </c>
      <c r="E79" s="38">
        <v>-6.95</v>
      </c>
      <c r="F79" s="38">
        <v>-23.55</v>
      </c>
      <c r="G79" s="38">
        <v>-23.55</v>
      </c>
      <c r="H79" s="38">
        <v>-85.74</v>
      </c>
      <c r="I79" s="38">
        <v>8.67</v>
      </c>
      <c r="J79" s="38">
        <v>8.9499999999999993</v>
      </c>
      <c r="K79" s="38" t="s">
        <v>173</v>
      </c>
      <c r="L79" s="34">
        <f t="shared" si="0"/>
        <v>-2.46E-2</v>
      </c>
      <c r="M79" s="35">
        <f t="shared" si="1"/>
        <v>8.9194176748000817</v>
      </c>
      <c r="N79" s="40">
        <f>VLOOKUP(A79,Total_de_acoes!A:B,2,0)</f>
        <v>94843047</v>
      </c>
      <c r="O79" s="36">
        <f t="shared" si="2"/>
        <v>-20810240.843694936</v>
      </c>
      <c r="P79" s="37" t="str">
        <f t="shared" si="3"/>
        <v>Desceu</v>
      </c>
      <c r="Q79" s="37" t="str">
        <f>VLOOKUP(A79,Ticker!A:B,2,0)</f>
        <v>Casas Bahia</v>
      </c>
      <c r="R79" s="37" t="str">
        <f>VLOOKUP(Principal!Q79,CHATGPT!A:C,2,0)</f>
        <v>Varejo (Eletrodomésticos)</v>
      </c>
      <c r="S79" s="37">
        <f>VLOOKUP(Q79,CHATGPT!A:C,3,0)</f>
        <v>68</v>
      </c>
      <c r="T79" s="46" t="str">
        <f t="shared" si="4"/>
        <v>Entre 50 e 100</v>
      </c>
      <c r="U79" s="48">
        <f t="shared" si="9"/>
        <v>-6.9500000000000006E-2</v>
      </c>
      <c r="V79" s="49">
        <f t="shared" si="10"/>
        <v>-0.23550000000000001</v>
      </c>
      <c r="W79" s="49">
        <f t="shared" si="11"/>
        <v>-0.23550000000000001</v>
      </c>
      <c r="X79" s="49">
        <f t="shared" si="12"/>
        <v>-0.85739999999999994</v>
      </c>
      <c r="Y79" s="24"/>
      <c r="Z79" s="24"/>
    </row>
    <row r="80" spans="1:26" ht="15.75" customHeight="1">
      <c r="A80" s="31" t="s">
        <v>174</v>
      </c>
      <c r="B80" s="32">
        <v>45317</v>
      </c>
      <c r="C80" s="31">
        <v>56.24</v>
      </c>
      <c r="D80" s="31">
        <v>-3.63</v>
      </c>
      <c r="E80" s="31">
        <v>-6.41</v>
      </c>
      <c r="F80" s="31">
        <v>-11.57</v>
      </c>
      <c r="G80" s="31">
        <v>-11.57</v>
      </c>
      <c r="H80" s="31">
        <v>-2.77</v>
      </c>
      <c r="I80" s="31">
        <v>56.04</v>
      </c>
      <c r="J80" s="31">
        <v>58.9</v>
      </c>
      <c r="K80" s="31" t="s">
        <v>175</v>
      </c>
      <c r="L80" s="34">
        <f t="shared" si="0"/>
        <v>-3.6299999999999999E-2</v>
      </c>
      <c r="M80" s="35">
        <f t="shared" si="1"/>
        <v>58.358410293659851</v>
      </c>
      <c r="N80" s="40">
        <f>VLOOKUP(A80,Total_de_acoes!A:B,2,0)</f>
        <v>853202347</v>
      </c>
      <c r="O80" s="36">
        <f t="shared" si="2"/>
        <v>-1807432634.4595425</v>
      </c>
      <c r="P80" s="37" t="str">
        <f t="shared" si="3"/>
        <v>Desceu</v>
      </c>
      <c r="Q80" s="37" t="str">
        <f>VLOOKUP(A80,Ticker!A:B,2,0)</f>
        <v>Localiza</v>
      </c>
      <c r="R80" s="37" t="str">
        <f>VLOOKUP(Principal!Q80,CHATGPT!A:C,2,0)</f>
        <v>Aluguel de Carros</v>
      </c>
      <c r="S80" s="37">
        <f>VLOOKUP(Q80,CHATGPT!A:C,3,0)</f>
        <v>49</v>
      </c>
      <c r="T80" s="46" t="str">
        <f t="shared" si="4"/>
        <v>Menos que 50 Anos</v>
      </c>
      <c r="U80" s="48">
        <f t="shared" si="9"/>
        <v>-6.4100000000000004E-2</v>
      </c>
      <c r="V80" s="49">
        <f t="shared" si="10"/>
        <v>-0.1157</v>
      </c>
      <c r="W80" s="49">
        <f t="shared" si="11"/>
        <v>-0.1157</v>
      </c>
      <c r="X80" s="49">
        <f t="shared" si="12"/>
        <v>-2.7699999999999999E-2</v>
      </c>
      <c r="Y80" s="24"/>
      <c r="Z80" s="24"/>
    </row>
    <row r="81" spans="1:26" ht="15.75" customHeight="1">
      <c r="A81" s="38" t="s">
        <v>176</v>
      </c>
      <c r="B81" s="39">
        <v>45317</v>
      </c>
      <c r="C81" s="38">
        <v>3.07</v>
      </c>
      <c r="D81" s="38">
        <v>-4.3600000000000003</v>
      </c>
      <c r="E81" s="38">
        <v>-5.54</v>
      </c>
      <c r="F81" s="38">
        <v>-12.29</v>
      </c>
      <c r="G81" s="38">
        <v>-12.29</v>
      </c>
      <c r="H81" s="38">
        <v>-36.83</v>
      </c>
      <c r="I81" s="38">
        <v>3.05</v>
      </c>
      <c r="J81" s="38">
        <v>3.23</v>
      </c>
      <c r="K81" s="38" t="s">
        <v>177</v>
      </c>
      <c r="L81" s="34">
        <f t="shared" si="0"/>
        <v>-4.36E-2</v>
      </c>
      <c r="M81" s="35">
        <f t="shared" si="1"/>
        <v>3.2099539941447093</v>
      </c>
      <c r="N81" s="40">
        <f>VLOOKUP(A81,Total_de_acoes!A:B,2,0)</f>
        <v>525582771</v>
      </c>
      <c r="O81" s="36">
        <f t="shared" si="2"/>
        <v>-73557408.055094168</v>
      </c>
      <c r="P81" s="37" t="str">
        <f t="shared" si="3"/>
        <v>Desceu</v>
      </c>
      <c r="Q81" s="37" t="str">
        <f>VLOOKUP(A81,Ticker!A:B,2,0)</f>
        <v>CVC</v>
      </c>
      <c r="R81" s="37" t="str">
        <f>VLOOKUP(Principal!Q81,CHATGPT!A:C,2,0)</f>
        <v>Agência de Viagens</v>
      </c>
      <c r="S81" s="37">
        <f>VLOOKUP(Q81,CHATGPT!A:C,3,0)</f>
        <v>50</v>
      </c>
      <c r="T81" s="46" t="str">
        <f t="shared" si="4"/>
        <v>Entre 50 e 100</v>
      </c>
      <c r="U81" s="48">
        <f t="shared" si="9"/>
        <v>-5.5399999999999998E-2</v>
      </c>
      <c r="V81" s="49">
        <f t="shared" si="10"/>
        <v>-0.1229</v>
      </c>
      <c r="W81" s="49">
        <f t="shared" si="11"/>
        <v>-0.1229</v>
      </c>
      <c r="X81" s="49">
        <f t="shared" si="12"/>
        <v>-0.36829999999999996</v>
      </c>
      <c r="Y81" s="24"/>
      <c r="Z81" s="24"/>
    </row>
    <row r="82" spans="1:26" ht="15.75" customHeight="1">
      <c r="A82" s="31" t="s">
        <v>178</v>
      </c>
      <c r="B82" s="32">
        <v>45317</v>
      </c>
      <c r="C82" s="31">
        <v>5.92</v>
      </c>
      <c r="D82" s="31">
        <v>-8.07</v>
      </c>
      <c r="E82" s="31">
        <v>-15.91</v>
      </c>
      <c r="F82" s="31">
        <v>-34</v>
      </c>
      <c r="G82" s="31">
        <v>-34</v>
      </c>
      <c r="H82" s="31">
        <v>-25.44</v>
      </c>
      <c r="I82" s="31">
        <v>5.51</v>
      </c>
      <c r="J82" s="31">
        <v>6.02</v>
      </c>
      <c r="K82" s="31" t="s">
        <v>179</v>
      </c>
      <c r="L82" s="34">
        <f t="shared" si="0"/>
        <v>-8.0700000000000008E-2</v>
      </c>
      <c r="M82" s="35">
        <f t="shared" si="1"/>
        <v>6.4396823670183831</v>
      </c>
      <c r="N82" s="40">
        <f>VLOOKUP(A82,Total_de_acoes!A:B,2,0)</f>
        <v>198184909</v>
      </c>
      <c r="O82" s="36">
        <f t="shared" si="2"/>
        <v>-102993202.61644287</v>
      </c>
      <c r="P82" s="37" t="str">
        <f t="shared" si="3"/>
        <v>Desceu</v>
      </c>
      <c r="Q82" s="37" t="str">
        <f>VLOOKUP(A82,Ticker!A:B,2,0)</f>
        <v>GOL</v>
      </c>
      <c r="R82" s="37" t="str">
        <f>VLOOKUP(Principal!Q82,CHATGPT!A:C,2,0)</f>
        <v>Transporte Aéreo</v>
      </c>
      <c r="S82" s="37">
        <f>VLOOKUP(Q82,CHATGPT!A:C,3,0)</f>
        <v>21</v>
      </c>
      <c r="T82" s="46" t="str">
        <f t="shared" si="4"/>
        <v>Menos que 50 Anos</v>
      </c>
      <c r="U82" s="48">
        <f t="shared" si="9"/>
        <v>-0.15909999999999999</v>
      </c>
      <c r="V82" s="49">
        <f t="shared" si="10"/>
        <v>-0.34</v>
      </c>
      <c r="W82" s="49">
        <f t="shared" si="11"/>
        <v>-0.34</v>
      </c>
      <c r="X82" s="49">
        <f t="shared" si="12"/>
        <v>-0.25440000000000002</v>
      </c>
      <c r="Y82" s="24"/>
      <c r="Z82" s="24"/>
    </row>
    <row r="83" spans="1:26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24"/>
      <c r="M83" s="24"/>
      <c r="N83" s="43"/>
      <c r="O83" s="24"/>
      <c r="P83" s="24"/>
      <c r="Q83" s="4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24"/>
      <c r="M84" s="24"/>
      <c r="N84" s="43"/>
      <c r="O84" s="24"/>
      <c r="P84" s="24"/>
      <c r="Q84" s="4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24"/>
      <c r="M85" s="24"/>
      <c r="N85" s="43"/>
      <c r="O85" s="24"/>
      <c r="P85" s="24"/>
      <c r="Q85" s="4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24"/>
      <c r="M86" s="24"/>
      <c r="N86" s="43"/>
      <c r="O86" s="24"/>
      <c r="P86" s="24"/>
      <c r="Q86" s="4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24"/>
      <c r="M87" s="24"/>
      <c r="N87" s="43"/>
      <c r="O87" s="24"/>
      <c r="P87" s="24"/>
      <c r="Q87" s="4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24"/>
      <c r="M88" s="24"/>
      <c r="N88" s="43"/>
      <c r="O88" s="24"/>
      <c r="P88" s="24"/>
      <c r="Q88" s="4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24"/>
      <c r="M89" s="24"/>
      <c r="N89" s="43"/>
      <c r="O89" s="24"/>
      <c r="P89" s="24"/>
      <c r="Q89" s="4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24"/>
      <c r="M90" s="24"/>
      <c r="N90" s="43"/>
      <c r="O90" s="24"/>
      <c r="P90" s="24"/>
      <c r="Q90" s="4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24"/>
      <c r="M91" s="24"/>
      <c r="N91" s="43"/>
      <c r="O91" s="24"/>
      <c r="P91" s="24"/>
      <c r="Q91" s="4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24"/>
      <c r="M92" s="24"/>
      <c r="N92" s="43"/>
      <c r="O92" s="24"/>
      <c r="P92" s="24"/>
      <c r="Q92" s="4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24"/>
      <c r="M93" s="24"/>
      <c r="N93" s="43"/>
      <c r="O93" s="24"/>
      <c r="P93" s="24"/>
      <c r="Q93" s="4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24"/>
      <c r="M94" s="24"/>
      <c r="N94" s="43"/>
      <c r="O94" s="24"/>
      <c r="P94" s="24"/>
      <c r="Q94" s="4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24"/>
      <c r="M95" s="24"/>
      <c r="N95" s="43"/>
      <c r="O95" s="24"/>
      <c r="P95" s="24"/>
      <c r="Q95" s="4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24"/>
      <c r="M96" s="24"/>
      <c r="N96" s="43"/>
      <c r="O96" s="24"/>
      <c r="P96" s="24"/>
      <c r="Q96" s="4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24"/>
      <c r="M97" s="24"/>
      <c r="N97" s="43"/>
      <c r="O97" s="24"/>
      <c r="P97" s="24"/>
      <c r="Q97" s="4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24"/>
      <c r="M98" s="24"/>
      <c r="N98" s="43"/>
      <c r="O98" s="24"/>
      <c r="P98" s="24"/>
      <c r="Q98" s="4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24"/>
      <c r="M99" s="24"/>
      <c r="N99" s="43"/>
      <c r="O99" s="24"/>
      <c r="P99" s="24"/>
      <c r="Q99" s="4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24"/>
      <c r="M100" s="24"/>
      <c r="N100" s="43"/>
      <c r="O100" s="24"/>
      <c r="P100" s="24"/>
      <c r="Q100" s="4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24"/>
      <c r="M101" s="24"/>
      <c r="N101" s="43"/>
      <c r="O101" s="24"/>
      <c r="P101" s="24"/>
      <c r="Q101" s="4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24"/>
      <c r="M102" s="24"/>
      <c r="N102" s="43"/>
      <c r="O102" s="24"/>
      <c r="P102" s="24"/>
      <c r="Q102" s="4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24"/>
      <c r="M103" s="24"/>
      <c r="N103" s="43"/>
      <c r="O103" s="24"/>
      <c r="P103" s="24"/>
      <c r="Q103" s="4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24"/>
      <c r="M104" s="24"/>
      <c r="N104" s="43"/>
      <c r="O104" s="24"/>
      <c r="P104" s="24"/>
      <c r="Q104" s="4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24"/>
      <c r="M105" s="24"/>
      <c r="N105" s="43"/>
      <c r="O105" s="24"/>
      <c r="P105" s="24"/>
      <c r="Q105" s="4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24"/>
      <c r="M106" s="24"/>
      <c r="N106" s="43"/>
      <c r="O106" s="24"/>
      <c r="P106" s="24"/>
      <c r="Q106" s="4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24"/>
      <c r="M107" s="24"/>
      <c r="N107" s="43"/>
      <c r="O107" s="24"/>
      <c r="P107" s="24"/>
      <c r="Q107" s="4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24"/>
      <c r="M108" s="24"/>
      <c r="N108" s="43"/>
      <c r="O108" s="24"/>
      <c r="P108" s="24"/>
      <c r="Q108" s="4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24"/>
      <c r="M109" s="24"/>
      <c r="N109" s="43"/>
      <c r="O109" s="24"/>
      <c r="P109" s="24"/>
      <c r="Q109" s="4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24"/>
      <c r="M110" s="24"/>
      <c r="N110" s="43"/>
      <c r="O110" s="24"/>
      <c r="P110" s="24"/>
      <c r="Q110" s="4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24"/>
      <c r="M111" s="24"/>
      <c r="N111" s="43"/>
      <c r="O111" s="24"/>
      <c r="P111" s="24"/>
      <c r="Q111" s="4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24"/>
      <c r="M112" s="24"/>
      <c r="N112" s="43"/>
      <c r="O112" s="24"/>
      <c r="P112" s="24"/>
      <c r="Q112" s="4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24"/>
      <c r="M113" s="24"/>
      <c r="N113" s="43"/>
      <c r="O113" s="24"/>
      <c r="P113" s="24"/>
      <c r="Q113" s="4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24"/>
      <c r="M114" s="24"/>
      <c r="N114" s="43"/>
      <c r="O114" s="24"/>
      <c r="P114" s="24"/>
      <c r="Q114" s="4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24"/>
      <c r="M115" s="24"/>
      <c r="N115" s="43"/>
      <c r="O115" s="24"/>
      <c r="P115" s="24"/>
      <c r="Q115" s="4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24"/>
      <c r="M116" s="24"/>
      <c r="N116" s="43"/>
      <c r="O116" s="24"/>
      <c r="P116" s="24"/>
      <c r="Q116" s="4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24"/>
      <c r="M117" s="24"/>
      <c r="N117" s="43"/>
      <c r="O117" s="24"/>
      <c r="P117" s="24"/>
      <c r="Q117" s="4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24"/>
      <c r="M118" s="24"/>
      <c r="N118" s="43"/>
      <c r="O118" s="24"/>
      <c r="P118" s="24"/>
      <c r="Q118" s="4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24"/>
      <c r="M119" s="24"/>
      <c r="N119" s="43"/>
      <c r="O119" s="24"/>
      <c r="P119" s="24"/>
      <c r="Q119" s="4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24"/>
      <c r="M120" s="24"/>
      <c r="N120" s="43"/>
      <c r="O120" s="24"/>
      <c r="P120" s="24"/>
      <c r="Q120" s="4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24"/>
      <c r="M121" s="24"/>
      <c r="N121" s="43"/>
      <c r="O121" s="24"/>
      <c r="P121" s="24"/>
      <c r="Q121" s="4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24"/>
      <c r="M122" s="24"/>
      <c r="N122" s="43"/>
      <c r="O122" s="24"/>
      <c r="P122" s="24"/>
      <c r="Q122" s="4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24"/>
      <c r="M123" s="24"/>
      <c r="N123" s="43"/>
      <c r="O123" s="24"/>
      <c r="P123" s="24"/>
      <c r="Q123" s="4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24"/>
      <c r="M124" s="24"/>
      <c r="N124" s="43"/>
      <c r="O124" s="24"/>
      <c r="P124" s="24"/>
      <c r="Q124" s="4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24"/>
      <c r="M125" s="24"/>
      <c r="N125" s="43"/>
      <c r="O125" s="24"/>
      <c r="P125" s="24"/>
      <c r="Q125" s="4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24"/>
      <c r="M126" s="24"/>
      <c r="N126" s="43"/>
      <c r="O126" s="24"/>
      <c r="P126" s="24"/>
      <c r="Q126" s="4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24"/>
      <c r="M127" s="24"/>
      <c r="N127" s="43"/>
      <c r="O127" s="24"/>
      <c r="P127" s="24"/>
      <c r="Q127" s="4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24"/>
      <c r="M128" s="24"/>
      <c r="N128" s="43"/>
      <c r="O128" s="24"/>
      <c r="P128" s="24"/>
      <c r="Q128" s="4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24"/>
      <c r="M129" s="24"/>
      <c r="N129" s="43"/>
      <c r="O129" s="24"/>
      <c r="P129" s="24"/>
      <c r="Q129" s="4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24"/>
      <c r="M130" s="24"/>
      <c r="N130" s="43"/>
      <c r="O130" s="24"/>
      <c r="P130" s="24"/>
      <c r="Q130" s="4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24"/>
      <c r="M131" s="24"/>
      <c r="N131" s="43"/>
      <c r="O131" s="24"/>
      <c r="P131" s="24"/>
      <c r="Q131" s="4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24"/>
      <c r="M132" s="24"/>
      <c r="N132" s="43"/>
      <c r="O132" s="24"/>
      <c r="P132" s="24"/>
      <c r="Q132" s="4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24"/>
      <c r="M133" s="24"/>
      <c r="N133" s="43"/>
      <c r="O133" s="24"/>
      <c r="P133" s="24"/>
      <c r="Q133" s="4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24"/>
      <c r="M134" s="24"/>
      <c r="N134" s="43"/>
      <c r="O134" s="24"/>
      <c r="P134" s="24"/>
      <c r="Q134" s="4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24"/>
      <c r="M135" s="24"/>
      <c r="N135" s="43"/>
      <c r="O135" s="24"/>
      <c r="P135" s="24"/>
      <c r="Q135" s="4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24"/>
      <c r="M136" s="24"/>
      <c r="N136" s="43"/>
      <c r="O136" s="24"/>
      <c r="P136" s="24"/>
      <c r="Q136" s="4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24"/>
      <c r="M137" s="24"/>
      <c r="N137" s="43"/>
      <c r="O137" s="24"/>
      <c r="P137" s="24"/>
      <c r="Q137" s="4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24"/>
      <c r="M138" s="24"/>
      <c r="N138" s="43"/>
      <c r="O138" s="24"/>
      <c r="P138" s="24"/>
      <c r="Q138" s="4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24"/>
      <c r="M139" s="24"/>
      <c r="N139" s="43"/>
      <c r="O139" s="24"/>
      <c r="P139" s="24"/>
      <c r="Q139" s="4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24"/>
      <c r="M140" s="24"/>
      <c r="N140" s="43"/>
      <c r="O140" s="24"/>
      <c r="P140" s="24"/>
      <c r="Q140" s="4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24"/>
      <c r="M141" s="24"/>
      <c r="N141" s="43"/>
      <c r="O141" s="24"/>
      <c r="P141" s="24"/>
      <c r="Q141" s="4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24"/>
      <c r="M142" s="24"/>
      <c r="N142" s="43"/>
      <c r="O142" s="24"/>
      <c r="P142" s="24"/>
      <c r="Q142" s="4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24"/>
      <c r="M143" s="24"/>
      <c r="N143" s="43"/>
      <c r="O143" s="24"/>
      <c r="P143" s="24"/>
      <c r="Q143" s="4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24"/>
      <c r="M144" s="24"/>
      <c r="N144" s="43"/>
      <c r="O144" s="24"/>
      <c r="P144" s="24"/>
      <c r="Q144" s="4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24"/>
      <c r="M145" s="24"/>
      <c r="N145" s="43"/>
      <c r="O145" s="24"/>
      <c r="P145" s="24"/>
      <c r="Q145" s="4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24"/>
      <c r="M146" s="24"/>
      <c r="N146" s="43"/>
      <c r="O146" s="24"/>
      <c r="P146" s="24"/>
      <c r="Q146" s="4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24"/>
      <c r="M147" s="24"/>
      <c r="N147" s="43"/>
      <c r="O147" s="24"/>
      <c r="P147" s="24"/>
      <c r="Q147" s="4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24"/>
      <c r="M148" s="24"/>
      <c r="N148" s="43"/>
      <c r="O148" s="24"/>
      <c r="P148" s="24"/>
      <c r="Q148" s="4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24"/>
      <c r="M149" s="24"/>
      <c r="N149" s="43"/>
      <c r="O149" s="24"/>
      <c r="P149" s="24"/>
      <c r="Q149" s="4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24"/>
      <c r="M150" s="24"/>
      <c r="N150" s="43"/>
      <c r="O150" s="24"/>
      <c r="P150" s="24"/>
      <c r="Q150" s="4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24"/>
      <c r="M151" s="24"/>
      <c r="N151" s="43"/>
      <c r="O151" s="24"/>
      <c r="P151" s="24"/>
      <c r="Q151" s="4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24"/>
      <c r="M152" s="24"/>
      <c r="N152" s="43"/>
      <c r="O152" s="24"/>
      <c r="P152" s="24"/>
      <c r="Q152" s="4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24"/>
      <c r="M153" s="24"/>
      <c r="N153" s="43"/>
      <c r="O153" s="24"/>
      <c r="P153" s="24"/>
      <c r="Q153" s="4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24"/>
      <c r="M154" s="24"/>
      <c r="N154" s="43"/>
      <c r="O154" s="24"/>
      <c r="P154" s="24"/>
      <c r="Q154" s="4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24"/>
      <c r="M155" s="24"/>
      <c r="N155" s="43"/>
      <c r="O155" s="24"/>
      <c r="P155" s="24"/>
      <c r="Q155" s="4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24"/>
      <c r="M156" s="24"/>
      <c r="N156" s="43"/>
      <c r="O156" s="24"/>
      <c r="P156" s="24"/>
      <c r="Q156" s="4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24"/>
      <c r="M157" s="24"/>
      <c r="N157" s="43"/>
      <c r="O157" s="24"/>
      <c r="P157" s="24"/>
      <c r="Q157" s="4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24"/>
      <c r="M158" s="24"/>
      <c r="N158" s="43"/>
      <c r="O158" s="24"/>
      <c r="P158" s="24"/>
      <c r="Q158" s="4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24"/>
      <c r="M159" s="24"/>
      <c r="N159" s="43"/>
      <c r="O159" s="24"/>
      <c r="P159" s="24"/>
      <c r="Q159" s="4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24"/>
      <c r="M160" s="24"/>
      <c r="N160" s="43"/>
      <c r="O160" s="24"/>
      <c r="P160" s="24"/>
      <c r="Q160" s="4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24"/>
      <c r="M161" s="24"/>
      <c r="N161" s="43"/>
      <c r="O161" s="24"/>
      <c r="P161" s="24"/>
      <c r="Q161" s="4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24"/>
      <c r="M162" s="24"/>
      <c r="N162" s="43"/>
      <c r="O162" s="24"/>
      <c r="P162" s="24"/>
      <c r="Q162" s="4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24"/>
      <c r="M163" s="24"/>
      <c r="N163" s="43"/>
      <c r="O163" s="24"/>
      <c r="P163" s="24"/>
      <c r="Q163" s="4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24"/>
      <c r="M164" s="24"/>
      <c r="N164" s="43"/>
      <c r="O164" s="24"/>
      <c r="P164" s="24"/>
      <c r="Q164" s="4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24"/>
      <c r="M165" s="24"/>
      <c r="N165" s="43"/>
      <c r="O165" s="24"/>
      <c r="P165" s="24"/>
      <c r="Q165" s="4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24"/>
      <c r="M166" s="24"/>
      <c r="N166" s="43"/>
      <c r="O166" s="24"/>
      <c r="P166" s="24"/>
      <c r="Q166" s="4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24"/>
      <c r="M167" s="24"/>
      <c r="N167" s="43"/>
      <c r="O167" s="24"/>
      <c r="P167" s="24"/>
      <c r="Q167" s="4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24"/>
      <c r="M168" s="24"/>
      <c r="N168" s="43"/>
      <c r="O168" s="24"/>
      <c r="P168" s="24"/>
      <c r="Q168" s="4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24"/>
      <c r="M169" s="24"/>
      <c r="N169" s="43"/>
      <c r="O169" s="24"/>
      <c r="P169" s="24"/>
      <c r="Q169" s="4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24"/>
      <c r="M170" s="24"/>
      <c r="N170" s="43"/>
      <c r="O170" s="24"/>
      <c r="P170" s="24"/>
      <c r="Q170" s="4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24"/>
      <c r="M171" s="24"/>
      <c r="N171" s="43"/>
      <c r="O171" s="24"/>
      <c r="P171" s="24"/>
      <c r="Q171" s="4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24"/>
      <c r="M172" s="24"/>
      <c r="N172" s="43"/>
      <c r="O172" s="24"/>
      <c r="P172" s="24"/>
      <c r="Q172" s="4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24"/>
      <c r="M173" s="24"/>
      <c r="N173" s="43"/>
      <c r="O173" s="24"/>
      <c r="P173" s="24"/>
      <c r="Q173" s="4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24"/>
      <c r="M174" s="24"/>
      <c r="N174" s="43"/>
      <c r="O174" s="24"/>
      <c r="P174" s="24"/>
      <c r="Q174" s="4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24"/>
      <c r="M175" s="24"/>
      <c r="N175" s="43"/>
      <c r="O175" s="24"/>
      <c r="P175" s="24"/>
      <c r="Q175" s="4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24"/>
      <c r="M176" s="24"/>
      <c r="N176" s="43"/>
      <c r="O176" s="24"/>
      <c r="P176" s="24"/>
      <c r="Q176" s="4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24"/>
      <c r="M177" s="24"/>
      <c r="N177" s="43"/>
      <c r="O177" s="24"/>
      <c r="P177" s="24"/>
      <c r="Q177" s="4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24"/>
      <c r="M178" s="24"/>
      <c r="N178" s="43"/>
      <c r="O178" s="24"/>
      <c r="P178" s="24"/>
      <c r="Q178" s="4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24"/>
      <c r="M179" s="24"/>
      <c r="N179" s="43"/>
      <c r="O179" s="24"/>
      <c r="P179" s="24"/>
      <c r="Q179" s="4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24"/>
      <c r="M180" s="24"/>
      <c r="N180" s="43"/>
      <c r="O180" s="24"/>
      <c r="P180" s="24"/>
      <c r="Q180" s="4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24"/>
      <c r="M181" s="24"/>
      <c r="N181" s="43"/>
      <c r="O181" s="24"/>
      <c r="P181" s="24"/>
      <c r="Q181" s="4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24"/>
      <c r="M182" s="24"/>
      <c r="N182" s="43"/>
      <c r="O182" s="24"/>
      <c r="P182" s="24"/>
      <c r="Q182" s="4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24"/>
      <c r="M183" s="24"/>
      <c r="N183" s="43"/>
      <c r="O183" s="24"/>
      <c r="P183" s="24"/>
      <c r="Q183" s="4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24"/>
      <c r="M184" s="24"/>
      <c r="N184" s="43"/>
      <c r="O184" s="24"/>
      <c r="P184" s="24"/>
      <c r="Q184" s="4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24"/>
      <c r="M185" s="24"/>
      <c r="N185" s="43"/>
      <c r="O185" s="24"/>
      <c r="P185" s="24"/>
      <c r="Q185" s="4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24"/>
      <c r="M186" s="24"/>
      <c r="N186" s="43"/>
      <c r="O186" s="24"/>
      <c r="P186" s="24"/>
      <c r="Q186" s="4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24"/>
      <c r="M187" s="24"/>
      <c r="N187" s="43"/>
      <c r="O187" s="24"/>
      <c r="P187" s="24"/>
      <c r="Q187" s="4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24"/>
      <c r="M188" s="24"/>
      <c r="N188" s="43"/>
      <c r="O188" s="24"/>
      <c r="P188" s="24"/>
      <c r="Q188" s="4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24"/>
      <c r="M189" s="24"/>
      <c r="N189" s="43"/>
      <c r="O189" s="24"/>
      <c r="P189" s="24"/>
      <c r="Q189" s="4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24"/>
      <c r="M190" s="24"/>
      <c r="N190" s="43"/>
      <c r="O190" s="24"/>
      <c r="P190" s="24"/>
      <c r="Q190" s="4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24"/>
      <c r="M191" s="24"/>
      <c r="N191" s="43"/>
      <c r="O191" s="24"/>
      <c r="P191" s="24"/>
      <c r="Q191" s="4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24"/>
      <c r="M192" s="24"/>
      <c r="N192" s="43"/>
      <c r="O192" s="24"/>
      <c r="P192" s="24"/>
      <c r="Q192" s="4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24"/>
      <c r="M193" s="24"/>
      <c r="N193" s="43"/>
      <c r="O193" s="24"/>
      <c r="P193" s="24"/>
      <c r="Q193" s="4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24"/>
      <c r="M194" s="24"/>
      <c r="N194" s="43"/>
      <c r="O194" s="24"/>
      <c r="P194" s="24"/>
      <c r="Q194" s="4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24"/>
      <c r="M195" s="24"/>
      <c r="N195" s="43"/>
      <c r="O195" s="24"/>
      <c r="P195" s="24"/>
      <c r="Q195" s="4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24"/>
      <c r="M196" s="24"/>
      <c r="N196" s="43"/>
      <c r="O196" s="24"/>
      <c r="P196" s="24"/>
      <c r="Q196" s="4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24"/>
      <c r="M197" s="24"/>
      <c r="N197" s="43"/>
      <c r="O197" s="24"/>
      <c r="P197" s="24"/>
      <c r="Q197" s="4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24"/>
      <c r="M198" s="24"/>
      <c r="N198" s="43"/>
      <c r="O198" s="24"/>
      <c r="P198" s="24"/>
      <c r="Q198" s="4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24"/>
      <c r="M199" s="24"/>
      <c r="N199" s="43"/>
      <c r="O199" s="24"/>
      <c r="P199" s="24"/>
      <c r="Q199" s="4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24"/>
      <c r="M200" s="24"/>
      <c r="N200" s="43"/>
      <c r="O200" s="24"/>
      <c r="P200" s="24"/>
      <c r="Q200" s="4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24"/>
      <c r="M201" s="24"/>
      <c r="N201" s="43"/>
      <c r="O201" s="24"/>
      <c r="P201" s="24"/>
      <c r="Q201" s="4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24"/>
      <c r="M202" s="24"/>
      <c r="N202" s="43"/>
      <c r="O202" s="24"/>
      <c r="P202" s="24"/>
      <c r="Q202" s="4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24"/>
      <c r="M203" s="24"/>
      <c r="N203" s="43"/>
      <c r="O203" s="24"/>
      <c r="P203" s="24"/>
      <c r="Q203" s="4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24"/>
      <c r="M204" s="24"/>
      <c r="N204" s="43"/>
      <c r="O204" s="24"/>
      <c r="P204" s="24"/>
      <c r="Q204" s="4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24"/>
      <c r="M205" s="24"/>
      <c r="N205" s="43"/>
      <c r="O205" s="24"/>
      <c r="P205" s="24"/>
      <c r="Q205" s="4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24"/>
      <c r="M206" s="24"/>
      <c r="N206" s="43"/>
      <c r="O206" s="24"/>
      <c r="P206" s="24"/>
      <c r="Q206" s="4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24"/>
      <c r="M207" s="24"/>
      <c r="N207" s="43"/>
      <c r="O207" s="24"/>
      <c r="P207" s="24"/>
      <c r="Q207" s="4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24"/>
      <c r="M208" s="24"/>
      <c r="N208" s="43"/>
      <c r="O208" s="24"/>
      <c r="P208" s="24"/>
      <c r="Q208" s="4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24"/>
      <c r="M209" s="24"/>
      <c r="N209" s="43"/>
      <c r="O209" s="24"/>
      <c r="P209" s="24"/>
      <c r="Q209" s="4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24"/>
      <c r="M210" s="24"/>
      <c r="N210" s="43"/>
      <c r="O210" s="24"/>
      <c r="P210" s="24"/>
      <c r="Q210" s="4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24"/>
      <c r="M211" s="24"/>
      <c r="N211" s="43"/>
      <c r="O211" s="24"/>
      <c r="P211" s="24"/>
      <c r="Q211" s="4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24"/>
      <c r="M212" s="24"/>
      <c r="N212" s="43"/>
      <c r="O212" s="24"/>
      <c r="P212" s="24"/>
      <c r="Q212" s="4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24"/>
      <c r="M213" s="24"/>
      <c r="N213" s="43"/>
      <c r="O213" s="24"/>
      <c r="P213" s="24"/>
      <c r="Q213" s="4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24"/>
      <c r="M214" s="24"/>
      <c r="N214" s="43"/>
      <c r="O214" s="24"/>
      <c r="P214" s="24"/>
      <c r="Q214" s="4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24"/>
      <c r="M215" s="24"/>
      <c r="N215" s="43"/>
      <c r="O215" s="24"/>
      <c r="P215" s="24"/>
      <c r="Q215" s="4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24"/>
      <c r="M216" s="24"/>
      <c r="N216" s="43"/>
      <c r="O216" s="24"/>
      <c r="P216" s="24"/>
      <c r="Q216" s="4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24"/>
      <c r="M217" s="24"/>
      <c r="N217" s="43"/>
      <c r="O217" s="24"/>
      <c r="P217" s="24"/>
      <c r="Q217" s="4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24"/>
      <c r="M218" s="24"/>
      <c r="N218" s="43"/>
      <c r="O218" s="24"/>
      <c r="P218" s="24"/>
      <c r="Q218" s="4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24"/>
      <c r="M219" s="24"/>
      <c r="N219" s="43"/>
      <c r="O219" s="24"/>
      <c r="P219" s="24"/>
      <c r="Q219" s="4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24"/>
      <c r="M220" s="24"/>
      <c r="N220" s="43"/>
      <c r="O220" s="24"/>
      <c r="P220" s="24"/>
      <c r="Q220" s="4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24"/>
      <c r="M221" s="24"/>
      <c r="N221" s="43"/>
      <c r="O221" s="24"/>
      <c r="P221" s="24"/>
      <c r="Q221" s="4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24"/>
      <c r="M222" s="24"/>
      <c r="N222" s="43"/>
      <c r="O222" s="24"/>
      <c r="P222" s="24"/>
      <c r="Q222" s="4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24"/>
      <c r="M223" s="24"/>
      <c r="N223" s="43"/>
      <c r="O223" s="24"/>
      <c r="P223" s="24"/>
      <c r="Q223" s="4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24"/>
      <c r="M224" s="24"/>
      <c r="N224" s="43"/>
      <c r="O224" s="24"/>
      <c r="P224" s="24"/>
      <c r="Q224" s="4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24"/>
      <c r="M225" s="24"/>
      <c r="N225" s="43"/>
      <c r="O225" s="24"/>
      <c r="P225" s="24"/>
      <c r="Q225" s="4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24"/>
      <c r="M226" s="24"/>
      <c r="N226" s="43"/>
      <c r="O226" s="24"/>
      <c r="P226" s="24"/>
      <c r="Q226" s="4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24"/>
      <c r="M227" s="24"/>
      <c r="N227" s="43"/>
      <c r="O227" s="24"/>
      <c r="P227" s="24"/>
      <c r="Q227" s="4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24"/>
      <c r="M228" s="24"/>
      <c r="N228" s="43"/>
      <c r="O228" s="24"/>
      <c r="P228" s="24"/>
      <c r="Q228" s="4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24"/>
      <c r="M229" s="24"/>
      <c r="N229" s="43"/>
      <c r="O229" s="24"/>
      <c r="P229" s="24"/>
      <c r="Q229" s="4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24"/>
      <c r="M230" s="24"/>
      <c r="N230" s="43"/>
      <c r="O230" s="24"/>
      <c r="P230" s="24"/>
      <c r="Q230" s="4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24"/>
      <c r="M231" s="24"/>
      <c r="N231" s="43"/>
      <c r="O231" s="24"/>
      <c r="P231" s="24"/>
      <c r="Q231" s="4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24"/>
      <c r="M232" s="24"/>
      <c r="N232" s="43"/>
      <c r="O232" s="24"/>
      <c r="P232" s="24"/>
      <c r="Q232" s="4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24"/>
      <c r="M233" s="24"/>
      <c r="N233" s="43"/>
      <c r="O233" s="24"/>
      <c r="P233" s="24"/>
      <c r="Q233" s="4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24"/>
      <c r="M234" s="24"/>
      <c r="N234" s="43"/>
      <c r="O234" s="24"/>
      <c r="P234" s="24"/>
      <c r="Q234" s="4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24"/>
      <c r="M235" s="24"/>
      <c r="N235" s="43"/>
      <c r="O235" s="24"/>
      <c r="P235" s="24"/>
      <c r="Q235" s="4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24"/>
      <c r="M236" s="24"/>
      <c r="N236" s="43"/>
      <c r="O236" s="24"/>
      <c r="P236" s="24"/>
      <c r="Q236" s="4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24"/>
      <c r="M237" s="24"/>
      <c r="N237" s="43"/>
      <c r="O237" s="24"/>
      <c r="P237" s="24"/>
      <c r="Q237" s="4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24"/>
      <c r="M238" s="24"/>
      <c r="N238" s="43"/>
      <c r="O238" s="24"/>
      <c r="P238" s="24"/>
      <c r="Q238" s="4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24"/>
      <c r="M239" s="24"/>
      <c r="N239" s="43"/>
      <c r="O239" s="24"/>
      <c r="P239" s="24"/>
      <c r="Q239" s="4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24"/>
      <c r="M240" s="24"/>
      <c r="N240" s="43"/>
      <c r="O240" s="24"/>
      <c r="P240" s="24"/>
      <c r="Q240" s="4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24"/>
      <c r="M241" s="24"/>
      <c r="N241" s="43"/>
      <c r="O241" s="24"/>
      <c r="P241" s="24"/>
      <c r="Q241" s="4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24"/>
      <c r="M242" s="24"/>
      <c r="N242" s="43"/>
      <c r="O242" s="24"/>
      <c r="P242" s="24"/>
      <c r="Q242" s="4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24"/>
      <c r="M243" s="24"/>
      <c r="N243" s="43"/>
      <c r="O243" s="24"/>
      <c r="P243" s="24"/>
      <c r="Q243" s="4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24"/>
      <c r="M244" s="24"/>
      <c r="N244" s="43"/>
      <c r="O244" s="24"/>
      <c r="P244" s="24"/>
      <c r="Q244" s="4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24"/>
      <c r="M245" s="24"/>
      <c r="N245" s="43"/>
      <c r="O245" s="24"/>
      <c r="P245" s="24"/>
      <c r="Q245" s="4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24"/>
      <c r="M246" s="24"/>
      <c r="N246" s="43"/>
      <c r="O246" s="24"/>
      <c r="P246" s="24"/>
      <c r="Q246" s="4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24"/>
      <c r="M247" s="24"/>
      <c r="N247" s="43"/>
      <c r="O247" s="24"/>
      <c r="P247" s="24"/>
      <c r="Q247" s="4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24"/>
      <c r="M248" s="24"/>
      <c r="N248" s="43"/>
      <c r="O248" s="24"/>
      <c r="P248" s="24"/>
      <c r="Q248" s="4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24"/>
      <c r="M249" s="24"/>
      <c r="N249" s="43"/>
      <c r="O249" s="24"/>
      <c r="P249" s="24"/>
      <c r="Q249" s="4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24"/>
      <c r="M250" s="24"/>
      <c r="N250" s="43"/>
      <c r="O250" s="24"/>
      <c r="P250" s="24"/>
      <c r="Q250" s="4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24"/>
      <c r="M251" s="24"/>
      <c r="N251" s="43"/>
      <c r="O251" s="24"/>
      <c r="P251" s="24"/>
      <c r="Q251" s="4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24"/>
      <c r="M252" s="24"/>
      <c r="N252" s="43"/>
      <c r="O252" s="24"/>
      <c r="P252" s="24"/>
      <c r="Q252" s="4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24"/>
      <c r="M253" s="24"/>
      <c r="N253" s="43"/>
      <c r="O253" s="24"/>
      <c r="P253" s="24"/>
      <c r="Q253" s="4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24"/>
      <c r="M254" s="24"/>
      <c r="N254" s="43"/>
      <c r="O254" s="24"/>
      <c r="P254" s="24"/>
      <c r="Q254" s="4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24"/>
      <c r="M255" s="24"/>
      <c r="N255" s="43"/>
      <c r="O255" s="24"/>
      <c r="P255" s="24"/>
      <c r="Q255" s="4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24"/>
      <c r="M256" s="24"/>
      <c r="N256" s="43"/>
      <c r="O256" s="24"/>
      <c r="P256" s="24"/>
      <c r="Q256" s="4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24"/>
      <c r="M257" s="24"/>
      <c r="N257" s="43"/>
      <c r="O257" s="24"/>
      <c r="P257" s="24"/>
      <c r="Q257" s="4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24"/>
      <c r="M258" s="24"/>
      <c r="N258" s="43"/>
      <c r="O258" s="24"/>
      <c r="P258" s="24"/>
      <c r="Q258" s="4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24"/>
      <c r="M259" s="24"/>
      <c r="N259" s="43"/>
      <c r="O259" s="24"/>
      <c r="P259" s="24"/>
      <c r="Q259" s="4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24"/>
      <c r="M260" s="24"/>
      <c r="N260" s="43"/>
      <c r="O260" s="24"/>
      <c r="P260" s="24"/>
      <c r="Q260" s="4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24"/>
      <c r="M261" s="24"/>
      <c r="N261" s="43"/>
      <c r="O261" s="24"/>
      <c r="P261" s="24"/>
      <c r="Q261" s="4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24"/>
      <c r="M262" s="24"/>
      <c r="N262" s="43"/>
      <c r="O262" s="24"/>
      <c r="P262" s="24"/>
      <c r="Q262" s="4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24"/>
      <c r="M263" s="24"/>
      <c r="N263" s="43"/>
      <c r="O263" s="24"/>
      <c r="P263" s="24"/>
      <c r="Q263" s="4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24"/>
      <c r="M264" s="24"/>
      <c r="N264" s="43"/>
      <c r="O264" s="24"/>
      <c r="P264" s="24"/>
      <c r="Q264" s="4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24"/>
      <c r="M265" s="24"/>
      <c r="N265" s="43"/>
      <c r="O265" s="24"/>
      <c r="P265" s="24"/>
      <c r="Q265" s="4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24"/>
      <c r="M266" s="24"/>
      <c r="N266" s="43"/>
      <c r="O266" s="24"/>
      <c r="P266" s="24"/>
      <c r="Q266" s="4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24"/>
      <c r="M267" s="24"/>
      <c r="N267" s="43"/>
      <c r="O267" s="24"/>
      <c r="P267" s="24"/>
      <c r="Q267" s="4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24"/>
      <c r="M268" s="24"/>
      <c r="N268" s="43"/>
      <c r="O268" s="24"/>
      <c r="P268" s="24"/>
      <c r="Q268" s="4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24"/>
      <c r="M269" s="24"/>
      <c r="N269" s="43"/>
      <c r="O269" s="24"/>
      <c r="P269" s="24"/>
      <c r="Q269" s="4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24"/>
      <c r="M270" s="24"/>
      <c r="N270" s="43"/>
      <c r="O270" s="24"/>
      <c r="P270" s="24"/>
      <c r="Q270" s="4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24"/>
      <c r="M271" s="24"/>
      <c r="N271" s="43"/>
      <c r="O271" s="24"/>
      <c r="P271" s="24"/>
      <c r="Q271" s="4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24"/>
      <c r="M272" s="24"/>
      <c r="N272" s="43"/>
      <c r="O272" s="24"/>
      <c r="P272" s="24"/>
      <c r="Q272" s="4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24"/>
      <c r="M273" s="24"/>
      <c r="N273" s="43"/>
      <c r="O273" s="24"/>
      <c r="P273" s="24"/>
      <c r="Q273" s="4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24"/>
      <c r="M274" s="24"/>
      <c r="N274" s="43"/>
      <c r="O274" s="24"/>
      <c r="P274" s="24"/>
      <c r="Q274" s="4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24"/>
      <c r="M275" s="24"/>
      <c r="N275" s="43"/>
      <c r="O275" s="24"/>
      <c r="P275" s="24"/>
      <c r="Q275" s="4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24"/>
      <c r="M276" s="24"/>
      <c r="N276" s="43"/>
      <c r="O276" s="24"/>
      <c r="P276" s="24"/>
      <c r="Q276" s="4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24"/>
      <c r="M277" s="24"/>
      <c r="N277" s="43"/>
      <c r="O277" s="24"/>
      <c r="P277" s="24"/>
      <c r="Q277" s="4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24"/>
      <c r="M278" s="24"/>
      <c r="N278" s="43"/>
      <c r="O278" s="24"/>
      <c r="P278" s="24"/>
      <c r="Q278" s="4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24"/>
      <c r="M279" s="24"/>
      <c r="N279" s="43"/>
      <c r="O279" s="24"/>
      <c r="P279" s="24"/>
      <c r="Q279" s="4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24"/>
      <c r="M280" s="24"/>
      <c r="N280" s="43"/>
      <c r="O280" s="24"/>
      <c r="P280" s="24"/>
      <c r="Q280" s="4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24"/>
      <c r="M281" s="24"/>
      <c r="N281" s="43"/>
      <c r="O281" s="24"/>
      <c r="P281" s="24"/>
      <c r="Q281" s="4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24"/>
      <c r="M282" s="24"/>
      <c r="N282" s="43"/>
      <c r="O282" s="24"/>
      <c r="P282" s="24"/>
      <c r="Q282" s="4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43"/>
      <c r="O283" s="24"/>
      <c r="P283" s="24"/>
      <c r="Q283" s="4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43"/>
      <c r="O284" s="24"/>
      <c r="P284" s="24"/>
      <c r="Q284" s="4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43"/>
      <c r="O285" s="24"/>
      <c r="P285" s="24"/>
      <c r="Q285" s="4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43"/>
      <c r="O286" s="24"/>
      <c r="P286" s="24"/>
      <c r="Q286" s="4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43"/>
      <c r="O287" s="24"/>
      <c r="P287" s="24"/>
      <c r="Q287" s="4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43"/>
      <c r="O288" s="24"/>
      <c r="P288" s="24"/>
      <c r="Q288" s="4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43"/>
      <c r="O289" s="24"/>
      <c r="P289" s="24"/>
      <c r="Q289" s="4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43"/>
      <c r="O290" s="24"/>
      <c r="P290" s="24"/>
      <c r="Q290" s="4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43"/>
      <c r="O291" s="24"/>
      <c r="P291" s="24"/>
      <c r="Q291" s="4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43"/>
      <c r="O292" s="24"/>
      <c r="P292" s="24"/>
      <c r="Q292" s="4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43"/>
      <c r="O293" s="24"/>
      <c r="P293" s="24"/>
      <c r="Q293" s="4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43"/>
      <c r="O294" s="24"/>
      <c r="P294" s="24"/>
      <c r="Q294" s="4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43"/>
      <c r="O295" s="24"/>
      <c r="P295" s="24"/>
      <c r="Q295" s="4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43"/>
      <c r="O296" s="24"/>
      <c r="P296" s="24"/>
      <c r="Q296" s="4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43"/>
      <c r="O297" s="24"/>
      <c r="P297" s="24"/>
      <c r="Q297" s="4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43"/>
      <c r="O298" s="24"/>
      <c r="P298" s="24"/>
      <c r="Q298" s="4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43"/>
      <c r="O299" s="24"/>
      <c r="P299" s="24"/>
      <c r="Q299" s="4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43"/>
      <c r="O300" s="24"/>
      <c r="P300" s="24"/>
      <c r="Q300" s="4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43"/>
      <c r="O301" s="24"/>
      <c r="P301" s="24"/>
      <c r="Q301" s="4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43"/>
      <c r="O302" s="24"/>
      <c r="P302" s="24"/>
      <c r="Q302" s="4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43"/>
      <c r="O303" s="24"/>
      <c r="P303" s="24"/>
      <c r="Q303" s="4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43"/>
      <c r="O304" s="24"/>
      <c r="P304" s="24"/>
      <c r="Q304" s="4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43"/>
      <c r="O305" s="24"/>
      <c r="P305" s="24"/>
      <c r="Q305" s="4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43"/>
      <c r="O306" s="24"/>
      <c r="P306" s="24"/>
      <c r="Q306" s="4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43"/>
      <c r="O307" s="24"/>
      <c r="P307" s="24"/>
      <c r="Q307" s="4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43"/>
      <c r="O308" s="24"/>
      <c r="P308" s="24"/>
      <c r="Q308" s="4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43"/>
      <c r="O309" s="24"/>
      <c r="P309" s="24"/>
      <c r="Q309" s="4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43"/>
      <c r="O310" s="24"/>
      <c r="P310" s="24"/>
      <c r="Q310" s="4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43"/>
      <c r="O311" s="24"/>
      <c r="P311" s="24"/>
      <c r="Q311" s="4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43"/>
      <c r="O312" s="24"/>
      <c r="P312" s="24"/>
      <c r="Q312" s="4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43"/>
      <c r="O313" s="24"/>
      <c r="P313" s="24"/>
      <c r="Q313" s="4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43"/>
      <c r="O314" s="24"/>
      <c r="P314" s="24"/>
      <c r="Q314" s="4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43"/>
      <c r="O315" s="24"/>
      <c r="P315" s="24"/>
      <c r="Q315" s="4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43"/>
      <c r="O316" s="24"/>
      <c r="P316" s="24"/>
      <c r="Q316" s="4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43"/>
      <c r="O317" s="24"/>
      <c r="P317" s="24"/>
      <c r="Q317" s="4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43"/>
      <c r="O318" s="24"/>
      <c r="P318" s="24"/>
      <c r="Q318" s="4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43"/>
      <c r="O319" s="24"/>
      <c r="P319" s="24"/>
      <c r="Q319" s="4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43"/>
      <c r="O320" s="24"/>
      <c r="P320" s="24"/>
      <c r="Q320" s="4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43"/>
      <c r="O321" s="24"/>
      <c r="P321" s="24"/>
      <c r="Q321" s="4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43"/>
      <c r="O322" s="24"/>
      <c r="P322" s="24"/>
      <c r="Q322" s="4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43"/>
      <c r="O323" s="24"/>
      <c r="P323" s="24"/>
      <c r="Q323" s="4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43"/>
      <c r="O324" s="24"/>
      <c r="P324" s="24"/>
      <c r="Q324" s="4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43"/>
      <c r="O325" s="24"/>
      <c r="P325" s="24"/>
      <c r="Q325" s="4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43"/>
      <c r="O326" s="24"/>
      <c r="P326" s="24"/>
      <c r="Q326" s="4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43"/>
      <c r="O327" s="24"/>
      <c r="P327" s="24"/>
      <c r="Q327" s="4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43"/>
      <c r="O328" s="24"/>
      <c r="P328" s="24"/>
      <c r="Q328" s="4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43"/>
      <c r="O329" s="24"/>
      <c r="P329" s="24"/>
      <c r="Q329" s="4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43"/>
      <c r="O330" s="24"/>
      <c r="P330" s="24"/>
      <c r="Q330" s="4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43"/>
      <c r="O331" s="24"/>
      <c r="P331" s="24"/>
      <c r="Q331" s="4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43"/>
      <c r="O332" s="24"/>
      <c r="P332" s="24"/>
      <c r="Q332" s="4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43"/>
      <c r="O333" s="24"/>
      <c r="P333" s="24"/>
      <c r="Q333" s="4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43"/>
      <c r="O334" s="24"/>
      <c r="P334" s="24"/>
      <c r="Q334" s="4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43"/>
      <c r="O335" s="24"/>
      <c r="P335" s="24"/>
      <c r="Q335" s="4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43"/>
      <c r="O336" s="24"/>
      <c r="P336" s="24"/>
      <c r="Q336" s="4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43"/>
      <c r="O337" s="24"/>
      <c r="P337" s="24"/>
      <c r="Q337" s="4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43"/>
      <c r="O338" s="24"/>
      <c r="P338" s="24"/>
      <c r="Q338" s="4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43"/>
      <c r="O339" s="24"/>
      <c r="P339" s="24"/>
      <c r="Q339" s="4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43"/>
      <c r="O340" s="24"/>
      <c r="P340" s="24"/>
      <c r="Q340" s="4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43"/>
      <c r="O341" s="24"/>
      <c r="P341" s="24"/>
      <c r="Q341" s="4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43"/>
      <c r="O342" s="24"/>
      <c r="P342" s="24"/>
      <c r="Q342" s="4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43"/>
      <c r="O343" s="24"/>
      <c r="P343" s="24"/>
      <c r="Q343" s="4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43"/>
      <c r="O344" s="24"/>
      <c r="P344" s="24"/>
      <c r="Q344" s="4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43"/>
      <c r="O345" s="24"/>
      <c r="P345" s="24"/>
      <c r="Q345" s="4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43"/>
      <c r="O346" s="24"/>
      <c r="P346" s="24"/>
      <c r="Q346" s="4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43"/>
      <c r="O347" s="24"/>
      <c r="P347" s="24"/>
      <c r="Q347" s="4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43"/>
      <c r="O348" s="24"/>
      <c r="P348" s="24"/>
      <c r="Q348" s="4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43"/>
      <c r="O349" s="24"/>
      <c r="P349" s="24"/>
      <c r="Q349" s="4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43"/>
      <c r="O350" s="24"/>
      <c r="P350" s="24"/>
      <c r="Q350" s="4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43"/>
      <c r="O351" s="24"/>
      <c r="P351" s="24"/>
      <c r="Q351" s="4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43"/>
      <c r="O352" s="24"/>
      <c r="P352" s="24"/>
      <c r="Q352" s="4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43"/>
      <c r="O353" s="24"/>
      <c r="P353" s="24"/>
      <c r="Q353" s="4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43"/>
      <c r="O354" s="24"/>
      <c r="P354" s="24"/>
      <c r="Q354" s="4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43"/>
      <c r="O355" s="24"/>
      <c r="P355" s="24"/>
      <c r="Q355" s="4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43"/>
      <c r="O356" s="24"/>
      <c r="P356" s="24"/>
      <c r="Q356" s="4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43"/>
      <c r="O357" s="24"/>
      <c r="P357" s="24"/>
      <c r="Q357" s="4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43"/>
      <c r="O358" s="24"/>
      <c r="P358" s="24"/>
      <c r="Q358" s="4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43"/>
      <c r="O359" s="24"/>
      <c r="P359" s="24"/>
      <c r="Q359" s="4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43"/>
      <c r="O360" s="24"/>
      <c r="P360" s="24"/>
      <c r="Q360" s="4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43"/>
      <c r="O361" s="24"/>
      <c r="P361" s="24"/>
      <c r="Q361" s="4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43"/>
      <c r="O362" s="24"/>
      <c r="P362" s="24"/>
      <c r="Q362" s="4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43"/>
      <c r="O363" s="24"/>
      <c r="P363" s="24"/>
      <c r="Q363" s="4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43"/>
      <c r="O364" s="24"/>
      <c r="P364" s="24"/>
      <c r="Q364" s="4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43"/>
      <c r="O365" s="24"/>
      <c r="P365" s="24"/>
      <c r="Q365" s="4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43"/>
      <c r="O366" s="24"/>
      <c r="P366" s="24"/>
      <c r="Q366" s="4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43"/>
      <c r="O367" s="24"/>
      <c r="P367" s="24"/>
      <c r="Q367" s="4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43"/>
      <c r="O368" s="24"/>
      <c r="P368" s="24"/>
      <c r="Q368" s="4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43"/>
      <c r="O369" s="24"/>
      <c r="P369" s="24"/>
      <c r="Q369" s="4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43"/>
      <c r="O370" s="24"/>
      <c r="P370" s="24"/>
      <c r="Q370" s="4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43"/>
      <c r="O371" s="24"/>
      <c r="P371" s="24"/>
      <c r="Q371" s="4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43"/>
      <c r="O372" s="24"/>
      <c r="P372" s="24"/>
      <c r="Q372" s="4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43"/>
      <c r="O373" s="24"/>
      <c r="P373" s="24"/>
      <c r="Q373" s="4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43"/>
      <c r="O374" s="24"/>
      <c r="P374" s="24"/>
      <c r="Q374" s="4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43"/>
      <c r="O375" s="24"/>
      <c r="P375" s="24"/>
      <c r="Q375" s="4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43"/>
      <c r="O376" s="24"/>
      <c r="P376" s="24"/>
      <c r="Q376" s="4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43"/>
      <c r="O377" s="24"/>
      <c r="P377" s="24"/>
      <c r="Q377" s="4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43"/>
      <c r="O378" s="24"/>
      <c r="P378" s="24"/>
      <c r="Q378" s="4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43"/>
      <c r="O379" s="24"/>
      <c r="P379" s="24"/>
      <c r="Q379" s="4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43"/>
      <c r="O380" s="24"/>
      <c r="P380" s="24"/>
      <c r="Q380" s="4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43"/>
      <c r="O381" s="24"/>
      <c r="P381" s="24"/>
      <c r="Q381" s="4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43"/>
      <c r="O382" s="24"/>
      <c r="P382" s="24"/>
      <c r="Q382" s="4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43"/>
      <c r="O383" s="24"/>
      <c r="P383" s="24"/>
      <c r="Q383" s="4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43"/>
      <c r="O384" s="24"/>
      <c r="P384" s="24"/>
      <c r="Q384" s="4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43"/>
      <c r="O385" s="24"/>
      <c r="P385" s="24"/>
      <c r="Q385" s="4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43"/>
      <c r="O386" s="24"/>
      <c r="P386" s="24"/>
      <c r="Q386" s="4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43"/>
      <c r="O387" s="24"/>
      <c r="P387" s="24"/>
      <c r="Q387" s="4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43"/>
      <c r="O388" s="24"/>
      <c r="P388" s="24"/>
      <c r="Q388" s="4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43"/>
      <c r="O389" s="24"/>
      <c r="P389" s="24"/>
      <c r="Q389" s="4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43"/>
      <c r="O390" s="24"/>
      <c r="P390" s="24"/>
      <c r="Q390" s="4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43"/>
      <c r="O391" s="24"/>
      <c r="P391" s="24"/>
      <c r="Q391" s="4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43"/>
      <c r="O392" s="24"/>
      <c r="P392" s="24"/>
      <c r="Q392" s="4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43"/>
      <c r="O393" s="24"/>
      <c r="P393" s="24"/>
      <c r="Q393" s="4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43"/>
      <c r="O394" s="24"/>
      <c r="P394" s="24"/>
      <c r="Q394" s="4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43"/>
      <c r="O395" s="24"/>
      <c r="P395" s="24"/>
      <c r="Q395" s="4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43"/>
      <c r="O396" s="24"/>
      <c r="P396" s="24"/>
      <c r="Q396" s="4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43"/>
      <c r="O397" s="24"/>
      <c r="P397" s="24"/>
      <c r="Q397" s="4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43"/>
      <c r="O398" s="24"/>
      <c r="P398" s="24"/>
      <c r="Q398" s="4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43"/>
      <c r="O399" s="24"/>
      <c r="P399" s="24"/>
      <c r="Q399" s="4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43"/>
      <c r="O400" s="24"/>
      <c r="P400" s="24"/>
      <c r="Q400" s="4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43"/>
      <c r="O401" s="24"/>
      <c r="P401" s="24"/>
      <c r="Q401" s="4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43"/>
      <c r="O402" s="24"/>
      <c r="P402" s="24"/>
      <c r="Q402" s="4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43"/>
      <c r="O403" s="24"/>
      <c r="P403" s="24"/>
      <c r="Q403" s="4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43"/>
      <c r="O404" s="24"/>
      <c r="P404" s="24"/>
      <c r="Q404" s="4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43"/>
      <c r="O405" s="24"/>
      <c r="P405" s="24"/>
      <c r="Q405" s="4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43"/>
      <c r="O406" s="24"/>
      <c r="P406" s="24"/>
      <c r="Q406" s="4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43"/>
      <c r="O407" s="24"/>
      <c r="P407" s="24"/>
      <c r="Q407" s="4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43"/>
      <c r="O408" s="24"/>
      <c r="P408" s="24"/>
      <c r="Q408" s="4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43"/>
      <c r="O409" s="24"/>
      <c r="P409" s="24"/>
      <c r="Q409" s="4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43"/>
      <c r="O410" s="24"/>
      <c r="P410" s="24"/>
      <c r="Q410" s="4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43"/>
      <c r="O411" s="24"/>
      <c r="P411" s="24"/>
      <c r="Q411" s="4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43"/>
      <c r="O412" s="24"/>
      <c r="P412" s="24"/>
      <c r="Q412" s="4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43"/>
      <c r="O413" s="24"/>
      <c r="P413" s="24"/>
      <c r="Q413" s="4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43"/>
      <c r="O414" s="24"/>
      <c r="P414" s="24"/>
      <c r="Q414" s="4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43"/>
      <c r="O415" s="24"/>
      <c r="P415" s="24"/>
      <c r="Q415" s="4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43"/>
      <c r="O416" s="24"/>
      <c r="P416" s="24"/>
      <c r="Q416" s="4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43"/>
      <c r="O417" s="24"/>
      <c r="P417" s="24"/>
      <c r="Q417" s="4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43"/>
      <c r="O418" s="24"/>
      <c r="P418" s="24"/>
      <c r="Q418" s="4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43"/>
      <c r="O419" s="24"/>
      <c r="P419" s="24"/>
      <c r="Q419" s="4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43"/>
      <c r="O420" s="24"/>
      <c r="P420" s="24"/>
      <c r="Q420" s="4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43"/>
      <c r="O421" s="24"/>
      <c r="P421" s="24"/>
      <c r="Q421" s="4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43"/>
      <c r="O422" s="24"/>
      <c r="P422" s="24"/>
      <c r="Q422" s="4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43"/>
      <c r="O423" s="24"/>
      <c r="P423" s="24"/>
      <c r="Q423" s="4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43"/>
      <c r="O424" s="24"/>
      <c r="P424" s="24"/>
      <c r="Q424" s="4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43"/>
      <c r="O425" s="24"/>
      <c r="P425" s="24"/>
      <c r="Q425" s="4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43"/>
      <c r="O426" s="24"/>
      <c r="P426" s="24"/>
      <c r="Q426" s="4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43"/>
      <c r="O427" s="24"/>
      <c r="P427" s="24"/>
      <c r="Q427" s="4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43"/>
      <c r="O428" s="24"/>
      <c r="P428" s="24"/>
      <c r="Q428" s="4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43"/>
      <c r="O429" s="24"/>
      <c r="P429" s="24"/>
      <c r="Q429" s="4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43"/>
      <c r="O430" s="24"/>
      <c r="P430" s="24"/>
      <c r="Q430" s="4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43"/>
      <c r="O431" s="24"/>
      <c r="P431" s="24"/>
      <c r="Q431" s="4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43"/>
      <c r="O432" s="24"/>
      <c r="P432" s="24"/>
      <c r="Q432" s="4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43"/>
      <c r="O433" s="24"/>
      <c r="P433" s="24"/>
      <c r="Q433" s="4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43"/>
      <c r="O434" s="24"/>
      <c r="P434" s="24"/>
      <c r="Q434" s="4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43"/>
      <c r="O435" s="24"/>
      <c r="P435" s="24"/>
      <c r="Q435" s="4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43"/>
      <c r="O436" s="24"/>
      <c r="P436" s="24"/>
      <c r="Q436" s="4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43"/>
      <c r="O437" s="24"/>
      <c r="P437" s="24"/>
      <c r="Q437" s="4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43"/>
      <c r="O438" s="24"/>
      <c r="P438" s="24"/>
      <c r="Q438" s="4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43"/>
      <c r="O439" s="24"/>
      <c r="P439" s="24"/>
      <c r="Q439" s="4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43"/>
      <c r="O440" s="24"/>
      <c r="P440" s="24"/>
      <c r="Q440" s="4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43"/>
      <c r="O441" s="24"/>
      <c r="P441" s="24"/>
      <c r="Q441" s="4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43"/>
      <c r="O442" s="24"/>
      <c r="P442" s="24"/>
      <c r="Q442" s="4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43"/>
      <c r="O443" s="24"/>
      <c r="P443" s="24"/>
      <c r="Q443" s="4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43"/>
      <c r="O444" s="24"/>
      <c r="P444" s="24"/>
      <c r="Q444" s="4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43"/>
      <c r="O445" s="24"/>
      <c r="P445" s="24"/>
      <c r="Q445" s="4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43"/>
      <c r="O446" s="24"/>
      <c r="P446" s="24"/>
      <c r="Q446" s="4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43"/>
      <c r="O447" s="24"/>
      <c r="P447" s="24"/>
      <c r="Q447" s="4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43"/>
      <c r="O448" s="24"/>
      <c r="P448" s="24"/>
      <c r="Q448" s="4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43"/>
      <c r="O449" s="24"/>
      <c r="P449" s="24"/>
      <c r="Q449" s="4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43"/>
      <c r="O450" s="24"/>
      <c r="P450" s="24"/>
      <c r="Q450" s="4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43"/>
      <c r="O451" s="24"/>
      <c r="P451" s="24"/>
      <c r="Q451" s="4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43"/>
      <c r="O452" s="24"/>
      <c r="P452" s="24"/>
      <c r="Q452" s="4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43"/>
      <c r="O453" s="24"/>
      <c r="P453" s="24"/>
      <c r="Q453" s="4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43"/>
      <c r="O454" s="24"/>
      <c r="P454" s="24"/>
      <c r="Q454" s="4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43"/>
      <c r="O455" s="24"/>
      <c r="P455" s="24"/>
      <c r="Q455" s="4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43"/>
      <c r="O456" s="24"/>
      <c r="P456" s="24"/>
      <c r="Q456" s="4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43"/>
      <c r="O457" s="24"/>
      <c r="P457" s="24"/>
      <c r="Q457" s="4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43"/>
      <c r="O458" s="24"/>
      <c r="P458" s="24"/>
      <c r="Q458" s="4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43"/>
      <c r="O459" s="24"/>
      <c r="P459" s="24"/>
      <c r="Q459" s="4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43"/>
      <c r="O460" s="24"/>
      <c r="P460" s="24"/>
      <c r="Q460" s="4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43"/>
      <c r="O461" s="24"/>
      <c r="P461" s="24"/>
      <c r="Q461" s="4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43"/>
      <c r="O462" s="24"/>
      <c r="P462" s="24"/>
      <c r="Q462" s="4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43"/>
      <c r="O463" s="24"/>
      <c r="P463" s="24"/>
      <c r="Q463" s="4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43"/>
      <c r="O464" s="24"/>
      <c r="P464" s="24"/>
      <c r="Q464" s="4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43"/>
      <c r="O465" s="24"/>
      <c r="P465" s="24"/>
      <c r="Q465" s="4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43"/>
      <c r="O466" s="24"/>
      <c r="P466" s="24"/>
      <c r="Q466" s="4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43"/>
      <c r="O467" s="24"/>
      <c r="P467" s="24"/>
      <c r="Q467" s="4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43"/>
      <c r="O468" s="24"/>
      <c r="P468" s="24"/>
      <c r="Q468" s="4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43"/>
      <c r="O469" s="24"/>
      <c r="P469" s="24"/>
      <c r="Q469" s="4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43"/>
      <c r="O470" s="24"/>
      <c r="P470" s="24"/>
      <c r="Q470" s="4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43"/>
      <c r="O471" s="24"/>
      <c r="P471" s="24"/>
      <c r="Q471" s="4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43"/>
      <c r="O472" s="24"/>
      <c r="P472" s="24"/>
      <c r="Q472" s="4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43"/>
      <c r="O473" s="24"/>
      <c r="P473" s="24"/>
      <c r="Q473" s="4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43"/>
      <c r="O474" s="24"/>
      <c r="P474" s="24"/>
      <c r="Q474" s="4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43"/>
      <c r="O475" s="24"/>
      <c r="P475" s="24"/>
      <c r="Q475" s="4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43"/>
      <c r="O476" s="24"/>
      <c r="P476" s="24"/>
      <c r="Q476" s="4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43"/>
      <c r="O477" s="24"/>
      <c r="P477" s="24"/>
      <c r="Q477" s="4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43"/>
      <c r="O478" s="24"/>
      <c r="P478" s="24"/>
      <c r="Q478" s="4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43"/>
      <c r="O479" s="24"/>
      <c r="P479" s="24"/>
      <c r="Q479" s="4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43"/>
      <c r="O480" s="24"/>
      <c r="P480" s="24"/>
      <c r="Q480" s="4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43"/>
      <c r="O481" s="24"/>
      <c r="P481" s="24"/>
      <c r="Q481" s="4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43"/>
      <c r="O482" s="24"/>
      <c r="P482" s="24"/>
      <c r="Q482" s="4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43"/>
      <c r="O483" s="24"/>
      <c r="P483" s="24"/>
      <c r="Q483" s="4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43"/>
      <c r="O484" s="24"/>
      <c r="P484" s="24"/>
      <c r="Q484" s="4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43"/>
      <c r="O485" s="24"/>
      <c r="P485" s="24"/>
      <c r="Q485" s="4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43"/>
      <c r="O486" s="24"/>
      <c r="P486" s="24"/>
      <c r="Q486" s="4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43"/>
      <c r="O487" s="24"/>
      <c r="P487" s="24"/>
      <c r="Q487" s="4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43"/>
      <c r="O488" s="24"/>
      <c r="P488" s="24"/>
      <c r="Q488" s="4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43"/>
      <c r="O489" s="24"/>
      <c r="P489" s="24"/>
      <c r="Q489" s="4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43"/>
      <c r="O490" s="24"/>
      <c r="P490" s="24"/>
      <c r="Q490" s="4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43"/>
      <c r="O491" s="24"/>
      <c r="P491" s="24"/>
      <c r="Q491" s="4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43"/>
      <c r="O492" s="24"/>
      <c r="P492" s="24"/>
      <c r="Q492" s="4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43"/>
      <c r="O493" s="24"/>
      <c r="P493" s="24"/>
      <c r="Q493" s="4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43"/>
      <c r="O494" s="24"/>
      <c r="P494" s="24"/>
      <c r="Q494" s="4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43"/>
      <c r="O495" s="24"/>
      <c r="P495" s="24"/>
      <c r="Q495" s="4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43"/>
      <c r="O496" s="24"/>
      <c r="P496" s="24"/>
      <c r="Q496" s="4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43"/>
      <c r="O497" s="24"/>
      <c r="P497" s="24"/>
      <c r="Q497" s="4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43"/>
      <c r="O498" s="24"/>
      <c r="P498" s="24"/>
      <c r="Q498" s="4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43"/>
      <c r="O499" s="24"/>
      <c r="P499" s="24"/>
      <c r="Q499" s="4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43"/>
      <c r="O500" s="24"/>
      <c r="P500" s="24"/>
      <c r="Q500" s="4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43"/>
      <c r="O501" s="24"/>
      <c r="P501" s="24"/>
      <c r="Q501" s="4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43"/>
      <c r="O502" s="24"/>
      <c r="P502" s="24"/>
      <c r="Q502" s="4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43"/>
      <c r="O503" s="24"/>
      <c r="P503" s="24"/>
      <c r="Q503" s="4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43"/>
      <c r="O504" s="24"/>
      <c r="P504" s="24"/>
      <c r="Q504" s="4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43"/>
      <c r="O505" s="24"/>
      <c r="P505" s="24"/>
      <c r="Q505" s="4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43"/>
      <c r="O506" s="24"/>
      <c r="P506" s="24"/>
      <c r="Q506" s="4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43"/>
      <c r="O507" s="24"/>
      <c r="P507" s="24"/>
      <c r="Q507" s="4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43"/>
      <c r="O508" s="24"/>
      <c r="P508" s="24"/>
      <c r="Q508" s="4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43"/>
      <c r="O509" s="24"/>
      <c r="P509" s="24"/>
      <c r="Q509" s="4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43"/>
      <c r="O510" s="24"/>
      <c r="P510" s="24"/>
      <c r="Q510" s="4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43"/>
      <c r="O511" s="24"/>
      <c r="P511" s="24"/>
      <c r="Q511" s="4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43"/>
      <c r="O512" s="24"/>
      <c r="P512" s="24"/>
      <c r="Q512" s="4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43"/>
      <c r="O513" s="24"/>
      <c r="P513" s="24"/>
      <c r="Q513" s="4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43"/>
      <c r="O514" s="24"/>
      <c r="P514" s="24"/>
      <c r="Q514" s="4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43"/>
      <c r="O515" s="24"/>
      <c r="P515" s="24"/>
      <c r="Q515" s="4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43"/>
      <c r="O516" s="24"/>
      <c r="P516" s="24"/>
      <c r="Q516" s="4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43"/>
      <c r="O517" s="24"/>
      <c r="P517" s="24"/>
      <c r="Q517" s="4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43"/>
      <c r="O518" s="24"/>
      <c r="P518" s="24"/>
      <c r="Q518" s="4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43"/>
      <c r="O519" s="24"/>
      <c r="P519" s="24"/>
      <c r="Q519" s="4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43"/>
      <c r="O520" s="24"/>
      <c r="P520" s="24"/>
      <c r="Q520" s="4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43"/>
      <c r="O521" s="24"/>
      <c r="P521" s="24"/>
      <c r="Q521" s="4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43"/>
      <c r="O522" s="24"/>
      <c r="P522" s="24"/>
      <c r="Q522" s="4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43"/>
      <c r="O523" s="24"/>
      <c r="P523" s="24"/>
      <c r="Q523" s="4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43"/>
      <c r="O524" s="24"/>
      <c r="P524" s="24"/>
      <c r="Q524" s="4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43"/>
      <c r="O525" s="24"/>
      <c r="P525" s="24"/>
      <c r="Q525" s="4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43"/>
      <c r="O526" s="24"/>
      <c r="P526" s="24"/>
      <c r="Q526" s="4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43"/>
      <c r="O527" s="24"/>
      <c r="P527" s="24"/>
      <c r="Q527" s="4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43"/>
      <c r="O528" s="24"/>
      <c r="P528" s="24"/>
      <c r="Q528" s="4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43"/>
      <c r="O529" s="24"/>
      <c r="P529" s="24"/>
      <c r="Q529" s="4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43"/>
      <c r="O530" s="24"/>
      <c r="P530" s="24"/>
      <c r="Q530" s="4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43"/>
      <c r="O531" s="24"/>
      <c r="P531" s="24"/>
      <c r="Q531" s="4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43"/>
      <c r="O532" s="24"/>
      <c r="P532" s="24"/>
      <c r="Q532" s="4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43"/>
      <c r="O533" s="24"/>
      <c r="P533" s="24"/>
      <c r="Q533" s="4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43"/>
      <c r="O534" s="24"/>
      <c r="P534" s="24"/>
      <c r="Q534" s="4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43"/>
      <c r="O535" s="24"/>
      <c r="P535" s="24"/>
      <c r="Q535" s="4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43"/>
      <c r="O536" s="24"/>
      <c r="P536" s="24"/>
      <c r="Q536" s="4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43"/>
      <c r="O537" s="24"/>
      <c r="P537" s="24"/>
      <c r="Q537" s="4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43"/>
      <c r="O538" s="24"/>
      <c r="P538" s="24"/>
      <c r="Q538" s="4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43"/>
      <c r="O539" s="24"/>
      <c r="P539" s="24"/>
      <c r="Q539" s="4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43"/>
      <c r="O540" s="24"/>
      <c r="P540" s="24"/>
      <c r="Q540" s="4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43"/>
      <c r="O541" s="24"/>
      <c r="P541" s="24"/>
      <c r="Q541" s="4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43"/>
      <c r="O542" s="24"/>
      <c r="P542" s="24"/>
      <c r="Q542" s="4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43"/>
      <c r="O543" s="24"/>
      <c r="P543" s="24"/>
      <c r="Q543" s="4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43"/>
      <c r="O544" s="24"/>
      <c r="P544" s="24"/>
      <c r="Q544" s="4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43"/>
      <c r="O545" s="24"/>
      <c r="P545" s="24"/>
      <c r="Q545" s="4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43"/>
      <c r="O546" s="24"/>
      <c r="P546" s="24"/>
      <c r="Q546" s="4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43"/>
      <c r="O547" s="24"/>
      <c r="P547" s="24"/>
      <c r="Q547" s="4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43"/>
      <c r="O548" s="24"/>
      <c r="P548" s="24"/>
      <c r="Q548" s="4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43"/>
      <c r="O549" s="24"/>
      <c r="P549" s="24"/>
      <c r="Q549" s="4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43"/>
      <c r="O550" s="24"/>
      <c r="P550" s="24"/>
      <c r="Q550" s="4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43"/>
      <c r="O551" s="24"/>
      <c r="P551" s="24"/>
      <c r="Q551" s="4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43"/>
      <c r="O552" s="24"/>
      <c r="P552" s="24"/>
      <c r="Q552" s="4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43"/>
      <c r="O553" s="24"/>
      <c r="P553" s="24"/>
      <c r="Q553" s="4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43"/>
      <c r="O554" s="24"/>
      <c r="P554" s="24"/>
      <c r="Q554" s="4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43"/>
      <c r="O555" s="24"/>
      <c r="P555" s="24"/>
      <c r="Q555" s="4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43"/>
      <c r="O556" s="24"/>
      <c r="P556" s="24"/>
      <c r="Q556" s="4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43"/>
      <c r="O557" s="24"/>
      <c r="P557" s="24"/>
      <c r="Q557" s="4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43"/>
      <c r="O558" s="24"/>
      <c r="P558" s="24"/>
      <c r="Q558" s="4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43"/>
      <c r="O559" s="24"/>
      <c r="P559" s="24"/>
      <c r="Q559" s="4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43"/>
      <c r="O560" s="24"/>
      <c r="P560" s="24"/>
      <c r="Q560" s="4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43"/>
      <c r="O561" s="24"/>
      <c r="P561" s="24"/>
      <c r="Q561" s="4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43"/>
      <c r="O562" s="24"/>
      <c r="P562" s="24"/>
      <c r="Q562" s="4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43"/>
      <c r="O563" s="24"/>
      <c r="P563" s="24"/>
      <c r="Q563" s="4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43"/>
      <c r="O564" s="24"/>
      <c r="P564" s="24"/>
      <c r="Q564" s="4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43"/>
      <c r="O565" s="24"/>
      <c r="P565" s="24"/>
      <c r="Q565" s="4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43"/>
      <c r="O566" s="24"/>
      <c r="P566" s="24"/>
      <c r="Q566" s="4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43"/>
      <c r="O567" s="24"/>
      <c r="P567" s="24"/>
      <c r="Q567" s="4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43"/>
      <c r="O568" s="24"/>
      <c r="P568" s="24"/>
      <c r="Q568" s="4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43"/>
      <c r="O569" s="24"/>
      <c r="P569" s="24"/>
      <c r="Q569" s="4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43"/>
      <c r="O570" s="24"/>
      <c r="P570" s="24"/>
      <c r="Q570" s="4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43"/>
      <c r="O571" s="24"/>
      <c r="P571" s="24"/>
      <c r="Q571" s="4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43"/>
      <c r="O572" s="24"/>
      <c r="P572" s="24"/>
      <c r="Q572" s="4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43"/>
      <c r="O573" s="24"/>
      <c r="P573" s="24"/>
      <c r="Q573" s="4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43"/>
      <c r="O574" s="24"/>
      <c r="P574" s="24"/>
      <c r="Q574" s="4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43"/>
      <c r="O575" s="24"/>
      <c r="P575" s="24"/>
      <c r="Q575" s="4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43"/>
      <c r="O576" s="24"/>
      <c r="P576" s="24"/>
      <c r="Q576" s="4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43"/>
      <c r="O577" s="24"/>
      <c r="P577" s="24"/>
      <c r="Q577" s="4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43"/>
      <c r="O578" s="24"/>
      <c r="P578" s="24"/>
      <c r="Q578" s="4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43"/>
      <c r="O579" s="24"/>
      <c r="P579" s="24"/>
      <c r="Q579" s="4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43"/>
      <c r="O580" s="24"/>
      <c r="P580" s="24"/>
      <c r="Q580" s="4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43"/>
      <c r="O581" s="24"/>
      <c r="P581" s="24"/>
      <c r="Q581" s="4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43"/>
      <c r="O582" s="24"/>
      <c r="P582" s="24"/>
      <c r="Q582" s="4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43"/>
      <c r="O583" s="24"/>
      <c r="P583" s="24"/>
      <c r="Q583" s="4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43"/>
      <c r="O584" s="24"/>
      <c r="P584" s="24"/>
      <c r="Q584" s="4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43"/>
      <c r="O585" s="24"/>
      <c r="P585" s="24"/>
      <c r="Q585" s="4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43"/>
      <c r="O586" s="24"/>
      <c r="P586" s="24"/>
      <c r="Q586" s="4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43"/>
      <c r="O587" s="24"/>
      <c r="P587" s="24"/>
      <c r="Q587" s="4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43"/>
      <c r="O588" s="24"/>
      <c r="P588" s="24"/>
      <c r="Q588" s="4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43"/>
      <c r="O589" s="24"/>
      <c r="P589" s="24"/>
      <c r="Q589" s="4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43"/>
      <c r="O590" s="24"/>
      <c r="P590" s="24"/>
      <c r="Q590" s="4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43"/>
      <c r="O591" s="24"/>
      <c r="P591" s="24"/>
      <c r="Q591" s="4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43"/>
      <c r="O592" s="24"/>
      <c r="P592" s="24"/>
      <c r="Q592" s="4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43"/>
      <c r="O593" s="24"/>
      <c r="P593" s="24"/>
      <c r="Q593" s="4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43"/>
      <c r="O594" s="24"/>
      <c r="P594" s="24"/>
      <c r="Q594" s="4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43"/>
      <c r="O595" s="24"/>
      <c r="P595" s="24"/>
      <c r="Q595" s="4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43"/>
      <c r="O596" s="24"/>
      <c r="P596" s="24"/>
      <c r="Q596" s="4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43"/>
      <c r="O597" s="24"/>
      <c r="P597" s="24"/>
      <c r="Q597" s="4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43"/>
      <c r="O598" s="24"/>
      <c r="P598" s="24"/>
      <c r="Q598" s="4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43"/>
      <c r="O599" s="24"/>
      <c r="P599" s="24"/>
      <c r="Q599" s="4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43"/>
      <c r="O600" s="24"/>
      <c r="P600" s="24"/>
      <c r="Q600" s="4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43"/>
      <c r="O601" s="24"/>
      <c r="P601" s="24"/>
      <c r="Q601" s="4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43"/>
      <c r="O602" s="24"/>
      <c r="P602" s="24"/>
      <c r="Q602" s="4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43"/>
      <c r="O603" s="24"/>
      <c r="P603" s="24"/>
      <c r="Q603" s="4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43"/>
      <c r="O604" s="24"/>
      <c r="P604" s="24"/>
      <c r="Q604" s="4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43"/>
      <c r="O605" s="24"/>
      <c r="P605" s="24"/>
      <c r="Q605" s="4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43"/>
      <c r="O606" s="24"/>
      <c r="P606" s="24"/>
      <c r="Q606" s="4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43"/>
      <c r="O607" s="24"/>
      <c r="P607" s="24"/>
      <c r="Q607" s="4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43"/>
      <c r="O608" s="24"/>
      <c r="P608" s="24"/>
      <c r="Q608" s="4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43"/>
      <c r="O609" s="24"/>
      <c r="P609" s="24"/>
      <c r="Q609" s="4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43"/>
      <c r="O610" s="24"/>
      <c r="P610" s="24"/>
      <c r="Q610" s="4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43"/>
      <c r="O611" s="24"/>
      <c r="P611" s="24"/>
      <c r="Q611" s="4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43"/>
      <c r="O612" s="24"/>
      <c r="P612" s="24"/>
      <c r="Q612" s="4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43"/>
      <c r="O613" s="24"/>
      <c r="P613" s="24"/>
      <c r="Q613" s="4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43"/>
      <c r="O614" s="24"/>
      <c r="P614" s="24"/>
      <c r="Q614" s="4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43"/>
      <c r="O615" s="24"/>
      <c r="P615" s="24"/>
      <c r="Q615" s="4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43"/>
      <c r="O616" s="24"/>
      <c r="P616" s="24"/>
      <c r="Q616" s="4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43"/>
      <c r="O617" s="24"/>
      <c r="P617" s="24"/>
      <c r="Q617" s="4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43"/>
      <c r="O618" s="24"/>
      <c r="P618" s="24"/>
      <c r="Q618" s="4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43"/>
      <c r="O619" s="24"/>
      <c r="P619" s="24"/>
      <c r="Q619" s="4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43"/>
      <c r="O620" s="24"/>
      <c r="P620" s="24"/>
      <c r="Q620" s="4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43"/>
      <c r="O621" s="24"/>
      <c r="P621" s="24"/>
      <c r="Q621" s="4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43"/>
      <c r="O622" s="24"/>
      <c r="P622" s="24"/>
      <c r="Q622" s="4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43"/>
      <c r="O623" s="24"/>
      <c r="P623" s="24"/>
      <c r="Q623" s="4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43"/>
      <c r="O624" s="24"/>
      <c r="P624" s="24"/>
      <c r="Q624" s="4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43"/>
      <c r="O625" s="24"/>
      <c r="P625" s="24"/>
      <c r="Q625" s="4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43"/>
      <c r="O626" s="24"/>
      <c r="P626" s="24"/>
      <c r="Q626" s="4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43"/>
      <c r="O627" s="24"/>
      <c r="P627" s="24"/>
      <c r="Q627" s="4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43"/>
      <c r="O628" s="24"/>
      <c r="P628" s="24"/>
      <c r="Q628" s="4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43"/>
      <c r="O629" s="24"/>
      <c r="P629" s="24"/>
      <c r="Q629" s="4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43"/>
      <c r="O630" s="24"/>
      <c r="P630" s="24"/>
      <c r="Q630" s="4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43"/>
      <c r="O631" s="24"/>
      <c r="P631" s="24"/>
      <c r="Q631" s="4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43"/>
      <c r="O632" s="24"/>
      <c r="P632" s="24"/>
      <c r="Q632" s="4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43"/>
      <c r="O633" s="24"/>
      <c r="P633" s="24"/>
      <c r="Q633" s="4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43"/>
      <c r="O634" s="24"/>
      <c r="P634" s="24"/>
      <c r="Q634" s="4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43"/>
      <c r="O635" s="24"/>
      <c r="P635" s="24"/>
      <c r="Q635" s="4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43"/>
      <c r="O636" s="24"/>
      <c r="P636" s="24"/>
      <c r="Q636" s="4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43"/>
      <c r="O637" s="24"/>
      <c r="P637" s="24"/>
      <c r="Q637" s="4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43"/>
      <c r="O638" s="24"/>
      <c r="P638" s="24"/>
      <c r="Q638" s="4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43"/>
      <c r="O639" s="24"/>
      <c r="P639" s="24"/>
      <c r="Q639" s="4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43"/>
      <c r="O640" s="24"/>
      <c r="P640" s="24"/>
      <c r="Q640" s="4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43"/>
      <c r="O641" s="24"/>
      <c r="P641" s="24"/>
      <c r="Q641" s="4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43"/>
      <c r="O642" s="24"/>
      <c r="P642" s="24"/>
      <c r="Q642" s="4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43"/>
      <c r="O643" s="24"/>
      <c r="P643" s="24"/>
      <c r="Q643" s="4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43"/>
      <c r="O644" s="24"/>
      <c r="P644" s="24"/>
      <c r="Q644" s="4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43"/>
      <c r="O645" s="24"/>
      <c r="P645" s="24"/>
      <c r="Q645" s="4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43"/>
      <c r="O646" s="24"/>
      <c r="P646" s="24"/>
      <c r="Q646" s="4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43"/>
      <c r="O647" s="24"/>
      <c r="P647" s="24"/>
      <c r="Q647" s="4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43"/>
      <c r="O648" s="24"/>
      <c r="P648" s="24"/>
      <c r="Q648" s="4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43"/>
      <c r="O649" s="24"/>
      <c r="P649" s="24"/>
      <c r="Q649" s="4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43"/>
      <c r="O650" s="24"/>
      <c r="P650" s="24"/>
      <c r="Q650" s="4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43"/>
      <c r="O651" s="24"/>
      <c r="P651" s="24"/>
      <c r="Q651" s="4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43"/>
      <c r="O652" s="24"/>
      <c r="P652" s="24"/>
      <c r="Q652" s="4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43"/>
      <c r="O653" s="24"/>
      <c r="P653" s="24"/>
      <c r="Q653" s="4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43"/>
      <c r="O654" s="24"/>
      <c r="P654" s="24"/>
      <c r="Q654" s="4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43"/>
      <c r="O655" s="24"/>
      <c r="P655" s="24"/>
      <c r="Q655" s="4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43"/>
      <c r="O656" s="24"/>
      <c r="P656" s="24"/>
      <c r="Q656" s="4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43"/>
      <c r="O657" s="24"/>
      <c r="P657" s="24"/>
      <c r="Q657" s="4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43"/>
      <c r="O658" s="24"/>
      <c r="P658" s="24"/>
      <c r="Q658" s="4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43"/>
      <c r="O659" s="24"/>
      <c r="P659" s="24"/>
      <c r="Q659" s="4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43"/>
      <c r="O660" s="24"/>
      <c r="P660" s="24"/>
      <c r="Q660" s="4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43"/>
      <c r="O661" s="24"/>
      <c r="P661" s="24"/>
      <c r="Q661" s="4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43"/>
      <c r="O662" s="24"/>
      <c r="P662" s="24"/>
      <c r="Q662" s="4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43"/>
      <c r="O663" s="24"/>
      <c r="P663" s="24"/>
      <c r="Q663" s="4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43"/>
      <c r="O664" s="24"/>
      <c r="P664" s="24"/>
      <c r="Q664" s="4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43"/>
      <c r="O665" s="24"/>
      <c r="P665" s="24"/>
      <c r="Q665" s="4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43"/>
      <c r="O666" s="24"/>
      <c r="P666" s="24"/>
      <c r="Q666" s="4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43"/>
      <c r="O667" s="24"/>
      <c r="P667" s="24"/>
      <c r="Q667" s="4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43"/>
      <c r="O668" s="24"/>
      <c r="P668" s="24"/>
      <c r="Q668" s="4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43"/>
      <c r="O669" s="24"/>
      <c r="P669" s="24"/>
      <c r="Q669" s="4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43"/>
      <c r="O670" s="24"/>
      <c r="P670" s="24"/>
      <c r="Q670" s="4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43"/>
      <c r="O671" s="24"/>
      <c r="P671" s="24"/>
      <c r="Q671" s="4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43"/>
      <c r="O672" s="24"/>
      <c r="P672" s="24"/>
      <c r="Q672" s="4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43"/>
      <c r="O673" s="24"/>
      <c r="P673" s="24"/>
      <c r="Q673" s="4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43"/>
      <c r="O674" s="24"/>
      <c r="P674" s="24"/>
      <c r="Q674" s="4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43"/>
      <c r="O675" s="24"/>
      <c r="P675" s="24"/>
      <c r="Q675" s="4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43"/>
      <c r="O676" s="24"/>
      <c r="P676" s="24"/>
      <c r="Q676" s="4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43"/>
      <c r="O677" s="24"/>
      <c r="P677" s="24"/>
      <c r="Q677" s="4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43"/>
      <c r="O678" s="24"/>
      <c r="P678" s="24"/>
      <c r="Q678" s="4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43"/>
      <c r="O679" s="24"/>
      <c r="P679" s="24"/>
      <c r="Q679" s="4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43"/>
      <c r="O680" s="24"/>
      <c r="P680" s="24"/>
      <c r="Q680" s="4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43"/>
      <c r="O681" s="24"/>
      <c r="P681" s="24"/>
      <c r="Q681" s="4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43"/>
      <c r="O682" s="24"/>
      <c r="P682" s="24"/>
      <c r="Q682" s="4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43"/>
      <c r="O683" s="24"/>
      <c r="P683" s="24"/>
      <c r="Q683" s="4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43"/>
      <c r="O684" s="24"/>
      <c r="P684" s="24"/>
      <c r="Q684" s="4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43"/>
      <c r="O685" s="24"/>
      <c r="P685" s="24"/>
      <c r="Q685" s="4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43"/>
      <c r="O686" s="24"/>
      <c r="P686" s="24"/>
      <c r="Q686" s="4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43"/>
      <c r="O687" s="24"/>
      <c r="P687" s="24"/>
      <c r="Q687" s="4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43"/>
      <c r="O688" s="24"/>
      <c r="P688" s="24"/>
      <c r="Q688" s="4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43"/>
      <c r="O689" s="24"/>
      <c r="P689" s="24"/>
      <c r="Q689" s="4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43"/>
      <c r="O690" s="24"/>
      <c r="P690" s="24"/>
      <c r="Q690" s="4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43"/>
      <c r="O691" s="24"/>
      <c r="P691" s="24"/>
      <c r="Q691" s="4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43"/>
      <c r="O692" s="24"/>
      <c r="P692" s="24"/>
      <c r="Q692" s="4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43"/>
      <c r="O693" s="24"/>
      <c r="P693" s="24"/>
      <c r="Q693" s="4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43"/>
      <c r="O694" s="24"/>
      <c r="P694" s="24"/>
      <c r="Q694" s="4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43"/>
      <c r="O695" s="24"/>
      <c r="P695" s="24"/>
      <c r="Q695" s="4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43"/>
      <c r="O696" s="24"/>
      <c r="P696" s="24"/>
      <c r="Q696" s="4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43"/>
      <c r="O697" s="24"/>
      <c r="P697" s="24"/>
      <c r="Q697" s="4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43"/>
      <c r="O698" s="24"/>
      <c r="P698" s="24"/>
      <c r="Q698" s="4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43"/>
      <c r="O699" s="24"/>
      <c r="P699" s="24"/>
      <c r="Q699" s="4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43"/>
      <c r="O700" s="24"/>
      <c r="P700" s="24"/>
      <c r="Q700" s="4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43"/>
      <c r="O701" s="24"/>
      <c r="P701" s="24"/>
      <c r="Q701" s="4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43"/>
      <c r="O702" s="24"/>
      <c r="P702" s="24"/>
      <c r="Q702" s="4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43"/>
      <c r="O703" s="24"/>
      <c r="P703" s="24"/>
      <c r="Q703" s="4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43"/>
      <c r="O704" s="24"/>
      <c r="P704" s="24"/>
      <c r="Q704" s="4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43"/>
      <c r="O705" s="24"/>
      <c r="P705" s="24"/>
      <c r="Q705" s="4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43"/>
      <c r="O706" s="24"/>
      <c r="P706" s="24"/>
      <c r="Q706" s="4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43"/>
      <c r="O707" s="24"/>
      <c r="P707" s="24"/>
      <c r="Q707" s="4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43"/>
      <c r="O708" s="24"/>
      <c r="P708" s="24"/>
      <c r="Q708" s="4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43"/>
      <c r="O709" s="24"/>
      <c r="P709" s="24"/>
      <c r="Q709" s="4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43"/>
      <c r="O710" s="24"/>
      <c r="P710" s="24"/>
      <c r="Q710" s="4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43"/>
      <c r="O711" s="24"/>
      <c r="P711" s="24"/>
      <c r="Q711" s="4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43"/>
      <c r="O712" s="24"/>
      <c r="P712" s="24"/>
      <c r="Q712" s="4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43"/>
      <c r="O713" s="24"/>
      <c r="P713" s="24"/>
      <c r="Q713" s="4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43"/>
      <c r="O714" s="24"/>
      <c r="P714" s="24"/>
      <c r="Q714" s="4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43"/>
      <c r="O715" s="24"/>
      <c r="P715" s="24"/>
      <c r="Q715" s="4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43"/>
      <c r="O716" s="24"/>
      <c r="P716" s="24"/>
      <c r="Q716" s="4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43"/>
      <c r="O717" s="24"/>
      <c r="P717" s="24"/>
      <c r="Q717" s="4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43"/>
      <c r="O718" s="24"/>
      <c r="P718" s="24"/>
      <c r="Q718" s="4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43"/>
      <c r="O719" s="24"/>
      <c r="P719" s="24"/>
      <c r="Q719" s="4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43"/>
      <c r="O720" s="24"/>
      <c r="P720" s="24"/>
      <c r="Q720" s="4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43"/>
      <c r="O721" s="24"/>
      <c r="P721" s="24"/>
      <c r="Q721" s="4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43"/>
      <c r="O722" s="24"/>
      <c r="P722" s="24"/>
      <c r="Q722" s="4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43"/>
      <c r="O723" s="24"/>
      <c r="P723" s="24"/>
      <c r="Q723" s="4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43"/>
      <c r="O724" s="24"/>
      <c r="P724" s="24"/>
      <c r="Q724" s="4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43"/>
      <c r="O725" s="24"/>
      <c r="P725" s="24"/>
      <c r="Q725" s="4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43"/>
      <c r="O726" s="24"/>
      <c r="P726" s="24"/>
      <c r="Q726" s="4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43"/>
      <c r="O727" s="24"/>
      <c r="P727" s="24"/>
      <c r="Q727" s="4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43"/>
      <c r="O728" s="24"/>
      <c r="P728" s="24"/>
      <c r="Q728" s="4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43"/>
      <c r="O729" s="24"/>
      <c r="P729" s="24"/>
      <c r="Q729" s="4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43"/>
      <c r="O730" s="24"/>
      <c r="P730" s="24"/>
      <c r="Q730" s="4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43"/>
      <c r="O731" s="24"/>
      <c r="P731" s="24"/>
      <c r="Q731" s="4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43"/>
      <c r="O732" s="24"/>
      <c r="P732" s="24"/>
      <c r="Q732" s="4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43"/>
      <c r="O733" s="24"/>
      <c r="P733" s="24"/>
      <c r="Q733" s="4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43"/>
      <c r="O734" s="24"/>
      <c r="P734" s="24"/>
      <c r="Q734" s="4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43"/>
      <c r="O735" s="24"/>
      <c r="P735" s="24"/>
      <c r="Q735" s="4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43"/>
      <c r="O736" s="24"/>
      <c r="P736" s="24"/>
      <c r="Q736" s="4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43"/>
      <c r="O737" s="24"/>
      <c r="P737" s="24"/>
      <c r="Q737" s="4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43"/>
      <c r="O738" s="24"/>
      <c r="P738" s="24"/>
      <c r="Q738" s="4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43"/>
      <c r="O739" s="24"/>
      <c r="P739" s="24"/>
      <c r="Q739" s="4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43"/>
      <c r="O740" s="24"/>
      <c r="P740" s="24"/>
      <c r="Q740" s="4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43"/>
      <c r="O741" s="24"/>
      <c r="P741" s="24"/>
      <c r="Q741" s="4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43"/>
      <c r="O742" s="24"/>
      <c r="P742" s="24"/>
      <c r="Q742" s="4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43"/>
      <c r="O743" s="24"/>
      <c r="P743" s="24"/>
      <c r="Q743" s="4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43"/>
      <c r="O744" s="24"/>
      <c r="P744" s="24"/>
      <c r="Q744" s="4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43"/>
      <c r="O745" s="24"/>
      <c r="P745" s="24"/>
      <c r="Q745" s="4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43"/>
      <c r="O746" s="24"/>
      <c r="P746" s="24"/>
      <c r="Q746" s="4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43"/>
      <c r="O747" s="24"/>
      <c r="P747" s="24"/>
      <c r="Q747" s="4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43"/>
      <c r="O748" s="24"/>
      <c r="P748" s="24"/>
      <c r="Q748" s="4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43"/>
      <c r="O749" s="24"/>
      <c r="P749" s="24"/>
      <c r="Q749" s="4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43"/>
      <c r="O750" s="24"/>
      <c r="P750" s="24"/>
      <c r="Q750" s="4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43"/>
      <c r="O751" s="24"/>
      <c r="P751" s="24"/>
      <c r="Q751" s="4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43"/>
      <c r="O752" s="24"/>
      <c r="P752" s="24"/>
      <c r="Q752" s="4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43"/>
      <c r="O753" s="24"/>
      <c r="P753" s="24"/>
      <c r="Q753" s="4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43"/>
      <c r="O754" s="24"/>
      <c r="P754" s="24"/>
      <c r="Q754" s="4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43"/>
      <c r="O755" s="24"/>
      <c r="P755" s="24"/>
      <c r="Q755" s="4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43"/>
      <c r="O756" s="24"/>
      <c r="P756" s="24"/>
      <c r="Q756" s="4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43"/>
      <c r="O757" s="24"/>
      <c r="P757" s="24"/>
      <c r="Q757" s="4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43"/>
      <c r="O758" s="24"/>
      <c r="P758" s="24"/>
      <c r="Q758" s="4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43"/>
      <c r="O759" s="24"/>
      <c r="P759" s="24"/>
      <c r="Q759" s="4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43"/>
      <c r="O760" s="24"/>
      <c r="P760" s="24"/>
      <c r="Q760" s="4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43"/>
      <c r="O761" s="24"/>
      <c r="P761" s="24"/>
      <c r="Q761" s="4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43"/>
      <c r="O762" s="24"/>
      <c r="P762" s="24"/>
      <c r="Q762" s="4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43"/>
      <c r="O763" s="24"/>
      <c r="P763" s="24"/>
      <c r="Q763" s="4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43"/>
      <c r="O764" s="24"/>
      <c r="P764" s="24"/>
      <c r="Q764" s="4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43"/>
      <c r="O765" s="24"/>
      <c r="P765" s="24"/>
      <c r="Q765" s="4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43"/>
      <c r="O766" s="24"/>
      <c r="P766" s="24"/>
      <c r="Q766" s="4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43"/>
      <c r="O767" s="24"/>
      <c r="P767" s="24"/>
      <c r="Q767" s="4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43"/>
      <c r="O768" s="24"/>
      <c r="P768" s="24"/>
      <c r="Q768" s="4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43"/>
      <c r="O769" s="24"/>
      <c r="P769" s="24"/>
      <c r="Q769" s="4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43"/>
      <c r="O770" s="24"/>
      <c r="P770" s="24"/>
      <c r="Q770" s="4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43"/>
      <c r="O771" s="24"/>
      <c r="P771" s="24"/>
      <c r="Q771" s="4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43"/>
      <c r="O772" s="24"/>
      <c r="P772" s="24"/>
      <c r="Q772" s="4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43"/>
      <c r="O773" s="24"/>
      <c r="P773" s="24"/>
      <c r="Q773" s="4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43"/>
      <c r="O774" s="24"/>
      <c r="P774" s="24"/>
      <c r="Q774" s="4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43"/>
      <c r="O775" s="24"/>
      <c r="P775" s="24"/>
      <c r="Q775" s="4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43"/>
      <c r="O776" s="24"/>
      <c r="P776" s="24"/>
      <c r="Q776" s="4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43"/>
      <c r="O777" s="24"/>
      <c r="P777" s="24"/>
      <c r="Q777" s="4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43"/>
      <c r="O778" s="24"/>
      <c r="P778" s="24"/>
      <c r="Q778" s="4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43"/>
      <c r="O779" s="24"/>
      <c r="P779" s="24"/>
      <c r="Q779" s="4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43"/>
      <c r="O780" s="24"/>
      <c r="P780" s="24"/>
      <c r="Q780" s="4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43"/>
      <c r="O781" s="24"/>
      <c r="P781" s="24"/>
      <c r="Q781" s="4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43"/>
      <c r="O782" s="24"/>
      <c r="P782" s="24"/>
      <c r="Q782" s="4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43"/>
      <c r="O783" s="24"/>
      <c r="P783" s="24"/>
      <c r="Q783" s="4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43"/>
      <c r="O784" s="24"/>
      <c r="P784" s="24"/>
      <c r="Q784" s="4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43"/>
      <c r="O785" s="24"/>
      <c r="P785" s="24"/>
      <c r="Q785" s="4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43"/>
      <c r="O786" s="24"/>
      <c r="P786" s="24"/>
      <c r="Q786" s="4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43"/>
      <c r="O787" s="24"/>
      <c r="P787" s="24"/>
      <c r="Q787" s="4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43"/>
      <c r="O788" s="24"/>
      <c r="P788" s="24"/>
      <c r="Q788" s="4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43"/>
      <c r="O789" s="24"/>
      <c r="P789" s="24"/>
      <c r="Q789" s="4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43"/>
      <c r="O790" s="24"/>
      <c r="P790" s="24"/>
      <c r="Q790" s="4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43"/>
      <c r="O791" s="24"/>
      <c r="P791" s="24"/>
      <c r="Q791" s="4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43"/>
      <c r="O792" s="24"/>
      <c r="P792" s="24"/>
      <c r="Q792" s="4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43"/>
      <c r="O793" s="24"/>
      <c r="P793" s="24"/>
      <c r="Q793" s="4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43"/>
      <c r="O794" s="24"/>
      <c r="P794" s="24"/>
      <c r="Q794" s="4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43"/>
      <c r="O795" s="24"/>
      <c r="P795" s="24"/>
      <c r="Q795" s="4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43"/>
      <c r="O796" s="24"/>
      <c r="P796" s="24"/>
      <c r="Q796" s="4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43"/>
      <c r="O797" s="24"/>
      <c r="P797" s="24"/>
      <c r="Q797" s="4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43"/>
      <c r="O798" s="24"/>
      <c r="P798" s="24"/>
      <c r="Q798" s="4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43"/>
      <c r="O799" s="24"/>
      <c r="P799" s="24"/>
      <c r="Q799" s="4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43"/>
      <c r="O800" s="24"/>
      <c r="P800" s="24"/>
      <c r="Q800" s="4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43"/>
      <c r="O801" s="24"/>
      <c r="P801" s="24"/>
      <c r="Q801" s="4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43"/>
      <c r="O802" s="24"/>
      <c r="P802" s="24"/>
      <c r="Q802" s="4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43"/>
      <c r="O803" s="24"/>
      <c r="P803" s="24"/>
      <c r="Q803" s="4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43"/>
      <c r="O804" s="24"/>
      <c r="P804" s="24"/>
      <c r="Q804" s="4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43"/>
      <c r="O805" s="24"/>
      <c r="P805" s="24"/>
      <c r="Q805" s="4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43"/>
      <c r="O806" s="24"/>
      <c r="P806" s="24"/>
      <c r="Q806" s="4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43"/>
      <c r="O807" s="24"/>
      <c r="P807" s="24"/>
      <c r="Q807" s="4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43"/>
      <c r="O808" s="24"/>
      <c r="P808" s="24"/>
      <c r="Q808" s="4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43"/>
      <c r="O809" s="24"/>
      <c r="P809" s="24"/>
      <c r="Q809" s="4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43"/>
      <c r="O810" s="24"/>
      <c r="P810" s="24"/>
      <c r="Q810" s="4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43"/>
      <c r="O811" s="24"/>
      <c r="P811" s="24"/>
      <c r="Q811" s="4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43"/>
      <c r="O812" s="24"/>
      <c r="P812" s="24"/>
      <c r="Q812" s="4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43"/>
      <c r="O813" s="24"/>
      <c r="P813" s="24"/>
      <c r="Q813" s="4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43"/>
      <c r="O814" s="24"/>
      <c r="P814" s="24"/>
      <c r="Q814" s="4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43"/>
      <c r="O815" s="24"/>
      <c r="P815" s="24"/>
      <c r="Q815" s="4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43"/>
      <c r="O816" s="24"/>
      <c r="P816" s="24"/>
      <c r="Q816" s="4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43"/>
      <c r="O817" s="24"/>
      <c r="P817" s="24"/>
      <c r="Q817" s="4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43"/>
      <c r="O818" s="24"/>
      <c r="P818" s="24"/>
      <c r="Q818" s="4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43"/>
      <c r="O819" s="24"/>
      <c r="P819" s="24"/>
      <c r="Q819" s="4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43"/>
      <c r="O820" s="24"/>
      <c r="P820" s="24"/>
      <c r="Q820" s="4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43"/>
      <c r="O821" s="24"/>
      <c r="P821" s="24"/>
      <c r="Q821" s="4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43"/>
      <c r="O822" s="24"/>
      <c r="P822" s="24"/>
      <c r="Q822" s="4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43"/>
      <c r="O823" s="24"/>
      <c r="P823" s="24"/>
      <c r="Q823" s="4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43"/>
      <c r="O824" s="24"/>
      <c r="P824" s="24"/>
      <c r="Q824" s="4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43"/>
      <c r="O825" s="24"/>
      <c r="P825" s="24"/>
      <c r="Q825" s="4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43"/>
      <c r="O826" s="24"/>
      <c r="P826" s="24"/>
      <c r="Q826" s="4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43"/>
      <c r="O827" s="24"/>
      <c r="P827" s="24"/>
      <c r="Q827" s="4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43"/>
      <c r="O828" s="24"/>
      <c r="P828" s="24"/>
      <c r="Q828" s="4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43"/>
      <c r="O829" s="24"/>
      <c r="P829" s="24"/>
      <c r="Q829" s="4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43"/>
      <c r="O830" s="24"/>
      <c r="P830" s="24"/>
      <c r="Q830" s="4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43"/>
      <c r="O831" s="24"/>
      <c r="P831" s="24"/>
      <c r="Q831" s="4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43"/>
      <c r="O832" s="24"/>
      <c r="P832" s="24"/>
      <c r="Q832" s="4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43"/>
      <c r="O833" s="24"/>
      <c r="P833" s="24"/>
      <c r="Q833" s="4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43"/>
      <c r="O834" s="24"/>
      <c r="P834" s="24"/>
      <c r="Q834" s="4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43"/>
      <c r="O835" s="24"/>
      <c r="P835" s="24"/>
      <c r="Q835" s="4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43"/>
      <c r="O836" s="24"/>
      <c r="P836" s="24"/>
      <c r="Q836" s="4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43"/>
      <c r="O837" s="24"/>
      <c r="P837" s="24"/>
      <c r="Q837" s="4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43"/>
      <c r="O838" s="24"/>
      <c r="P838" s="24"/>
      <c r="Q838" s="4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43"/>
      <c r="O839" s="24"/>
      <c r="P839" s="24"/>
      <c r="Q839" s="4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43"/>
      <c r="O840" s="24"/>
      <c r="P840" s="24"/>
      <c r="Q840" s="4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43"/>
      <c r="O841" s="24"/>
      <c r="P841" s="24"/>
      <c r="Q841" s="4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43"/>
      <c r="O842" s="24"/>
      <c r="P842" s="24"/>
      <c r="Q842" s="4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43"/>
      <c r="O843" s="24"/>
      <c r="P843" s="24"/>
      <c r="Q843" s="4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43"/>
      <c r="O844" s="24"/>
      <c r="P844" s="24"/>
      <c r="Q844" s="4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43"/>
      <c r="O845" s="24"/>
      <c r="P845" s="24"/>
      <c r="Q845" s="4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43"/>
      <c r="O846" s="24"/>
      <c r="P846" s="24"/>
      <c r="Q846" s="4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43"/>
      <c r="O847" s="24"/>
      <c r="P847" s="24"/>
      <c r="Q847" s="4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43"/>
      <c r="O848" s="24"/>
      <c r="P848" s="24"/>
      <c r="Q848" s="4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43"/>
      <c r="O849" s="24"/>
      <c r="P849" s="24"/>
      <c r="Q849" s="4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43"/>
      <c r="O850" s="24"/>
      <c r="P850" s="24"/>
      <c r="Q850" s="4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43"/>
      <c r="O851" s="24"/>
      <c r="P851" s="24"/>
      <c r="Q851" s="4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43"/>
      <c r="O852" s="24"/>
      <c r="P852" s="24"/>
      <c r="Q852" s="4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43"/>
      <c r="O853" s="24"/>
      <c r="P853" s="24"/>
      <c r="Q853" s="4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43"/>
      <c r="O854" s="24"/>
      <c r="P854" s="24"/>
      <c r="Q854" s="4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43"/>
      <c r="O855" s="24"/>
      <c r="P855" s="24"/>
      <c r="Q855" s="4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43"/>
      <c r="O856" s="24"/>
      <c r="P856" s="24"/>
      <c r="Q856" s="4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43"/>
      <c r="O857" s="24"/>
      <c r="P857" s="24"/>
      <c r="Q857" s="4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43"/>
      <c r="O858" s="24"/>
      <c r="P858" s="24"/>
      <c r="Q858" s="4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43"/>
      <c r="O859" s="24"/>
      <c r="P859" s="24"/>
      <c r="Q859" s="4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43"/>
      <c r="O860" s="24"/>
      <c r="P860" s="24"/>
      <c r="Q860" s="4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43"/>
      <c r="O861" s="24"/>
      <c r="P861" s="24"/>
      <c r="Q861" s="4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43"/>
      <c r="O862" s="24"/>
      <c r="P862" s="24"/>
      <c r="Q862" s="4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43"/>
      <c r="O863" s="24"/>
      <c r="P863" s="24"/>
      <c r="Q863" s="4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43"/>
      <c r="O864" s="24"/>
      <c r="P864" s="24"/>
      <c r="Q864" s="4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43"/>
      <c r="O865" s="24"/>
      <c r="P865" s="24"/>
      <c r="Q865" s="4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43"/>
      <c r="O866" s="24"/>
      <c r="P866" s="24"/>
      <c r="Q866" s="4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43"/>
      <c r="O867" s="24"/>
      <c r="P867" s="24"/>
      <c r="Q867" s="4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43"/>
      <c r="O868" s="24"/>
      <c r="P868" s="24"/>
      <c r="Q868" s="4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43"/>
      <c r="O869" s="24"/>
      <c r="P869" s="24"/>
      <c r="Q869" s="4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43"/>
      <c r="O870" s="24"/>
      <c r="P870" s="24"/>
      <c r="Q870" s="4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43"/>
      <c r="O871" s="24"/>
      <c r="P871" s="24"/>
      <c r="Q871" s="4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43"/>
      <c r="O872" s="24"/>
      <c r="P872" s="24"/>
      <c r="Q872" s="4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43"/>
      <c r="O873" s="24"/>
      <c r="P873" s="24"/>
      <c r="Q873" s="4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43"/>
      <c r="O874" s="24"/>
      <c r="P874" s="24"/>
      <c r="Q874" s="4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43"/>
      <c r="O875" s="24"/>
      <c r="P875" s="24"/>
      <c r="Q875" s="4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43"/>
      <c r="O876" s="24"/>
      <c r="P876" s="24"/>
      <c r="Q876" s="4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43"/>
      <c r="O877" s="24"/>
      <c r="P877" s="24"/>
      <c r="Q877" s="4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43"/>
      <c r="O878" s="24"/>
      <c r="P878" s="24"/>
      <c r="Q878" s="4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43"/>
      <c r="O879" s="24"/>
      <c r="P879" s="24"/>
      <c r="Q879" s="4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43"/>
      <c r="O880" s="24"/>
      <c r="P880" s="24"/>
      <c r="Q880" s="4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43"/>
      <c r="O881" s="24"/>
      <c r="P881" s="24"/>
      <c r="Q881" s="4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43"/>
      <c r="O882" s="24"/>
      <c r="P882" s="24"/>
      <c r="Q882" s="4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43"/>
      <c r="O883" s="24"/>
      <c r="P883" s="24"/>
      <c r="Q883" s="4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43"/>
      <c r="O884" s="24"/>
      <c r="P884" s="24"/>
      <c r="Q884" s="4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43"/>
      <c r="O885" s="24"/>
      <c r="P885" s="24"/>
      <c r="Q885" s="4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43"/>
      <c r="O886" s="24"/>
      <c r="P886" s="24"/>
      <c r="Q886" s="4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43"/>
      <c r="O887" s="24"/>
      <c r="P887" s="24"/>
      <c r="Q887" s="4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43"/>
      <c r="O888" s="24"/>
      <c r="P888" s="24"/>
      <c r="Q888" s="4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43"/>
      <c r="O889" s="24"/>
      <c r="P889" s="24"/>
      <c r="Q889" s="4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43"/>
      <c r="O890" s="24"/>
      <c r="P890" s="24"/>
      <c r="Q890" s="4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43"/>
      <c r="O891" s="24"/>
      <c r="P891" s="24"/>
      <c r="Q891" s="4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43"/>
      <c r="O892" s="24"/>
      <c r="P892" s="24"/>
      <c r="Q892" s="4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43"/>
      <c r="O893" s="24"/>
      <c r="P893" s="24"/>
      <c r="Q893" s="4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43"/>
      <c r="O894" s="24"/>
      <c r="P894" s="24"/>
      <c r="Q894" s="4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43"/>
      <c r="O895" s="24"/>
      <c r="P895" s="24"/>
      <c r="Q895" s="4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43"/>
      <c r="O896" s="24"/>
      <c r="P896" s="24"/>
      <c r="Q896" s="4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43"/>
      <c r="O897" s="24"/>
      <c r="P897" s="24"/>
      <c r="Q897" s="4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43"/>
      <c r="O898" s="24"/>
      <c r="P898" s="24"/>
      <c r="Q898" s="4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43"/>
      <c r="O899" s="24"/>
      <c r="P899" s="24"/>
      <c r="Q899" s="4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43"/>
      <c r="O900" s="24"/>
      <c r="P900" s="24"/>
      <c r="Q900" s="4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43"/>
      <c r="O901" s="24"/>
      <c r="P901" s="24"/>
      <c r="Q901" s="4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43"/>
      <c r="O902" s="24"/>
      <c r="P902" s="24"/>
      <c r="Q902" s="4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43"/>
      <c r="O903" s="24"/>
      <c r="P903" s="24"/>
      <c r="Q903" s="4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43"/>
      <c r="O904" s="24"/>
      <c r="P904" s="24"/>
      <c r="Q904" s="4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43"/>
      <c r="O905" s="24"/>
      <c r="P905" s="24"/>
      <c r="Q905" s="4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43"/>
      <c r="O906" s="24"/>
      <c r="P906" s="24"/>
      <c r="Q906" s="4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43"/>
      <c r="O907" s="24"/>
      <c r="P907" s="24"/>
      <c r="Q907" s="4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43"/>
      <c r="O908" s="24"/>
      <c r="P908" s="24"/>
      <c r="Q908" s="4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43"/>
      <c r="O909" s="24"/>
      <c r="P909" s="24"/>
      <c r="Q909" s="4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43"/>
      <c r="O910" s="24"/>
      <c r="P910" s="24"/>
      <c r="Q910" s="4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43"/>
      <c r="O911" s="24"/>
      <c r="P911" s="24"/>
      <c r="Q911" s="4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43"/>
      <c r="O912" s="24"/>
      <c r="P912" s="24"/>
      <c r="Q912" s="4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43"/>
      <c r="O913" s="24"/>
      <c r="P913" s="24"/>
      <c r="Q913" s="4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43"/>
      <c r="O914" s="24"/>
      <c r="P914" s="24"/>
      <c r="Q914" s="4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43"/>
      <c r="O915" s="24"/>
      <c r="P915" s="24"/>
      <c r="Q915" s="4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43"/>
      <c r="O916" s="24"/>
      <c r="P916" s="24"/>
      <c r="Q916" s="4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43"/>
      <c r="O917" s="24"/>
      <c r="P917" s="24"/>
      <c r="Q917" s="4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43"/>
      <c r="O918" s="24"/>
      <c r="P918" s="24"/>
      <c r="Q918" s="4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43"/>
      <c r="O919" s="24"/>
      <c r="P919" s="24"/>
      <c r="Q919" s="4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43"/>
      <c r="O920" s="24"/>
      <c r="P920" s="24"/>
      <c r="Q920" s="4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43"/>
      <c r="O921" s="24"/>
      <c r="P921" s="24"/>
      <c r="Q921" s="4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43"/>
      <c r="O922" s="24"/>
      <c r="P922" s="24"/>
      <c r="Q922" s="4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43"/>
      <c r="O923" s="24"/>
      <c r="P923" s="24"/>
      <c r="Q923" s="4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43"/>
      <c r="O924" s="24"/>
      <c r="P924" s="24"/>
      <c r="Q924" s="4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43"/>
      <c r="O925" s="24"/>
      <c r="P925" s="24"/>
      <c r="Q925" s="4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43"/>
      <c r="O926" s="24"/>
      <c r="P926" s="24"/>
      <c r="Q926" s="4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43"/>
      <c r="O927" s="24"/>
      <c r="P927" s="24"/>
      <c r="Q927" s="4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43"/>
      <c r="O928" s="24"/>
      <c r="P928" s="24"/>
      <c r="Q928" s="4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43"/>
      <c r="O929" s="24"/>
      <c r="P929" s="24"/>
      <c r="Q929" s="4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43"/>
      <c r="O930" s="24"/>
      <c r="P930" s="24"/>
      <c r="Q930" s="4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43"/>
      <c r="O931" s="24"/>
      <c r="P931" s="24"/>
      <c r="Q931" s="4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43"/>
      <c r="O932" s="24"/>
      <c r="P932" s="24"/>
      <c r="Q932" s="4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43"/>
      <c r="O933" s="24"/>
      <c r="P933" s="24"/>
      <c r="Q933" s="4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43"/>
      <c r="O934" s="24"/>
      <c r="P934" s="24"/>
      <c r="Q934" s="4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43"/>
      <c r="O935" s="24"/>
      <c r="P935" s="24"/>
      <c r="Q935" s="4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43"/>
      <c r="O936" s="24"/>
      <c r="P936" s="24"/>
      <c r="Q936" s="4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43"/>
      <c r="O937" s="24"/>
      <c r="P937" s="24"/>
      <c r="Q937" s="4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43"/>
      <c r="O938" s="24"/>
      <c r="P938" s="24"/>
      <c r="Q938" s="4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43"/>
      <c r="O939" s="24"/>
      <c r="P939" s="24"/>
      <c r="Q939" s="4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43"/>
      <c r="O940" s="24"/>
      <c r="P940" s="24"/>
      <c r="Q940" s="4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43"/>
      <c r="O941" s="24"/>
      <c r="P941" s="24"/>
      <c r="Q941" s="4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43"/>
      <c r="O942" s="24"/>
      <c r="P942" s="24"/>
      <c r="Q942" s="4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43"/>
      <c r="O943" s="24"/>
      <c r="P943" s="24"/>
      <c r="Q943" s="4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43"/>
      <c r="O944" s="24"/>
      <c r="P944" s="24"/>
      <c r="Q944" s="4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43"/>
      <c r="O945" s="24"/>
      <c r="P945" s="24"/>
      <c r="Q945" s="4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43"/>
      <c r="O946" s="24"/>
      <c r="P946" s="24"/>
      <c r="Q946" s="4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43"/>
      <c r="O947" s="24"/>
      <c r="P947" s="24"/>
      <c r="Q947" s="4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43"/>
      <c r="O948" s="24"/>
      <c r="P948" s="24"/>
      <c r="Q948" s="4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43"/>
      <c r="O949" s="24"/>
      <c r="P949" s="24"/>
      <c r="Q949" s="4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43"/>
      <c r="O950" s="24"/>
      <c r="P950" s="24"/>
      <c r="Q950" s="4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43"/>
      <c r="O951" s="24"/>
      <c r="P951" s="24"/>
      <c r="Q951" s="4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43"/>
      <c r="O952" s="24"/>
      <c r="P952" s="24"/>
      <c r="Q952" s="4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43"/>
      <c r="O953" s="24"/>
      <c r="P953" s="24"/>
      <c r="Q953" s="4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43"/>
      <c r="O954" s="24"/>
      <c r="P954" s="24"/>
      <c r="Q954" s="4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43"/>
      <c r="O955" s="24"/>
      <c r="P955" s="24"/>
      <c r="Q955" s="4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43"/>
      <c r="O956" s="24"/>
      <c r="P956" s="24"/>
      <c r="Q956" s="4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43"/>
      <c r="O957" s="24"/>
      <c r="P957" s="24"/>
      <c r="Q957" s="4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43"/>
      <c r="O958" s="24"/>
      <c r="P958" s="24"/>
      <c r="Q958" s="4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43"/>
      <c r="O959" s="24"/>
      <c r="P959" s="24"/>
      <c r="Q959" s="4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43"/>
      <c r="O960" s="24"/>
      <c r="P960" s="24"/>
      <c r="Q960" s="4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43"/>
      <c r="O961" s="24"/>
      <c r="P961" s="24"/>
      <c r="Q961" s="4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43"/>
      <c r="O962" s="24"/>
      <c r="P962" s="24"/>
      <c r="Q962" s="4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43"/>
      <c r="O963" s="24"/>
      <c r="P963" s="24"/>
      <c r="Q963" s="4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43"/>
      <c r="O964" s="24"/>
      <c r="P964" s="24"/>
      <c r="Q964" s="4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43"/>
      <c r="O965" s="24"/>
      <c r="P965" s="24"/>
      <c r="Q965" s="4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43"/>
      <c r="O966" s="24"/>
      <c r="P966" s="24"/>
      <c r="Q966" s="4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43"/>
      <c r="O967" s="24"/>
      <c r="P967" s="24"/>
      <c r="Q967" s="4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43"/>
      <c r="O968" s="24"/>
      <c r="P968" s="24"/>
      <c r="Q968" s="4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43"/>
      <c r="O969" s="24"/>
      <c r="P969" s="24"/>
      <c r="Q969" s="4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43"/>
      <c r="O970" s="24"/>
      <c r="P970" s="24"/>
      <c r="Q970" s="4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43"/>
      <c r="O971" s="24"/>
      <c r="P971" s="24"/>
      <c r="Q971" s="4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43"/>
      <c r="O972" s="24"/>
      <c r="P972" s="24"/>
      <c r="Q972" s="4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43"/>
      <c r="O973" s="24"/>
      <c r="P973" s="24"/>
      <c r="Q973" s="4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43"/>
      <c r="O974" s="24"/>
      <c r="P974" s="24"/>
      <c r="Q974" s="4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43"/>
      <c r="O975" s="24"/>
      <c r="P975" s="24"/>
      <c r="Q975" s="4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43"/>
      <c r="O976" s="24"/>
      <c r="P976" s="24"/>
      <c r="Q976" s="4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43"/>
      <c r="O977" s="24"/>
      <c r="P977" s="24"/>
      <c r="Q977" s="4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43"/>
      <c r="O978" s="24"/>
      <c r="P978" s="24"/>
      <c r="Q978" s="4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43"/>
      <c r="O979" s="24"/>
      <c r="P979" s="24"/>
      <c r="Q979" s="4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43"/>
      <c r="O980" s="24"/>
      <c r="P980" s="24"/>
      <c r="Q980" s="4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43"/>
      <c r="O981" s="24"/>
      <c r="P981" s="24"/>
      <c r="Q981" s="4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43"/>
      <c r="O982" s="24"/>
      <c r="P982" s="24"/>
      <c r="Q982" s="4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43"/>
      <c r="O983" s="24"/>
      <c r="P983" s="24"/>
      <c r="Q983" s="4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43"/>
      <c r="O984" s="24"/>
      <c r="P984" s="24"/>
      <c r="Q984" s="4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43"/>
      <c r="O985" s="24"/>
      <c r="P985" s="24"/>
      <c r="Q985" s="4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43"/>
      <c r="O986" s="24"/>
      <c r="P986" s="24"/>
      <c r="Q986" s="4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43"/>
      <c r="O987" s="24"/>
      <c r="P987" s="24"/>
      <c r="Q987" s="4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43"/>
      <c r="O988" s="24"/>
      <c r="P988" s="24"/>
      <c r="Q988" s="4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43"/>
      <c r="O989" s="24"/>
      <c r="P989" s="24"/>
      <c r="Q989" s="4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43"/>
      <c r="O990" s="24"/>
      <c r="P990" s="24"/>
      <c r="Q990" s="4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43"/>
      <c r="O991" s="24"/>
      <c r="P991" s="24"/>
      <c r="Q991" s="4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43"/>
      <c r="O992" s="24"/>
      <c r="P992" s="24"/>
      <c r="Q992" s="4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43"/>
      <c r="O993" s="24"/>
      <c r="P993" s="24"/>
      <c r="Q993" s="4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43"/>
      <c r="O994" s="24"/>
      <c r="P994" s="24"/>
      <c r="Q994" s="4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43"/>
      <c r="O995" s="24"/>
      <c r="P995" s="24"/>
      <c r="Q995" s="4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43"/>
      <c r="O996" s="24"/>
      <c r="P996" s="24"/>
      <c r="Q996" s="4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43"/>
      <c r="O997" s="24"/>
      <c r="P997" s="24"/>
      <c r="Q997" s="4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43"/>
      <c r="O998" s="24"/>
      <c r="P998" s="24"/>
      <c r="Q998" s="4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43"/>
      <c r="O999" s="24"/>
      <c r="P999" s="24"/>
      <c r="Q999" s="4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43"/>
      <c r="O1000" s="24"/>
      <c r="P1000" s="24"/>
      <c r="Q1000" s="4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topLeftCell="A19" workbookViewId="0"/>
  </sheetViews>
  <sheetFormatPr defaultColWidth="12.5703125" defaultRowHeight="15" customHeight="1"/>
  <cols>
    <col min="1" max="1" width="26.85546875" customWidth="1"/>
    <col min="2" max="2" width="19.42578125" bestFit="1" customWidth="1"/>
    <col min="3" max="3" width="22.7109375" customWidth="1"/>
    <col min="4" max="26" width="8.5703125" customWidth="1"/>
  </cols>
  <sheetData>
    <row r="1" spans="1:4" ht="12.75" customHeight="1">
      <c r="A1" s="1" t="s">
        <v>180</v>
      </c>
      <c r="B1" s="2">
        <f>MAX(Principal!O:O)</f>
        <v>4762926995.2480898</v>
      </c>
      <c r="C1" s="3" t="str">
        <f>VLOOKUP(B1,Principal!O:R,3,0)</f>
        <v>Vale</v>
      </c>
      <c r="D1" s="3"/>
    </row>
    <row r="2" spans="1:4" ht="12.75" customHeight="1">
      <c r="A2" s="1" t="s">
        <v>181</v>
      </c>
      <c r="B2" s="2">
        <f>MIN(Principal!O:O)</f>
        <v>-1807432634.4595425</v>
      </c>
      <c r="C2" s="3" t="str">
        <f>VLOOKUP(B2,Principal!O:R,3,0)</f>
        <v>Localiza</v>
      </c>
      <c r="D2" s="3"/>
    </row>
    <row r="3" spans="1:4" ht="12.75" customHeight="1">
      <c r="A3" s="4" t="s">
        <v>182</v>
      </c>
      <c r="B3" s="5">
        <f>AVERAGE(Principal!O:O)</f>
        <v>165190210.47934023</v>
      </c>
      <c r="C3" s="3"/>
      <c r="D3" s="3"/>
    </row>
    <row r="4" spans="1:4" ht="12.75" customHeight="1">
      <c r="A4" s="4" t="s">
        <v>183</v>
      </c>
      <c r="B4" s="5">
        <f>AVERAGEIF(Principal!P:P,"Subiu",Principal!O:O)</f>
        <v>448164250.23049796</v>
      </c>
      <c r="C4" s="3"/>
      <c r="D4" s="3"/>
    </row>
    <row r="5" spans="1:4" ht="12.75" customHeight="1">
      <c r="A5" s="4" t="s">
        <v>184</v>
      </c>
      <c r="B5" s="5">
        <f>AVERAGEIF(Principal!P:P,"Desceu",Principal!O:O)</f>
        <v>-181109141.75186712</v>
      </c>
      <c r="C5" s="3"/>
      <c r="D5" s="3"/>
    </row>
    <row r="6" spans="1:4" ht="12.75" customHeight="1"/>
    <row r="7" spans="1:4" ht="12.75" customHeight="1"/>
    <row r="8" spans="1:4" ht="12.75" customHeight="1"/>
    <row r="9" spans="1:4" ht="12.75" customHeight="1">
      <c r="A9" s="4"/>
    </row>
    <row r="10" spans="1:4" ht="12.75" customHeight="1">
      <c r="A10" s="4"/>
    </row>
    <row r="11" spans="1:4" ht="12.75" customHeight="1">
      <c r="A11" s="6" t="str">
        <f ca="1">IFERROR(__xludf.DUMMYFUNCTION("UNIQUE(Principal!R:R)"),"Segementos")</f>
        <v>Segementos</v>
      </c>
      <c r="B11" s="7" t="s">
        <v>185</v>
      </c>
      <c r="C11" s="7" t="s">
        <v>186</v>
      </c>
    </row>
    <row r="12" spans="1:4" ht="12.75" customHeight="1">
      <c r="A12" s="3" t="str">
        <f ca="1">IFERROR(__xludf.DUMMYFUNCTION("""COMPUTED_VALUE"""),"Siderurgia")</f>
        <v>Siderurgia</v>
      </c>
      <c r="B12" s="5">
        <f ca="1">SUMIF(Principal!R:R,A12,Principal!O:O)</f>
        <v>450890323.99287391</v>
      </c>
      <c r="C12" s="8">
        <f ca="1">SUMIFS(Principal!O:O,Principal!R:R,A12,Principal!P:P,"Subiu")</f>
        <v>450890323.99287391</v>
      </c>
    </row>
    <row r="13" spans="1:4" ht="12.75" customHeight="1">
      <c r="A13" s="3" t="str">
        <f ca="1">IFERROR(__xludf.DUMMYFUNCTION("""COMPUTED_VALUE"""),"Mineração")</f>
        <v>Mineração</v>
      </c>
      <c r="B13" s="5">
        <f ca="1">SUMIF(Principal!R:R,A13,Principal!O:O)</f>
        <v>4940442965.5504341</v>
      </c>
      <c r="C13" s="8">
        <f ca="1">SUMIFS(Principal!O:O,Principal!R:R,A13,Principal!P:P,"Subiu")</f>
        <v>4940442965.5504341</v>
      </c>
    </row>
    <row r="14" spans="1:4" ht="12.75" customHeight="1">
      <c r="A14" s="3" t="str">
        <f ca="1">IFERROR(__xludf.DUMMYFUNCTION("""COMPUTED_VALUE"""),"Petróleo e Gás")</f>
        <v>Petróleo e Gás</v>
      </c>
      <c r="B14" s="5">
        <f ca="1">SUMIF(Principal!R:R,A14,Principal!O:O)</f>
        <v>6093288832.2628355</v>
      </c>
      <c r="C14" s="8">
        <f ca="1">SUMIFS(Principal!O:O,Principal!R:R,A14,Principal!P:P,"Subiu")</f>
        <v>6093288832.2628355</v>
      </c>
    </row>
    <row r="15" spans="1:4" ht="12.75" customHeight="1">
      <c r="A15" s="3" t="str">
        <f ca="1">IFERROR(__xludf.DUMMYFUNCTION("""COMPUTED_VALUE"""),"Papel e Celulose")</f>
        <v>Papel e Celulose</v>
      </c>
      <c r="B15" s="5">
        <f ca="1">SUMIF(Principal!R:R,A15,Principal!O:O)</f>
        <v>722946282.7090385</v>
      </c>
      <c r="C15" s="8">
        <f ca="1">SUMIFS(Principal!O:O,Principal!R:R,A15,Principal!P:P,"Subiu")</f>
        <v>722946282.7090385</v>
      </c>
    </row>
    <row r="16" spans="1:4" ht="12.75" customHeight="1">
      <c r="A16" s="3" t="str">
        <f ca="1">IFERROR(__xludf.DUMMYFUNCTION("""COMPUTED_VALUE"""),"Energia Elétrica")</f>
        <v>Energia Elétrica</v>
      </c>
      <c r="B16" s="5">
        <f ca="1">SUMIF(Principal!R:R,A16,Principal!O:O)</f>
        <v>58265466.433719635</v>
      </c>
      <c r="C16" s="8">
        <f ca="1">SUMIFS(Principal!O:O,Principal!R:R,A16,Principal!P:P,"Subiu")</f>
        <v>682315640.01204407</v>
      </c>
    </row>
    <row r="17" spans="1:3" ht="12.75" customHeight="1">
      <c r="A17" s="3" t="str">
        <f ca="1">IFERROR(__xludf.DUMMYFUNCTION("""COMPUTED_VALUE"""),"Shopping Centers")</f>
        <v>Shopping Centers</v>
      </c>
      <c r="B17" s="5">
        <f ca="1">SUMIF(Principal!R:R,A17,Principal!O:O)</f>
        <v>117732680.07842509</v>
      </c>
      <c r="C17" s="8">
        <f ca="1">SUMIFS(Principal!O:O,Principal!R:R,A17,Principal!P:P,"Subiu")</f>
        <v>117732680.07842509</v>
      </c>
    </row>
    <row r="18" spans="1:3" ht="12.75" customHeight="1">
      <c r="A18" s="3" t="str">
        <f ca="1">IFERROR(__xludf.DUMMYFUNCTION("""COMPUTED_VALUE"""),"Instituição Financeira")</f>
        <v>Instituição Financeira</v>
      </c>
      <c r="B18" s="5">
        <f ca="1">SUMIF(Principal!R:R,A18,Principal!O:O)</f>
        <v>3740512018.7834516</v>
      </c>
      <c r="C18" s="8">
        <f ca="1">SUMIFS(Principal!O:O,Principal!R:R,A18,Principal!P:P,"Subiu")</f>
        <v>3740512018.7834516</v>
      </c>
    </row>
    <row r="19" spans="1:3" ht="12.75" customHeight="1">
      <c r="A19" s="3" t="str">
        <f ca="1">IFERROR(__xludf.DUMMYFUNCTION("""COMPUTED_VALUE"""),"Saúde (Hospitais)")</f>
        <v>Saúde (Hospitais)</v>
      </c>
      <c r="B19" s="5">
        <f ca="1">SUMIF(Principal!R:R,A19,Principal!O:O)</f>
        <v>453917907.01323998</v>
      </c>
      <c r="C19" s="8">
        <f ca="1">SUMIFS(Principal!O:O,Principal!R:R,A19,Principal!P:P,"Subiu")</f>
        <v>453917907.01323998</v>
      </c>
    </row>
    <row r="20" spans="1:3" ht="12.75" customHeight="1">
      <c r="A20" s="3" t="str">
        <f ca="1">IFERROR(__xludf.DUMMYFUNCTION("""COMPUTED_VALUE"""),"Petroquímica")</f>
        <v>Petroquímica</v>
      </c>
      <c r="B20" s="5">
        <f ca="1">SUMIF(Principal!R:R,A20,Principal!O:O)</f>
        <v>69054317.636038527</v>
      </c>
      <c r="C20" s="8">
        <f ca="1">SUMIFS(Principal!O:O,Principal!R:R,A20,Principal!P:P,"Subiu")</f>
        <v>69054317.636038527</v>
      </c>
    </row>
    <row r="21" spans="1:3" ht="12.75" customHeight="1">
      <c r="A21" s="3" t="str">
        <f ca="1">IFERROR(__xludf.DUMMYFUNCTION("""COMPUTED_VALUE"""),"Transporte Aéreo")</f>
        <v>Transporte Aéreo</v>
      </c>
      <c r="B21" s="5">
        <f ca="1">SUMIF(Principal!R:R,A21,Principal!O:O)</f>
        <v>-37540997.063642688</v>
      </c>
      <c r="C21" s="8">
        <f ca="1">SUMIFS(Principal!O:O,Principal!R:R,A21,Principal!P:P,"Subiu")</f>
        <v>65452205.552800186</v>
      </c>
    </row>
    <row r="22" spans="1:3" ht="12.75" customHeight="1">
      <c r="A22" s="3" t="str">
        <f ca="1">IFERROR(__xludf.DUMMYFUNCTION("""COMPUTED_VALUE"""),"Educação")</f>
        <v>Educação</v>
      </c>
      <c r="B22" s="5">
        <f ca="1">SUMIF(Principal!R:R,A22,Principal!O:O)</f>
        <v>54641872.47123301</v>
      </c>
      <c r="C22" s="8">
        <f ca="1">SUMIFS(Principal!O:O,Principal!R:R,A22,Principal!P:P,"Subiu")</f>
        <v>72295838.986160949</v>
      </c>
    </row>
    <row r="23" spans="1:3" ht="12.75" customHeight="1">
      <c r="A23" s="3" t="str">
        <f ca="1">IFERROR(__xludf.DUMMYFUNCTION("""COMPUTED_VALUE"""),"Distribuição e Varejo")</f>
        <v>Distribuição e Varejo</v>
      </c>
      <c r="B23" s="5">
        <f ca="1">SUMIF(Principal!R:R,A23,Principal!O:O)</f>
        <v>388705223.95601785</v>
      </c>
      <c r="C23" s="8">
        <f ca="1">SUMIFS(Principal!O:O,Principal!R:R,A23,Principal!P:P,"Subiu")</f>
        <v>388705223.95601785</v>
      </c>
    </row>
    <row r="24" spans="1:3" ht="12.75" customHeight="1">
      <c r="A24" s="3" t="str">
        <f ca="1">IFERROR(__xludf.DUMMYFUNCTION("""COMPUTED_VALUE"""),"Construção Civil")</f>
        <v>Construção Civil</v>
      </c>
      <c r="B24" s="5">
        <f ca="1">SUMIF(Principal!R:R,A24,Principal!O:O)</f>
        <v>-61087401.606067643</v>
      </c>
      <c r="C24" s="8">
        <f ca="1">SUMIFS(Principal!O:O,Principal!R:R,A24,Principal!P:P,"Subiu")</f>
        <v>37525872.377283879</v>
      </c>
    </row>
    <row r="25" spans="1:3" ht="12.75" customHeight="1">
      <c r="A25" s="3" t="str">
        <f ca="1">IFERROR(__xludf.DUMMYFUNCTION("""COMPUTED_VALUE"""),"Calçados e Moda")</f>
        <v>Calçados e Moda</v>
      </c>
      <c r="B25" s="5">
        <f ca="1">SUMIF(Principal!R:R,A25,Principal!O:O)</f>
        <v>19895417.765126679</v>
      </c>
      <c r="C25" s="8">
        <f ca="1">SUMIFS(Principal!O:O,Principal!R:R,A25,Principal!P:P,"Subiu")</f>
        <v>41021792.090771534</v>
      </c>
    </row>
    <row r="26" spans="1:3" ht="12.75" customHeight="1">
      <c r="A26" s="3" t="str">
        <f ca="1">IFERROR(__xludf.DUMMYFUNCTION("""COMPUTED_VALUE"""),"Alimentos (Carnes)")</f>
        <v>Alimentos (Carnes)</v>
      </c>
      <c r="B26" s="5">
        <f ca="1">SUMIF(Principal!R:R,A26,Principal!O:O)</f>
        <v>174787913.52611017</v>
      </c>
      <c r="C26" s="8">
        <f ca="1">SUMIFS(Principal!O:O,Principal!R:R,A26,Principal!P:P,"Subiu")</f>
        <v>174787913.52611017</v>
      </c>
    </row>
    <row r="27" spans="1:3" ht="12.75" customHeight="1">
      <c r="A27" s="3" t="str">
        <f ca="1">IFERROR(__xludf.DUMMYFUNCTION("""COMPUTED_VALUE"""),"Varejo (Supermercados)")</f>
        <v>Varejo (Supermercados)</v>
      </c>
      <c r="B27" s="5">
        <f ca="1">SUMIF(Principal!R:R,A27,Principal!O:O)</f>
        <v>-137294614.35180739</v>
      </c>
      <c r="C27" s="8">
        <f ca="1">SUMIFS(Principal!O:O,Principal!R:R,A27,Principal!P:P,"Subiu")</f>
        <v>6340916.223143544</v>
      </c>
    </row>
    <row r="28" spans="1:3" ht="12.75" customHeight="1">
      <c r="A28" s="3" t="str">
        <f ca="1">IFERROR(__xludf.DUMMYFUNCTION("""COMPUTED_VALUE"""),"Alimentos (Processados)")</f>
        <v>Alimentos (Processados)</v>
      </c>
      <c r="B28" s="5">
        <f ca="1">SUMIF(Principal!R:R,A28,Principal!O:O)</f>
        <v>233045769.56633979</v>
      </c>
      <c r="C28" s="8">
        <f ca="1">SUMIFS(Principal!O:O,Principal!R:R,A28,Principal!P:P,"Subiu")</f>
        <v>233045769.56633979</v>
      </c>
    </row>
    <row r="29" spans="1:3" ht="12.75" customHeight="1">
      <c r="A29" s="3" t="str">
        <f ca="1">IFERROR(__xludf.DUMMYFUNCTION("""COMPUTED_VALUE"""),"Telecomunicações")</f>
        <v>Telecomunicações</v>
      </c>
      <c r="B29" s="5">
        <f ca="1">SUMIF(Principal!R:R,A29,Principal!O:O)</f>
        <v>292938114.42357796</v>
      </c>
      <c r="C29" s="8">
        <f ca="1">SUMIFS(Principal!O:O,Principal!R:R,A29,Principal!P:P,"Subiu")</f>
        <v>292938114.42357796</v>
      </c>
    </row>
    <row r="30" spans="1:3" ht="12.75" customHeight="1">
      <c r="A30" s="3" t="str">
        <f ca="1">IFERROR(__xludf.DUMMYFUNCTION("""COMPUTED_VALUE"""),"Transporte (Ferrovias)")</f>
        <v>Transporte (Ferrovias)</v>
      </c>
      <c r="B30" s="5">
        <f ca="1">SUMIF(Principal!R:R,A30,Principal!O:O)</f>
        <v>229771333.63468358</v>
      </c>
      <c r="C30" s="8">
        <f ca="1">SUMIFS(Principal!O:O,Principal!R:R,A30,Principal!P:P,"Subiu")</f>
        <v>229771333.63468358</v>
      </c>
    </row>
    <row r="31" spans="1:3" ht="12.75" customHeight="1">
      <c r="A31" s="3" t="str">
        <f ca="1">IFERROR(__xludf.DUMMYFUNCTION("""COMPUTED_VALUE"""),"Serviços Financeiros")</f>
        <v>Serviços Financeiros</v>
      </c>
      <c r="B31" s="5">
        <f ca="1">SUMIF(Principal!R:R,A31,Principal!O:O)</f>
        <v>-1130127982.9852018</v>
      </c>
      <c r="C31" s="8">
        <f ca="1">SUMIFS(Principal!O:O,Principal!R:R,A31,Principal!P:P,"Subiu")</f>
        <v>43657683.375540853</v>
      </c>
    </row>
    <row r="32" spans="1:3" ht="12.75" customHeight="1">
      <c r="A32" s="3" t="str">
        <f ca="1">IFERROR(__xludf.DUMMYFUNCTION("""COMPUTED_VALUE"""),"Indústria")</f>
        <v>Indústria</v>
      </c>
      <c r="B32" s="5">
        <f ca="1">SUMIF(Principal!R:R,A32,Principal!O:O)</f>
        <v>18068446.609983239</v>
      </c>
      <c r="C32" s="8">
        <f ca="1">SUMIFS(Principal!O:O,Principal!R:R,A32,Principal!P:P,"Subiu")</f>
        <v>18068446.609983239</v>
      </c>
    </row>
    <row r="33" spans="1:3" ht="12.75" customHeight="1">
      <c r="A33" s="3" t="str">
        <f ca="1">IFERROR(__xludf.DUMMYFUNCTION("""COMPUTED_VALUE"""),"Investimentos Diversificados")</f>
        <v>Investimentos Diversificados</v>
      </c>
      <c r="B33" s="5">
        <f ca="1">SUMIF(Principal!R:R,A33,Principal!O:O)</f>
        <v>42238249.539986439</v>
      </c>
      <c r="C33" s="8">
        <f ca="1">SUMIFS(Principal!O:O,Principal!R:R,A33,Principal!P:P,"Subiu")</f>
        <v>42238249.539986439</v>
      </c>
    </row>
    <row r="34" spans="1:3" ht="12.75" customHeight="1">
      <c r="A34" s="3" t="str">
        <f ca="1">IFERROR(__xludf.DUMMYFUNCTION("""COMPUTED_VALUE"""),"Tecnologia (Hospedagem de Sites)")</f>
        <v>Tecnologia (Hospedagem de Sites)</v>
      </c>
      <c r="B34" s="5">
        <f ca="1">SUMIF(Principal!R:R,A34,Principal!O:O)</f>
        <v>15598886.650556229</v>
      </c>
      <c r="C34" s="8">
        <f ca="1">SUMIFS(Principal!O:O,Principal!R:R,A34,Principal!P:P,"Subiu")</f>
        <v>15598886.650556229</v>
      </c>
    </row>
    <row r="35" spans="1:3" ht="12.75" customHeight="1">
      <c r="A35" s="3" t="str">
        <f ca="1">IFERROR(__xludf.DUMMYFUNCTION("""COMPUTED_VALUE"""),"Conglomerado Financeiro")</f>
        <v>Conglomerado Financeiro</v>
      </c>
      <c r="B35" s="5">
        <f ca="1">SUMIF(Principal!R:R,A35,Principal!O:O)</f>
        <v>373853994.88377655</v>
      </c>
      <c r="C35" s="8">
        <f ca="1">SUMIFS(Principal!O:O,Principal!R:R,A35,Principal!P:P,"Subiu")</f>
        <v>373853994.88377655</v>
      </c>
    </row>
    <row r="36" spans="1:3" ht="12.75" customHeight="1">
      <c r="A36" s="3" t="str">
        <f ca="1">IFERROR(__xludf.DUMMYFUNCTION("""COMPUTED_VALUE"""),"Varejo (Farmácias)")</f>
        <v>Varejo (Farmácias)</v>
      </c>
      <c r="B36" s="5">
        <f ca="1">SUMIF(Principal!R:R,A36,Principal!O:O)</f>
        <v>202352473.73982856</v>
      </c>
      <c r="C36" s="8">
        <f ca="1">SUMIFS(Principal!O:O,Principal!R:R,A36,Principal!P:P,"Subiu")</f>
        <v>202352473.73982856</v>
      </c>
    </row>
    <row r="37" spans="1:3" ht="12.75" customHeight="1">
      <c r="A37" s="3" t="str">
        <f ca="1">IFERROR(__xludf.DUMMYFUNCTION("""COMPUTED_VALUE"""),"Metalurgia")</f>
        <v>Metalurgia</v>
      </c>
      <c r="B37" s="5">
        <f ca="1">SUMIF(Principal!R:R,A37,Principal!O:O)</f>
        <v>39045606.935449012</v>
      </c>
      <c r="C37" s="8">
        <f ca="1">SUMIFS(Principal!O:O,Principal!R:R,A37,Principal!P:P,"Subiu")</f>
        <v>39045606.935449012</v>
      </c>
    </row>
    <row r="38" spans="1:3" ht="12.75" customHeight="1">
      <c r="A38" s="3" t="str">
        <f ca="1">IFERROR(__xludf.DUMMYFUNCTION("""COMPUTED_VALUE"""),"Energia e Infraestrutura")</f>
        <v>Energia e Infraestrutura</v>
      </c>
      <c r="B38" s="5">
        <f ca="1">SUMIF(Principal!R:R,A38,Principal!O:O)</f>
        <v>127229653.18222687</v>
      </c>
      <c r="C38" s="8">
        <f ca="1">SUMIFS(Principal!O:O,Principal!R:R,A38,Principal!P:P,"Subiu")</f>
        <v>127229653.18222687</v>
      </c>
    </row>
    <row r="39" spans="1:3" ht="12.75" customHeight="1">
      <c r="A39" s="3" t="str">
        <f ca="1">IFERROR(__xludf.DUMMYFUNCTION("""COMPUTED_VALUE"""),"Varejo (Lojas de Departamento)")</f>
        <v>Varejo (Lojas de Departamento)</v>
      </c>
      <c r="B39" s="5">
        <f ca="1">SUMIF(Principal!R:R,A39,Principal!O:O)</f>
        <v>28493619.274394516</v>
      </c>
      <c r="C39" s="8">
        <f ca="1">SUMIFS(Principal!O:O,Principal!R:R,A39,Principal!P:P,"Subiu")</f>
        <v>28493619.274394516</v>
      </c>
    </row>
    <row r="40" spans="1:3" ht="12.75" customHeight="1">
      <c r="A40" s="3" t="str">
        <f ca="1">IFERROR(__xludf.DUMMYFUNCTION("""COMPUTED_VALUE"""),"Energia e Biocombustíveis")</f>
        <v>Energia e Biocombustíveis</v>
      </c>
      <c r="B40" s="5">
        <f ca="1">SUMIF(Principal!R:R,A40,Principal!O:O)</f>
        <v>11571106.417007603</v>
      </c>
      <c r="C40" s="8">
        <f ca="1">SUMIFS(Principal!O:O,Principal!R:R,A40,Principal!P:P,"Subiu")</f>
        <v>11571106.417007603</v>
      </c>
    </row>
    <row r="41" spans="1:3" ht="12.75" customHeight="1">
      <c r="A41" s="3" t="str">
        <f ca="1">IFERROR(__xludf.DUMMYFUNCTION("""COMPUTED_VALUE"""),"Transporte e Logística")</f>
        <v>Transporte e Logística</v>
      </c>
      <c r="B41" s="5">
        <f ca="1">SUMIF(Principal!R:R,A41,Principal!O:O)</f>
        <v>4131341.1578905098</v>
      </c>
      <c r="C41" s="8">
        <f ca="1">SUMIFS(Principal!O:O,Principal!R:R,A41,Principal!P:P,"Subiu")</f>
        <v>4131341.1578905098</v>
      </c>
    </row>
    <row r="42" spans="1:3" ht="12.75" customHeight="1">
      <c r="A42" s="3" t="str">
        <f ca="1">IFERROR(__xludf.DUMMYFUNCTION("""COMPUTED_VALUE"""),"Bebidas")</f>
        <v>Bebidas</v>
      </c>
      <c r="B42" s="5">
        <f ca="1">SUMIF(Principal!R:R,A42,Principal!O:O)</f>
        <v>0</v>
      </c>
      <c r="C42" s="8">
        <f ca="1">SUMIFS(Principal!O:O,Principal!R:R,A42,Principal!P:P,"Subiu")</f>
        <v>0</v>
      </c>
    </row>
    <row r="43" spans="1:3" ht="12.75" customHeight="1">
      <c r="A43" s="3" t="str">
        <f ca="1">IFERROR(__xludf.DUMMYFUNCTION("""COMPUTED_VALUE"""),"Seguros e Previdência")</f>
        <v>Seguros e Previdência</v>
      </c>
      <c r="B43" s="5">
        <f ca="1">SUMIF(Principal!R:R,A43,Principal!O:O)</f>
        <v>-4532537.1883631321</v>
      </c>
      <c r="C43" s="8">
        <f ca="1">SUMIFS(Principal!O:O,Principal!R:R,A43,Principal!P:P,"Subiu")</f>
        <v>0</v>
      </c>
    </row>
    <row r="44" spans="1:3" ht="12.75" customHeight="1">
      <c r="A44" s="3" t="str">
        <f ca="1">IFERROR(__xludf.DUMMYFUNCTION("""COMPUTED_VALUE"""),"Saneamento Básico")</f>
        <v>Saneamento Básico</v>
      </c>
      <c r="B44" s="5">
        <f ca="1">SUMIF(Principal!R:R,A44,Principal!O:O)</f>
        <v>-15725678.564115381</v>
      </c>
      <c r="C44" s="8">
        <f ca="1">SUMIFS(Principal!O:O,Principal!R:R,A44,Principal!P:P,"Subiu")</f>
        <v>0</v>
      </c>
    </row>
    <row r="45" spans="1:3" ht="12.75" customHeight="1">
      <c r="A45" s="3" t="str">
        <f ca="1">IFERROR(__xludf.DUMMYFUNCTION("""COMPUTED_VALUE"""),"Tecnologia (Software)")</f>
        <v>Tecnologia (Software)</v>
      </c>
      <c r="B45" s="5">
        <f ca="1">SUMIF(Principal!R:R,A45,Principal!O:O)</f>
        <v>-9531377.7459757738</v>
      </c>
      <c r="C45" s="8">
        <f ca="1">SUMIFS(Principal!O:O,Principal!R:R,A45,Principal!P:P,"Subiu")</f>
        <v>0</v>
      </c>
    </row>
    <row r="46" spans="1:3" ht="12.75" customHeight="1">
      <c r="A46" s="3" t="str">
        <f ca="1">IFERROR(__xludf.DUMMYFUNCTION("""COMPUTED_VALUE"""),"Energia (Geração e Exploração)")</f>
        <v>Energia (Geração e Exploração)</v>
      </c>
      <c r="B46" s="5">
        <f ca="1">SUMIF(Principal!R:R,A46,Principal!O:O)</f>
        <v>-46851590.76171875</v>
      </c>
      <c r="C46" s="8">
        <f ca="1">SUMIFS(Principal!O:O,Principal!R:R,A46,Principal!P:P,"Subiu")</f>
        <v>0</v>
      </c>
    </row>
    <row r="47" spans="1:3" ht="12.75" customHeight="1">
      <c r="A47" s="3" t="str">
        <f ca="1">IFERROR(__xludf.DUMMYFUNCTION("""COMPUTED_VALUE"""),"Tecnologia (Motores Elétricos)")</f>
        <v>Tecnologia (Motores Elétricos)</v>
      </c>
      <c r="B47" s="5">
        <f ca="1">SUMIF(Principal!R:R,A47,Principal!O:O)</f>
        <v>-118230410.43964578</v>
      </c>
      <c r="C47" s="8">
        <f ca="1">SUMIFS(Principal!O:O,Principal!R:R,A47,Principal!P:P,"Subiu")</f>
        <v>0</v>
      </c>
    </row>
    <row r="48" spans="1:3" ht="12.75" customHeight="1">
      <c r="A48" s="3" t="str">
        <f ca="1">IFERROR(__xludf.DUMMYFUNCTION("""COMPUTED_VALUE"""),"Agricultura")</f>
        <v>Agricultura</v>
      </c>
      <c r="B48" s="5">
        <f ca="1">SUMIF(Principal!R:R,A48,Principal!O:O)</f>
        <v>-9468663.6817041729</v>
      </c>
      <c r="C48" s="8">
        <f ca="1">SUMIFS(Principal!O:O,Principal!R:R,A48,Principal!P:P,"Subiu")</f>
        <v>0</v>
      </c>
    </row>
    <row r="49" spans="1:3" ht="12.75" customHeight="1">
      <c r="A49" s="3" t="str">
        <f ca="1">IFERROR(__xludf.DUMMYFUNCTION("""COMPUTED_VALUE"""),"Logística e Transporte")</f>
        <v>Logística e Transporte</v>
      </c>
      <c r="B49" s="5">
        <f ca="1">SUMIF(Principal!R:R,A49,Principal!O:O)</f>
        <v>-36819552.339469947</v>
      </c>
      <c r="C49" s="8">
        <f ca="1">SUMIFS(Principal!O:O,Principal!R:R,A49,Principal!P:P,"Subiu")</f>
        <v>0</v>
      </c>
    </row>
    <row r="50" spans="1:3" ht="12.75" customHeight="1">
      <c r="A50" s="3" t="str">
        <f ca="1">IFERROR(__xludf.DUMMYFUNCTION("""COMPUTED_VALUE"""),"Transporte (Concessões)")</f>
        <v>Transporte (Concessões)</v>
      </c>
      <c r="B50" s="5">
        <f ca="1">SUMIF(Principal!R:R,A50,Principal!O:O)</f>
        <v>-39743554.314914532</v>
      </c>
      <c r="C50" s="8">
        <f ca="1">SUMIFS(Principal!O:O,Principal!R:R,A50,Principal!P:P,"Subiu")</f>
        <v>0</v>
      </c>
    </row>
    <row r="51" spans="1:3" ht="12.75" customHeight="1">
      <c r="A51" s="3" t="str">
        <f ca="1">IFERROR(__xludf.DUMMYFUNCTION("""COMPUTED_VALUE"""),"Energia")</f>
        <v>Energia</v>
      </c>
      <c r="B51" s="5">
        <f ca="1">SUMIF(Principal!R:R,A51,Principal!O:O)</f>
        <v>-170654564.82357123</v>
      </c>
      <c r="C51" s="8">
        <f ca="1">SUMIFS(Principal!O:O,Principal!R:R,A51,Principal!P:P,"Subiu")</f>
        <v>0</v>
      </c>
    </row>
    <row r="52" spans="1:3" ht="12.75" customHeight="1">
      <c r="A52" s="3" t="str">
        <f ca="1">IFERROR(__xludf.DUMMYFUNCTION("""COMPUTED_VALUE"""),"Seguros")</f>
        <v>Seguros</v>
      </c>
      <c r="B52" s="5">
        <f ca="1">SUMIF(Principal!R:R,A52,Principal!O:O)</f>
        <v>-21765343.021313515</v>
      </c>
      <c r="C52" s="8">
        <f ca="1">SUMIFS(Principal!O:O,Principal!R:R,A52,Principal!P:P,"Subiu")</f>
        <v>0</v>
      </c>
    </row>
    <row r="53" spans="1:3" ht="12.75" customHeight="1">
      <c r="A53" s="3" t="str">
        <f ca="1">IFERROR(__xludf.DUMMYFUNCTION("""COMPUTED_VALUE"""),"Varejo (Pet Shops)")</f>
        <v>Varejo (Pet Shops)</v>
      </c>
      <c r="B53" s="5">
        <f ca="1">SUMIF(Principal!R:R,A53,Principal!O:O)</f>
        <v>-9242203.6520125903</v>
      </c>
      <c r="C53" s="8">
        <f ca="1">SUMIFS(Principal!O:O,Principal!R:R,A53,Principal!P:P,"Subiu")</f>
        <v>0</v>
      </c>
    </row>
    <row r="54" spans="1:3" ht="12.75" customHeight="1">
      <c r="A54" s="3" t="str">
        <f ca="1">IFERROR(__xludf.DUMMYFUNCTION("""COMPUTED_VALUE"""),"Saúde (Laboratórios)")</f>
        <v>Saúde (Laboratórios)</v>
      </c>
      <c r="B54" s="5">
        <f ca="1">SUMIF(Principal!R:R,A54,Principal!O:O)</f>
        <v>-42951047.215599783</v>
      </c>
      <c r="C54" s="8">
        <f ca="1">SUMIFS(Principal!O:O,Principal!R:R,A54,Principal!P:P,"Subiu")</f>
        <v>0</v>
      </c>
    </row>
    <row r="55" spans="1:3" ht="12.75" customHeight="1">
      <c r="A55" s="3" t="str">
        <f ca="1">IFERROR(__xludf.DUMMYFUNCTION("""COMPUTED_VALUE"""),"Moda e Vestuário")</f>
        <v>Moda e Vestuário</v>
      </c>
      <c r="B55" s="5">
        <f ca="1">SUMIF(Principal!R:R,A55,Principal!O:O)</f>
        <v>-44345269.965821177</v>
      </c>
      <c r="C55" s="8">
        <f ca="1">SUMIFS(Principal!O:O,Principal!R:R,A55,Principal!P:P,"Subiu")</f>
        <v>0</v>
      </c>
    </row>
    <row r="56" spans="1:3" ht="12.75" customHeight="1">
      <c r="A56" s="3" t="str">
        <f ca="1">IFERROR(__xludf.DUMMYFUNCTION("""COMPUTED_VALUE"""),"Aeroespacial e Defesa")</f>
        <v>Aeroespacial e Defesa</v>
      </c>
      <c r="B56" s="5">
        <f ca="1">SUMIF(Principal!R:R,A56,Principal!O:O)</f>
        <v>-233651943.49695757</v>
      </c>
      <c r="C56" s="8">
        <f ca="1">SUMIFS(Principal!O:O,Principal!R:R,A56,Principal!P:P,"Subiu")</f>
        <v>0</v>
      </c>
    </row>
    <row r="57" spans="1:3" ht="12.75" customHeight="1">
      <c r="A57" s="3" t="str">
        <f ca="1">IFERROR(__xludf.DUMMYFUNCTION("""COMPUTED_VALUE"""),"Cosméticos e Bem-estar")</f>
        <v>Cosméticos e Bem-estar</v>
      </c>
      <c r="B57" s="5">
        <f ca="1">SUMIF(Principal!R:R,A57,Principal!O:O)</f>
        <v>-193280001.20849475</v>
      </c>
      <c r="C57" s="8">
        <f ca="1">SUMIFS(Principal!O:O,Principal!R:R,A57,Principal!P:P,"Subiu")</f>
        <v>0</v>
      </c>
    </row>
    <row r="58" spans="1:3" ht="12.75" customHeight="1">
      <c r="A58" s="3" t="str">
        <f ca="1">IFERROR(__xludf.DUMMYFUNCTION("""COMPUTED_VALUE"""),"Varejo (Atacado)")</f>
        <v>Varejo (Atacado)</v>
      </c>
      <c r="B58" s="5">
        <f ca="1">SUMIF(Principal!R:R,A58,Principal!O:O)</f>
        <v>-268201195.08654764</v>
      </c>
      <c r="C58" s="8">
        <f ca="1">SUMIFS(Principal!O:O,Principal!R:R,A58,Principal!P:P,"Subiu")</f>
        <v>0</v>
      </c>
    </row>
    <row r="59" spans="1:3" ht="12.75" customHeight="1">
      <c r="A59" s="3" t="str">
        <f ca="1">IFERROR(__xludf.DUMMYFUNCTION("""COMPUTED_VALUE"""),"Farmacêutica")</f>
        <v>Farmacêutica</v>
      </c>
      <c r="B59" s="5">
        <f ca="1">SUMIF(Principal!R:R,A59,Principal!O:O)</f>
        <v>-208257014.19914994</v>
      </c>
      <c r="C59" s="8">
        <f ca="1">SUMIFS(Principal!O:O,Principal!R:R,A59,Principal!P:P,"Subiu")</f>
        <v>0</v>
      </c>
    </row>
    <row r="60" spans="1:3" ht="12.75" customHeight="1">
      <c r="A60" s="3" t="str">
        <f ca="1">IFERROR(__xludf.DUMMYFUNCTION("""COMPUTED_VALUE"""),"Agronegócio (Açúcar e Álcool)")</f>
        <v>Agronegócio (Açúcar e Álcool)</v>
      </c>
      <c r="B60" s="5">
        <f ca="1">SUMIF(Principal!R:R,A60,Principal!O:O)</f>
        <v>-79432785.73975119</v>
      </c>
      <c r="C60" s="8">
        <f ca="1">SUMIFS(Principal!O:O,Principal!R:R,A60,Principal!P:P,"Subiu")</f>
        <v>0</v>
      </c>
    </row>
    <row r="61" spans="1:3" ht="12.75" customHeight="1">
      <c r="A61" s="3" t="str">
        <f ca="1">IFERROR(__xludf.DUMMYFUNCTION("""COMPUTED_VALUE"""),"Saúde (Planos de Saúde)")</f>
        <v>Saúde (Planos de Saúde)</v>
      </c>
      <c r="B61" s="5">
        <f ca="1">SUMIF(Principal!R:R,A61,Principal!O:O)</f>
        <v>-350645389.91464359</v>
      </c>
      <c r="C61" s="8">
        <f ca="1">SUMIFS(Principal!O:O,Principal!R:R,A61,Principal!P:P,"Subiu")</f>
        <v>0</v>
      </c>
    </row>
    <row r="62" spans="1:3" ht="12.75" customHeight="1">
      <c r="A62" s="3" t="str">
        <f ca="1">IFERROR(__xludf.DUMMYFUNCTION("""COMPUTED_VALUE"""),"Varejo (Moda)")</f>
        <v>Varejo (Moda)</v>
      </c>
      <c r="B62" s="5">
        <f ca="1">SUMIF(Principal!R:R,A62,Principal!O:O)</f>
        <v>-351831366.6428625</v>
      </c>
      <c r="C62" s="8">
        <f ca="1">SUMIFS(Principal!O:O,Principal!R:R,A62,Principal!P:P,"Subiu")</f>
        <v>0</v>
      </c>
    </row>
    <row r="63" spans="1:3" ht="12.75" customHeight="1">
      <c r="A63" s="3" t="str">
        <f ca="1">IFERROR(__xludf.DUMMYFUNCTION("""COMPUTED_VALUE"""),"Varejo (Eletrodomésticos)")</f>
        <v>Varejo (Eletrodomésticos)</v>
      </c>
      <c r="B63" s="5">
        <f ca="1">SUMIF(Principal!R:R,A63,Principal!O:O)</f>
        <v>-20810240.843694936</v>
      </c>
      <c r="C63" s="8">
        <f ca="1">SUMIFS(Principal!O:O,Principal!R:R,A63,Principal!P:P,"Subiu")</f>
        <v>0</v>
      </c>
    </row>
    <row r="64" spans="1:3" ht="12.75" customHeight="1">
      <c r="A64" s="3" t="str">
        <f ca="1">IFERROR(__xludf.DUMMYFUNCTION("""COMPUTED_VALUE"""),"Aluguel de Carros")</f>
        <v>Aluguel de Carros</v>
      </c>
      <c r="B64" s="5">
        <f ca="1">SUMIF(Principal!R:R,A64,Principal!O:O)</f>
        <v>-1807432634.4595425</v>
      </c>
      <c r="C64" s="8">
        <f ca="1">SUMIFS(Principal!O:O,Principal!R:R,A64,Principal!P:P,"Subiu")</f>
        <v>0</v>
      </c>
    </row>
    <row r="65" spans="1:3" ht="12.75" customHeight="1">
      <c r="A65" s="3" t="str">
        <f ca="1">IFERROR(__xludf.DUMMYFUNCTION("""COMPUTED_VALUE"""),"Agência de Viagens")</f>
        <v>Agência de Viagens</v>
      </c>
      <c r="B65" s="5">
        <f ca="1">SUMIF(Principal!R:R,A65,Principal!O:O)</f>
        <v>-73557408.055094168</v>
      </c>
      <c r="C65" s="8">
        <f ca="1">SUMIFS(Principal!O:O,Principal!R:R,A65,Principal!P:P,"Subiu")</f>
        <v>0</v>
      </c>
    </row>
    <row r="66" spans="1:3" ht="12.75" customHeight="1">
      <c r="A66" s="3"/>
    </row>
    <row r="67" spans="1:3" ht="12.75" customHeight="1">
      <c r="A67" s="3"/>
    </row>
    <row r="68" spans="1:3" ht="12.75" customHeight="1">
      <c r="A68" s="3"/>
    </row>
    <row r="69" spans="1:3" ht="12.75" customHeight="1">
      <c r="A69" s="4"/>
    </row>
    <row r="70" spans="1:3" ht="12.75" customHeight="1">
      <c r="A70" s="6" t="str">
        <f ca="1">IFERROR(__xludf.DUMMYFUNCTION("UNIQUE(Principal!P:P)"),"Resultado")</f>
        <v>Resultado</v>
      </c>
      <c r="B70" s="7" t="s">
        <v>187</v>
      </c>
    </row>
    <row r="71" spans="1:3" ht="12.75" customHeight="1">
      <c r="A71" s="9" t="str">
        <f ca="1">IFERROR(__xludf.DUMMYFUNCTION("""COMPUTED_VALUE"""),"Subiu")</f>
        <v>Subiu</v>
      </c>
      <c r="B71" s="8">
        <f ca="1">SUMIF(Principal!P:P,A71,Principal!O:O)</f>
        <v>19719227010.141911</v>
      </c>
    </row>
    <row r="72" spans="1:3" ht="12.75" customHeight="1">
      <c r="A72" s="9" t="str">
        <f ca="1">IFERROR(__xludf.DUMMYFUNCTION("""COMPUTED_VALUE"""),"Manteve")</f>
        <v>Manteve</v>
      </c>
      <c r="B72" s="8">
        <f ca="1">SUMIF(Principal!P:P,A72,Principal!O:O)</f>
        <v>0</v>
      </c>
    </row>
    <row r="73" spans="1:3" ht="12.75" customHeight="1">
      <c r="A73" s="9" t="str">
        <f ca="1">IFERROR(__xludf.DUMMYFUNCTION("""COMPUTED_VALUE"""),"Desceu")</f>
        <v>Desceu</v>
      </c>
      <c r="B73" s="8">
        <f ca="1">SUMIF(Principal!P:P,A73,Principal!O:O)</f>
        <v>-6338819961.3153486</v>
      </c>
    </row>
    <row r="74" spans="1:3" ht="12.75" customHeight="1">
      <c r="A74" s="3"/>
      <c r="B74" s="8">
        <f ca="1">B71+B73</f>
        <v>13380407048.826561</v>
      </c>
    </row>
    <row r="75" spans="1:3" ht="12.75" customHeight="1">
      <c r="A75" s="3"/>
    </row>
    <row r="76" spans="1:3" ht="12.75" customHeight="1">
      <c r="A76" s="3"/>
    </row>
    <row r="77" spans="1:3" ht="12.75" customHeight="1">
      <c r="A77" s="7" t="s">
        <v>188</v>
      </c>
      <c r="B77" s="7" t="s">
        <v>187</v>
      </c>
      <c r="C77" s="7" t="s">
        <v>189</v>
      </c>
    </row>
    <row r="78" spans="1:3" ht="12.75" customHeight="1">
      <c r="A78" s="3" t="str">
        <f ca="1">IFERROR(__xludf.DUMMYFUNCTION("unique(Principal!T2:T82)"),"Entre 50 e 100")</f>
        <v>Entre 50 e 100</v>
      </c>
      <c r="B78" s="8">
        <f ca="1">SUMIF(Principal!T:T,A78,Principal!O:O)</f>
        <v>11543188518.109386</v>
      </c>
      <c r="C78" s="3">
        <f ca="1">COUNTIF(Principal!T:T,A78)</f>
        <v>32</v>
      </c>
    </row>
    <row r="79" spans="1:3" ht="12.75" customHeight="1">
      <c r="A79" s="3" t="str">
        <f ca="1">IFERROR(__xludf.DUMMYFUNCTION("""COMPUTED_VALUE"""),"Menos que 50 Anos")</f>
        <v>Menos que 50 Anos</v>
      </c>
      <c r="B79" s="8">
        <f ca="1">SUMIF(Principal!T:T,A79,Principal!O:O)</f>
        <v>-599149944.14396667</v>
      </c>
      <c r="C79" s="3">
        <f ca="1">COUNTIF(Principal!T:T,A79)</f>
        <v>34</v>
      </c>
    </row>
    <row r="80" spans="1:3" ht="12.75" customHeight="1">
      <c r="A80" s="3" t="str">
        <f ca="1">IFERROR(__xludf.DUMMYFUNCTION("""COMPUTED_VALUE"""),"Mais de 100 Anos")</f>
        <v>Mais de 100 Anos</v>
      </c>
      <c r="B80" s="8">
        <f ca="1">SUMIF(Principal!T:T,A80,Principal!O:O)</f>
        <v>2436368474.8611398</v>
      </c>
      <c r="C80" s="3">
        <f ca="1">COUNTIF(Principal!T:T,A80)</f>
        <v>15</v>
      </c>
    </row>
    <row r="81" spans="1:1" ht="12.75" customHeight="1">
      <c r="A81" s="3"/>
    </row>
    <row r="82" spans="1:1" ht="12.75" customHeight="1">
      <c r="A82" s="3"/>
    </row>
    <row r="83" spans="1:1" ht="12.75" customHeight="1">
      <c r="A83" s="3"/>
    </row>
    <row r="84" spans="1:1" ht="12.75" customHeight="1">
      <c r="A84" s="3"/>
    </row>
    <row r="85" spans="1:1" ht="12.75" customHeight="1">
      <c r="A85" s="3"/>
    </row>
    <row r="86" spans="1:1" ht="12.75" customHeight="1">
      <c r="A86" s="3"/>
    </row>
    <row r="87" spans="1:1" ht="12.75" customHeight="1">
      <c r="A87" s="3"/>
    </row>
    <row r="88" spans="1:1" ht="12.75" customHeight="1">
      <c r="A88" s="3"/>
    </row>
    <row r="89" spans="1:1" ht="12.75" customHeight="1"/>
    <row r="90" spans="1:1" ht="12.75" customHeight="1"/>
    <row r="91" spans="1:1" ht="12.75" customHeight="1"/>
    <row r="92" spans="1:1" ht="12.75" customHeight="1"/>
    <row r="93" spans="1:1" ht="12.75" customHeight="1"/>
    <row r="94" spans="1:1" ht="12.75" customHeight="1"/>
    <row r="95" spans="1:1" ht="12.75" customHeight="1"/>
    <row r="96" spans="1:1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2" sqref="C2"/>
    </sheetView>
  </sheetViews>
  <sheetFormatPr defaultColWidth="12.5703125" defaultRowHeight="15" customHeight="1"/>
  <cols>
    <col min="1" max="1" width="21.140625" customWidth="1"/>
    <col min="2" max="2" width="37.5703125" bestFit="1" customWidth="1"/>
    <col min="3" max="3" width="27.7109375" customWidth="1"/>
    <col min="4" max="6" width="9.140625" customWidth="1"/>
    <col min="7" max="26" width="8.5703125" customWidth="1"/>
  </cols>
  <sheetData>
    <row r="1" spans="1:26">
      <c r="A1" s="10" t="s">
        <v>190</v>
      </c>
      <c r="B1" s="10" t="s">
        <v>191</v>
      </c>
      <c r="C1" s="11" t="s">
        <v>1091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3" t="s">
        <v>192</v>
      </c>
      <c r="B2" s="13" t="s">
        <v>193</v>
      </c>
      <c r="C2" s="13">
        <v>60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3" t="s">
        <v>194</v>
      </c>
      <c r="B3" s="13" t="s">
        <v>195</v>
      </c>
      <c r="C3" s="13">
        <v>10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3" t="s">
        <v>196</v>
      </c>
      <c r="B4" s="13" t="s">
        <v>197</v>
      </c>
      <c r="C4" s="13">
        <v>68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3" t="s">
        <v>198</v>
      </c>
      <c r="B5" s="13" t="s">
        <v>199</v>
      </c>
      <c r="C5" s="13">
        <v>100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3" t="s">
        <v>200</v>
      </c>
      <c r="B6" s="13" t="s">
        <v>201</v>
      </c>
      <c r="C6" s="13">
        <v>108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13" t="s">
        <v>202</v>
      </c>
      <c r="B7" s="13" t="s">
        <v>197</v>
      </c>
      <c r="C7" s="13">
        <v>8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>
      <c r="A8" s="13" t="s">
        <v>203</v>
      </c>
      <c r="B8" s="13" t="s">
        <v>195</v>
      </c>
      <c r="C8" s="13">
        <v>79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>
      <c r="A9" s="13" t="s">
        <v>204</v>
      </c>
      <c r="B9" s="13" t="s">
        <v>205</v>
      </c>
      <c r="C9" s="13">
        <v>50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13" t="s">
        <v>206</v>
      </c>
      <c r="B10" s="13" t="s">
        <v>207</v>
      </c>
      <c r="C10" s="13" t="s">
        <v>208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>
      <c r="A11" s="13" t="s">
        <v>209</v>
      </c>
      <c r="B11" s="13" t="s">
        <v>210</v>
      </c>
      <c r="C11" s="13">
        <v>45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13" t="s">
        <v>211</v>
      </c>
      <c r="B12" s="13" t="s">
        <v>212</v>
      </c>
      <c r="C12" s="13">
        <v>20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13" t="s">
        <v>213</v>
      </c>
      <c r="B13" s="13" t="s">
        <v>214</v>
      </c>
      <c r="C13" s="13">
        <v>13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 s="13" t="s">
        <v>215</v>
      </c>
      <c r="B14" s="13" t="s">
        <v>197</v>
      </c>
      <c r="C14" s="13">
        <v>6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3" t="s">
        <v>216</v>
      </c>
      <c r="B15" s="13" t="s">
        <v>201</v>
      </c>
      <c r="C15" s="13">
        <v>23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14" t="s">
        <v>217</v>
      </c>
      <c r="B16" s="13" t="s">
        <v>193</v>
      </c>
      <c r="C16" s="13">
        <v>80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3" t="s">
        <v>218</v>
      </c>
      <c r="B17" s="13" t="s">
        <v>219</v>
      </c>
      <c r="C17" s="13">
        <v>53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3" t="s">
        <v>220</v>
      </c>
      <c r="B18" s="13" t="s">
        <v>221</v>
      </c>
      <c r="C18" s="13">
        <v>84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3" t="s">
        <v>222</v>
      </c>
      <c r="B19" s="13" t="s">
        <v>223</v>
      </c>
      <c r="C19" s="13">
        <v>42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3" t="s">
        <v>224</v>
      </c>
      <c r="B20" s="13" t="s">
        <v>225</v>
      </c>
      <c r="C20" s="13">
        <v>50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3" t="s">
        <v>226</v>
      </c>
      <c r="B21" s="13" t="s">
        <v>207</v>
      </c>
      <c r="C21" s="13">
        <v>78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13" t="s">
        <v>227</v>
      </c>
      <c r="B22" s="13" t="s">
        <v>228</v>
      </c>
      <c r="C22" s="13">
        <v>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3" t="s">
        <v>229</v>
      </c>
      <c r="B23" s="13" t="s">
        <v>230</v>
      </c>
      <c r="C23" s="13">
        <v>72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3" t="s">
        <v>231</v>
      </c>
      <c r="B24" s="13" t="s">
        <v>232</v>
      </c>
      <c r="C24" s="13" t="s">
        <v>233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3" t="s">
        <v>234</v>
      </c>
      <c r="B25" s="13" t="s">
        <v>235</v>
      </c>
      <c r="C25" s="13" t="s">
        <v>236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13" t="s">
        <v>237</v>
      </c>
      <c r="B26" s="13" t="s">
        <v>238</v>
      </c>
      <c r="C26" s="13">
        <v>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3" t="s">
        <v>239</v>
      </c>
      <c r="B27" s="13" t="s">
        <v>240</v>
      </c>
      <c r="C27" s="13">
        <v>10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13" t="s">
        <v>241</v>
      </c>
      <c r="B28" s="13" t="s">
        <v>242</v>
      </c>
      <c r="C28" s="13" t="s">
        <v>243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3" t="s">
        <v>244</v>
      </c>
      <c r="B29" s="13" t="s">
        <v>235</v>
      </c>
      <c r="C29" s="13">
        <v>25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13" t="s">
        <v>245</v>
      </c>
      <c r="B30" s="13" t="s">
        <v>246</v>
      </c>
      <c r="C30" s="13">
        <v>21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13" t="s">
        <v>247</v>
      </c>
      <c r="B31" s="13" t="s">
        <v>248</v>
      </c>
      <c r="C31" s="13">
        <v>23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13" t="s">
        <v>249</v>
      </c>
      <c r="B32" s="13" t="s">
        <v>197</v>
      </c>
      <c r="C32" s="13">
        <v>5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13" t="s">
        <v>250</v>
      </c>
      <c r="B33" s="13" t="s">
        <v>251</v>
      </c>
      <c r="C33" s="13">
        <v>55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3" t="s">
        <v>252</v>
      </c>
      <c r="B34" s="13" t="s">
        <v>207</v>
      </c>
      <c r="C34" s="13">
        <v>213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13" t="s">
        <v>253</v>
      </c>
      <c r="B35" s="13" t="s">
        <v>254</v>
      </c>
      <c r="C35" s="13">
        <v>118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3" t="s">
        <v>255</v>
      </c>
      <c r="B36" s="13" t="s">
        <v>256</v>
      </c>
      <c r="C36" s="13">
        <v>120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13" t="s">
        <v>257</v>
      </c>
      <c r="B37" s="13" t="s">
        <v>258</v>
      </c>
      <c r="C37" s="13">
        <v>84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3" t="s">
        <v>259</v>
      </c>
      <c r="B38" s="13" t="s">
        <v>228</v>
      </c>
      <c r="C38" s="13">
        <v>68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3" t="s">
        <v>260</v>
      </c>
      <c r="B39" s="13" t="s">
        <v>261</v>
      </c>
      <c r="C39" s="13">
        <v>64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3" t="s">
        <v>262</v>
      </c>
      <c r="B40" s="13" t="s">
        <v>193</v>
      </c>
      <c r="C40" s="13">
        <v>120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13" t="s">
        <v>263</v>
      </c>
      <c r="B41" s="13" t="s">
        <v>264</v>
      </c>
      <c r="C41" s="13">
        <v>9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13" t="s">
        <v>265</v>
      </c>
      <c r="B42" s="13" t="s">
        <v>201</v>
      </c>
      <c r="C42" s="13">
        <v>66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13" t="s">
        <v>266</v>
      </c>
      <c r="B43" s="13" t="s">
        <v>267</v>
      </c>
      <c r="C43" s="13">
        <v>14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3" t="s">
        <v>268</v>
      </c>
      <c r="B44" s="13" t="s">
        <v>228</v>
      </c>
      <c r="C44" s="13" t="s">
        <v>269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3" t="s">
        <v>270</v>
      </c>
      <c r="B45" s="13" t="s">
        <v>271</v>
      </c>
      <c r="C45" s="13">
        <v>31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3" t="s">
        <v>272</v>
      </c>
      <c r="B46" s="13" t="s">
        <v>273</v>
      </c>
      <c r="C46" s="13">
        <v>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3" t="s">
        <v>274</v>
      </c>
      <c r="B47" s="13" t="s">
        <v>275</v>
      </c>
      <c r="C47" s="13">
        <v>48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3" t="s">
        <v>276</v>
      </c>
      <c r="B48" s="13" t="s">
        <v>277</v>
      </c>
      <c r="C48" s="13">
        <v>54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3" t="s">
        <v>278</v>
      </c>
      <c r="B49" s="13" t="s">
        <v>201</v>
      </c>
      <c r="C49" s="13">
        <v>69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3" t="s">
        <v>279</v>
      </c>
      <c r="B50" s="13" t="s">
        <v>201</v>
      </c>
      <c r="C50" s="13">
        <v>60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3" t="s">
        <v>280</v>
      </c>
      <c r="B51" s="13" t="s">
        <v>281</v>
      </c>
      <c r="C51" s="13">
        <v>10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3" t="s">
        <v>282</v>
      </c>
      <c r="B52" s="13" t="s">
        <v>283</v>
      </c>
      <c r="C52" s="13">
        <v>59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3" t="s">
        <v>284</v>
      </c>
      <c r="B53" s="13" t="s">
        <v>285</v>
      </c>
      <c r="C53" s="13">
        <v>45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3" t="s">
        <v>127</v>
      </c>
      <c r="B54" s="13" t="s">
        <v>286</v>
      </c>
      <c r="C54" s="13" t="s">
        <v>243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3" t="s">
        <v>287</v>
      </c>
      <c r="B55" s="13" t="s">
        <v>288</v>
      </c>
      <c r="C55" s="13">
        <v>23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3" t="s">
        <v>289</v>
      </c>
      <c r="B56" s="13" t="s">
        <v>219</v>
      </c>
      <c r="C56" s="13">
        <v>18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3" t="s">
        <v>290</v>
      </c>
      <c r="B57" s="13" t="s">
        <v>201</v>
      </c>
      <c r="C57" s="13">
        <v>23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3" t="s">
        <v>291</v>
      </c>
      <c r="B58" s="13" t="s">
        <v>292</v>
      </c>
      <c r="C58" s="13">
        <v>184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3" t="s">
        <v>293</v>
      </c>
      <c r="B59" s="13" t="s">
        <v>292</v>
      </c>
      <c r="C59" s="13">
        <v>8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3" t="s">
        <v>294</v>
      </c>
      <c r="B60" s="13" t="s">
        <v>295</v>
      </c>
      <c r="C60" s="13">
        <v>82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3" t="s">
        <v>296</v>
      </c>
      <c r="B61" s="13" t="s">
        <v>297</v>
      </c>
      <c r="C61" s="13">
        <v>18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3" t="s">
        <v>298</v>
      </c>
      <c r="B62" s="13" t="s">
        <v>223</v>
      </c>
      <c r="C62" s="13" t="s">
        <v>299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3" t="s">
        <v>300</v>
      </c>
      <c r="B63" s="13" t="s">
        <v>301</v>
      </c>
      <c r="C63" s="13">
        <v>94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3" t="s">
        <v>302</v>
      </c>
      <c r="B64" s="13" t="s">
        <v>303</v>
      </c>
      <c r="C64" s="13">
        <v>9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3" t="s">
        <v>304</v>
      </c>
      <c r="B65" s="13" t="s">
        <v>225</v>
      </c>
      <c r="C65" s="13">
        <v>114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3" t="s">
        <v>305</v>
      </c>
      <c r="B66" s="13" t="s">
        <v>223</v>
      </c>
      <c r="C66" s="13">
        <v>58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3" t="s">
        <v>306</v>
      </c>
      <c r="B67" s="13" t="s">
        <v>307</v>
      </c>
      <c r="C67" s="13">
        <v>53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3" t="s">
        <v>308</v>
      </c>
      <c r="B68" s="13" t="s">
        <v>309</v>
      </c>
      <c r="C68" s="13">
        <v>54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3" t="s">
        <v>310</v>
      </c>
      <c r="B69" s="13" t="s">
        <v>311</v>
      </c>
      <c r="C69" s="13">
        <v>47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3" t="s">
        <v>312</v>
      </c>
      <c r="B70" s="13" t="s">
        <v>240</v>
      </c>
      <c r="C70" s="13">
        <v>125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3" t="s">
        <v>313</v>
      </c>
      <c r="B71" s="13" t="s">
        <v>314</v>
      </c>
      <c r="C71" s="13">
        <v>19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3" t="s">
        <v>315</v>
      </c>
      <c r="B72" s="13" t="s">
        <v>316</v>
      </c>
      <c r="C72" s="13">
        <v>81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3" t="s">
        <v>317</v>
      </c>
      <c r="B73" s="13" t="s">
        <v>318</v>
      </c>
      <c r="C73" s="13">
        <v>44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3" t="s">
        <v>319</v>
      </c>
      <c r="B74" s="13" t="s">
        <v>320</v>
      </c>
      <c r="C74" s="13">
        <v>58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3" t="s">
        <v>321</v>
      </c>
      <c r="B75" s="13" t="s">
        <v>230</v>
      </c>
      <c r="C75" s="13">
        <v>46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3" t="s">
        <v>322</v>
      </c>
      <c r="B76" s="13" t="s">
        <v>323</v>
      </c>
      <c r="C76" s="13">
        <v>68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3" t="s">
        <v>324</v>
      </c>
      <c r="B77" s="13" t="s">
        <v>325</v>
      </c>
      <c r="C77" s="13">
        <v>49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3" t="s">
        <v>326</v>
      </c>
      <c r="B78" s="13" t="s">
        <v>327</v>
      </c>
      <c r="C78" s="13">
        <v>50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3" t="s">
        <v>328</v>
      </c>
      <c r="B79" s="13" t="s">
        <v>214</v>
      </c>
      <c r="C79" s="13">
        <v>21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5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5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5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5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5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5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5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5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5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5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5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5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5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5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5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5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5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5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5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5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5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5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5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5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5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5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5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5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5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5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5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5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5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5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5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5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5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5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5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5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5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5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5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5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5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5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5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5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5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5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5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5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5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5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5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5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5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5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5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5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5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5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5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5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5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5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5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5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5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5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5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5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5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5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5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5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5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5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5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5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5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5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5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5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5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5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5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5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5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5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5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5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5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5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5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5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5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5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5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5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5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5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5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5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5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5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5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5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5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5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5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5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5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5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5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5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5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5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5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5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5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5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5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5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5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5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5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5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5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5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5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5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5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5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5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5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5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5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5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5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5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5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5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5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5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5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5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5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5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5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5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5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5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5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5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5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5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5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5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5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5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5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5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5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5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5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5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5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5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5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5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5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5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5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5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5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5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5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5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5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5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5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5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5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5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5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5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5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5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5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5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5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5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5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5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5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5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5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5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5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5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5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5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5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5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5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5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5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5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5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5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5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5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5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5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5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5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5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5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5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5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5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5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5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5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5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5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5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5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5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5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5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5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5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5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5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5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5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5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5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5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5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5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5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5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5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5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5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5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5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5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5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5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5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5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5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5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5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5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5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5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5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5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5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5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5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5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5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5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5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5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5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5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5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5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5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5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5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5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5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5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5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5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5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5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5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5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5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5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5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5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5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5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5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5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5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5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5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5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5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5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5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5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5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5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5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5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5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5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5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5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5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5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5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5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5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5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5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5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5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5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5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5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5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5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5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5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5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5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5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5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5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5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5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5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5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5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5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5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5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5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5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5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5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5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5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5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5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5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5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5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5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5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5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5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5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5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5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5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5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5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5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5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5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5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5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5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5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5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5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5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5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5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5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5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5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5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5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5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5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5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5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5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5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5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5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5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5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5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5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5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5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5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5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5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5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5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5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5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5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5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5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5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5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5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5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5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5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5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5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5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5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5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5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5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5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5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5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5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5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5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5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5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5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5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5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5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5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5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5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5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5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5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5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5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5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5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5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5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5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5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5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5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5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5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5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5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5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5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5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5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5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5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5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5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5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5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5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5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5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5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5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5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5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5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5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5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5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5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5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5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5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5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5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5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5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5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5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5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5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5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5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5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5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5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5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5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5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5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5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5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5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5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5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5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5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5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5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5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5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5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5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5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5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5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5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5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5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5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5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5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5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5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5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5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5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5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5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5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5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5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5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5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5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5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5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5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5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5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5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5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5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5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5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5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5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5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5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5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5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5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5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5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5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5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5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5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5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5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5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5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5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5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5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5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5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5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5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5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5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5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5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5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5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5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5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5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5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5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5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5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5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5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5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5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5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5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5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5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5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5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5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5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5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5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5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5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5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5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5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5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5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5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5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5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5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5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5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5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5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5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5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5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5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5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5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5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5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5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5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5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5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5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5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5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5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5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5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5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5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5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5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5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5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5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5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5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5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5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5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5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5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5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5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5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5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5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5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5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5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5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5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5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5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5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5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5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5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5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5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5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5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5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5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5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5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5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5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5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5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5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5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5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5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5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5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5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5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5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5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5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5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5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5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5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5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5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5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5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5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5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5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5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5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5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5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5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5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5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5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5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5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5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5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5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5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5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5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5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5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5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5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5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5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5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5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5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5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5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5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5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5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5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5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5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5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5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5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5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5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5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5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5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5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5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5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5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5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5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5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5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5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5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5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5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5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5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5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5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5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5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5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5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5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5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5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5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5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5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5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5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5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5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5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5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5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5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5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5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5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5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5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5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5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5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5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5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5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5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5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5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5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5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5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5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5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5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5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5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5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5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5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5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5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5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5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5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5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5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5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5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5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5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5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5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5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5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5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5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5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5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5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5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5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5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5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5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5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5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5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5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5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5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5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5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5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5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5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5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5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5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5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5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5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5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5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5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5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5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5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5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5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5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5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5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5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5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5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5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5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5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5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5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5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5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5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5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5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5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5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5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5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5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5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5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5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5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5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5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5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5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5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5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5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5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5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5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5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5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5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5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5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5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5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5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5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5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5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5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5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5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5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5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5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5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5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5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5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5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5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5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5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5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5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5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5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5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5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5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5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5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5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5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5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5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5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5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5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5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5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5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5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5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5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5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5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5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5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5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5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width="19.42578125" customWidth="1"/>
    <col min="2" max="2" width="13.85546875" bestFit="1" customWidth="1"/>
    <col min="3" max="6" width="12.5703125" customWidth="1"/>
  </cols>
  <sheetData>
    <row r="1" spans="1:26" ht="15.75" customHeight="1">
      <c r="A1" s="16" t="s">
        <v>329</v>
      </c>
      <c r="B1" s="16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7" t="s">
        <v>45</v>
      </c>
      <c r="B2" s="18">
        <v>235665566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7" t="s">
        <v>127</v>
      </c>
      <c r="B3" s="18">
        <v>532616595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7" t="s">
        <v>150</v>
      </c>
      <c r="B4" s="18">
        <v>176733968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7" t="s">
        <v>109</v>
      </c>
      <c r="B5" s="18">
        <v>4394245879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7" t="s">
        <v>57</v>
      </c>
      <c r="B6" s="18">
        <v>62305891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7" t="s">
        <v>158</v>
      </c>
      <c r="B7" s="18">
        <v>1349217892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7" t="s">
        <v>43</v>
      </c>
      <c r="B8" s="18">
        <v>327593725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7" t="s">
        <v>160</v>
      </c>
      <c r="B9" s="18">
        <v>5602790110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7" t="s">
        <v>111</v>
      </c>
      <c r="B10" s="18">
        <v>671750768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7" t="s">
        <v>97</v>
      </c>
      <c r="B11" s="18">
        <v>1500728902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7" t="s">
        <v>59</v>
      </c>
      <c r="B12" s="18">
        <v>5146576868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7" t="s">
        <v>77</v>
      </c>
      <c r="B13" s="18">
        <v>251003438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7" t="s">
        <v>85</v>
      </c>
      <c r="B14" s="18">
        <v>1420949112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7" t="s">
        <v>41</v>
      </c>
      <c r="B15" s="18">
        <v>265877867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7" t="s">
        <v>65</v>
      </c>
      <c r="B16" s="18">
        <v>1677525446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7" t="s">
        <v>331</v>
      </c>
      <c r="B17" s="18">
        <v>1150645866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7" t="s">
        <v>170</v>
      </c>
      <c r="B18" s="18">
        <v>533990587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7" t="s">
        <v>172</v>
      </c>
      <c r="B19" s="18">
        <v>94843047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7" t="s">
        <v>129</v>
      </c>
      <c r="B20" s="18">
        <v>995335937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7" t="s">
        <v>117</v>
      </c>
      <c r="B21" s="18">
        <v>1437415777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7" t="s">
        <v>71</v>
      </c>
      <c r="B22" s="18">
        <v>1095462329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7" t="s">
        <v>131</v>
      </c>
      <c r="B23" s="18">
        <v>1814920980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7" t="s">
        <v>103</v>
      </c>
      <c r="B24" s="18">
        <v>1679335290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7" t="s">
        <v>91</v>
      </c>
      <c r="B25" s="18">
        <v>1168097881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7" t="s">
        <v>27</v>
      </c>
      <c r="B26" s="18">
        <v>187732538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7" t="s">
        <v>21</v>
      </c>
      <c r="B27" s="18">
        <v>1110559345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7" t="s">
        <v>176</v>
      </c>
      <c r="B28" s="18">
        <v>525582771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7" t="s">
        <v>152</v>
      </c>
      <c r="B29" s="18">
        <v>265784616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7" t="s">
        <v>73</v>
      </c>
      <c r="B30" s="18">
        <v>302768240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7" t="s">
        <v>141</v>
      </c>
      <c r="B31" s="18">
        <v>1980568384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7" t="s">
        <v>119</v>
      </c>
      <c r="B32" s="18">
        <v>268544014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7" t="s">
        <v>154</v>
      </c>
      <c r="B33" s="18">
        <v>734632705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7" t="s">
        <v>332</v>
      </c>
      <c r="B34" s="18">
        <v>290386402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7" t="s">
        <v>121</v>
      </c>
      <c r="B35" s="18">
        <v>1579130168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7" t="s">
        <v>135</v>
      </c>
      <c r="B36" s="18">
        <v>255236961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7" t="s">
        <v>47</v>
      </c>
      <c r="B37" s="18">
        <v>1095587251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7" t="s">
        <v>145</v>
      </c>
      <c r="B38" s="18">
        <v>91514307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7" t="s">
        <v>147</v>
      </c>
      <c r="B39" s="18">
        <v>240822651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7" t="s">
        <v>99</v>
      </c>
      <c r="B40" s="18">
        <v>1118525506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7" t="s">
        <v>89</v>
      </c>
      <c r="B41" s="18">
        <v>660411219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7" t="s">
        <v>178</v>
      </c>
      <c r="B42" s="18">
        <v>198184909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7" t="s">
        <v>156</v>
      </c>
      <c r="B43" s="18">
        <v>846244302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7" t="s">
        <v>148</v>
      </c>
      <c r="B44" s="18">
        <v>496029967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7" t="s">
        <v>166</v>
      </c>
      <c r="B45" s="18">
        <v>4394332306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7" t="s">
        <v>162</v>
      </c>
      <c r="B46" s="18">
        <v>409490388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7" t="s">
        <v>333</v>
      </c>
      <c r="B47" s="18">
        <v>217622138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7" t="s">
        <v>139</v>
      </c>
      <c r="B48" s="18">
        <v>81838843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7" t="s">
        <v>83</v>
      </c>
      <c r="B49" s="18">
        <v>5372783971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7" t="s">
        <v>37</v>
      </c>
      <c r="B50" s="18">
        <v>4801593832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7" t="s">
        <v>93</v>
      </c>
      <c r="B51" s="18">
        <v>1134986472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7" t="s">
        <v>334</v>
      </c>
      <c r="B52" s="18">
        <v>706747385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7" t="s">
        <v>174</v>
      </c>
      <c r="B53" s="18">
        <v>853202347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7" t="s">
        <v>168</v>
      </c>
      <c r="B54" s="18">
        <v>951329770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7" t="s">
        <v>79</v>
      </c>
      <c r="B55" s="18">
        <v>393173139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7" t="s">
        <v>95</v>
      </c>
      <c r="B56" s="18">
        <v>2867627068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7" t="s">
        <v>107</v>
      </c>
      <c r="B57" s="18">
        <v>331799687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7" t="s">
        <v>61</v>
      </c>
      <c r="B58" s="18">
        <v>261036182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7" t="s">
        <v>55</v>
      </c>
      <c r="B59" s="18">
        <v>376187582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7" t="s">
        <v>35</v>
      </c>
      <c r="B60" s="18">
        <v>268505432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7" t="s">
        <v>63</v>
      </c>
      <c r="B61" s="18">
        <v>159430826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7" t="s">
        <v>23</v>
      </c>
      <c r="B62" s="18">
        <v>2379877655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7" t="s">
        <v>31</v>
      </c>
      <c r="B63" s="18">
        <v>4566445852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7" t="s">
        <v>81</v>
      </c>
      <c r="B64" s="18">
        <v>275005663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7" t="s">
        <v>29</v>
      </c>
      <c r="B65" s="18">
        <v>800010734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7" t="s">
        <v>143</v>
      </c>
      <c r="B66" s="18">
        <v>309729428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7" t="s">
        <v>87</v>
      </c>
      <c r="B67" s="18">
        <v>1275798515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7" t="s">
        <v>101</v>
      </c>
      <c r="B68" s="18">
        <v>1193047233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7" t="s">
        <v>39</v>
      </c>
      <c r="B69" s="18">
        <v>1168230366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7" t="s">
        <v>69</v>
      </c>
      <c r="B70" s="18">
        <v>1218352541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7" t="s">
        <v>113</v>
      </c>
      <c r="B71" s="18">
        <v>340001799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7" t="s">
        <v>335</v>
      </c>
      <c r="B72" s="18">
        <v>342918449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7" t="s">
        <v>164</v>
      </c>
      <c r="B73" s="18">
        <v>142377330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7" t="s">
        <v>49</v>
      </c>
      <c r="B74" s="18">
        <v>600865451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7" t="s">
        <v>125</v>
      </c>
      <c r="B75" s="18">
        <v>195751130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7" t="s">
        <v>25</v>
      </c>
      <c r="B76" s="18">
        <v>683452836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7" t="s">
        <v>336</v>
      </c>
      <c r="B77" s="18">
        <v>218568234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7" t="s">
        <v>67</v>
      </c>
      <c r="B78" s="18">
        <v>423091712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7" t="s">
        <v>75</v>
      </c>
      <c r="B79" s="18">
        <v>807896814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7" t="s">
        <v>115</v>
      </c>
      <c r="B80" s="18">
        <v>514122351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7" t="s">
        <v>133</v>
      </c>
      <c r="B81" s="18">
        <v>395801044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7" t="s">
        <v>53</v>
      </c>
      <c r="B82" s="18">
        <v>1086411192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7" t="s">
        <v>19</v>
      </c>
      <c r="B83" s="18">
        <v>515117391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7" t="s">
        <v>33</v>
      </c>
      <c r="B84" s="18">
        <v>4196924316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7" t="s">
        <v>105</v>
      </c>
      <c r="B85" s="18">
        <v>421383330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7" t="s">
        <v>137</v>
      </c>
      <c r="B86" s="18">
        <v>1114412532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7" t="s">
        <v>123</v>
      </c>
      <c r="B87" s="18">
        <v>1481593024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7" t="s">
        <v>51</v>
      </c>
      <c r="B88" s="18">
        <v>289347914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7" t="s">
        <v>337</v>
      </c>
      <c r="B89" s="18">
        <v>96372098181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7" t="s">
        <v>338</v>
      </c>
      <c r="B90" s="19">
        <v>17047850.7866643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20"/>
      <c r="B91" s="2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20"/>
      <c r="B92" s="2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20"/>
      <c r="B93" s="2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20"/>
      <c r="B94" s="2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20"/>
      <c r="B95" s="2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20"/>
      <c r="B96" s="2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20"/>
      <c r="B97" s="2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20"/>
      <c r="B98" s="2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20"/>
      <c r="B99" s="2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20"/>
      <c r="B100" s="2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20"/>
      <c r="B101" s="2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20"/>
      <c r="B102" s="2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20"/>
      <c r="B103" s="2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20"/>
      <c r="B104" s="2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20"/>
      <c r="B105" s="2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20"/>
      <c r="B106" s="2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20"/>
      <c r="B107" s="2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20"/>
      <c r="B108" s="2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20"/>
      <c r="B109" s="2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20"/>
      <c r="B110" s="2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20"/>
      <c r="B111" s="2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20"/>
      <c r="B112" s="2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20"/>
      <c r="B113" s="2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20"/>
      <c r="B114" s="2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20"/>
      <c r="B115" s="2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20"/>
      <c r="B116" s="2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20"/>
      <c r="B117" s="2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20"/>
      <c r="B118" s="2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20"/>
      <c r="B119" s="2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20"/>
      <c r="B120" s="2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20"/>
      <c r="B121" s="2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20"/>
      <c r="B122" s="2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20"/>
      <c r="B123" s="2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20"/>
      <c r="B124" s="2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20"/>
      <c r="B125" s="2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20"/>
      <c r="B126" s="2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20"/>
      <c r="B127" s="2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20"/>
      <c r="B128" s="2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20"/>
      <c r="B129" s="2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20"/>
      <c r="B130" s="2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20"/>
      <c r="B131" s="2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20"/>
      <c r="B132" s="2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20"/>
      <c r="B133" s="2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20"/>
      <c r="B134" s="2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20"/>
      <c r="B135" s="2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20"/>
      <c r="B136" s="2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20"/>
      <c r="B137" s="2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20"/>
      <c r="B138" s="2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20"/>
      <c r="B139" s="2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20"/>
      <c r="B140" s="2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20"/>
      <c r="B141" s="2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20"/>
      <c r="B142" s="2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20"/>
      <c r="B143" s="2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20"/>
      <c r="B144" s="2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20"/>
      <c r="B145" s="2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20"/>
      <c r="B146" s="2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20"/>
      <c r="B147" s="2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20"/>
      <c r="B148" s="2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20"/>
      <c r="B149" s="2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20"/>
      <c r="B150" s="2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20"/>
      <c r="B151" s="2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20"/>
      <c r="B152" s="2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20"/>
      <c r="B153" s="2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20"/>
      <c r="B154" s="2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20"/>
      <c r="B155" s="2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20"/>
      <c r="B156" s="2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20"/>
      <c r="B157" s="2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0"/>
      <c r="B158" s="2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20"/>
      <c r="B159" s="2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20"/>
      <c r="B160" s="2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20"/>
      <c r="B161" s="2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20"/>
      <c r="B162" s="2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20"/>
      <c r="B163" s="2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20"/>
      <c r="B164" s="2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20"/>
      <c r="B165" s="2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20"/>
      <c r="B166" s="2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20"/>
      <c r="B167" s="2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20"/>
      <c r="B168" s="2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20"/>
      <c r="B169" s="2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20"/>
      <c r="B170" s="2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20"/>
      <c r="B171" s="2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20"/>
      <c r="B172" s="2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20"/>
      <c r="B173" s="2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20"/>
      <c r="B174" s="2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20"/>
      <c r="B175" s="2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20"/>
      <c r="B176" s="2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20"/>
      <c r="B177" s="2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20"/>
      <c r="B178" s="2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20"/>
      <c r="B179" s="2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20"/>
      <c r="B180" s="2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20"/>
      <c r="B181" s="2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20"/>
      <c r="B182" s="2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20"/>
      <c r="B183" s="2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20"/>
      <c r="B184" s="2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20"/>
      <c r="B185" s="2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20"/>
      <c r="B186" s="2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20"/>
      <c r="B187" s="2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20"/>
      <c r="B188" s="2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20"/>
      <c r="B189" s="2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20"/>
      <c r="B190" s="2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20"/>
      <c r="B191" s="2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20"/>
      <c r="B192" s="2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20"/>
      <c r="B193" s="2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20"/>
      <c r="B194" s="2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20"/>
      <c r="B195" s="2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20"/>
      <c r="B196" s="2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20"/>
      <c r="B197" s="2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20"/>
      <c r="B198" s="2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20"/>
      <c r="B199" s="2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20"/>
      <c r="B200" s="2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20"/>
      <c r="B201" s="2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20"/>
      <c r="B202" s="2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20"/>
      <c r="B203" s="2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20"/>
      <c r="B204" s="2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20"/>
      <c r="B205" s="2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20"/>
      <c r="B206" s="2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20"/>
      <c r="B207" s="2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20"/>
      <c r="B208" s="2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20"/>
      <c r="B209" s="2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20"/>
      <c r="B210" s="2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20"/>
      <c r="B211" s="2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20"/>
      <c r="B212" s="2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20"/>
      <c r="B213" s="2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20"/>
      <c r="B214" s="2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20"/>
      <c r="B215" s="2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20"/>
      <c r="B216" s="2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20"/>
      <c r="B217" s="2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20"/>
      <c r="B218" s="2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20"/>
      <c r="B219" s="2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20"/>
      <c r="B220" s="2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20"/>
      <c r="B221" s="2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20"/>
      <c r="B222" s="2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20"/>
      <c r="B223" s="2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20"/>
      <c r="B224" s="2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20"/>
      <c r="B225" s="2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20"/>
      <c r="B226" s="2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20"/>
      <c r="B227" s="2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20"/>
      <c r="B228" s="2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20"/>
      <c r="B229" s="2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20"/>
      <c r="B230" s="2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20"/>
      <c r="B231" s="2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20"/>
      <c r="B232" s="2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20"/>
      <c r="B233" s="2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0"/>
      <c r="B234" s="2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20"/>
      <c r="B235" s="2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20"/>
      <c r="B236" s="2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20"/>
      <c r="B237" s="2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20"/>
      <c r="B238" s="2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20"/>
      <c r="B239" s="2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20"/>
      <c r="B240" s="2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20"/>
      <c r="B241" s="20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20"/>
      <c r="B242" s="20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20"/>
      <c r="B243" s="20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20"/>
      <c r="B244" s="20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20"/>
      <c r="B245" s="20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20"/>
      <c r="B246" s="20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20"/>
      <c r="B247" s="20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20"/>
      <c r="B248" s="20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20"/>
      <c r="B249" s="20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20"/>
      <c r="B250" s="2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20"/>
      <c r="B251" s="20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20"/>
      <c r="B252" s="20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20"/>
      <c r="B253" s="20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20"/>
      <c r="B254" s="20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20"/>
      <c r="B255" s="20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20"/>
      <c r="B256" s="20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20"/>
      <c r="B257" s="20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20"/>
      <c r="B258" s="20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20"/>
      <c r="B259" s="20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20"/>
      <c r="B260" s="2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20"/>
      <c r="B261" s="20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20"/>
      <c r="B262" s="20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20"/>
      <c r="B263" s="20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20"/>
      <c r="B264" s="20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20"/>
      <c r="B265" s="20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20"/>
      <c r="B266" s="20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20"/>
      <c r="B267" s="20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20"/>
      <c r="B268" s="20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20"/>
      <c r="B269" s="20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20"/>
      <c r="B270" s="20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20"/>
      <c r="B271" s="20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20"/>
      <c r="B272" s="20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20"/>
      <c r="B273" s="20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20"/>
      <c r="B274" s="20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20"/>
      <c r="B275" s="20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20"/>
      <c r="B276" s="20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20"/>
      <c r="B277" s="20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20"/>
      <c r="B278" s="20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20"/>
      <c r="B279" s="20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20"/>
      <c r="B280" s="20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0"/>
      <c r="B281" s="20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20"/>
      <c r="B282" s="20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20"/>
      <c r="B283" s="20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20"/>
      <c r="B284" s="20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20"/>
      <c r="B285" s="20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20"/>
      <c r="B286" s="20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0"/>
      <c r="B287" s="20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20"/>
      <c r="B288" s="20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20"/>
      <c r="B289" s="20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20"/>
      <c r="B290" s="20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width="8" customWidth="1"/>
    <col min="2" max="2" width="30" customWidth="1"/>
    <col min="3" max="22" width="12.5703125" customWidth="1"/>
  </cols>
  <sheetData>
    <row r="1" spans="1:26" ht="15.75" customHeight="1">
      <c r="A1" s="21" t="s">
        <v>339</v>
      </c>
      <c r="B1" s="21" t="s">
        <v>340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>
      <c r="A2" s="22" t="s">
        <v>95</v>
      </c>
      <c r="B2" s="22" t="s">
        <v>260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>
      <c r="A3" s="23" t="s">
        <v>166</v>
      </c>
      <c r="B3" s="23" t="s">
        <v>317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>
      <c r="A4" s="22" t="s">
        <v>31</v>
      </c>
      <c r="B4" s="22" t="s">
        <v>196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>
      <c r="A5" s="23" t="s">
        <v>160</v>
      </c>
      <c r="B5" s="23" t="s">
        <v>312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>
      <c r="A6" s="22" t="s">
        <v>19</v>
      </c>
      <c r="B6" s="22" t="s">
        <v>192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>
      <c r="A7" s="23" t="s">
        <v>176</v>
      </c>
      <c r="B7" s="23" t="s">
        <v>326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>
      <c r="A8" s="22" t="s">
        <v>71</v>
      </c>
      <c r="B8" s="22" t="s">
        <v>239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>
      <c r="A9" s="23" t="s">
        <v>33</v>
      </c>
      <c r="B9" s="23" t="s">
        <v>203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>
      <c r="A10" s="22" t="s">
        <v>178</v>
      </c>
      <c r="B10" s="22" t="s">
        <v>328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>
      <c r="A11" s="23" t="s">
        <v>59</v>
      </c>
      <c r="B11" s="23" t="s">
        <v>226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>
      <c r="A12" s="22" t="s">
        <v>43</v>
      </c>
      <c r="B12" s="22" t="s">
        <v>213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23" t="s">
        <v>131</v>
      </c>
      <c r="B13" s="23" t="s">
        <v>289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22" t="s">
        <v>83</v>
      </c>
      <c r="B14" s="22" t="s">
        <v>250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23" t="s">
        <v>37</v>
      </c>
      <c r="B15" s="23" t="s">
        <v>206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22" t="s">
        <v>143</v>
      </c>
      <c r="B16" s="22" t="s">
        <v>296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23" t="s">
        <v>55</v>
      </c>
      <c r="B17" s="23" t="s">
        <v>222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22" t="s">
        <v>156</v>
      </c>
      <c r="B18" s="22" t="s">
        <v>308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23" t="s">
        <v>168</v>
      </c>
      <c r="B19" s="23" t="s">
        <v>319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22" t="s">
        <v>47</v>
      </c>
      <c r="B20" s="22" t="s">
        <v>216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23" t="s">
        <v>174</v>
      </c>
      <c r="B21" s="23" t="s">
        <v>324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22" t="s">
        <v>341</v>
      </c>
      <c r="B22" s="22" t="s">
        <v>342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23" t="s">
        <v>343</v>
      </c>
      <c r="B23" s="23" t="s">
        <v>344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22" t="s">
        <v>23</v>
      </c>
      <c r="B24" s="22" t="s">
        <v>196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23" t="s">
        <v>79</v>
      </c>
      <c r="B25" s="23" t="s">
        <v>247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22" t="s">
        <v>103</v>
      </c>
      <c r="B26" s="22" t="s">
        <v>265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23" t="s">
        <v>345</v>
      </c>
      <c r="B27" s="23" t="s">
        <v>346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22" t="s">
        <v>148</v>
      </c>
      <c r="B28" s="22" t="s">
        <v>302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23" t="s">
        <v>85</v>
      </c>
      <c r="B29" s="23" t="s">
        <v>252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22" t="s">
        <v>347</v>
      </c>
      <c r="B30" s="22" t="s">
        <v>348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23" t="s">
        <v>69</v>
      </c>
      <c r="B31" s="23" t="s">
        <v>237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22" t="s">
        <v>29</v>
      </c>
      <c r="B32" s="22" t="s">
        <v>202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23" t="s">
        <v>349</v>
      </c>
      <c r="B33" s="23" t="s">
        <v>265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>
      <c r="A34" s="22" t="s">
        <v>65</v>
      </c>
      <c r="B34" s="22" t="s">
        <v>231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23" t="s">
        <v>109</v>
      </c>
      <c r="B35" s="23" t="s">
        <v>270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>
      <c r="A36" s="22" t="s">
        <v>350</v>
      </c>
      <c r="B36" s="22" t="s">
        <v>351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>
      <c r="A37" s="23" t="s">
        <v>352</v>
      </c>
      <c r="B37" s="23" t="s">
        <v>353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>
      <c r="A38" s="22" t="s">
        <v>354</v>
      </c>
      <c r="B38" s="22" t="s">
        <v>355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>
      <c r="A39" s="23" t="s">
        <v>49</v>
      </c>
      <c r="B39" s="23" t="s">
        <v>217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>
      <c r="A40" s="22" t="s">
        <v>61</v>
      </c>
      <c r="B40" s="22" t="s">
        <v>227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>
      <c r="A41" s="23" t="s">
        <v>158</v>
      </c>
      <c r="B41" s="23" t="s">
        <v>310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22" t="s">
        <v>117</v>
      </c>
      <c r="B42" s="22" t="s">
        <v>278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23" t="s">
        <v>356</v>
      </c>
      <c r="B43" s="23" t="s">
        <v>357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22" t="s">
        <v>101</v>
      </c>
      <c r="B44" s="22" t="s">
        <v>263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23" t="s">
        <v>63</v>
      </c>
      <c r="B45" s="23" t="s">
        <v>229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22" t="s">
        <v>105</v>
      </c>
      <c r="B46" s="22" t="s">
        <v>266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23" t="s">
        <v>99</v>
      </c>
      <c r="B47" s="23" t="s">
        <v>262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>
      <c r="A48" s="22" t="s">
        <v>358</v>
      </c>
      <c r="B48" s="22" t="s">
        <v>359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23" t="s">
        <v>21</v>
      </c>
      <c r="B49" s="23" t="s">
        <v>194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22" t="s">
        <v>360</v>
      </c>
      <c r="B50" s="22" t="s">
        <v>361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>
      <c r="A51" s="23" t="s">
        <v>362</v>
      </c>
      <c r="B51" s="23" t="s">
        <v>363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22" t="s">
        <v>152</v>
      </c>
      <c r="B52" s="22" t="s">
        <v>305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23" t="s">
        <v>364</v>
      </c>
      <c r="B53" s="23" t="s">
        <v>365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22" t="s">
        <v>366</v>
      </c>
      <c r="B54" s="22" t="s">
        <v>353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23" t="s">
        <v>107</v>
      </c>
      <c r="B55" s="23" t="s">
        <v>268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>
      <c r="A56" s="22" t="s">
        <v>367</v>
      </c>
      <c r="B56" s="22" t="s">
        <v>368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23" t="s">
        <v>87</v>
      </c>
      <c r="B57" s="23" t="s">
        <v>253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22" t="s">
        <v>123</v>
      </c>
      <c r="B58" s="22" t="s">
        <v>282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23" t="s">
        <v>53</v>
      </c>
      <c r="B59" s="23" t="s">
        <v>220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22" t="s">
        <v>35</v>
      </c>
      <c r="B60" s="22" t="s">
        <v>204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23" t="s">
        <v>89</v>
      </c>
      <c r="B61" s="23" t="s">
        <v>255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22" t="s">
        <v>75</v>
      </c>
      <c r="B62" s="22" t="s">
        <v>244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>
      <c r="A63" s="23" t="s">
        <v>369</v>
      </c>
      <c r="B63" s="23" t="s">
        <v>370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22" t="s">
        <v>170</v>
      </c>
      <c r="B64" s="22" t="s">
        <v>321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23" t="s">
        <v>57</v>
      </c>
      <c r="B65" s="23" t="s">
        <v>224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22" t="s">
        <v>371</v>
      </c>
      <c r="B66" s="22" t="s">
        <v>372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23" t="s">
        <v>162</v>
      </c>
      <c r="B67" s="23" t="s">
        <v>313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22" t="s">
        <v>373</v>
      </c>
      <c r="B68" s="22" t="s">
        <v>374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>
      <c r="A69" s="23" t="s">
        <v>97</v>
      </c>
      <c r="B69" s="23" t="s">
        <v>226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22" t="s">
        <v>51</v>
      </c>
      <c r="B70" s="22" t="s">
        <v>218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23" t="s">
        <v>375</v>
      </c>
      <c r="B71" s="23" t="s">
        <v>376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22" t="s">
        <v>172</v>
      </c>
      <c r="B72" s="22" t="s">
        <v>322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23" t="s">
        <v>25</v>
      </c>
      <c r="B73" s="23" t="s">
        <v>198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22" t="s">
        <v>377</v>
      </c>
      <c r="B74" s="22" t="s">
        <v>378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23" t="s">
        <v>77</v>
      </c>
      <c r="B75" s="23" t="s">
        <v>245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22" t="s">
        <v>379</v>
      </c>
      <c r="B76" s="22" t="s">
        <v>380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23" t="s">
        <v>111</v>
      </c>
      <c r="B77" s="23" t="s">
        <v>272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22" t="s">
        <v>381</v>
      </c>
      <c r="B78" s="22" t="s">
        <v>382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>
      <c r="A79" s="23" t="s">
        <v>383</v>
      </c>
      <c r="B79" s="23" t="s">
        <v>384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22" t="s">
        <v>385</v>
      </c>
      <c r="B80" s="22" t="s">
        <v>386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23" t="s">
        <v>387</v>
      </c>
      <c r="B81" s="23" t="s">
        <v>388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22" t="s">
        <v>73</v>
      </c>
      <c r="B82" s="22" t="s">
        <v>241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23" t="s">
        <v>45</v>
      </c>
      <c r="B83" s="23" t="s">
        <v>215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>
      <c r="A84" s="22" t="s">
        <v>154</v>
      </c>
      <c r="B84" s="22" t="s">
        <v>306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23" t="s">
        <v>141</v>
      </c>
      <c r="B85" s="23" t="s">
        <v>279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22" t="s">
        <v>39</v>
      </c>
      <c r="B86" s="22" t="s">
        <v>209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23" t="s">
        <v>164</v>
      </c>
      <c r="B87" s="23" t="s">
        <v>315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22" t="s">
        <v>389</v>
      </c>
      <c r="B88" s="22" t="s">
        <v>390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23" t="s">
        <v>391</v>
      </c>
      <c r="B89" s="23" t="s">
        <v>392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>
      <c r="A90" s="22" t="s">
        <v>137</v>
      </c>
      <c r="B90" s="22" t="s">
        <v>293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23" t="s">
        <v>393</v>
      </c>
      <c r="B91" s="23" t="s">
        <v>394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22" t="s">
        <v>121</v>
      </c>
      <c r="B92" s="22" t="s">
        <v>280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23" t="s">
        <v>81</v>
      </c>
      <c r="B93" s="23" t="s">
        <v>249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22" t="s">
        <v>395</v>
      </c>
      <c r="B94" s="22" t="s">
        <v>396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23" t="s">
        <v>129</v>
      </c>
      <c r="B95" s="23" t="s">
        <v>287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>
      <c r="A96" s="22" t="s">
        <v>91</v>
      </c>
      <c r="B96" s="22" t="s">
        <v>257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23" t="s">
        <v>41</v>
      </c>
      <c r="B97" s="23" t="s">
        <v>211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22" t="s">
        <v>397</v>
      </c>
      <c r="B98" s="22" t="s">
        <v>398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23" t="s">
        <v>147</v>
      </c>
      <c r="B99" s="23" t="s">
        <v>300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22" t="s">
        <v>399</v>
      </c>
      <c r="B100" s="22" t="s">
        <v>400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23" t="s">
        <v>401</v>
      </c>
      <c r="B101" s="23" t="s">
        <v>402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>
      <c r="A102" s="22" t="s">
        <v>27</v>
      </c>
      <c r="B102" s="22" t="s">
        <v>200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23" t="s">
        <v>403</v>
      </c>
      <c r="B103" s="23" t="s">
        <v>404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22" t="s">
        <v>405</v>
      </c>
      <c r="B104" s="22" t="s">
        <v>192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23" t="s">
        <v>139</v>
      </c>
      <c r="B105" s="23" t="s">
        <v>294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22" t="s">
        <v>406</v>
      </c>
      <c r="B106" s="22" t="s">
        <v>407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23" t="s">
        <v>408</v>
      </c>
      <c r="B107" s="23" t="s">
        <v>409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22" t="s">
        <v>93</v>
      </c>
      <c r="B108" s="22" t="s">
        <v>259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23" t="s">
        <v>113</v>
      </c>
      <c r="B109" s="23" t="s">
        <v>274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>
      <c r="A110" s="22" t="s">
        <v>410</v>
      </c>
      <c r="B110" s="22" t="s">
        <v>411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23" t="s">
        <v>150</v>
      </c>
      <c r="B111" s="23" t="s">
        <v>304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22" t="s">
        <v>125</v>
      </c>
      <c r="B112" s="22" t="s">
        <v>284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>
      <c r="A113" s="23" t="s">
        <v>412</v>
      </c>
      <c r="B113" s="23" t="s">
        <v>413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22" t="s">
        <v>414</v>
      </c>
      <c r="B114" s="22" t="s">
        <v>415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23" t="s">
        <v>127</v>
      </c>
      <c r="B115" s="23" t="s">
        <v>127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22" t="s">
        <v>145</v>
      </c>
      <c r="B116" s="22" t="s">
        <v>298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>
      <c r="A117" s="23" t="s">
        <v>115</v>
      </c>
      <c r="B117" s="23" t="s">
        <v>276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22" t="s">
        <v>416</v>
      </c>
      <c r="B118" s="22" t="s">
        <v>417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>
      <c r="A119" s="23" t="s">
        <v>418</v>
      </c>
      <c r="B119" s="23" t="s">
        <v>419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22" t="s">
        <v>420</v>
      </c>
      <c r="B120" s="22" t="s">
        <v>421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23" t="s">
        <v>67</v>
      </c>
      <c r="B121" s="23" t="s">
        <v>234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22" t="s">
        <v>422</v>
      </c>
      <c r="B122" s="22" t="s">
        <v>423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23" t="s">
        <v>424</v>
      </c>
      <c r="B123" s="23" t="s">
        <v>425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>
      <c r="A124" s="22" t="s">
        <v>426</v>
      </c>
      <c r="B124" s="22" t="s">
        <v>427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23" t="s">
        <v>428</v>
      </c>
      <c r="B125" s="23" t="s">
        <v>429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22" t="s">
        <v>430</v>
      </c>
      <c r="B126" s="22" t="s">
        <v>431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>
      <c r="A127" s="23" t="s">
        <v>432</v>
      </c>
      <c r="B127" s="23" t="s">
        <v>433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22" t="s">
        <v>434</v>
      </c>
      <c r="B128" s="22" t="s">
        <v>435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23" t="s">
        <v>436</v>
      </c>
      <c r="B129" s="23" t="s">
        <v>437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22" t="s">
        <v>133</v>
      </c>
      <c r="B130" s="22" t="s">
        <v>290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23" t="s">
        <v>135</v>
      </c>
      <c r="B131" s="23" t="s">
        <v>291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>
      <c r="A132" s="22" t="s">
        <v>438</v>
      </c>
      <c r="B132" s="22" t="s">
        <v>439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23" t="s">
        <v>440</v>
      </c>
      <c r="B133" s="23" t="s">
        <v>441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22" t="s">
        <v>442</v>
      </c>
      <c r="B134" s="22" t="s">
        <v>443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>
      <c r="A135" s="23" t="s">
        <v>444</v>
      </c>
      <c r="B135" s="23" t="s">
        <v>445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22" t="s">
        <v>446</v>
      </c>
      <c r="B136" s="22" t="s">
        <v>447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23" t="s">
        <v>448</v>
      </c>
      <c r="B137" s="23" t="s">
        <v>449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>
      <c r="A138" s="22" t="s">
        <v>450</v>
      </c>
      <c r="B138" s="22" t="s">
        <v>451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23" t="s">
        <v>452</v>
      </c>
      <c r="B139" s="23" t="s">
        <v>453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22" t="s">
        <v>454</v>
      </c>
      <c r="B140" s="22" t="s">
        <v>455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23" t="s">
        <v>456</v>
      </c>
      <c r="B141" s="23" t="s">
        <v>457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22" t="s">
        <v>458</v>
      </c>
      <c r="B142" s="22" t="s">
        <v>459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23" t="s">
        <v>460</v>
      </c>
      <c r="B143" s="23" t="s">
        <v>461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>
      <c r="A144" s="22" t="s">
        <v>462</v>
      </c>
      <c r="B144" s="22" t="s">
        <v>463</v>
      </c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23" t="s">
        <v>464</v>
      </c>
      <c r="B145" s="23" t="s">
        <v>464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22" t="s">
        <v>465</v>
      </c>
      <c r="B146" s="22" t="s">
        <v>466</v>
      </c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>
      <c r="A147" s="23" t="s">
        <v>467</v>
      </c>
      <c r="B147" s="23" t="s">
        <v>468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22" t="s">
        <v>469</v>
      </c>
      <c r="B148" s="22" t="s">
        <v>470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23" t="s">
        <v>471</v>
      </c>
      <c r="B149" s="23" t="s">
        <v>206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22" t="s">
        <v>472</v>
      </c>
      <c r="B150" s="22" t="s">
        <v>473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23" t="s">
        <v>474</v>
      </c>
      <c r="B151" s="23" t="s">
        <v>475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>
      <c r="A152" s="22" t="s">
        <v>476</v>
      </c>
      <c r="B152" s="22" t="s">
        <v>477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23" t="s">
        <v>478</v>
      </c>
      <c r="B153" s="23" t="s">
        <v>479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22" t="s">
        <v>480</v>
      </c>
      <c r="B154" s="22" t="s">
        <v>481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23" t="s">
        <v>482</v>
      </c>
      <c r="B155" s="23" t="s">
        <v>483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22" t="s">
        <v>484</v>
      </c>
      <c r="B156" s="22" t="s">
        <v>485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23" t="s">
        <v>486</v>
      </c>
      <c r="B157" s="23" t="s">
        <v>487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22" t="s">
        <v>488</v>
      </c>
      <c r="B158" s="22" t="s">
        <v>489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23" t="s">
        <v>490</v>
      </c>
      <c r="B159" s="23" t="s">
        <v>491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22" t="s">
        <v>492</v>
      </c>
      <c r="B160" s="22" t="s">
        <v>493</v>
      </c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23" t="s">
        <v>494</v>
      </c>
      <c r="B161" s="23" t="s">
        <v>495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22" t="s">
        <v>496</v>
      </c>
      <c r="B162" s="22" t="s">
        <v>497</v>
      </c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23" t="s">
        <v>498</v>
      </c>
      <c r="B163" s="23" t="s">
        <v>499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22" t="s">
        <v>500</v>
      </c>
      <c r="B164" s="22" t="s">
        <v>501</v>
      </c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23" t="s">
        <v>502</v>
      </c>
      <c r="B165" s="23" t="s">
        <v>503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22" t="s">
        <v>504</v>
      </c>
      <c r="B166" s="22" t="s">
        <v>505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23" t="s">
        <v>506</v>
      </c>
      <c r="B167" s="23" t="s">
        <v>507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22" t="s">
        <v>508</v>
      </c>
      <c r="B168" s="22" t="s">
        <v>509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23" t="s">
        <v>510</v>
      </c>
      <c r="B169" s="23" t="s">
        <v>511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22" t="s">
        <v>512</v>
      </c>
      <c r="B170" s="22" t="s">
        <v>513</v>
      </c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23" t="s">
        <v>514</v>
      </c>
      <c r="B171" s="23" t="s">
        <v>515</v>
      </c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22" t="s">
        <v>516</v>
      </c>
      <c r="B172" s="22" t="s">
        <v>278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23" t="s">
        <v>119</v>
      </c>
      <c r="B173" s="23" t="s">
        <v>279</v>
      </c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22" t="s">
        <v>517</v>
      </c>
      <c r="B174" s="22" t="s">
        <v>518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23" t="s">
        <v>519</v>
      </c>
      <c r="B175" s="23" t="s">
        <v>520</v>
      </c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22" t="s">
        <v>521</v>
      </c>
      <c r="B176" s="22" t="s">
        <v>522</v>
      </c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23" t="s">
        <v>523</v>
      </c>
      <c r="B177" s="23" t="s">
        <v>524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22" t="s">
        <v>525</v>
      </c>
      <c r="B178" s="22" t="s">
        <v>526</v>
      </c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23" t="s">
        <v>527</v>
      </c>
      <c r="B179" s="23" t="s">
        <v>528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22" t="s">
        <v>529</v>
      </c>
      <c r="B180" s="22" t="s">
        <v>411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23" t="s">
        <v>530</v>
      </c>
      <c r="B181" s="23" t="s">
        <v>531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22" t="s">
        <v>532</v>
      </c>
      <c r="B182" s="22" t="s">
        <v>533</v>
      </c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23" t="s">
        <v>534</v>
      </c>
      <c r="B183" s="23" t="s">
        <v>535</v>
      </c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22" t="s">
        <v>536</v>
      </c>
      <c r="B184" s="22" t="s">
        <v>537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23" t="s">
        <v>538</v>
      </c>
      <c r="B185" s="23" t="s">
        <v>539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22" t="s">
        <v>540</v>
      </c>
      <c r="B186" s="22" t="s">
        <v>541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23" t="s">
        <v>542</v>
      </c>
      <c r="B187" s="23" t="s">
        <v>543</v>
      </c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22" t="s">
        <v>544</v>
      </c>
      <c r="B188" s="22" t="s">
        <v>545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23" t="s">
        <v>546</v>
      </c>
      <c r="B189" s="23" t="s">
        <v>547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22" t="s">
        <v>548</v>
      </c>
      <c r="B190" s="22" t="s">
        <v>549</v>
      </c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23" t="s">
        <v>550</v>
      </c>
      <c r="B191" s="23" t="s">
        <v>429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22" t="s">
        <v>551</v>
      </c>
      <c r="B192" s="22" t="s">
        <v>461</v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23" t="s">
        <v>552</v>
      </c>
      <c r="B193" s="23" t="s">
        <v>553</v>
      </c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22" t="s">
        <v>554</v>
      </c>
      <c r="B194" s="22" t="s">
        <v>555</v>
      </c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23" t="s">
        <v>556</v>
      </c>
      <c r="B195" s="23" t="s">
        <v>557</v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22" t="s">
        <v>558</v>
      </c>
      <c r="B196" s="22" t="s">
        <v>559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23" t="s">
        <v>560</v>
      </c>
      <c r="B197" s="23" t="s">
        <v>561</v>
      </c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22" t="s">
        <v>562</v>
      </c>
      <c r="B198" s="22" t="s">
        <v>563</v>
      </c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23" t="s">
        <v>564</v>
      </c>
      <c r="B199" s="23" t="s">
        <v>565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22" t="s">
        <v>566</v>
      </c>
      <c r="B200" s="22" t="s">
        <v>567</v>
      </c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23" t="s">
        <v>568</v>
      </c>
      <c r="B201" s="23" t="s">
        <v>569</v>
      </c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22" t="s">
        <v>570</v>
      </c>
      <c r="B202" s="22" t="s">
        <v>571</v>
      </c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23" t="s">
        <v>572</v>
      </c>
      <c r="B203" s="23" t="s">
        <v>573</v>
      </c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22" t="s">
        <v>574</v>
      </c>
      <c r="B204" s="22" t="s">
        <v>575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23" t="s">
        <v>576</v>
      </c>
      <c r="B205" s="23" t="s">
        <v>577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22" t="s">
        <v>578</v>
      </c>
      <c r="B206" s="22" t="s">
        <v>579</v>
      </c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23" t="s">
        <v>580</v>
      </c>
      <c r="B207" s="23" t="s">
        <v>581</v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22" t="s">
        <v>582</v>
      </c>
      <c r="B208" s="22" t="s">
        <v>342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23" t="s">
        <v>583</v>
      </c>
      <c r="B209" s="23" t="s">
        <v>584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22" t="s">
        <v>585</v>
      </c>
      <c r="B210" s="22" t="s">
        <v>586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23" t="s">
        <v>587</v>
      </c>
      <c r="B211" s="23" t="s">
        <v>588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22" t="s">
        <v>589</v>
      </c>
      <c r="B212" s="22" t="s">
        <v>590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23" t="s">
        <v>591</v>
      </c>
      <c r="B213" s="23" t="s">
        <v>592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22" t="s">
        <v>593</v>
      </c>
      <c r="B214" s="22" t="s">
        <v>594</v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23" t="s">
        <v>595</v>
      </c>
      <c r="B215" s="23" t="s">
        <v>359</v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22" t="s">
        <v>596</v>
      </c>
      <c r="B216" s="22" t="s">
        <v>597</v>
      </c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23" t="s">
        <v>598</v>
      </c>
      <c r="B217" s="23" t="s">
        <v>599</v>
      </c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22" t="s">
        <v>600</v>
      </c>
      <c r="B218" s="22" t="s">
        <v>601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23" t="s">
        <v>602</v>
      </c>
      <c r="B219" s="23" t="s">
        <v>250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22" t="s">
        <v>603</v>
      </c>
      <c r="B220" s="22" t="s">
        <v>604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23" t="s">
        <v>605</v>
      </c>
      <c r="B221" s="23" t="s">
        <v>606</v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22" t="s">
        <v>605</v>
      </c>
      <c r="B222" s="22" t="s">
        <v>607</v>
      </c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23" t="s">
        <v>608</v>
      </c>
      <c r="B223" s="23" t="s">
        <v>609</v>
      </c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22" t="s">
        <v>610</v>
      </c>
      <c r="B224" s="22" t="s">
        <v>611</v>
      </c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23" t="s">
        <v>612</v>
      </c>
      <c r="B225" s="23" t="s">
        <v>613</v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22" t="s">
        <v>614</v>
      </c>
      <c r="B226" s="22" t="s">
        <v>615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23" t="s">
        <v>616</v>
      </c>
      <c r="B227" s="23" t="s">
        <v>617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22" t="s">
        <v>618</v>
      </c>
      <c r="B228" s="22" t="s">
        <v>619</v>
      </c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23" t="s">
        <v>620</v>
      </c>
      <c r="B229" s="23" t="s">
        <v>621</v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22" t="s">
        <v>622</v>
      </c>
      <c r="B230" s="22" t="s">
        <v>619</v>
      </c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23" t="s">
        <v>623</v>
      </c>
      <c r="B231" s="23" t="s">
        <v>624</v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22" t="s">
        <v>625</v>
      </c>
      <c r="B232" s="22" t="s">
        <v>626</v>
      </c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23" t="s">
        <v>627</v>
      </c>
      <c r="B233" s="23" t="s">
        <v>628</v>
      </c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22" t="s">
        <v>629</v>
      </c>
      <c r="B234" s="22" t="s">
        <v>630</v>
      </c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23" t="s">
        <v>631</v>
      </c>
      <c r="B235" s="23" t="s">
        <v>592</v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22" t="s">
        <v>632</v>
      </c>
      <c r="B236" s="22" t="s">
        <v>633</v>
      </c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23" t="s">
        <v>634</v>
      </c>
      <c r="B237" s="23" t="s">
        <v>635</v>
      </c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22" t="s">
        <v>636</v>
      </c>
      <c r="B238" s="22" t="s">
        <v>262</v>
      </c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23" t="s">
        <v>637</v>
      </c>
      <c r="B239" s="23" t="s">
        <v>638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22" t="s">
        <v>639</v>
      </c>
      <c r="B240" s="22" t="s">
        <v>609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23" t="s">
        <v>640</v>
      </c>
      <c r="B241" s="23" t="s">
        <v>641</v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22" t="s">
        <v>642</v>
      </c>
      <c r="B242" s="22" t="s">
        <v>643</v>
      </c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23" t="s">
        <v>644</v>
      </c>
      <c r="B243" s="23" t="s">
        <v>645</v>
      </c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22" t="s">
        <v>646</v>
      </c>
      <c r="B244" s="22" t="s">
        <v>255</v>
      </c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23" t="s">
        <v>647</v>
      </c>
      <c r="B245" s="23" t="s">
        <v>648</v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22" t="s">
        <v>649</v>
      </c>
      <c r="B246" s="22" t="s">
        <v>563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23" t="s">
        <v>650</v>
      </c>
      <c r="B247" s="23" t="s">
        <v>651</v>
      </c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22" t="s">
        <v>652</v>
      </c>
      <c r="B248" s="22" t="s">
        <v>653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23" t="s">
        <v>654</v>
      </c>
      <c r="B249" s="23" t="s">
        <v>655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22" t="s">
        <v>656</v>
      </c>
      <c r="B250" s="22" t="s">
        <v>657</v>
      </c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23" t="s">
        <v>658</v>
      </c>
      <c r="B251" s="23" t="s">
        <v>659</v>
      </c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22" t="s">
        <v>660</v>
      </c>
      <c r="B252" s="22" t="s">
        <v>415</v>
      </c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23" t="s">
        <v>661</v>
      </c>
      <c r="B253" s="23" t="s">
        <v>662</v>
      </c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22" t="s">
        <v>663</v>
      </c>
      <c r="B254" s="22" t="s">
        <v>664</v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23" t="s">
        <v>665</v>
      </c>
      <c r="B255" s="23" t="s">
        <v>666</v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22" t="s">
        <v>667</v>
      </c>
      <c r="B256" s="22" t="s">
        <v>245</v>
      </c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23" t="s">
        <v>668</v>
      </c>
      <c r="B257" s="23" t="s">
        <v>211</v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22" t="s">
        <v>669</v>
      </c>
      <c r="B258" s="22" t="s">
        <v>670</v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23" t="s">
        <v>671</v>
      </c>
      <c r="B259" s="23" t="s">
        <v>672</v>
      </c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22" t="s">
        <v>673</v>
      </c>
      <c r="B260" s="22" t="s">
        <v>664</v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23" t="s">
        <v>674</v>
      </c>
      <c r="B261" s="23" t="s">
        <v>675</v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22" t="s">
        <v>676</v>
      </c>
      <c r="B262" s="22" t="s">
        <v>677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23" t="s">
        <v>678</v>
      </c>
      <c r="B263" s="23" t="s">
        <v>679</v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22" t="s">
        <v>680</v>
      </c>
      <c r="B264" s="22" t="s">
        <v>681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23" t="s">
        <v>682</v>
      </c>
      <c r="B265" s="23" t="s">
        <v>683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22" t="s">
        <v>684</v>
      </c>
      <c r="B266" s="22" t="s">
        <v>685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23" t="s">
        <v>686</v>
      </c>
      <c r="B267" s="23" t="s">
        <v>687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22" t="s">
        <v>688</v>
      </c>
      <c r="B268" s="22" t="s">
        <v>588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23" t="s">
        <v>689</v>
      </c>
      <c r="B269" s="23" t="s">
        <v>690</v>
      </c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22" t="s">
        <v>691</v>
      </c>
      <c r="B270" s="22" t="s">
        <v>690</v>
      </c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23" t="s">
        <v>692</v>
      </c>
      <c r="B271" s="23" t="s">
        <v>693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22" t="s">
        <v>694</v>
      </c>
      <c r="B272" s="22" t="s">
        <v>695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23" t="s">
        <v>696</v>
      </c>
      <c r="B273" s="23" t="s">
        <v>697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22" t="s">
        <v>698</v>
      </c>
      <c r="B274" s="22" t="s">
        <v>699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23" t="s">
        <v>700</v>
      </c>
      <c r="B275" s="23" t="s">
        <v>701</v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22" t="s">
        <v>702</v>
      </c>
      <c r="B276" s="22" t="s">
        <v>703</v>
      </c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23" t="s">
        <v>704</v>
      </c>
      <c r="B277" s="23" t="s">
        <v>705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22" t="s">
        <v>706</v>
      </c>
      <c r="B278" s="22" t="s">
        <v>707</v>
      </c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23" t="s">
        <v>708</v>
      </c>
      <c r="B279" s="23" t="s">
        <v>705</v>
      </c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22" t="s">
        <v>709</v>
      </c>
      <c r="B280" s="22" t="s">
        <v>569</v>
      </c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23" t="s">
        <v>710</v>
      </c>
      <c r="B281" s="23" t="s">
        <v>711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22" t="s">
        <v>712</v>
      </c>
      <c r="B282" s="22" t="s">
        <v>705</v>
      </c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23" t="s">
        <v>713</v>
      </c>
      <c r="B283" s="23" t="s">
        <v>714</v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22" t="s">
        <v>715</v>
      </c>
      <c r="B284" s="22" t="s">
        <v>447</v>
      </c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23" t="s">
        <v>716</v>
      </c>
      <c r="B285" s="23" t="s">
        <v>717</v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22" t="s">
        <v>718</v>
      </c>
      <c r="B286" s="22" t="s">
        <v>679</v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23" t="s">
        <v>719</v>
      </c>
      <c r="B287" s="23" t="s">
        <v>655</v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22" t="s">
        <v>720</v>
      </c>
      <c r="B288" s="22" t="s">
        <v>721</v>
      </c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23" t="s">
        <v>722</v>
      </c>
      <c r="B289" s="23" t="s">
        <v>723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22" t="s">
        <v>724</v>
      </c>
      <c r="B290" s="22" t="s">
        <v>725</v>
      </c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23" t="s">
        <v>726</v>
      </c>
      <c r="B291" s="23" t="s">
        <v>727</v>
      </c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22" t="s">
        <v>728</v>
      </c>
      <c r="B292" s="22" t="s">
        <v>729</v>
      </c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23" t="s">
        <v>730</v>
      </c>
      <c r="B293" s="23" t="s">
        <v>731</v>
      </c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22" t="s">
        <v>732</v>
      </c>
      <c r="B294" s="22" t="s">
        <v>733</v>
      </c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23" t="s">
        <v>734</v>
      </c>
      <c r="B295" s="23" t="s">
        <v>735</v>
      </c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22" t="s">
        <v>736</v>
      </c>
      <c r="B296" s="22" t="s">
        <v>737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23" t="s">
        <v>738</v>
      </c>
      <c r="B297" s="23" t="s">
        <v>739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22" t="s">
        <v>740</v>
      </c>
      <c r="B298" s="22" t="s">
        <v>741</v>
      </c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23" t="s">
        <v>742</v>
      </c>
      <c r="B299" s="23" t="s">
        <v>743</v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22" t="s">
        <v>744</v>
      </c>
      <c r="B300" s="22" t="s">
        <v>745</v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23" t="s">
        <v>746</v>
      </c>
      <c r="B301" s="23" t="s">
        <v>747</v>
      </c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22" t="s">
        <v>748</v>
      </c>
      <c r="B302" s="22" t="s">
        <v>749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23" t="s">
        <v>750</v>
      </c>
      <c r="B303" s="23" t="s">
        <v>290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22" t="s">
        <v>751</v>
      </c>
      <c r="B304" s="22" t="s">
        <v>752</v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23" t="s">
        <v>753</v>
      </c>
      <c r="B305" s="23" t="s">
        <v>754</v>
      </c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22" t="s">
        <v>755</v>
      </c>
      <c r="B306" s="22" t="s">
        <v>756</v>
      </c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23" t="s">
        <v>757</v>
      </c>
      <c r="B307" s="23" t="s">
        <v>758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22" t="s">
        <v>759</v>
      </c>
      <c r="B308" s="22" t="s">
        <v>760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23" t="s">
        <v>761</v>
      </c>
      <c r="B309" s="23" t="s">
        <v>477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22" t="s">
        <v>762</v>
      </c>
      <c r="B310" s="22" t="s">
        <v>763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23" t="s">
        <v>764</v>
      </c>
      <c r="B311" s="23" t="s">
        <v>721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22" t="s">
        <v>765</v>
      </c>
      <c r="B312" s="22" t="s">
        <v>766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23" t="s">
        <v>767</v>
      </c>
      <c r="B313" s="23" t="s">
        <v>727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22" t="s">
        <v>768</v>
      </c>
      <c r="B314" s="22" t="s">
        <v>670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23" t="s">
        <v>769</v>
      </c>
      <c r="B315" s="23" t="s">
        <v>770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22" t="s">
        <v>771</v>
      </c>
      <c r="B316" s="22" t="s">
        <v>772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23" t="s">
        <v>773</v>
      </c>
      <c r="B317" s="23" t="s">
        <v>774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22" t="s">
        <v>775</v>
      </c>
      <c r="B318" s="22" t="s">
        <v>776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23" t="s">
        <v>777</v>
      </c>
      <c r="B319" s="23" t="s">
        <v>778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22" t="s">
        <v>779</v>
      </c>
      <c r="B320" s="22" t="s">
        <v>780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23" t="s">
        <v>781</v>
      </c>
      <c r="B321" s="23" t="s">
        <v>714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22" t="s">
        <v>782</v>
      </c>
      <c r="B322" s="22" t="s">
        <v>783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23" t="s">
        <v>784</v>
      </c>
      <c r="B323" s="23" t="s">
        <v>785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22" t="s">
        <v>786</v>
      </c>
      <c r="B324" s="22" t="s">
        <v>787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23" t="s">
        <v>788</v>
      </c>
      <c r="B325" s="23" t="s">
        <v>789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22" t="s">
        <v>790</v>
      </c>
      <c r="B326" s="22" t="s">
        <v>735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23" t="s">
        <v>791</v>
      </c>
      <c r="B327" s="23" t="s">
        <v>493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22" t="s">
        <v>792</v>
      </c>
      <c r="B328" s="22" t="s">
        <v>793</v>
      </c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23" t="s">
        <v>794</v>
      </c>
      <c r="B329" s="23" t="s">
        <v>695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22" t="s">
        <v>795</v>
      </c>
      <c r="B330" s="22" t="s">
        <v>796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23" t="s">
        <v>797</v>
      </c>
      <c r="B331" s="23" t="s">
        <v>798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22" t="s">
        <v>799</v>
      </c>
      <c r="B332" s="22" t="s">
        <v>800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23" t="s">
        <v>801</v>
      </c>
      <c r="B333" s="23" t="s">
        <v>802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22" t="s">
        <v>803</v>
      </c>
      <c r="B334" s="22" t="s">
        <v>804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23" t="s">
        <v>805</v>
      </c>
      <c r="B335" s="23" t="s">
        <v>697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22" t="s">
        <v>806</v>
      </c>
      <c r="B336" s="22" t="s">
        <v>807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23" t="s">
        <v>808</v>
      </c>
      <c r="B337" s="23" t="s">
        <v>723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22" t="s">
        <v>809</v>
      </c>
      <c r="B338" s="22" t="s">
        <v>810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23" t="s">
        <v>811</v>
      </c>
      <c r="B339" s="23" t="s">
        <v>812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22" t="s">
        <v>813</v>
      </c>
      <c r="B340" s="22" t="s">
        <v>814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23" t="s">
        <v>815</v>
      </c>
      <c r="B341" s="23" t="s">
        <v>783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22" t="s">
        <v>816</v>
      </c>
      <c r="B342" s="22" t="s">
        <v>651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23" t="s">
        <v>817</v>
      </c>
      <c r="B343" s="23" t="s">
        <v>754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22" t="s">
        <v>818</v>
      </c>
      <c r="B344" s="22" t="s">
        <v>810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23" t="s">
        <v>819</v>
      </c>
      <c r="B345" s="23" t="s">
        <v>820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22" t="s">
        <v>821</v>
      </c>
      <c r="B346" s="22" t="s">
        <v>822</v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23" t="s">
        <v>823</v>
      </c>
      <c r="B347" s="23" t="s">
        <v>824</v>
      </c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22" t="s">
        <v>825</v>
      </c>
      <c r="B348" s="22" t="s">
        <v>699</v>
      </c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23" t="s">
        <v>826</v>
      </c>
      <c r="B349" s="23" t="s">
        <v>770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22" t="s">
        <v>827</v>
      </c>
      <c r="B350" s="22" t="s">
        <v>804</v>
      </c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23" t="s">
        <v>828</v>
      </c>
      <c r="B351" s="23" t="s">
        <v>829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22" t="s">
        <v>830</v>
      </c>
      <c r="B352" s="22" t="s">
        <v>831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23" t="s">
        <v>832</v>
      </c>
      <c r="B353" s="23" t="s">
        <v>265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22" t="s">
        <v>833</v>
      </c>
      <c r="B354" s="22" t="s">
        <v>796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23" t="s">
        <v>834</v>
      </c>
      <c r="B355" s="23" t="s">
        <v>628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22" t="s">
        <v>835</v>
      </c>
      <c r="B356" s="22" t="s">
        <v>601</v>
      </c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23" t="s">
        <v>836</v>
      </c>
      <c r="B357" s="23" t="s">
        <v>304</v>
      </c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22" t="s">
        <v>837</v>
      </c>
      <c r="B358" s="22" t="s">
        <v>838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23" t="s">
        <v>839</v>
      </c>
      <c r="B359" s="23" t="s">
        <v>840</v>
      </c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22" t="s">
        <v>841</v>
      </c>
      <c r="B360" s="22" t="s">
        <v>842</v>
      </c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23" t="s">
        <v>843</v>
      </c>
      <c r="B361" s="23" t="s">
        <v>844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22" t="s">
        <v>845</v>
      </c>
      <c r="B362" s="22" t="s">
        <v>789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23" t="s">
        <v>846</v>
      </c>
      <c r="B363" s="23" t="s">
        <v>756</v>
      </c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22" t="s">
        <v>847</v>
      </c>
      <c r="B364" s="22" t="s">
        <v>739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23" t="s">
        <v>848</v>
      </c>
      <c r="B365" s="23" t="s">
        <v>849</v>
      </c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22" t="s">
        <v>850</v>
      </c>
      <c r="B366" s="22" t="s">
        <v>824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23" t="s">
        <v>851</v>
      </c>
      <c r="B367" s="23" t="s">
        <v>852</v>
      </c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22" t="s">
        <v>853</v>
      </c>
      <c r="B368" s="22" t="s">
        <v>854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23" t="s">
        <v>855</v>
      </c>
      <c r="B369" s="23" t="s">
        <v>856</v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22" t="s">
        <v>857</v>
      </c>
      <c r="B370" s="22" t="s">
        <v>858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23" t="s">
        <v>859</v>
      </c>
      <c r="B371" s="23" t="s">
        <v>852</v>
      </c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22" t="s">
        <v>860</v>
      </c>
      <c r="B372" s="22" t="s">
        <v>861</v>
      </c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23" t="s">
        <v>862</v>
      </c>
      <c r="B373" s="23" t="s">
        <v>760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22" t="s">
        <v>863</v>
      </c>
      <c r="B374" s="22" t="s">
        <v>864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23" t="s">
        <v>865</v>
      </c>
      <c r="B375" s="23" t="s">
        <v>866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22" t="s">
        <v>867</v>
      </c>
      <c r="B376" s="22" t="s">
        <v>868</v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23" t="s">
        <v>869</v>
      </c>
      <c r="B377" s="23" t="s">
        <v>866</v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22" t="s">
        <v>870</v>
      </c>
      <c r="B378" s="22" t="s">
        <v>871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23" t="s">
        <v>872</v>
      </c>
      <c r="B379" s="23" t="s">
        <v>588</v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22" t="s">
        <v>873</v>
      </c>
      <c r="B380" s="22" t="s">
        <v>763</v>
      </c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23" t="s">
        <v>874</v>
      </c>
      <c r="B381" s="23" t="s">
        <v>875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22" t="s">
        <v>876</v>
      </c>
      <c r="B382" s="22" t="s">
        <v>877</v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23" t="s">
        <v>878</v>
      </c>
      <c r="B383" s="23" t="s">
        <v>824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22" t="s">
        <v>879</v>
      </c>
      <c r="B384" s="22" t="s">
        <v>607</v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23" t="s">
        <v>879</v>
      </c>
      <c r="B385" s="23" t="s">
        <v>606</v>
      </c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22" t="s">
        <v>880</v>
      </c>
      <c r="B386" s="22" t="s">
        <v>881</v>
      </c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23" t="s">
        <v>882</v>
      </c>
      <c r="B387" s="23" t="s">
        <v>831</v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22" t="s">
        <v>883</v>
      </c>
      <c r="B388" s="22" t="s">
        <v>739</v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23" t="s">
        <v>884</v>
      </c>
      <c r="B389" s="23" t="s">
        <v>885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22" t="s">
        <v>886</v>
      </c>
      <c r="B390" s="22" t="s">
        <v>887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23" t="s">
        <v>888</v>
      </c>
      <c r="B391" s="23" t="s">
        <v>737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22" t="s">
        <v>889</v>
      </c>
      <c r="B392" s="22" t="s">
        <v>858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23" t="s">
        <v>890</v>
      </c>
      <c r="B393" s="23" t="s">
        <v>737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22" t="s">
        <v>891</v>
      </c>
      <c r="B394" s="22" t="s">
        <v>892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23" t="s">
        <v>893</v>
      </c>
      <c r="B395" s="23" t="s">
        <v>820</v>
      </c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22" t="s">
        <v>894</v>
      </c>
      <c r="B396" s="22" t="s">
        <v>895</v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23" t="s">
        <v>896</v>
      </c>
      <c r="B397" s="23" t="s">
        <v>897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22" t="s">
        <v>898</v>
      </c>
      <c r="B398" s="22" t="s">
        <v>858</v>
      </c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23" t="s">
        <v>899</v>
      </c>
      <c r="B399" s="23" t="s">
        <v>887</v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22" t="s">
        <v>900</v>
      </c>
      <c r="B400" s="22" t="s">
        <v>737</v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23" t="s">
        <v>901</v>
      </c>
      <c r="B401" s="23" t="s">
        <v>868</v>
      </c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22" t="s">
        <v>902</v>
      </c>
      <c r="B402" s="22" t="s">
        <v>903</v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23" t="s">
        <v>904</v>
      </c>
      <c r="B403" s="23" t="s">
        <v>793</v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22" t="s">
        <v>905</v>
      </c>
      <c r="B404" s="22" t="s">
        <v>881</v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23" t="s">
        <v>906</v>
      </c>
      <c r="B405" s="23" t="s">
        <v>907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22" t="s">
        <v>908</v>
      </c>
      <c r="B406" s="22" t="s">
        <v>909</v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23" t="s">
        <v>910</v>
      </c>
      <c r="B407" s="23" t="s">
        <v>279</v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22" t="s">
        <v>911</v>
      </c>
      <c r="B408" s="22" t="s">
        <v>824</v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23" t="s">
        <v>912</v>
      </c>
      <c r="B409" s="23" t="s">
        <v>907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22" t="s">
        <v>913</v>
      </c>
      <c r="B410" s="22" t="s">
        <v>907</v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23" t="s">
        <v>914</v>
      </c>
      <c r="B411" s="23" t="s">
        <v>211</v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22" t="s">
        <v>915</v>
      </c>
      <c r="B412" s="22" t="s">
        <v>192</v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23" t="s">
        <v>916</v>
      </c>
      <c r="B413" s="23" t="s">
        <v>917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22" t="s">
        <v>918</v>
      </c>
      <c r="B414" s="22" t="s">
        <v>919</v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23" t="s">
        <v>920</v>
      </c>
      <c r="B415" s="23" t="s">
        <v>787</v>
      </c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22" t="s">
        <v>921</v>
      </c>
      <c r="B416" s="22" t="s">
        <v>749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23" t="s">
        <v>922</v>
      </c>
      <c r="B417" s="23" t="s">
        <v>800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22" t="s">
        <v>923</v>
      </c>
      <c r="B418" s="22" t="s">
        <v>919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23" t="s">
        <v>924</v>
      </c>
      <c r="B419" s="23" t="s">
        <v>925</v>
      </c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22" t="s">
        <v>926</v>
      </c>
      <c r="B420" s="22" t="s">
        <v>447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23" t="s">
        <v>927</v>
      </c>
      <c r="B421" s="23" t="s">
        <v>909</v>
      </c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22" t="s">
        <v>928</v>
      </c>
      <c r="B422" s="22" t="s">
        <v>824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23" t="s">
        <v>929</v>
      </c>
      <c r="B423" s="23" t="s">
        <v>930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22" t="s">
        <v>931</v>
      </c>
      <c r="B424" s="22" t="s">
        <v>932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23" t="s">
        <v>933</v>
      </c>
      <c r="B425" s="23" t="s">
        <v>932</v>
      </c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22" t="s">
        <v>934</v>
      </c>
      <c r="B426" s="22" t="s">
        <v>885</v>
      </c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23" t="s">
        <v>935</v>
      </c>
      <c r="B427" s="23" t="s">
        <v>723</v>
      </c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22" t="s">
        <v>936</v>
      </c>
      <c r="B428" s="22" t="s">
        <v>937</v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23" t="s">
        <v>938</v>
      </c>
      <c r="B429" s="23" t="s">
        <v>939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22" t="s">
        <v>940</v>
      </c>
      <c r="B430" s="22" t="s">
        <v>824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23" t="s">
        <v>941</v>
      </c>
      <c r="B431" s="23" t="s">
        <v>942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22" t="s">
        <v>943</v>
      </c>
      <c r="B432" s="22" t="s">
        <v>944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23" t="s">
        <v>945</v>
      </c>
      <c r="B433" s="23" t="s">
        <v>824</v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22" t="s">
        <v>946</v>
      </c>
      <c r="B434" s="22" t="s">
        <v>947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23" t="s">
        <v>948</v>
      </c>
      <c r="B435" s="23" t="s">
        <v>949</v>
      </c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22" t="s">
        <v>950</v>
      </c>
      <c r="B436" s="22" t="s">
        <v>774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23" t="s">
        <v>951</v>
      </c>
      <c r="B437" s="23" t="s">
        <v>952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22" t="s">
        <v>953</v>
      </c>
      <c r="B438" s="22" t="s">
        <v>952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23" t="s">
        <v>954</v>
      </c>
      <c r="B439" s="23" t="s">
        <v>885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22" t="s">
        <v>955</v>
      </c>
      <c r="B440" s="22" t="s">
        <v>955</v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23" t="s">
        <v>956</v>
      </c>
      <c r="B441" s="23" t="s">
        <v>897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22" t="s">
        <v>957</v>
      </c>
      <c r="B442" s="22" t="s">
        <v>802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23" t="s">
        <v>958</v>
      </c>
      <c r="B443" s="23" t="s">
        <v>959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22" t="s">
        <v>960</v>
      </c>
      <c r="B444" s="22" t="s">
        <v>961</v>
      </c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23" t="s">
        <v>962</v>
      </c>
      <c r="B445" s="23" t="s">
        <v>731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22" t="s">
        <v>963</v>
      </c>
      <c r="B446" s="22" t="s">
        <v>861</v>
      </c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23" t="s">
        <v>964</v>
      </c>
      <c r="B447" s="23" t="s">
        <v>965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22" t="s">
        <v>966</v>
      </c>
      <c r="B448" s="22" t="s">
        <v>717</v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23" t="s">
        <v>967</v>
      </c>
      <c r="B449" s="23" t="s">
        <v>968</v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22" t="s">
        <v>969</v>
      </c>
      <c r="B450" s="22" t="s">
        <v>969</v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23" t="s">
        <v>970</v>
      </c>
      <c r="B451" s="23" t="s">
        <v>971</v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22" t="s">
        <v>972</v>
      </c>
      <c r="B452" s="22" t="s">
        <v>973</v>
      </c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23" t="s">
        <v>974</v>
      </c>
      <c r="B453" s="23" t="s">
        <v>975</v>
      </c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22" t="s">
        <v>976</v>
      </c>
      <c r="B454" s="22" t="s">
        <v>977</v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23" t="s">
        <v>978</v>
      </c>
      <c r="B455" s="23" t="s">
        <v>979</v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22" t="s">
        <v>980</v>
      </c>
      <c r="B456" s="22" t="s">
        <v>980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23" t="s">
        <v>981</v>
      </c>
      <c r="B457" s="23" t="s">
        <v>981</v>
      </c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22" t="s">
        <v>982</v>
      </c>
      <c r="B458" s="22" t="s">
        <v>973</v>
      </c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23" t="s">
        <v>983</v>
      </c>
      <c r="B459" s="23" t="s">
        <v>984</v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22" t="s">
        <v>985</v>
      </c>
      <c r="B460" s="22" t="s">
        <v>986</v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23" t="s">
        <v>987</v>
      </c>
      <c r="B461" s="23" t="s">
        <v>988</v>
      </c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22" t="s">
        <v>989</v>
      </c>
      <c r="B462" s="22" t="s">
        <v>988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23" t="s">
        <v>990</v>
      </c>
      <c r="B463" s="23" t="s">
        <v>991</v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22" t="s">
        <v>992</v>
      </c>
      <c r="B464" s="22" t="s">
        <v>991</v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23" t="s">
        <v>993</v>
      </c>
      <c r="B465" s="23" t="s">
        <v>994</v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22" t="s">
        <v>995</v>
      </c>
      <c r="B466" s="22" t="s">
        <v>996</v>
      </c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23" t="s">
        <v>997</v>
      </c>
      <c r="B467" s="23" t="s">
        <v>996</v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22" t="s">
        <v>998</v>
      </c>
      <c r="B468" s="22" t="s">
        <v>994</v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23" t="s">
        <v>999</v>
      </c>
      <c r="B469" s="23" t="s">
        <v>999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22" t="s">
        <v>1000</v>
      </c>
      <c r="B470" s="22" t="s">
        <v>1001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23" t="s">
        <v>1002</v>
      </c>
      <c r="B471" s="23" t="s">
        <v>1003</v>
      </c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22" t="s">
        <v>1004</v>
      </c>
      <c r="B472" s="22" t="s">
        <v>1003</v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23" t="s">
        <v>1005</v>
      </c>
      <c r="B473" s="23" t="s">
        <v>965</v>
      </c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22" t="s">
        <v>1006</v>
      </c>
      <c r="B474" s="22" t="s">
        <v>1006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23" t="s">
        <v>1007</v>
      </c>
      <c r="B475" s="23" t="s">
        <v>545</v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22" t="s">
        <v>1008</v>
      </c>
      <c r="B476" s="22" t="s">
        <v>1009</v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23" t="s">
        <v>1010</v>
      </c>
      <c r="B477" s="23" t="s">
        <v>1010</v>
      </c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22" t="s">
        <v>1011</v>
      </c>
      <c r="B478" s="22" t="s">
        <v>829</v>
      </c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23" t="s">
        <v>1012</v>
      </c>
      <c r="B479" s="23" t="s">
        <v>840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22" t="s">
        <v>1013</v>
      </c>
      <c r="B480" s="22" t="s">
        <v>1014</v>
      </c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23" t="s">
        <v>1015</v>
      </c>
      <c r="B481" s="23" t="s">
        <v>1016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22" t="s">
        <v>1017</v>
      </c>
      <c r="B482" s="22" t="s">
        <v>1016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23" t="s">
        <v>1018</v>
      </c>
      <c r="B483" s="23" t="s">
        <v>1019</v>
      </c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22" t="s">
        <v>1020</v>
      </c>
      <c r="B484" s="22" t="s">
        <v>1019</v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23" t="s">
        <v>1021</v>
      </c>
      <c r="B485" s="23" t="s">
        <v>1021</v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22" t="s">
        <v>1022</v>
      </c>
      <c r="B486" s="22" t="s">
        <v>919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23" t="s">
        <v>1023</v>
      </c>
      <c r="B487" s="23" t="s">
        <v>1024</v>
      </c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22" t="s">
        <v>1025</v>
      </c>
      <c r="B488" s="22" t="s">
        <v>1024</v>
      </c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23" t="s">
        <v>1026</v>
      </c>
      <c r="B489" s="23" t="s">
        <v>1024</v>
      </c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22" t="s">
        <v>1027</v>
      </c>
      <c r="B490" s="22" t="s">
        <v>1028</v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23" t="s">
        <v>1029</v>
      </c>
      <c r="B491" s="23" t="s">
        <v>1030</v>
      </c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22" t="s">
        <v>1031</v>
      </c>
      <c r="B492" s="22" t="s">
        <v>1032</v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23" t="s">
        <v>1033</v>
      </c>
      <c r="B493" s="23" t="s">
        <v>1028</v>
      </c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22" t="s">
        <v>1034</v>
      </c>
      <c r="B494" s="22" t="s">
        <v>1035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23" t="s">
        <v>1036</v>
      </c>
      <c r="B495" s="23" t="s">
        <v>1037</v>
      </c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22" t="s">
        <v>1038</v>
      </c>
      <c r="B496" s="22" t="s">
        <v>1037</v>
      </c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23" t="s">
        <v>1039</v>
      </c>
      <c r="B497" s="23" t="s">
        <v>1040</v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22" t="s">
        <v>1041</v>
      </c>
      <c r="B498" s="22" t="s">
        <v>1041</v>
      </c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23" t="s">
        <v>1042</v>
      </c>
      <c r="B499" s="23" t="s">
        <v>1042</v>
      </c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22" t="s">
        <v>1043</v>
      </c>
      <c r="B500" s="22" t="s">
        <v>1043</v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23" t="s">
        <v>1044</v>
      </c>
      <c r="B501" s="23" t="s">
        <v>1044</v>
      </c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22" t="s">
        <v>1045</v>
      </c>
      <c r="B502" s="22" t="s">
        <v>1045</v>
      </c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23" t="s">
        <v>1046</v>
      </c>
      <c r="B503" s="23" t="s">
        <v>1047</v>
      </c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22" t="s">
        <v>1048</v>
      </c>
      <c r="B504" s="22" t="s">
        <v>1048</v>
      </c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23" t="s">
        <v>1049</v>
      </c>
      <c r="B505" s="23" t="s">
        <v>1049</v>
      </c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22" t="s">
        <v>1050</v>
      </c>
      <c r="B506" s="22" t="s">
        <v>1050</v>
      </c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23" t="s">
        <v>1051</v>
      </c>
      <c r="B507" s="23" t="s">
        <v>543</v>
      </c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22" t="s">
        <v>1052</v>
      </c>
      <c r="B508" s="22" t="s">
        <v>648</v>
      </c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23" t="s">
        <v>1053</v>
      </c>
      <c r="B509" s="23" t="s">
        <v>1053</v>
      </c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22" t="s">
        <v>1054</v>
      </c>
      <c r="B510" s="22" t="s">
        <v>1055</v>
      </c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23" t="s">
        <v>1056</v>
      </c>
      <c r="B511" s="23" t="s">
        <v>1056</v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22" t="s">
        <v>1057</v>
      </c>
      <c r="B512" s="22" t="s">
        <v>1057</v>
      </c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23" t="s">
        <v>1058</v>
      </c>
      <c r="B513" s="23" t="s">
        <v>1058</v>
      </c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22" t="s">
        <v>1059</v>
      </c>
      <c r="B514" s="22" t="s">
        <v>1060</v>
      </c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23" t="s">
        <v>1061</v>
      </c>
      <c r="B515" s="23" t="s">
        <v>1062</v>
      </c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22" t="s">
        <v>1063</v>
      </c>
      <c r="B516" s="22" t="s">
        <v>1064</v>
      </c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23" t="s">
        <v>1065</v>
      </c>
      <c r="B517" s="23" t="s">
        <v>1065</v>
      </c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22" t="s">
        <v>1066</v>
      </c>
      <c r="B518" s="22" t="s">
        <v>1067</v>
      </c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23" t="s">
        <v>1068</v>
      </c>
      <c r="B519" s="23" t="s">
        <v>1067</v>
      </c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22" t="s">
        <v>1069</v>
      </c>
      <c r="B520" s="22" t="s">
        <v>1070</v>
      </c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23" t="s">
        <v>1071</v>
      </c>
      <c r="B521" s="23" t="s">
        <v>994</v>
      </c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22" t="s">
        <v>1072</v>
      </c>
      <c r="B522" s="22" t="s">
        <v>903</v>
      </c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23" t="s">
        <v>1073</v>
      </c>
      <c r="B523" s="23" t="s">
        <v>664</v>
      </c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22" t="s">
        <v>1074</v>
      </c>
      <c r="B524" s="22" t="s">
        <v>979</v>
      </c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23" t="s">
        <v>1075</v>
      </c>
      <c r="B525" s="23" t="s">
        <v>772</v>
      </c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22" t="s">
        <v>1076</v>
      </c>
      <c r="B526" s="22" t="s">
        <v>1077</v>
      </c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23" t="s">
        <v>1078</v>
      </c>
      <c r="B527" s="23" t="s">
        <v>1079</v>
      </c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22" t="s">
        <v>1080</v>
      </c>
      <c r="B528" s="22" t="s">
        <v>1081</v>
      </c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23" t="s">
        <v>1082</v>
      </c>
      <c r="B529" s="23" t="s">
        <v>1001</v>
      </c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22" t="s">
        <v>1083</v>
      </c>
      <c r="B530" s="22" t="s">
        <v>1009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23" t="s">
        <v>1084</v>
      </c>
      <c r="B531" s="23" t="s">
        <v>892</v>
      </c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22" t="s">
        <v>1085</v>
      </c>
      <c r="B532" s="22" t="s">
        <v>854</v>
      </c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23" t="s">
        <v>1086</v>
      </c>
      <c r="B533" s="23" t="s">
        <v>731</v>
      </c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22" t="s">
        <v>1087</v>
      </c>
      <c r="B534" s="22" t="s">
        <v>822</v>
      </c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23" t="s">
        <v>1088</v>
      </c>
      <c r="B535" s="23" t="s">
        <v>655</v>
      </c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22" t="s">
        <v>1089</v>
      </c>
      <c r="B536" s="22" t="s">
        <v>1090</v>
      </c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Principal</vt:lpstr>
      <vt:lpstr>Analises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Silva</cp:lastModifiedBy>
  <dcterms:modified xsi:type="dcterms:W3CDTF">2024-03-30T19:09:26Z</dcterms:modified>
</cp:coreProperties>
</file>