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.comsol\v56\llmatlab\FRF2Params\wedge\misure wedge\"/>
    </mc:Choice>
  </mc:AlternateContent>
  <bookViews>
    <workbookView minimized="1" xWindow="0" yWindow="0" windowWidth="20460" windowHeight="7680"/>
  </bookViews>
  <sheets>
    <sheet name="Foglio1" sheetId="1" r:id="rId1"/>
  </sheets>
  <definedNames>
    <definedName name="L_1_mean">Foglio1!$A$11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9" i="1" l="1"/>
  <c r="K11" i="1" l="1"/>
  <c r="K17" i="1" s="1"/>
  <c r="M17" i="1"/>
  <c r="N6" i="1" s="1"/>
  <c r="K16" i="1"/>
  <c r="J17" i="1"/>
  <c r="J18" i="1"/>
  <c r="J19" i="1"/>
  <c r="G16" i="1"/>
  <c r="G19" i="1"/>
  <c r="F17" i="1"/>
  <c r="F18" i="1"/>
  <c r="F19" i="1"/>
  <c r="C16" i="1"/>
  <c r="C19" i="1"/>
  <c r="B17" i="1"/>
  <c r="B18" i="1"/>
  <c r="B19" i="1"/>
  <c r="F14" i="1"/>
  <c r="A19" i="1"/>
  <c r="A14" i="1"/>
  <c r="B11" i="1"/>
  <c r="B16" i="1" s="1"/>
  <c r="C11" i="1"/>
  <c r="C17" i="1" s="1"/>
  <c r="D11" i="1"/>
  <c r="D18" i="1" s="1"/>
  <c r="E11" i="1"/>
  <c r="E15" i="1" s="1"/>
  <c r="F11" i="1"/>
  <c r="F16" i="1" s="1"/>
  <c r="G11" i="1"/>
  <c r="G17" i="1" s="1"/>
  <c r="H11" i="1"/>
  <c r="S3" i="1" s="1"/>
  <c r="I11" i="1"/>
  <c r="I15" i="1" s="1"/>
  <c r="J11" i="1"/>
  <c r="J16" i="1" s="1"/>
  <c r="A11" i="1"/>
  <c r="A17" i="1" s="1"/>
  <c r="D14" i="1" l="1"/>
  <c r="A16" i="1"/>
  <c r="C14" i="1"/>
  <c r="C22" i="1" s="1"/>
  <c r="C25" i="1" s="1"/>
  <c r="C15" i="1"/>
  <c r="G15" i="1"/>
  <c r="P3" i="1"/>
  <c r="A15" i="1"/>
  <c r="B14" i="1"/>
  <c r="B15" i="1"/>
  <c r="D17" i="1"/>
  <c r="F15" i="1"/>
  <c r="F22" i="1" s="1"/>
  <c r="F25" i="1" s="1"/>
  <c r="H17" i="1"/>
  <c r="J15" i="1"/>
  <c r="B22" i="1"/>
  <c r="B25" i="1" s="1"/>
  <c r="I14" i="1"/>
  <c r="E18" i="1"/>
  <c r="I18" i="1"/>
  <c r="N13" i="1"/>
  <c r="N9" i="1"/>
  <c r="N5" i="1"/>
  <c r="T3" i="1"/>
  <c r="M21" i="1"/>
  <c r="H14" i="1"/>
  <c r="D16" i="1"/>
  <c r="E17" i="1"/>
  <c r="H16" i="1"/>
  <c r="I17" i="1"/>
  <c r="K19" i="1"/>
  <c r="K15" i="1"/>
  <c r="N2" i="1"/>
  <c r="N12" i="1"/>
  <c r="N8" i="1"/>
  <c r="N4" i="1"/>
  <c r="Q3" i="1"/>
  <c r="A18" i="1"/>
  <c r="K14" i="1"/>
  <c r="C18" i="1"/>
  <c r="D19" i="1"/>
  <c r="D15" i="1"/>
  <c r="E16" i="1"/>
  <c r="G18" i="1"/>
  <c r="H19" i="1"/>
  <c r="H15" i="1"/>
  <c r="I16" i="1"/>
  <c r="K18" i="1"/>
  <c r="N15" i="1"/>
  <c r="N11" i="1"/>
  <c r="N7" i="1"/>
  <c r="N3" i="1"/>
  <c r="R3" i="1"/>
  <c r="J14" i="1"/>
  <c r="J22" i="1" s="1"/>
  <c r="J25" i="1" s="1"/>
  <c r="E14" i="1"/>
  <c r="G14" i="1"/>
  <c r="G22" i="1" s="1"/>
  <c r="G25" i="1" s="1"/>
  <c r="E19" i="1"/>
  <c r="H18" i="1"/>
  <c r="I19" i="1"/>
  <c r="N14" i="1"/>
  <c r="N10" i="1"/>
  <c r="N17" i="1" l="1"/>
  <c r="D22" i="1"/>
  <c r="A22" i="1"/>
  <c r="P11" i="1" s="1"/>
  <c r="A25" i="1"/>
  <c r="D25" i="1"/>
  <c r="Q11" i="1"/>
  <c r="N19" i="1"/>
  <c r="N21" i="1"/>
  <c r="E22" i="1"/>
  <c r="K22" i="1"/>
  <c r="K25" i="1" s="1"/>
  <c r="H22" i="1"/>
  <c r="I22" i="1"/>
  <c r="V3" i="1"/>
  <c r="V5" i="1" s="1"/>
  <c r="U3" i="1"/>
  <c r="P21" i="1"/>
  <c r="P20" i="1"/>
  <c r="U5" i="1" l="1"/>
  <c r="W3" i="1"/>
  <c r="W5" i="1" s="1"/>
  <c r="R11" i="1"/>
  <c r="E25" i="1"/>
  <c r="T11" i="1"/>
  <c r="I25" i="1"/>
  <c r="H25" i="1"/>
  <c r="S11" i="1"/>
  <c r="V11" i="1" l="1"/>
  <c r="V13" i="1" s="1"/>
  <c r="Y2" i="1"/>
  <c r="Y4" i="1" s="1"/>
  <c r="P19" i="1"/>
  <c r="U11" i="1"/>
  <c r="V15" i="1" l="1"/>
  <c r="U15" i="1"/>
  <c r="U13" i="1"/>
  <c r="W11" i="1"/>
  <c r="W13" i="1" l="1"/>
  <c r="W15" i="1"/>
  <c r="R21" i="1" l="1"/>
</calcChain>
</file>

<file path=xl/sharedStrings.xml><?xml version="1.0" encoding="utf-8"?>
<sst xmlns="http://schemas.openxmlformats.org/spreadsheetml/2006/main" count="46" uniqueCount="42">
  <si>
    <t>L_1</t>
  </si>
  <si>
    <t>L_2</t>
  </si>
  <si>
    <t>L_3</t>
  </si>
  <si>
    <t>W_1</t>
  </si>
  <si>
    <t>w_1</t>
  </si>
  <si>
    <t>W_2</t>
  </si>
  <si>
    <t>w_2</t>
  </si>
  <si>
    <t>t_a</t>
  </si>
  <si>
    <t>T_a</t>
  </si>
  <si>
    <t>t_b</t>
  </si>
  <si>
    <t>T_b</t>
  </si>
  <si>
    <t>WEDGE MEASUREMENTS [mm]</t>
  </si>
  <si>
    <t>Average value</t>
  </si>
  <si>
    <t>SCARTO QUADRATICO</t>
  </si>
  <si>
    <t>SCARTO QUADRATICO MEDIO</t>
  </si>
  <si>
    <t>SCARTO QUADRATICO MEDIO [%]</t>
  </si>
  <si>
    <t>MASSA [g]</t>
  </si>
  <si>
    <t>media</t>
  </si>
  <si>
    <t>std</t>
  </si>
  <si>
    <t>std [%]</t>
  </si>
  <si>
    <t>VOLUME [mm^3]</t>
  </si>
  <si>
    <t>L_media</t>
  </si>
  <si>
    <t>W_media</t>
  </si>
  <si>
    <t>t_media</t>
  </si>
  <si>
    <t>T_media</t>
  </si>
  <si>
    <t>w_media</t>
  </si>
  <si>
    <t>Vol parallelepipedo</t>
  </si>
  <si>
    <t>vol prisma</t>
  </si>
  <si>
    <t>vol tot</t>
  </si>
  <si>
    <t>[m^3]</t>
  </si>
  <si>
    <t>[%]</t>
  </si>
  <si>
    <t>DENSITA' [kg/m^3]</t>
  </si>
  <si>
    <t>[kg]</t>
  </si>
  <si>
    <t>mean</t>
  </si>
  <si>
    <t>error propagation</t>
  </si>
  <si>
    <t>Comsol</t>
  </si>
  <si>
    <t>Scan</t>
  </si>
  <si>
    <t>Measurement error [%]</t>
  </si>
  <si>
    <t>Measurement error [m^3] (wrt to the scan)</t>
  </si>
  <si>
    <t>Meas.</t>
  </si>
  <si>
    <t>Measured</t>
  </si>
  <si>
    <t>PROPAGAZIONE ERRORE Volume [mm] o [mm^3]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</si>
</sst>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0"/>
    <numFmt numFmtId="166" formatCode="0.000000"/>
    <numFmt numFmtId="167" formatCode="0.0E+00"/>
    <numFmt numFmtId="170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0" xfId="0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164" fontId="0" fillId="8" borderId="5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2" fontId="0" fillId="8" borderId="16" xfId="0" applyNumberFormat="1" applyFill="1" applyBorder="1" applyAlignment="1">
      <alignment horizontal="center"/>
    </xf>
    <xf numFmtId="2" fontId="0" fillId="8" borderId="17" xfId="0" applyNumberFormat="1" applyFill="1" applyBorder="1" applyAlignment="1">
      <alignment horizontal="center"/>
    </xf>
    <xf numFmtId="2" fontId="0" fillId="8" borderId="18" xfId="0" applyNumberFormat="1" applyFill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164" fontId="0" fillId="8" borderId="16" xfId="0" applyNumberFormat="1" applyFill="1" applyBorder="1" applyAlignment="1">
      <alignment horizontal="center"/>
    </xf>
    <xf numFmtId="164" fontId="0" fillId="8" borderId="17" xfId="0" applyNumberFormat="1" applyFill="1" applyBorder="1" applyAlignment="1">
      <alignment horizontal="center"/>
    </xf>
    <xf numFmtId="164" fontId="0" fillId="8" borderId="18" xfId="0" applyNumberFormat="1" applyFill="1" applyBorder="1" applyAlignment="1">
      <alignment horizontal="center"/>
    </xf>
    <xf numFmtId="0" fontId="0" fillId="5" borderId="7" xfId="0" applyFill="1" applyBorder="1"/>
    <xf numFmtId="0" fontId="0" fillId="5" borderId="0" xfId="0" applyFill="1" applyBorder="1"/>
    <xf numFmtId="0" fontId="0" fillId="5" borderId="8" xfId="0" applyFill="1" applyBorder="1"/>
    <xf numFmtId="0" fontId="0" fillId="5" borderId="0" xfId="0" applyFill="1"/>
    <xf numFmtId="0" fontId="1" fillId="5" borderId="13" xfId="0" applyFont="1" applyFill="1" applyBorder="1" applyAlignment="1"/>
    <xf numFmtId="0" fontId="1" fillId="5" borderId="0" xfId="0" applyFont="1" applyFill="1" applyBorder="1" applyAlignment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8" borderId="7" xfId="0" applyFill="1" applyBorder="1"/>
    <xf numFmtId="0" fontId="0" fillId="8" borderId="0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12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6" borderId="26" xfId="0" applyFill="1" applyBorder="1"/>
    <xf numFmtId="0" fontId="0" fillId="9" borderId="6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18" xfId="0" applyFont="1" applyFill="1" applyBorder="1" applyAlignment="1">
      <alignment horizontal="center"/>
    </xf>
    <xf numFmtId="1" fontId="1" fillId="9" borderId="5" xfId="0" applyNumberFormat="1" applyFont="1" applyFill="1" applyBorder="1" applyAlignment="1">
      <alignment horizontal="center"/>
    </xf>
    <xf numFmtId="1" fontId="0" fillId="9" borderId="5" xfId="0" applyNumberFormat="1" applyFill="1" applyBorder="1" applyAlignment="1">
      <alignment horizontal="center"/>
    </xf>
    <xf numFmtId="1" fontId="0" fillId="9" borderId="9" xfId="0" applyNumberFormat="1" applyFill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1" fontId="2" fillId="3" borderId="30" xfId="0" applyNumberFormat="1" applyFont="1" applyFill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0" fontId="1" fillId="7" borderId="31" xfId="0" applyFont="1" applyFill="1" applyBorder="1" applyAlignment="1">
      <alignment horizontal="center"/>
    </xf>
    <xf numFmtId="0" fontId="1" fillId="7" borderId="32" xfId="0" applyFont="1" applyFill="1" applyBorder="1" applyAlignment="1">
      <alignment horizontal="center"/>
    </xf>
    <xf numFmtId="0" fontId="1" fillId="7" borderId="33" xfId="0" applyFont="1" applyFill="1" applyBorder="1" applyAlignment="1">
      <alignment horizontal="center"/>
    </xf>
    <xf numFmtId="167" fontId="0" fillId="0" borderId="34" xfId="0" applyNumberFormat="1" applyBorder="1" applyAlignment="1">
      <alignment horizontal="center"/>
    </xf>
    <xf numFmtId="167" fontId="0" fillId="0" borderId="35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7" borderId="36" xfId="0" applyFont="1" applyFill="1" applyBorder="1" applyAlignment="1">
      <alignment horizontal="center"/>
    </xf>
    <xf numFmtId="0" fontId="1" fillId="7" borderId="37" xfId="0" applyFont="1" applyFill="1" applyBorder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0" fillId="8" borderId="29" xfId="0" applyFill="1" applyBorder="1" applyAlignment="1">
      <alignment horizontal="left"/>
    </xf>
    <xf numFmtId="0" fontId="0" fillId="8" borderId="34" xfId="0" applyFill="1" applyBorder="1" applyAlignment="1">
      <alignment horizontal="left"/>
    </xf>
    <xf numFmtId="0" fontId="0" fillId="8" borderId="23" xfId="0" applyFill="1" applyBorder="1" applyAlignment="1">
      <alignment horizontal="left"/>
    </xf>
    <xf numFmtId="0" fontId="0" fillId="4" borderId="0" xfId="0" applyFill="1" applyBorder="1"/>
    <xf numFmtId="0" fontId="0" fillId="4" borderId="8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7" xfId="0" applyFill="1" applyBorder="1"/>
    <xf numFmtId="0" fontId="0" fillId="4" borderId="25" xfId="0" applyFill="1" applyBorder="1"/>
    <xf numFmtId="0" fontId="3" fillId="0" borderId="2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70" fontId="0" fillId="9" borderId="18" xfId="0" applyNumberForma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topLeftCell="M1" zoomScale="89" zoomScaleNormal="89" workbookViewId="0">
      <selection activeCell="P21" sqref="P21"/>
    </sheetView>
  </sheetViews>
  <sheetFormatPr defaultRowHeight="15" x14ac:dyDescent="0.25"/>
  <cols>
    <col min="1" max="2" width="9.7109375" bestFit="1" customWidth="1"/>
    <col min="16" max="16" width="9.140625" customWidth="1"/>
    <col min="19" max="20" width="13.42578125" bestFit="1" customWidth="1"/>
    <col min="21" max="21" width="19.42578125" customWidth="1"/>
    <col min="22" max="22" width="11" customWidth="1"/>
    <col min="23" max="23" width="9.5703125" bestFit="1" customWidth="1"/>
    <col min="25" max="25" width="26.42578125" customWidth="1"/>
    <col min="26" max="26" width="11.85546875" customWidth="1"/>
  </cols>
  <sheetData>
    <row r="1" spans="1:27" ht="15.75" thickBot="1" x14ac:dyDescent="0.3">
      <c r="A1" s="30" t="s">
        <v>11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55"/>
      <c r="M1" s="16" t="s">
        <v>16</v>
      </c>
      <c r="N1" s="33"/>
      <c r="O1" s="54"/>
      <c r="P1" s="30" t="s">
        <v>20</v>
      </c>
      <c r="Q1" s="31"/>
      <c r="R1" s="31"/>
      <c r="S1" s="31"/>
      <c r="T1" s="31"/>
      <c r="U1" s="31"/>
      <c r="V1" s="31"/>
      <c r="W1" s="32"/>
      <c r="X1" s="54"/>
      <c r="Y1" s="16" t="s">
        <v>38</v>
      </c>
      <c r="Z1" s="18"/>
      <c r="AA1" s="54"/>
    </row>
    <row r="2" spans="1:27" x14ac:dyDescent="0.25">
      <c r="A2" s="27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  <c r="I2" s="28" t="s">
        <v>8</v>
      </c>
      <c r="J2" s="28" t="s">
        <v>9</v>
      </c>
      <c r="K2" s="29" t="s">
        <v>10</v>
      </c>
      <c r="L2" s="56"/>
      <c r="M2" s="7">
        <v>574</v>
      </c>
      <c r="N2" s="10">
        <f>(M2-M$17)^2</f>
        <v>3.7193877551021033</v>
      </c>
      <c r="O2" s="54"/>
      <c r="P2" s="57" t="s">
        <v>21</v>
      </c>
      <c r="Q2" s="58" t="s">
        <v>22</v>
      </c>
      <c r="R2" s="58" t="s">
        <v>25</v>
      </c>
      <c r="S2" s="58" t="s">
        <v>23</v>
      </c>
      <c r="T2" s="58" t="s">
        <v>24</v>
      </c>
      <c r="U2" s="58" t="s">
        <v>26</v>
      </c>
      <c r="V2" s="59" t="s">
        <v>27</v>
      </c>
      <c r="W2" s="75" t="s">
        <v>28</v>
      </c>
      <c r="X2" s="54"/>
      <c r="Y2" s="62">
        <f xml:space="preserve"> W7-W5</f>
        <v>9.2026944444444352E-5</v>
      </c>
      <c r="Z2" s="63"/>
      <c r="AA2" s="54"/>
    </row>
    <row r="3" spans="1:27" ht="15.75" thickBot="1" x14ac:dyDescent="0.3">
      <c r="A3" s="7">
        <v>445</v>
      </c>
      <c r="B3" s="4">
        <v>450</v>
      </c>
      <c r="C3" s="4">
        <v>451</v>
      </c>
      <c r="D3" s="4">
        <v>124</v>
      </c>
      <c r="E3" s="4">
        <v>120</v>
      </c>
      <c r="F3" s="4">
        <v>132</v>
      </c>
      <c r="G3" s="4">
        <v>130</v>
      </c>
      <c r="H3" s="4">
        <v>8</v>
      </c>
      <c r="I3" s="4">
        <v>39</v>
      </c>
      <c r="J3" s="4">
        <v>9</v>
      </c>
      <c r="K3" s="8">
        <v>41</v>
      </c>
      <c r="L3" s="56"/>
      <c r="M3" s="24">
        <v>574</v>
      </c>
      <c r="N3" s="10">
        <f>(M3-M$17)^2</f>
        <v>3.7193877551021033</v>
      </c>
      <c r="O3" s="54"/>
      <c r="P3" s="79">
        <f>AVERAGE(A11:C11)</f>
        <v>448.88888888888886</v>
      </c>
      <c r="Q3" s="80">
        <f xml:space="preserve"> AVERAGE(D11,F11)</f>
        <v>127.58333333333334</v>
      </c>
      <c r="R3" s="80">
        <f>AVERAGE(E11,G11)</f>
        <v>124.75</v>
      </c>
      <c r="S3" s="80">
        <f>AVERAGE(H11,J11)</f>
        <v>8.5833333333333339</v>
      </c>
      <c r="T3" s="80">
        <f xml:space="preserve"> AVERAGE(I11,K11)</f>
        <v>39.916666666666671</v>
      </c>
      <c r="U3" s="81">
        <f xml:space="preserve"> (R3*S3*P3)</f>
        <v>480657.12962962966</v>
      </c>
      <c r="V3" s="81">
        <f>R3*(T3-S3)/2*P3</f>
        <v>877315.92592592596</v>
      </c>
      <c r="W3" s="82">
        <f>U3+V3</f>
        <v>1357973.0555555555</v>
      </c>
      <c r="X3" s="54"/>
      <c r="Y3" s="19" t="s">
        <v>37</v>
      </c>
      <c r="Z3" s="21"/>
      <c r="AA3" s="54"/>
    </row>
    <row r="4" spans="1:27" ht="15.75" thickBot="1" x14ac:dyDescent="0.3">
      <c r="A4" s="7">
        <v>444</v>
      </c>
      <c r="B4" s="4">
        <v>451</v>
      </c>
      <c r="C4" s="4">
        <v>451</v>
      </c>
      <c r="D4" s="4">
        <v>125</v>
      </c>
      <c r="E4" s="4">
        <v>119</v>
      </c>
      <c r="F4" s="4">
        <v>131</v>
      </c>
      <c r="G4" s="4">
        <v>130</v>
      </c>
      <c r="H4" s="4">
        <v>9</v>
      </c>
      <c r="I4" s="4">
        <v>39</v>
      </c>
      <c r="J4" s="4">
        <v>9</v>
      </c>
      <c r="K4" s="8">
        <v>41</v>
      </c>
      <c r="L4" s="56"/>
      <c r="M4" s="24">
        <v>576</v>
      </c>
      <c r="N4" s="10">
        <f>(M4-M$17)^2</f>
        <v>5.1020408163242109E-3</v>
      </c>
      <c r="O4" s="54"/>
      <c r="P4" s="84" t="s">
        <v>29</v>
      </c>
      <c r="Q4" s="85"/>
      <c r="R4" s="85"/>
      <c r="S4" s="85"/>
      <c r="T4" s="85"/>
      <c r="U4" s="85"/>
      <c r="V4" s="85"/>
      <c r="W4" s="86"/>
      <c r="X4" s="54"/>
      <c r="Y4" s="64">
        <f>Y2/W5*100</f>
        <v>6.7767872173866914</v>
      </c>
      <c r="Z4" s="65"/>
      <c r="AA4" s="54"/>
    </row>
    <row r="5" spans="1:27" ht="15.75" thickBot="1" x14ac:dyDescent="0.3">
      <c r="A5" s="7">
        <v>446</v>
      </c>
      <c r="B5" s="4">
        <v>450</v>
      </c>
      <c r="C5" s="4">
        <v>450</v>
      </c>
      <c r="D5" s="4">
        <v>125</v>
      </c>
      <c r="E5" s="4">
        <v>119</v>
      </c>
      <c r="F5" s="4">
        <v>131</v>
      </c>
      <c r="G5" s="4">
        <v>129</v>
      </c>
      <c r="H5" s="4">
        <v>8</v>
      </c>
      <c r="I5" s="4">
        <v>38</v>
      </c>
      <c r="J5" s="4">
        <v>8</v>
      </c>
      <c r="K5" s="8">
        <v>41</v>
      </c>
      <c r="L5" s="56"/>
      <c r="M5" s="24">
        <v>576</v>
      </c>
      <c r="N5" s="10">
        <f>(M5-M$17)^2</f>
        <v>5.1020408163242109E-3</v>
      </c>
      <c r="O5" s="54"/>
      <c r="P5" s="101"/>
      <c r="Q5" s="97"/>
      <c r="R5" s="97"/>
      <c r="S5" s="97"/>
      <c r="T5" s="103" t="s">
        <v>40</v>
      </c>
      <c r="U5" s="83">
        <f>U3*0.000000001</f>
        <v>4.8065712962962968E-4</v>
      </c>
      <c r="V5" s="83">
        <f>V3*0.000000001</f>
        <v>8.7731592592592603E-4</v>
      </c>
      <c r="W5" s="106">
        <f>W3*0.000000001</f>
        <v>1.3579730555555555E-3</v>
      </c>
      <c r="X5" s="54"/>
      <c r="Y5" s="54"/>
      <c r="Z5" s="54"/>
      <c r="AA5" s="54"/>
    </row>
    <row r="6" spans="1:27" x14ac:dyDescent="0.25">
      <c r="A6" s="7">
        <v>446</v>
      </c>
      <c r="B6" s="4">
        <v>451</v>
      </c>
      <c r="C6" s="4">
        <v>449</v>
      </c>
      <c r="D6" s="4">
        <v>124</v>
      </c>
      <c r="E6" s="4">
        <v>120</v>
      </c>
      <c r="F6" s="4">
        <v>130</v>
      </c>
      <c r="G6" s="4">
        <v>130</v>
      </c>
      <c r="H6" s="4">
        <v>8</v>
      </c>
      <c r="I6" s="4">
        <v>39</v>
      </c>
      <c r="J6" s="4">
        <v>9</v>
      </c>
      <c r="K6" s="8">
        <v>41</v>
      </c>
      <c r="L6" s="56"/>
      <c r="M6" s="24">
        <v>578</v>
      </c>
      <c r="N6" s="10">
        <f>(M6-M$17)^2</f>
        <v>4.2908163265305452</v>
      </c>
      <c r="O6" s="54"/>
      <c r="P6" s="101"/>
      <c r="Q6" s="97"/>
      <c r="R6" s="97"/>
      <c r="S6" s="97"/>
      <c r="T6" s="104" t="s">
        <v>35</v>
      </c>
      <c r="U6" s="15"/>
      <c r="V6" s="15"/>
      <c r="W6" s="73">
        <v>1.3856000000000001E-3</v>
      </c>
      <c r="X6" s="54"/>
      <c r="Y6" s="54"/>
      <c r="Z6" s="54"/>
      <c r="AA6" s="54"/>
    </row>
    <row r="7" spans="1:27" ht="15.75" thickBot="1" x14ac:dyDescent="0.3">
      <c r="A7" s="7">
        <v>446</v>
      </c>
      <c r="B7" s="4">
        <v>452</v>
      </c>
      <c r="C7" s="4">
        <v>451</v>
      </c>
      <c r="D7" s="4">
        <v>123</v>
      </c>
      <c r="E7" s="4">
        <v>120</v>
      </c>
      <c r="F7" s="4">
        <v>131</v>
      </c>
      <c r="G7" s="4">
        <v>130</v>
      </c>
      <c r="H7" s="4">
        <v>9</v>
      </c>
      <c r="I7" s="4">
        <v>39</v>
      </c>
      <c r="J7" s="4">
        <v>9</v>
      </c>
      <c r="K7" s="8">
        <v>41</v>
      </c>
      <c r="L7" s="56"/>
      <c r="M7" s="24">
        <v>578</v>
      </c>
      <c r="N7" s="10">
        <f>(M7-M$17)^2</f>
        <v>4.2908163265305452</v>
      </c>
      <c r="O7" s="54"/>
      <c r="P7" s="102"/>
      <c r="Q7" s="99"/>
      <c r="R7" s="99"/>
      <c r="S7" s="99"/>
      <c r="T7" s="105" t="s">
        <v>36</v>
      </c>
      <c r="U7" s="72"/>
      <c r="V7" s="72"/>
      <c r="W7" s="74">
        <v>1.4499999999999999E-3</v>
      </c>
      <c r="X7" s="54"/>
      <c r="Y7" s="54"/>
      <c r="Z7" s="54"/>
      <c r="AA7" s="54"/>
    </row>
    <row r="8" spans="1:27" x14ac:dyDescent="0.25">
      <c r="A8" s="7">
        <v>446</v>
      </c>
      <c r="B8" s="4">
        <v>451</v>
      </c>
      <c r="C8" s="4">
        <v>450</v>
      </c>
      <c r="D8" s="4">
        <v>124</v>
      </c>
      <c r="E8" s="4">
        <v>120</v>
      </c>
      <c r="F8" s="4">
        <v>131</v>
      </c>
      <c r="G8" s="4">
        <v>130</v>
      </c>
      <c r="H8" s="4">
        <v>8</v>
      </c>
      <c r="I8" s="4">
        <v>39</v>
      </c>
      <c r="J8" s="4">
        <v>9</v>
      </c>
      <c r="K8" s="8">
        <v>41</v>
      </c>
      <c r="L8" s="56"/>
      <c r="M8" s="24">
        <v>574</v>
      </c>
      <c r="N8" s="10">
        <f>(M8-M$17)^2</f>
        <v>3.7193877551021033</v>
      </c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 spans="1:27" ht="15.75" thickBot="1" x14ac:dyDescent="0.3">
      <c r="A9" s="51"/>
      <c r="B9" s="52"/>
      <c r="C9" s="52"/>
      <c r="D9" s="52"/>
      <c r="E9" s="52"/>
      <c r="F9" s="52"/>
      <c r="G9" s="52"/>
      <c r="H9" s="52"/>
      <c r="I9" s="52"/>
      <c r="J9" s="52"/>
      <c r="K9" s="53"/>
      <c r="L9" s="56"/>
      <c r="M9" s="24">
        <v>575</v>
      </c>
      <c r="N9" s="10">
        <f>(M9-M$17)^2</f>
        <v>0.86224489795921389</v>
      </c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spans="1:27" ht="15.75" thickBot="1" x14ac:dyDescent="0.3">
      <c r="A10" s="30" t="s">
        <v>12</v>
      </c>
      <c r="B10" s="40"/>
      <c r="C10" s="40"/>
      <c r="D10" s="40"/>
      <c r="E10" s="40"/>
      <c r="F10" s="40"/>
      <c r="G10" s="40"/>
      <c r="H10" s="40"/>
      <c r="I10" s="40"/>
      <c r="J10" s="40"/>
      <c r="K10" s="41"/>
      <c r="L10" s="56"/>
      <c r="M10" s="24">
        <v>576</v>
      </c>
      <c r="N10" s="10">
        <f>(M10-M$17)^2</f>
        <v>5.1020408163242109E-3</v>
      </c>
      <c r="O10" s="54"/>
      <c r="P10" s="16" t="s">
        <v>41</v>
      </c>
      <c r="Q10" s="17"/>
      <c r="R10" s="17"/>
      <c r="S10" s="17"/>
      <c r="T10" s="17"/>
      <c r="U10" s="17"/>
      <c r="V10" s="17"/>
      <c r="W10" s="18"/>
      <c r="X10" s="54"/>
      <c r="Y10" s="54"/>
      <c r="Z10" s="54"/>
      <c r="AA10" s="54"/>
    </row>
    <row r="11" spans="1:27" x14ac:dyDescent="0.25">
      <c r="A11" s="48">
        <f t="shared" ref="A11:K11" si="0">AVERAGE(A3:A8)</f>
        <v>445.5</v>
      </c>
      <c r="B11" s="49">
        <f t="shared" si="0"/>
        <v>450.83333333333331</v>
      </c>
      <c r="C11" s="49">
        <f t="shared" si="0"/>
        <v>450.33333333333331</v>
      </c>
      <c r="D11" s="49">
        <f t="shared" si="0"/>
        <v>124.16666666666667</v>
      </c>
      <c r="E11" s="49">
        <f t="shared" si="0"/>
        <v>119.66666666666667</v>
      </c>
      <c r="F11" s="49">
        <f t="shared" si="0"/>
        <v>131</v>
      </c>
      <c r="G11" s="49">
        <f t="shared" si="0"/>
        <v>129.83333333333334</v>
      </c>
      <c r="H11" s="49">
        <f t="shared" si="0"/>
        <v>8.3333333333333339</v>
      </c>
      <c r="I11" s="49">
        <f t="shared" si="0"/>
        <v>38.833333333333336</v>
      </c>
      <c r="J11" s="49">
        <f t="shared" si="0"/>
        <v>8.8333333333333339</v>
      </c>
      <c r="K11" s="50">
        <f t="shared" si="0"/>
        <v>41</v>
      </c>
      <c r="L11" s="56"/>
      <c r="M11" s="24">
        <v>578</v>
      </c>
      <c r="N11" s="10">
        <f>(M11-M$17)^2</f>
        <v>4.2908163265305452</v>
      </c>
      <c r="O11" s="54"/>
      <c r="P11" s="11">
        <f xml:space="preserve"> SQRT((1/3)^2*(A22^2 +B22^2 +C22^2))</f>
        <v>0.4634811914358713</v>
      </c>
      <c r="Q11" s="2">
        <f xml:space="preserve"> SQRT((1/2)^2*(D22^2 +F22^2 ))</f>
        <v>0.49159604012508751</v>
      </c>
      <c r="R11" s="2">
        <f xml:space="preserve"> SQRT((1/2)^2*(E22^2 +G22^2 ))</f>
        <v>0.32914029430219166</v>
      </c>
      <c r="S11" s="2">
        <f xml:space="preserve"> SQRT((1/2)^2*(H22^2 +J22^2 ))</f>
        <v>0.32914029430219166</v>
      </c>
      <c r="T11" s="2">
        <f xml:space="preserve"> SQRT((1/2)^2*(I22^2 +K22^2 ))</f>
        <v>0.20412414523193151</v>
      </c>
      <c r="U11" s="3">
        <f xml:space="preserve"> SQRT((R3*S3)^2*P11^2 + (P3*S3)^2*R11^2 + (P3*R3)^2*S11^2)</f>
        <v>18481.731286300048</v>
      </c>
      <c r="V11" s="3">
        <f>SQRT( (R3*(T3-S3)/2)^2 *P11^2  +  (P3*(T3-S3)/2)^2 *R11^2   +   (R3*P3/2)^2 *S11^2  +  (P3*R3/2)^2 *T11^2)</f>
        <v>11125.365234483128</v>
      </c>
      <c r="W11" s="60">
        <f>SQRT(U11^2 + V11^2)</f>
        <v>21571.92951359817</v>
      </c>
      <c r="X11" s="54"/>
      <c r="Y11" s="54"/>
      <c r="Z11" s="54"/>
      <c r="AA11" s="54"/>
    </row>
    <row r="12" spans="1:27" ht="15.75" thickBot="1" x14ac:dyDescent="0.3">
      <c r="A12" s="51"/>
      <c r="B12" s="52"/>
      <c r="C12" s="52"/>
      <c r="D12" s="52"/>
      <c r="E12" s="52"/>
      <c r="F12" s="52"/>
      <c r="G12" s="52"/>
      <c r="H12" s="52"/>
      <c r="I12" s="52"/>
      <c r="J12" s="52"/>
      <c r="K12" s="53"/>
      <c r="L12" s="56"/>
      <c r="M12" s="24">
        <v>576</v>
      </c>
      <c r="N12" s="10">
        <f>(M12-M$17)^2</f>
        <v>5.1020408163242109E-3</v>
      </c>
      <c r="O12" s="54"/>
      <c r="P12" s="91" t="s">
        <v>29</v>
      </c>
      <c r="Q12" s="92"/>
      <c r="R12" s="92"/>
      <c r="S12" s="92"/>
      <c r="T12" s="92"/>
      <c r="U12" s="92"/>
      <c r="V12" s="92"/>
      <c r="W12" s="93"/>
      <c r="X12" s="54"/>
      <c r="Y12" s="54"/>
      <c r="Z12" s="54"/>
      <c r="AA12" s="54"/>
    </row>
    <row r="13" spans="1:27" ht="15.75" thickBot="1" x14ac:dyDescent="0.3">
      <c r="A13" s="30" t="s">
        <v>13</v>
      </c>
      <c r="B13" s="31"/>
      <c r="C13" s="31"/>
      <c r="D13" s="31"/>
      <c r="E13" s="31"/>
      <c r="F13" s="31"/>
      <c r="G13" s="31"/>
      <c r="H13" s="31"/>
      <c r="I13" s="31"/>
      <c r="J13" s="31"/>
      <c r="K13" s="32"/>
      <c r="L13" s="56"/>
      <c r="M13" s="24">
        <v>574</v>
      </c>
      <c r="N13" s="10">
        <f>(M13-M$17)^2</f>
        <v>3.7193877551021033</v>
      </c>
      <c r="O13" s="54"/>
      <c r="P13" s="66"/>
      <c r="Q13" s="67"/>
      <c r="R13" s="67"/>
      <c r="S13" s="67"/>
      <c r="T13" s="67"/>
      <c r="U13" s="87">
        <f>U11*0.000000001</f>
        <v>1.8481731286300048E-5</v>
      </c>
      <c r="V13" s="87">
        <f>V11*0.000000001</f>
        <v>1.1125365234483129E-5</v>
      </c>
      <c r="W13" s="88">
        <f>W11*0.000000001</f>
        <v>2.1571929513598172E-5</v>
      </c>
      <c r="X13" s="54"/>
      <c r="Y13" s="54"/>
      <c r="Z13" s="54"/>
      <c r="AA13" s="54"/>
    </row>
    <row r="14" spans="1:27" x14ac:dyDescent="0.25">
      <c r="A14" s="45">
        <f>(A3-A$11)^2</f>
        <v>0.25</v>
      </c>
      <c r="B14" s="46">
        <f t="shared" ref="B14:K14" si="1">(B3-B$11)^2</f>
        <v>0.69444444444441289</v>
      </c>
      <c r="C14" s="46">
        <f t="shared" si="1"/>
        <v>0.44444444444446973</v>
      </c>
      <c r="D14" s="46">
        <f t="shared" si="1"/>
        <v>2.7777777777779358E-2</v>
      </c>
      <c r="E14" s="46">
        <f t="shared" si="1"/>
        <v>0.11111111111110795</v>
      </c>
      <c r="F14" s="46">
        <f t="shared" si="1"/>
        <v>1</v>
      </c>
      <c r="G14" s="46">
        <f>(G3-G$11)^2</f>
        <v>2.7777777777774619E-2</v>
      </c>
      <c r="H14" s="46">
        <f t="shared" si="1"/>
        <v>0.11111111111111151</v>
      </c>
      <c r="I14" s="46">
        <f t="shared" si="1"/>
        <v>2.7777777777776989E-2</v>
      </c>
      <c r="J14" s="46">
        <f t="shared" si="1"/>
        <v>2.7777777777777582E-2</v>
      </c>
      <c r="K14" s="47">
        <f t="shared" si="1"/>
        <v>0</v>
      </c>
      <c r="L14" s="56"/>
      <c r="M14" s="24">
        <v>578</v>
      </c>
      <c r="N14" s="10">
        <f>(M14-M$17)^2</f>
        <v>4.2908163265305452</v>
      </c>
      <c r="O14" s="54"/>
      <c r="P14" s="91" t="s">
        <v>30</v>
      </c>
      <c r="Q14" s="92"/>
      <c r="R14" s="92"/>
      <c r="S14" s="92"/>
      <c r="T14" s="92"/>
      <c r="U14" s="92"/>
      <c r="V14" s="92"/>
      <c r="W14" s="93"/>
      <c r="X14" s="54"/>
      <c r="Y14" s="54"/>
      <c r="Z14" s="54"/>
      <c r="AA14" s="54"/>
    </row>
    <row r="15" spans="1:27" ht="15.75" thickBot="1" x14ac:dyDescent="0.3">
      <c r="A15" s="9">
        <f t="shared" ref="A15:K19" si="2">(A4-A$11)^2</f>
        <v>2.25</v>
      </c>
      <c r="B15" s="1">
        <f t="shared" si="2"/>
        <v>2.7777777777784094E-2</v>
      </c>
      <c r="C15" s="1">
        <f t="shared" si="2"/>
        <v>0.44444444444446973</v>
      </c>
      <c r="D15" s="1">
        <f t="shared" si="2"/>
        <v>0.69444444444443654</v>
      </c>
      <c r="E15" s="1">
        <f t="shared" si="2"/>
        <v>0.44444444444445075</v>
      </c>
      <c r="F15" s="1">
        <f t="shared" si="2"/>
        <v>0</v>
      </c>
      <c r="G15" s="1">
        <f t="shared" si="2"/>
        <v>2.7777777777774619E-2</v>
      </c>
      <c r="H15" s="1">
        <f t="shared" si="2"/>
        <v>0.44444444444444364</v>
      </c>
      <c r="I15" s="1">
        <f t="shared" si="2"/>
        <v>2.7777777777776989E-2</v>
      </c>
      <c r="J15" s="1">
        <f t="shared" si="2"/>
        <v>2.7777777777777582E-2</v>
      </c>
      <c r="K15" s="10">
        <f t="shared" si="2"/>
        <v>0</v>
      </c>
      <c r="L15" s="56"/>
      <c r="M15" s="24">
        <v>576</v>
      </c>
      <c r="N15" s="10">
        <f>(M15-M$17)^2</f>
        <v>5.1020408163242109E-3</v>
      </c>
      <c r="O15" s="54"/>
      <c r="P15" s="68"/>
      <c r="Q15" s="69"/>
      <c r="R15" s="69"/>
      <c r="S15" s="69"/>
      <c r="T15" s="69"/>
      <c r="U15" s="89">
        <f>U11/U3*100</f>
        <v>3.8450966701651019</v>
      </c>
      <c r="V15" s="89">
        <f>V11/V3*100</f>
        <v>1.2681139035224207</v>
      </c>
      <c r="W15" s="90">
        <f>W11/W3*100</f>
        <v>1.5885388465806456</v>
      </c>
      <c r="X15" s="54"/>
      <c r="Y15" s="54"/>
      <c r="Z15" s="54"/>
      <c r="AA15" s="54"/>
    </row>
    <row r="16" spans="1:27" ht="15.75" thickBot="1" x14ac:dyDescent="0.3">
      <c r="A16" s="9">
        <f t="shared" si="2"/>
        <v>0.25</v>
      </c>
      <c r="B16" s="1">
        <f t="shared" si="2"/>
        <v>0.69444444444441289</v>
      </c>
      <c r="C16" s="1">
        <f t="shared" si="2"/>
        <v>0.11111111111109848</v>
      </c>
      <c r="D16" s="1">
        <f t="shared" si="2"/>
        <v>0.69444444444443654</v>
      </c>
      <c r="E16" s="1">
        <f t="shared" si="2"/>
        <v>0.44444444444445075</v>
      </c>
      <c r="F16" s="1">
        <f t="shared" si="2"/>
        <v>0</v>
      </c>
      <c r="G16" s="1">
        <f t="shared" si="2"/>
        <v>0.69444444444446018</v>
      </c>
      <c r="H16" s="1">
        <f t="shared" si="2"/>
        <v>0.11111111111111151</v>
      </c>
      <c r="I16" s="1">
        <f t="shared" si="2"/>
        <v>0.69444444444444842</v>
      </c>
      <c r="J16" s="1">
        <f t="shared" si="2"/>
        <v>0.69444444444444542</v>
      </c>
      <c r="K16" s="10">
        <f t="shared" si="2"/>
        <v>0</v>
      </c>
      <c r="L16" s="56"/>
      <c r="M16" s="34" t="s">
        <v>17</v>
      </c>
      <c r="N16" s="35" t="s">
        <v>18</v>
      </c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</row>
    <row r="17" spans="1:27" x14ac:dyDescent="0.25">
      <c r="A17" s="9">
        <f t="shared" si="2"/>
        <v>0.25</v>
      </c>
      <c r="B17" s="1">
        <f t="shared" si="2"/>
        <v>2.7777777777784094E-2</v>
      </c>
      <c r="C17" s="1">
        <f t="shared" si="2"/>
        <v>1.7777777777777273</v>
      </c>
      <c r="D17" s="1">
        <f t="shared" si="2"/>
        <v>2.7777777777779358E-2</v>
      </c>
      <c r="E17" s="1">
        <f t="shared" si="2"/>
        <v>0.11111111111110795</v>
      </c>
      <c r="F17" s="1">
        <f t="shared" si="2"/>
        <v>1</v>
      </c>
      <c r="G17" s="1">
        <f t="shared" si="2"/>
        <v>2.7777777777774619E-2</v>
      </c>
      <c r="H17" s="1">
        <f t="shared" si="2"/>
        <v>0.11111111111111151</v>
      </c>
      <c r="I17" s="1">
        <f t="shared" si="2"/>
        <v>2.7777777777776989E-2</v>
      </c>
      <c r="J17" s="1">
        <f t="shared" si="2"/>
        <v>2.7777777777777582E-2</v>
      </c>
      <c r="K17" s="10">
        <f t="shared" si="2"/>
        <v>0</v>
      </c>
      <c r="L17" s="56"/>
      <c r="M17" s="22">
        <f>AVERAGE(M2:M15)</f>
        <v>575.92857142857144</v>
      </c>
      <c r="N17" s="23">
        <f xml:space="preserve"> SQRT(SUM(N2:N15)/(COUNTA(N2:N15)-1))</f>
        <v>1.5915297775935686</v>
      </c>
      <c r="O17" s="54"/>
      <c r="P17" s="16" t="s">
        <v>31</v>
      </c>
      <c r="Q17" s="17"/>
      <c r="R17" s="17"/>
      <c r="S17" s="17"/>
      <c r="T17" s="17"/>
      <c r="U17" s="17"/>
      <c r="V17" s="17"/>
      <c r="W17" s="18"/>
      <c r="X17" s="54"/>
      <c r="Y17" s="54"/>
      <c r="Z17" s="54"/>
      <c r="AA17" s="54"/>
    </row>
    <row r="18" spans="1:27" x14ac:dyDescent="0.25">
      <c r="A18" s="9">
        <f t="shared" si="2"/>
        <v>0.25</v>
      </c>
      <c r="B18" s="1">
        <f t="shared" si="2"/>
        <v>1.3611111111111553</v>
      </c>
      <c r="C18" s="1">
        <f t="shared" si="2"/>
        <v>0.44444444444446973</v>
      </c>
      <c r="D18" s="1">
        <f t="shared" si="2"/>
        <v>1.3611111111111223</v>
      </c>
      <c r="E18" s="1">
        <f t="shared" si="2"/>
        <v>0.11111111111110795</v>
      </c>
      <c r="F18" s="1">
        <f t="shared" si="2"/>
        <v>0</v>
      </c>
      <c r="G18" s="1">
        <f t="shared" si="2"/>
        <v>2.7777777777774619E-2</v>
      </c>
      <c r="H18" s="1">
        <f t="shared" si="2"/>
        <v>0.44444444444444364</v>
      </c>
      <c r="I18" s="1">
        <f t="shared" si="2"/>
        <v>2.7777777777776989E-2</v>
      </c>
      <c r="J18" s="1">
        <f t="shared" si="2"/>
        <v>2.7777777777777582E-2</v>
      </c>
      <c r="K18" s="10">
        <f t="shared" si="2"/>
        <v>0</v>
      </c>
      <c r="L18" s="56"/>
      <c r="M18" s="70"/>
      <c r="N18" s="36" t="s">
        <v>19</v>
      </c>
      <c r="O18" s="54"/>
      <c r="P18" s="34" t="s">
        <v>33</v>
      </c>
      <c r="Q18" s="97"/>
      <c r="R18" s="20" t="s">
        <v>34</v>
      </c>
      <c r="S18" s="20"/>
      <c r="T18" s="97"/>
      <c r="U18" s="97"/>
      <c r="V18" s="97"/>
      <c r="W18" s="98"/>
      <c r="X18" s="54"/>
      <c r="Y18" s="54"/>
      <c r="Z18" s="54"/>
      <c r="AA18" s="54"/>
    </row>
    <row r="19" spans="1:27" x14ac:dyDescent="0.25">
      <c r="A19" s="9">
        <f t="shared" si="2"/>
        <v>0.25</v>
      </c>
      <c r="B19" s="1">
        <f t="shared" si="2"/>
        <v>2.7777777777784094E-2</v>
      </c>
      <c r="C19" s="1">
        <f t="shared" si="2"/>
        <v>0.11111111111109848</v>
      </c>
      <c r="D19" s="1">
        <f t="shared" si="2"/>
        <v>2.7777777777779358E-2</v>
      </c>
      <c r="E19" s="1">
        <f t="shared" si="2"/>
        <v>0.11111111111110795</v>
      </c>
      <c r="F19" s="1">
        <f t="shared" si="2"/>
        <v>0</v>
      </c>
      <c r="G19" s="1">
        <f t="shared" si="2"/>
        <v>2.7777777777774619E-2</v>
      </c>
      <c r="H19" s="1">
        <f t="shared" si="2"/>
        <v>0.11111111111111151</v>
      </c>
      <c r="I19" s="1">
        <f t="shared" si="2"/>
        <v>2.7777777777776989E-2</v>
      </c>
      <c r="J19" s="1">
        <f t="shared" si="2"/>
        <v>2.7777777777777582E-2</v>
      </c>
      <c r="K19" s="10">
        <f t="shared" si="2"/>
        <v>0</v>
      </c>
      <c r="L19" s="56"/>
      <c r="M19" s="71"/>
      <c r="N19" s="10">
        <f>N17/M17*100</f>
        <v>0.2763415215963036</v>
      </c>
      <c r="O19" s="54"/>
      <c r="P19" s="76">
        <f>M21/W5</f>
        <v>424.10898292304876</v>
      </c>
      <c r="Q19" s="94" t="s">
        <v>39</v>
      </c>
      <c r="R19" s="6">
        <f>SQRT((1/W5)^2*N21^2 + (M21/(W5^2))^2*(W13)^2)</f>
        <v>6.838315543539383</v>
      </c>
      <c r="S19" s="6"/>
      <c r="T19" s="97"/>
      <c r="U19" s="97"/>
      <c r="V19" s="97"/>
      <c r="W19" s="98"/>
      <c r="X19" s="54"/>
      <c r="Y19" s="54"/>
      <c r="Z19" s="54"/>
      <c r="AA19" s="54"/>
    </row>
    <row r="20" spans="1:27" ht="15.75" thickBot="1" x14ac:dyDescent="0.3">
      <c r="A20" s="51"/>
      <c r="B20" s="52"/>
      <c r="C20" s="52"/>
      <c r="D20" s="52"/>
      <c r="E20" s="52"/>
      <c r="F20" s="52"/>
      <c r="G20" s="52"/>
      <c r="H20" s="52"/>
      <c r="I20" s="52"/>
      <c r="J20" s="52"/>
      <c r="K20" s="53"/>
      <c r="L20" s="56"/>
      <c r="M20" s="19" t="s">
        <v>32</v>
      </c>
      <c r="N20" s="21"/>
      <c r="O20" s="54"/>
      <c r="P20" s="77">
        <f>M21/W6</f>
        <v>415.65283734741007</v>
      </c>
      <c r="Q20" s="95" t="s">
        <v>35</v>
      </c>
      <c r="R20" s="5" t="s">
        <v>30</v>
      </c>
      <c r="S20" s="5"/>
      <c r="T20" s="97"/>
      <c r="U20" s="97"/>
      <c r="V20" s="97"/>
      <c r="W20" s="98"/>
      <c r="X20" s="54"/>
      <c r="Y20" s="54"/>
      <c r="Z20" s="54"/>
      <c r="AA20" s="54"/>
    </row>
    <row r="21" spans="1:27" ht="15.75" thickBot="1" x14ac:dyDescent="0.3">
      <c r="A21" s="30" t="s">
        <v>14</v>
      </c>
      <c r="B21" s="40"/>
      <c r="C21" s="40"/>
      <c r="D21" s="40"/>
      <c r="E21" s="40"/>
      <c r="F21" s="40"/>
      <c r="G21" s="40"/>
      <c r="H21" s="40"/>
      <c r="I21" s="40"/>
      <c r="J21" s="40"/>
      <c r="K21" s="41"/>
      <c r="L21" s="56"/>
      <c r="M21" s="25">
        <f>0.001*M17</f>
        <v>0.57592857142857146</v>
      </c>
      <c r="N21" s="26">
        <f>0.001*N17</f>
        <v>1.5915297775935687E-3</v>
      </c>
      <c r="O21" s="54"/>
      <c r="P21" s="78">
        <f>M21/W7</f>
        <v>397.19211822660105</v>
      </c>
      <c r="Q21" s="96" t="s">
        <v>36</v>
      </c>
      <c r="R21" s="61">
        <f>R19/P19*100</f>
        <v>1.6123958272254144</v>
      </c>
      <c r="S21" s="61"/>
      <c r="T21" s="99"/>
      <c r="U21" s="99"/>
      <c r="V21" s="99"/>
      <c r="W21" s="100"/>
      <c r="X21" s="54"/>
      <c r="Y21" s="54"/>
      <c r="Z21" s="54"/>
      <c r="AA21" s="54"/>
    </row>
    <row r="22" spans="1:27" x14ac:dyDescent="0.25">
      <c r="A22" s="42">
        <f>SQRT(SUM(A14:A19)/(COUNTA(A14:A19)-1))</f>
        <v>0.83666002653407556</v>
      </c>
      <c r="B22" s="43">
        <f t="shared" ref="B22:K22" si="3">SQRT(SUM(B14:B19)/(COUNTA(B14:B19)-1))</f>
        <v>0.752772652709081</v>
      </c>
      <c r="C22" s="43">
        <f t="shared" si="3"/>
        <v>0.81649658092772603</v>
      </c>
      <c r="D22" s="43">
        <f t="shared" si="3"/>
        <v>0.752772652709081</v>
      </c>
      <c r="E22" s="43">
        <f t="shared" si="3"/>
        <v>0.51639777949432231</v>
      </c>
      <c r="F22" s="43">
        <f t="shared" si="3"/>
        <v>0.63245553203367588</v>
      </c>
      <c r="G22" s="43">
        <f t="shared" si="3"/>
        <v>0.40824829046386296</v>
      </c>
      <c r="H22" s="43">
        <f t="shared" si="3"/>
        <v>0.51639777949432231</v>
      </c>
      <c r="I22" s="43">
        <f t="shared" si="3"/>
        <v>0.40824829046386302</v>
      </c>
      <c r="J22" s="43">
        <f t="shared" si="3"/>
        <v>0.40824829046386302</v>
      </c>
      <c r="K22" s="44">
        <f t="shared" si="3"/>
        <v>0</v>
      </c>
      <c r="L22" s="56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</row>
    <row r="23" spans="1:27" ht="15.75" thickBot="1" x14ac:dyDescent="0.3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4"/>
      <c r="L23" s="56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</row>
    <row r="24" spans="1:27" ht="15.75" thickBot="1" x14ac:dyDescent="0.3">
      <c r="A24" s="30" t="s">
        <v>15</v>
      </c>
      <c r="B24" s="40"/>
      <c r="C24" s="40"/>
      <c r="D24" s="40"/>
      <c r="E24" s="40"/>
      <c r="F24" s="40"/>
      <c r="G24" s="40"/>
      <c r="H24" s="40"/>
      <c r="I24" s="40"/>
      <c r="J24" s="40"/>
      <c r="K24" s="41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</row>
    <row r="25" spans="1:27" ht="15.75" thickBot="1" x14ac:dyDescent="0.3">
      <c r="A25" s="37">
        <f>A22/A11*100</f>
        <v>0.18780247509182391</v>
      </c>
      <c r="B25" s="38">
        <f t="shared" ref="B25:K25" si="4">B22/B11*100</f>
        <v>0.16697360134027675</v>
      </c>
      <c r="C25" s="38">
        <f t="shared" si="4"/>
        <v>0.18130938140512051</v>
      </c>
      <c r="D25" s="38">
        <f t="shared" si="4"/>
        <v>0.60625985453080344</v>
      </c>
      <c r="E25" s="38">
        <f t="shared" si="4"/>
        <v>0.43153017785040854</v>
      </c>
      <c r="F25" s="38">
        <f t="shared" si="4"/>
        <v>0.48279048246845491</v>
      </c>
      <c r="G25" s="38">
        <f t="shared" si="4"/>
        <v>0.31444027506844385</v>
      </c>
      <c r="H25" s="38">
        <f t="shared" si="4"/>
        <v>6.1967733539318672</v>
      </c>
      <c r="I25" s="38">
        <f t="shared" si="4"/>
        <v>1.0512831514090892</v>
      </c>
      <c r="J25" s="38">
        <f t="shared" si="4"/>
        <v>4.6216787599682601</v>
      </c>
      <c r="K25" s="39">
        <f t="shared" si="4"/>
        <v>0</v>
      </c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</row>
    <row r="26" spans="1:27" x14ac:dyDescent="0.25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 spans="1:27" x14ac:dyDescent="0.25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</row>
  </sheetData>
  <mergeCells count="23">
    <mergeCell ref="M18:M19"/>
    <mergeCell ref="P4:W4"/>
    <mergeCell ref="P12:W12"/>
    <mergeCell ref="P14:W14"/>
    <mergeCell ref="Y1:Z1"/>
    <mergeCell ref="Y2:Z2"/>
    <mergeCell ref="Y3:Z3"/>
    <mergeCell ref="Y4:Z4"/>
    <mergeCell ref="A21:K21"/>
    <mergeCell ref="A24:K24"/>
    <mergeCell ref="M1:N1"/>
    <mergeCell ref="P1:W1"/>
    <mergeCell ref="P10:W10"/>
    <mergeCell ref="A1:K1"/>
    <mergeCell ref="A10:K10"/>
    <mergeCell ref="A13:K13"/>
    <mergeCell ref="P17:W17"/>
    <mergeCell ref="M20:N20"/>
    <mergeCell ref="R18:S18"/>
    <mergeCell ref="R19:S19"/>
    <mergeCell ref="R20:S20"/>
    <mergeCell ref="R21:S21"/>
    <mergeCell ref="A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L_1_mean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2021-10-21T14:12:34Z</dcterms:created>
  <dcterms:modified xsi:type="dcterms:W3CDTF">2021-11-04T12:40:56Z</dcterms:modified>
</cp:coreProperties>
</file>