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9345" windowHeight="5490"/>
  </bookViews>
  <sheets>
    <sheet name="Ch 8 Problems" sheetId="1" r:id="rId1"/>
    <sheet name="Ch 8-Answers" sheetId="2" r:id="rId2"/>
  </sheets>
  <definedNames>
    <definedName name="_xlnm.Print_Area" localSheetId="0">'Ch 8 Problems'!$A$1:$J$55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<sst xmlns="http://schemas.openxmlformats.org/spreadsheetml/2006/main" count="267" uniqueCount="135">
  <si>
    <t>Grade:  /200 =</t>
  </si>
  <si>
    <t xml:space="preserve">S8.1  Finding confidence intervals for means using a Normal Distribution. </t>
  </si>
  <si>
    <t xml:space="preserve">1)  A sociologist found that in a sample of 50 retired men, the average number of jobs they had during their lifetimes was 7.2.  The population standard deviation is 2.1.  </t>
  </si>
  <si>
    <t>√</t>
  </si>
  <si>
    <t>a) Find the 95% confidence interval of the mean number of jobs. (14 pts)</t>
  </si>
  <si>
    <r>
      <rPr>
        <sz val="11"/>
        <color theme="1"/>
        <rFont val="Calibri"/>
        <charset val="134"/>
        <scheme val="minor"/>
      </rPr>
      <t>x</t>
    </r>
    <r>
      <rPr>
        <sz val="11"/>
        <color theme="1"/>
        <rFont val="Calibri"/>
        <charset val="134"/>
      </rPr>
      <t>̅ =</t>
    </r>
  </si>
  <si>
    <t>s =</t>
  </si>
  <si>
    <r>
      <rPr>
        <sz val="12"/>
        <color theme="1"/>
        <rFont val="Calibri"/>
        <charset val="134"/>
        <scheme val="minor"/>
      </rPr>
      <t>z</t>
    </r>
    <r>
      <rPr>
        <vertAlign val="subscript"/>
        <sz val="12"/>
        <color theme="1"/>
        <rFont val="Calibri"/>
        <charset val="134"/>
        <scheme val="minor"/>
      </rPr>
      <t>a/2</t>
    </r>
    <r>
      <rPr>
        <sz val="12"/>
        <color theme="1"/>
        <rFont val="Calibri"/>
        <charset val="134"/>
        <scheme val="minor"/>
      </rPr>
      <t xml:space="preserve"> for 95% =</t>
    </r>
  </si>
  <si>
    <t xml:space="preserve">Margin of error = </t>
  </si>
  <si>
    <t xml:space="preserve">Confidence interval: </t>
  </si>
  <si>
    <t xml:space="preserve">&lt;   μ   &lt; </t>
  </si>
  <si>
    <t xml:space="preserve">Write a conclusion.  </t>
  </si>
  <si>
    <t>the average number of jobs in a lifetime  within the range 6.61 - 7.78 at 95% confidence level</t>
  </si>
  <si>
    <t xml:space="preserve">b) Find the 99% confidence interval of the mean number of jobs.  (14 pts) </t>
  </si>
  <si>
    <r>
      <rPr>
        <sz val="12"/>
        <color theme="1"/>
        <rFont val="Calibri"/>
        <charset val="134"/>
        <scheme val="minor"/>
      </rPr>
      <t>z</t>
    </r>
    <r>
      <rPr>
        <vertAlign val="subscript"/>
        <sz val="12"/>
        <color theme="1"/>
        <rFont val="Calibri"/>
        <charset val="134"/>
        <scheme val="minor"/>
      </rPr>
      <t>a/2</t>
    </r>
    <r>
      <rPr>
        <sz val="12"/>
        <color theme="1"/>
        <rFont val="Calibri"/>
        <charset val="134"/>
        <scheme val="minor"/>
      </rPr>
      <t xml:space="preserve"> for 99% =</t>
    </r>
  </si>
  <si>
    <t>The average number of jobs in a lifetime at 99% level of confidence lies within the range 6.435- 7.9649</t>
  </si>
  <si>
    <t>2)   A study of 415 kindergarten students showed that they have seen on average 5000 hours of television.  If the standard deviation of the population is 900, find the 95% confidence level of the mean for all students.  If a parent claimed that his children watched 4000 hours, would the claim be believable?  (16 pts)</t>
  </si>
  <si>
    <t>At 95% confidence level the mean hours of television lies within the range 4913.41 - 5086.59</t>
  </si>
  <si>
    <t>Would their claim be believable?</t>
  </si>
  <si>
    <t>The parents claim is unbelievable since 4000 hours is outside the confidence interval.</t>
  </si>
  <si>
    <t>3)  What price do farmers get for their watermelon crops?  In the third week of July, a random sample of 40 farming regions gave a sample mean of $6.88 per 100 pounds of watermelon.  Assume that the population standard deviation is known to be $1.92 per 100 pounds. Find a 90% confidence interval  for the population mean price (per 100 pounds) that farmers in this region get for their watermelon crop.   (15 pts)</t>
  </si>
  <si>
    <t>a)  (14 pts)</t>
  </si>
  <si>
    <r>
      <rPr>
        <sz val="12"/>
        <color theme="1"/>
        <rFont val="Calibri"/>
        <charset val="134"/>
        <scheme val="minor"/>
      </rPr>
      <t>z</t>
    </r>
    <r>
      <rPr>
        <vertAlign val="subscript"/>
        <sz val="12"/>
        <color theme="1"/>
        <rFont val="Calibri"/>
        <charset val="134"/>
        <scheme val="minor"/>
      </rPr>
      <t>a/2</t>
    </r>
    <r>
      <rPr>
        <sz val="12"/>
        <color theme="1"/>
        <rFont val="Calibri"/>
        <charset val="134"/>
        <scheme val="minor"/>
      </rPr>
      <t xml:space="preserve"> for 90% =</t>
    </r>
  </si>
  <si>
    <t>the average price that farmers get for their watermelon per 100 pounds lies within the range $6.38066 - $7.3793 at 90% confidence level</t>
  </si>
  <si>
    <t>b)</t>
  </si>
  <si>
    <t>Find the sample size necessary for a 90% confidence interval with maximal error of 0.3 for the mean price per 100 pounds of watermelon.   (5 pts)</t>
  </si>
  <si>
    <t>Sample size needed:</t>
  </si>
  <si>
    <t>n=z^2*s^2)/E^2</t>
  </si>
  <si>
    <t>Approximately 111</t>
  </si>
  <si>
    <t>S8.2  Finding confidence intervals for means using the Student T distribution.</t>
  </si>
  <si>
    <r>
      <rPr>
        <sz val="11"/>
        <color theme="1"/>
        <rFont val="Calibri"/>
        <charset val="134"/>
        <scheme val="minor"/>
      </rPr>
      <t>4) How much does a sleeping bag cost?  Let's say you want a sleeping bag that should keep you warm in temperatures from 20</t>
    </r>
    <r>
      <rPr>
        <vertAlign val="superscript"/>
        <sz val="11"/>
        <color theme="1"/>
        <rFont val="Calibri"/>
        <charset val="134"/>
        <scheme val="minor"/>
      </rPr>
      <t xml:space="preserve">o </t>
    </r>
    <r>
      <rPr>
        <sz val="11"/>
        <color theme="1"/>
        <rFont val="Calibri"/>
        <charset val="134"/>
        <scheme val="minor"/>
      </rPr>
      <t>F to  45</t>
    </r>
    <r>
      <rPr>
        <vertAlign val="superscript"/>
        <sz val="11"/>
        <color theme="1"/>
        <rFont val="Calibri"/>
        <charset val="134"/>
        <scheme val="minor"/>
      </rPr>
      <t xml:space="preserve">o </t>
    </r>
    <r>
      <rPr>
        <sz val="11"/>
        <color theme="1"/>
        <rFont val="Calibri"/>
        <charset val="134"/>
        <scheme val="minor"/>
      </rPr>
      <t xml:space="preserve">F.  A random sample of prices (given below) for sleeping bags in this temperature range was taken from Backpacker Magazine: Gear Guide of several different brands.   </t>
    </r>
  </si>
  <si>
    <t>a)  Find the mean and standard deviation for the sample. (7 pts)</t>
  </si>
  <si>
    <t xml:space="preserve">s = </t>
  </si>
  <si>
    <t xml:space="preserve">n = </t>
  </si>
  <si>
    <t xml:space="preserve">Std Err = </t>
  </si>
  <si>
    <r>
      <rPr>
        <sz val="11"/>
        <color theme="1"/>
        <rFont val="Calibri"/>
        <charset val="134"/>
        <scheme val="minor"/>
      </rPr>
      <t>b)  Using the given data as representative of the population of the prices of all summer sleeping bags, find a 90% confidence interval for the mean price (</t>
    </r>
    <r>
      <rPr>
        <sz val="11"/>
        <color theme="1"/>
        <rFont val="Calibri"/>
        <charset val="134"/>
      </rPr>
      <t xml:space="preserve">μ) of all summer sleeping bags. </t>
    </r>
    <r>
      <rPr>
        <sz val="11"/>
        <color theme="1"/>
        <rFont val="Calibri"/>
        <charset val="134"/>
        <scheme val="minor"/>
      </rPr>
      <t>(9 pts)</t>
    </r>
  </si>
  <si>
    <t xml:space="preserve">d.f. = </t>
  </si>
  <si>
    <t xml:space="preserve">t for 90% = </t>
  </si>
  <si>
    <t>5) With some interest in running your own business and a decent credit rating, you can probably get a bank loan on startup costs for franchises such as Candy Express, The Fudge Company, Karmel Corn, and Rocky Mountain Chocolate Factory.  Startup costs (in thousands of dollars) for a random sample of candy stores are given below (Source: Entrepreneur Magazine).</t>
  </si>
  <si>
    <t>b)  Find a 90% confidence interval for the population average startup costs µ for candy store franchises.  (9 pts)</t>
  </si>
  <si>
    <t>6) The following data represent crime rates per 1000 population for a random sample of 46 Denver neighborhoods. (Reference:  The Piton Foundation, Denver, Colorado).</t>
  </si>
  <si>
    <t>total</t>
  </si>
  <si>
    <t>b)  Compute an 80% confidence interval for µ, the population crime rate for all Denver neighborhoods. (9 pts)</t>
  </si>
  <si>
    <t xml:space="preserve">t for 80% = </t>
  </si>
  <si>
    <t>c)  Compute an 95% confidence interval for µ, the population crime rate for all Denver neighborhoods. (9 pts)</t>
  </si>
  <si>
    <t xml:space="preserve">t for 95% = </t>
  </si>
  <si>
    <t>S8.3  Finding confidence intervals for proportions using the Normal distribution.</t>
  </si>
  <si>
    <t>7)  A U.S. Travel Data Center survey conducted for Better Homes and Gardens of 1500 adults found that 39% said that they would take more vacations this year than last year.  Find the 95% confidence interval for the true proportion of adults who said that they will travel more this year.    (13 pts)</t>
  </si>
  <si>
    <t xml:space="preserve">       p̂ =</t>
  </si>
  <si>
    <r>
      <rPr>
        <sz val="11"/>
        <color theme="1"/>
        <rFont val="Calibri"/>
        <charset val="134"/>
      </rPr>
      <t xml:space="preserve">      q̂</t>
    </r>
    <r>
      <rPr>
        <sz val="12.1"/>
        <color theme="1"/>
        <rFont val="Calibri"/>
        <charset val="134"/>
      </rPr>
      <t xml:space="preserve"> = </t>
    </r>
  </si>
  <si>
    <t xml:space="preserve">z for 95% = </t>
  </si>
  <si>
    <t>Margin of error =</t>
  </si>
  <si>
    <t xml:space="preserve">Conf. Int: </t>
  </si>
  <si>
    <t>&lt;  p  &lt;</t>
  </si>
  <si>
    <t xml:space="preserve">8)  Insurance companies are interested in knowing the population percent of drivers who always buckle up before riding in a car.   </t>
  </si>
  <si>
    <t>a.  When designing a study to determine this population proportion, what is the minimum number you would need to survey to be 95% confident that the population proportion is estimated to within 3% error?  (9 pts)</t>
  </si>
  <si>
    <t xml:space="preserve">Error = </t>
  </si>
  <si>
    <t xml:space="preserve">Sample size needed: </t>
  </si>
  <si>
    <t>b.  If it were later determined that it was important to be more than 98% confident and a new survey was commissioned, what would the minimum number needed now to within 3% error?  (9 pts)</t>
  </si>
  <si>
    <t xml:space="preserve">z for 98% = </t>
  </si>
  <si>
    <t>c.  Suppose the insurance companies did do a survey.  They randomly surveyed 400 drivers and found that 320 claimed they always buckle up.  Construct a 95% confidence interval for the population proportion who claim they always buckle up.  (16 pts)</t>
  </si>
  <si>
    <t>X =</t>
  </si>
  <si>
    <t>9)  A random sample of 205 college students were asked if they believed that places could be haunted, and 65 responded yes.  Estimate the true proportion of college students who believe in the possibility of haunted places with 99% confidence.   (15 pts)</t>
  </si>
  <si>
    <t xml:space="preserve">z for 99% = </t>
  </si>
  <si>
    <t xml:space="preserve">10)  A recent study indicated that 29% of the 100 women over the age of 55 in the study were widows.  </t>
  </si>
  <si>
    <t>a.  How large a sample must you take to be 90% confident that the estimate is within 5% of the true proportion of women over age 55 who are widows?   (9 pts)</t>
  </si>
  <si>
    <t xml:space="preserve">z for 90% = </t>
  </si>
  <si>
    <t>b.  If no estimate of the sample proportion is available, how large should the sample be?   (9 pts)</t>
  </si>
  <si>
    <t>1a)</t>
  </si>
  <si>
    <t xml:space="preserve">2) </t>
  </si>
  <si>
    <t>3a)</t>
  </si>
  <si>
    <r>
      <rPr>
        <sz val="11"/>
        <color theme="1"/>
        <rFont val="Calibri"/>
        <charset val="134"/>
      </rPr>
      <t xml:space="preserve">σ </t>
    </r>
    <r>
      <rPr>
        <sz val="11"/>
        <color theme="1"/>
        <rFont val="Calibri"/>
        <charset val="134"/>
        <scheme val="minor"/>
      </rPr>
      <t xml:space="preserve">= </t>
    </r>
  </si>
  <si>
    <t>z for 95%=</t>
  </si>
  <si>
    <t>z for 90%=</t>
  </si>
  <si>
    <t>6.62 &lt; μ &lt; 7.78</t>
  </si>
  <si>
    <r>
      <rPr>
        <sz val="11"/>
        <color theme="1"/>
        <rFont val="Calibri"/>
        <charset val="134"/>
        <scheme val="minor"/>
      </rPr>
      <t xml:space="preserve">4913 &lt; </t>
    </r>
    <r>
      <rPr>
        <sz val="11"/>
        <color theme="1"/>
        <rFont val="Calibri"/>
        <charset val="134"/>
      </rPr>
      <t>μ &lt; 5087</t>
    </r>
  </si>
  <si>
    <r>
      <rPr>
        <sz val="11"/>
        <color theme="1"/>
        <rFont val="Calibri"/>
        <charset val="134"/>
        <scheme val="minor"/>
      </rPr>
      <t xml:space="preserve">6.38 &lt; </t>
    </r>
    <r>
      <rPr>
        <sz val="11"/>
        <color theme="1"/>
        <rFont val="Calibri"/>
        <charset val="134"/>
      </rPr>
      <t>μ &lt; 7.38</t>
    </r>
  </si>
  <si>
    <t>1b)</t>
  </si>
  <si>
    <t>3b)</t>
  </si>
  <si>
    <t>Conf. Int:</t>
  </si>
  <si>
    <t xml:space="preserve"> 6.435 &lt; μ &lt; 7.965</t>
  </si>
  <si>
    <t>4)</t>
  </si>
  <si>
    <t>5)</t>
  </si>
  <si>
    <t>6)</t>
  </si>
  <si>
    <t>Mean =</t>
  </si>
  <si>
    <t xml:space="preserve">Std Dev = </t>
  </si>
  <si>
    <t xml:space="preserve">t = </t>
  </si>
  <si>
    <t xml:space="preserve">Margin of error =  </t>
  </si>
  <si>
    <t xml:space="preserve">Conf. Int = </t>
  </si>
  <si>
    <t>72.55 &lt; μ &lt; 94.95</t>
  </si>
  <si>
    <t>88.64 &lt; μ &lt; 125.14</t>
  </si>
  <si>
    <t>58.82 &lt; μ &lt; 69.50</t>
  </si>
  <si>
    <t>55.89 &lt; μ &lt; 72.43</t>
  </si>
  <si>
    <t>7)</t>
  </si>
  <si>
    <t>8a)</t>
  </si>
  <si>
    <t>9)</t>
  </si>
  <si>
    <t>10a)</t>
  </si>
  <si>
    <t>n = 1500</t>
  </si>
  <si>
    <t>Error = 0.03</t>
  </si>
  <si>
    <t>X=65</t>
  </si>
  <si>
    <t>Error = 0.05</t>
  </si>
  <si>
    <r>
      <rPr>
        <sz val="11"/>
        <color theme="1"/>
        <rFont val="Calibri"/>
        <charset val="134"/>
        <scheme val="minor"/>
      </rPr>
      <t>p</t>
    </r>
    <r>
      <rPr>
        <sz val="11"/>
        <color theme="1"/>
        <rFont val="Calibri"/>
        <charset val="134"/>
      </rPr>
      <t>̂ =</t>
    </r>
    <r>
      <rPr>
        <sz val="11"/>
        <color theme="1"/>
        <rFont val="Calibri"/>
        <charset val="134"/>
        <scheme val="minor"/>
      </rPr>
      <t xml:space="preserve"> 0.39</t>
    </r>
  </si>
  <si>
    <r>
      <rPr>
        <sz val="11"/>
        <color theme="1"/>
        <rFont val="Calibri"/>
        <charset val="134"/>
        <scheme val="minor"/>
      </rPr>
      <t>p</t>
    </r>
    <r>
      <rPr>
        <sz val="11"/>
        <color theme="1"/>
        <rFont val="Calibri"/>
        <charset val="134"/>
      </rPr>
      <t>̂ =</t>
    </r>
    <r>
      <rPr>
        <sz val="11"/>
        <color theme="1"/>
        <rFont val="Calibri"/>
        <charset val="134"/>
        <scheme val="minor"/>
      </rPr>
      <t xml:space="preserve"> 0.5</t>
    </r>
  </si>
  <si>
    <t>n = 205</t>
  </si>
  <si>
    <r>
      <rPr>
        <sz val="11"/>
        <color theme="1"/>
        <rFont val="Calibri"/>
        <charset val="134"/>
        <scheme val="minor"/>
      </rPr>
      <t>p</t>
    </r>
    <r>
      <rPr>
        <sz val="11"/>
        <color theme="1"/>
        <rFont val="Calibri"/>
        <charset val="134"/>
      </rPr>
      <t>̂ =</t>
    </r>
    <r>
      <rPr>
        <sz val="11"/>
        <color theme="1"/>
        <rFont val="Calibri"/>
        <charset val="134"/>
        <scheme val="minor"/>
      </rPr>
      <t xml:space="preserve"> 0.29</t>
    </r>
  </si>
  <si>
    <r>
      <rPr>
        <sz val="11"/>
        <color theme="1"/>
        <rFont val="Calibri"/>
        <charset val="134"/>
        <scheme val="minor"/>
      </rPr>
      <t>q</t>
    </r>
    <r>
      <rPr>
        <sz val="11"/>
        <color theme="1"/>
        <rFont val="Calibri"/>
        <charset val="134"/>
      </rPr>
      <t>̂ = 0.61</t>
    </r>
  </si>
  <si>
    <r>
      <rPr>
        <sz val="11"/>
        <color theme="1"/>
        <rFont val="Calibri"/>
        <charset val="134"/>
        <scheme val="minor"/>
      </rPr>
      <t>q</t>
    </r>
    <r>
      <rPr>
        <sz val="11"/>
        <color theme="1"/>
        <rFont val="Calibri"/>
        <charset val="134"/>
      </rPr>
      <t>̂ = 0.5</t>
    </r>
  </si>
  <si>
    <r>
      <rPr>
        <sz val="11"/>
        <color theme="1"/>
        <rFont val="Calibri"/>
        <charset val="134"/>
        <scheme val="minor"/>
      </rPr>
      <t>p</t>
    </r>
    <r>
      <rPr>
        <sz val="11"/>
        <color theme="1"/>
        <rFont val="Calibri"/>
        <charset val="134"/>
      </rPr>
      <t>̂ =</t>
    </r>
    <r>
      <rPr>
        <sz val="11"/>
        <color theme="1"/>
        <rFont val="Calibri"/>
        <charset val="134"/>
        <scheme val="minor"/>
      </rPr>
      <t xml:space="preserve"> 0.317073</t>
    </r>
  </si>
  <si>
    <r>
      <rPr>
        <sz val="11"/>
        <color theme="1"/>
        <rFont val="Calibri"/>
        <charset val="134"/>
        <scheme val="minor"/>
      </rPr>
      <t>q</t>
    </r>
    <r>
      <rPr>
        <sz val="11"/>
        <color theme="1"/>
        <rFont val="Calibri"/>
        <charset val="134"/>
      </rPr>
      <t>̂ = 0.71</t>
    </r>
  </si>
  <si>
    <t>z = 1.96</t>
  </si>
  <si>
    <r>
      <rPr>
        <sz val="11"/>
        <color theme="1"/>
        <rFont val="Calibri"/>
        <charset val="134"/>
        <scheme val="minor"/>
      </rPr>
      <t>q</t>
    </r>
    <r>
      <rPr>
        <sz val="11"/>
        <color theme="1"/>
        <rFont val="Calibri"/>
        <charset val="134"/>
      </rPr>
      <t>̂ = 0.682927</t>
    </r>
  </si>
  <si>
    <t>z = 1.645</t>
  </si>
  <si>
    <t>Margin of error = 0.024684</t>
  </si>
  <si>
    <t>n = 1067.11</t>
  </si>
  <si>
    <t>z = 2.576</t>
  </si>
  <si>
    <t>n = 222.83</t>
  </si>
  <si>
    <t>Conf int: 0.365316 &lt; p &lt; 0.414684</t>
  </si>
  <si>
    <t xml:space="preserve"> Sample size = 1068</t>
  </si>
  <si>
    <t>Margin of error = 0.083721</t>
  </si>
  <si>
    <t xml:space="preserve"> Sample size = 223</t>
  </si>
  <si>
    <t>Conf int: 0.233352 &lt; p &lt; 0.400794</t>
  </si>
  <si>
    <t>8b)</t>
  </si>
  <si>
    <t>10b)</t>
  </si>
  <si>
    <t>z = 2.326</t>
  </si>
  <si>
    <t>n = 1503.3</t>
  </si>
  <si>
    <t>n = 270.55</t>
  </si>
  <si>
    <t xml:space="preserve"> Sample size = 1504</t>
  </si>
  <si>
    <t xml:space="preserve"> Sample size = 271</t>
  </si>
  <si>
    <t>8c)</t>
  </si>
  <si>
    <t>X=320</t>
  </si>
  <si>
    <t>n = 400</t>
  </si>
  <si>
    <r>
      <rPr>
        <sz val="11"/>
        <color theme="1"/>
        <rFont val="Calibri"/>
        <charset val="134"/>
        <scheme val="minor"/>
      </rPr>
      <t>p</t>
    </r>
    <r>
      <rPr>
        <sz val="11"/>
        <color theme="1"/>
        <rFont val="Calibri"/>
        <charset val="134"/>
      </rPr>
      <t>̂ =</t>
    </r>
    <r>
      <rPr>
        <sz val="11"/>
        <color theme="1"/>
        <rFont val="Calibri"/>
        <charset val="134"/>
        <scheme val="minor"/>
      </rPr>
      <t xml:space="preserve"> 0.8</t>
    </r>
  </si>
  <si>
    <r>
      <rPr>
        <sz val="11"/>
        <color theme="1"/>
        <rFont val="Calibri"/>
        <charset val="134"/>
        <scheme val="minor"/>
      </rPr>
      <t>q</t>
    </r>
    <r>
      <rPr>
        <sz val="11"/>
        <color theme="1"/>
        <rFont val="Calibri"/>
        <charset val="134"/>
      </rPr>
      <t>̂ = 0.2</t>
    </r>
  </si>
  <si>
    <t>Margin of error = 0.0392</t>
  </si>
  <si>
    <t>Conf int: 0.7608 &lt; p &lt; 0.8392</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</si>
</sst>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0000000"/>
    <numFmt numFmtId="179" formatCode="0.0000000"/>
  </numFmts>
  <fonts count="28">
    <font>
      <sz val="11"/>
      <color theme="1"/>
      <name val="Calibri"/>
      <charset val="134"/>
      <scheme val="minor"/>
    </font>
    <font>
      <sz val="12"/>
      <color theme="1"/>
      <name val="Calibri"/>
      <charset val="134"/>
      <scheme val="minor"/>
    </font>
    <font>
      <b/>
      <sz val="12"/>
      <color theme="1"/>
      <name val="Calibri"/>
      <charset val="134"/>
      <scheme val="minor"/>
    </font>
    <font>
      <sz val="11"/>
      <color theme="1"/>
      <name val="Calibri"/>
      <charset val="134"/>
    </font>
    <font>
      <sz val="12"/>
      <color theme="1"/>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1"/>
      <color theme="1"/>
      <name val="Calibri"/>
      <charset val="134"/>
    </font>
    <font>
      <vertAlign val="subscript"/>
      <sz val="12"/>
      <color theme="1"/>
      <name val="Calibri"/>
      <charset val="134"/>
      <scheme val="minor"/>
    </font>
    <font>
      <vertAlign val="superscript"/>
      <sz val="11"/>
      <color theme="1"/>
      <name val="Calibri"/>
      <charset val="134"/>
      <scheme val="minor"/>
    </font>
  </fonts>
  <fills count="35">
    <fill>
      <patternFill patternType="none"/>
    </fill>
    <fill>
      <patternFill patternType="gray125"/>
    </fill>
    <fill>
      <patternFill patternType="solid">
        <fgColor theme="5"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medium">
        <color auto="1"/>
      </left>
      <right/>
      <top/>
      <bottom/>
      <diagonal/>
    </border>
    <border>
      <left style="medium">
        <color auto="1"/>
      </left>
      <right style="medium">
        <color auto="1"/>
      </right>
      <top style="medium">
        <color auto="1"/>
      </top>
      <bottom style="medium">
        <color auto="1"/>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 fillId="0" borderId="0" applyFont="0" applyFill="0" applyBorder="0" applyAlignment="0" applyProtection="0">
      <alignment vertical="center"/>
    </xf>
    <xf numFmtId="44" fontId="5" fillId="0" borderId="0" applyFont="0" applyFill="0" applyBorder="0" applyAlignment="0" applyProtection="0">
      <alignment vertical="center"/>
    </xf>
    <xf numFmtId="9" fontId="0" fillId="0" borderId="0" applyFont="0" applyFill="0" applyBorder="0" applyAlignment="0" applyProtection="0"/>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4" borderId="15"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16" applyNumberFormat="0" applyFill="0" applyAlignment="0" applyProtection="0">
      <alignment vertical="center"/>
    </xf>
    <xf numFmtId="0" fontId="12" fillId="0" borderId="16" applyNumberFormat="0" applyFill="0" applyAlignment="0" applyProtection="0">
      <alignment vertical="center"/>
    </xf>
    <xf numFmtId="0" fontId="13" fillId="0" borderId="17" applyNumberFormat="0" applyFill="0" applyAlignment="0" applyProtection="0">
      <alignment vertical="center"/>
    </xf>
    <xf numFmtId="0" fontId="13" fillId="0" borderId="0" applyNumberFormat="0" applyFill="0" applyBorder="0" applyAlignment="0" applyProtection="0">
      <alignment vertical="center"/>
    </xf>
    <xf numFmtId="0" fontId="14" fillId="5" borderId="18" applyNumberFormat="0" applyAlignment="0" applyProtection="0">
      <alignment vertical="center"/>
    </xf>
    <xf numFmtId="0" fontId="15" fillId="6" borderId="19" applyNumberFormat="0" applyAlignment="0" applyProtection="0">
      <alignment vertical="center"/>
    </xf>
    <xf numFmtId="0" fontId="16" fillId="6" borderId="18" applyNumberFormat="0" applyAlignment="0" applyProtection="0">
      <alignment vertical="center"/>
    </xf>
    <xf numFmtId="0" fontId="17" fillId="7" borderId="20" applyNumberFormat="0" applyAlignment="0" applyProtection="0">
      <alignment vertical="center"/>
    </xf>
    <xf numFmtId="0" fontId="18" fillId="0" borderId="21" applyNumberFormat="0" applyFill="0" applyAlignment="0" applyProtection="0">
      <alignment vertical="center"/>
    </xf>
    <xf numFmtId="0" fontId="19" fillId="0" borderId="22" applyNumberFormat="0" applyFill="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3" fillId="34" borderId="0" applyNumberFormat="0" applyBorder="0" applyAlignment="0" applyProtection="0">
      <alignment vertical="center"/>
    </xf>
  </cellStyleXfs>
  <cellXfs count="61">
    <xf numFmtId="0" fontId="0" fillId="0" borderId="0" xfId="0"/>
    <xf numFmtId="0" fontId="0" fillId="0" borderId="0" xfId="0" applyAlignment="1">
      <alignment horizontal="right"/>
    </xf>
    <xf numFmtId="0" fontId="0" fillId="0" borderId="0" xfId="0" applyAlignment="1">
      <alignment horizontal="left"/>
    </xf>
    <xf numFmtId="1" fontId="0" fillId="0" borderId="0" xfId="0" applyNumberFormat="1"/>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xf>
    <xf numFmtId="0" fontId="1" fillId="2" borderId="1" xfId="0" applyFont="1" applyFill="1" applyBorder="1" applyAlignment="1">
      <alignment horizontal="center"/>
    </xf>
    <xf numFmtId="0" fontId="1" fillId="2" borderId="0" xfId="0" applyFont="1" applyFill="1" applyAlignment="1">
      <alignment horizontal="center"/>
    </xf>
    <xf numFmtId="10" fontId="1" fillId="2" borderId="0" xfId="3" applyNumberFormat="1" applyFont="1" applyFill="1" applyBorder="1"/>
    <xf numFmtId="0" fontId="1" fillId="0" borderId="0" xfId="0" applyFont="1"/>
    <xf numFmtId="0" fontId="2" fillId="0" borderId="1" xfId="0" applyFont="1" applyBorder="1" applyAlignment="1">
      <alignment horizontal="left" vertical="top" wrapText="1"/>
    </xf>
    <xf numFmtId="0" fontId="2" fillId="0" borderId="0" xfId="0" applyFont="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1" fillId="0" borderId="1" xfId="0" applyFont="1" applyBorder="1" applyAlignment="1">
      <alignment vertical="top" wrapText="1"/>
    </xf>
    <xf numFmtId="0" fontId="1" fillId="0" borderId="0" xfId="0" applyFont="1" applyAlignment="1">
      <alignment vertical="top" wrapText="1"/>
    </xf>
    <xf numFmtId="0" fontId="1" fillId="0" borderId="1" xfId="0" applyFont="1" applyBorder="1"/>
    <xf numFmtId="0" fontId="1" fillId="3" borderId="2" xfId="0" applyFont="1" applyFill="1" applyBorder="1"/>
    <xf numFmtId="0" fontId="1" fillId="0" borderId="0" xfId="0" applyFont="1" applyAlignment="1">
      <alignment horizontal="right"/>
    </xf>
    <xf numFmtId="0" fontId="1" fillId="0" borderId="1" xfId="0" applyFont="1" applyBorder="1" applyAlignment="1">
      <alignment horizontal="right" vertical="center" wrapText="1"/>
    </xf>
    <xf numFmtId="0" fontId="1" fillId="0" borderId="3" xfId="0" applyFont="1" applyBorder="1" applyAlignment="1">
      <alignment horizontal="right" vertical="center" wrapText="1"/>
    </xf>
    <xf numFmtId="0" fontId="1" fillId="0" borderId="1" xfId="0" applyFont="1" applyBorder="1" applyAlignment="1">
      <alignment horizontal="right" vertical="top" wrapText="1"/>
    </xf>
    <xf numFmtId="0" fontId="1" fillId="0" borderId="0" xfId="0" applyFont="1" applyAlignment="1">
      <alignment horizontal="right" vertical="top" wrapText="1"/>
    </xf>
    <xf numFmtId="0" fontId="0" fillId="0" borderId="3" xfId="0" applyBorder="1" applyAlignment="1">
      <alignment horizontal="righ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9" xfId="0" applyFont="1" applyFill="1" applyBorder="1" applyAlignment="1">
      <alignment horizontal="left" vertical="top" wrapText="1"/>
    </xf>
    <xf numFmtId="0" fontId="2" fillId="0" borderId="0" xfId="0" applyFont="1" applyAlignment="1">
      <alignment vertical="top"/>
    </xf>
    <xf numFmtId="0" fontId="3" fillId="0" borderId="0" xfId="0" applyFont="1"/>
    <xf numFmtId="0" fontId="4" fillId="0" borderId="0" xfId="0" applyFont="1" applyAlignment="1">
      <alignment horizontal="center"/>
    </xf>
    <xf numFmtId="0" fontId="1" fillId="3" borderId="10" xfId="0" applyFont="1" applyFill="1" applyBorder="1" applyAlignment="1">
      <alignment horizontal="left" vertical="top" wrapText="1"/>
    </xf>
    <xf numFmtId="0" fontId="1" fillId="3" borderId="11" xfId="0" applyFont="1" applyFill="1" applyBorder="1" applyAlignment="1">
      <alignment horizontal="left" vertical="top" wrapText="1"/>
    </xf>
    <xf numFmtId="0" fontId="1" fillId="3" borderId="12" xfId="0" applyFont="1" applyFill="1" applyBorder="1" applyAlignment="1">
      <alignment horizontal="left" vertical="top" wrapText="1"/>
    </xf>
    <xf numFmtId="0" fontId="0" fillId="0" borderId="13" xfId="0" applyBorder="1"/>
    <xf numFmtId="0" fontId="0" fillId="3" borderId="2" xfId="0" applyFill="1" applyBorder="1"/>
    <xf numFmtId="0" fontId="0" fillId="0" borderId="2" xfId="0" applyBorder="1" applyAlignment="1">
      <alignment horizontal="center" vertical="center" wrapText="1"/>
    </xf>
    <xf numFmtId="0" fontId="0" fillId="0" borderId="12" xfId="0" applyBorder="1" applyAlignment="1">
      <alignment horizontal="center" vertical="center" wrapText="1"/>
    </xf>
    <xf numFmtId="0" fontId="0" fillId="0" borderId="14" xfId="0" applyBorder="1" applyAlignment="1">
      <alignment horizontal="center" vertical="center" wrapText="1"/>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0" borderId="0" xfId="0" applyFill="1" applyBorder="1" applyAlignment="1">
      <alignment horizontal="center" vertical="center" wrapText="1"/>
    </xf>
    <xf numFmtId="0" fontId="0" fillId="0" borderId="1" xfId="0" applyBorder="1" applyAlignment="1">
      <alignment horizontal="right"/>
    </xf>
    <xf numFmtId="1" fontId="0" fillId="3" borderId="2" xfId="0" applyNumberFormat="1" applyFill="1" applyBorder="1"/>
    <xf numFmtId="2" fontId="0" fillId="3" borderId="2" xfId="0" applyNumberFormat="1" applyFill="1" applyBorder="1"/>
    <xf numFmtId="0" fontId="0" fillId="0" borderId="1" xfId="0" applyBorder="1"/>
    <xf numFmtId="0" fontId="0" fillId="0" borderId="1" xfId="0" applyBorder="1" applyAlignment="1">
      <alignment horizontal="right" wrapText="1"/>
    </xf>
    <xf numFmtId="0" fontId="0" fillId="0" borderId="0" xfId="0" applyAlignment="1">
      <alignment horizontal="right" wrapText="1"/>
    </xf>
    <xf numFmtId="178" fontId="0" fillId="0" borderId="0" xfId="0" applyNumberFormat="1"/>
    <xf numFmtId="0" fontId="0" fillId="0" borderId="0" xfId="0" applyAlignment="1">
      <alignment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right" vertical="top" wrapText="1"/>
    </xf>
    <xf numFmtId="179" fontId="0" fillId="3" borderId="2" xfId="0" applyNumberFormat="1" applyFill="1" applyBorder="1"/>
    <xf numFmtId="0" fontId="0" fillId="0" borderId="0" xfId="0"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www.wps.cn/officeDocument/2023/relationships/customStorage" Target="customStorage/customStorage.xml"/><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4</xdr:col>
      <xdr:colOff>370114</xdr:colOff>
      <xdr:row>149</xdr:row>
      <xdr:rowOff>179614</xdr:rowOff>
    </xdr:from>
    <xdr:ext cx="65" cy="172227"/>
    <xdr:sp>
      <xdr:nvSpPr>
        <xdr:cNvPr id="12" name="TextBox 11"/>
        <xdr:cNvSpPr txBox="1"/>
      </xdr:nvSpPr>
      <xdr:spPr>
        <a:xfrm>
          <a:off x="3408045" y="30092015"/>
          <a:ext cx="0" cy="172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370114</xdr:colOff>
      <xdr:row>183</xdr:row>
      <xdr:rowOff>179614</xdr:rowOff>
    </xdr:from>
    <xdr:ext cx="65" cy="172227"/>
    <xdr:sp>
      <xdr:nvSpPr>
        <xdr:cNvPr id="13" name="TextBox 12"/>
        <xdr:cNvSpPr txBox="1"/>
      </xdr:nvSpPr>
      <xdr:spPr>
        <a:xfrm>
          <a:off x="3408045" y="36778565"/>
          <a:ext cx="0" cy="172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370114</xdr:colOff>
      <xdr:row>189</xdr:row>
      <xdr:rowOff>179614</xdr:rowOff>
    </xdr:from>
    <xdr:ext cx="65" cy="172227"/>
    <xdr:sp>
      <xdr:nvSpPr>
        <xdr:cNvPr id="16" name="TextBox 15"/>
        <xdr:cNvSpPr txBox="1"/>
      </xdr:nvSpPr>
      <xdr:spPr>
        <a:xfrm>
          <a:off x="3408045" y="37969190"/>
          <a:ext cx="0" cy="172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370114</xdr:colOff>
      <xdr:row>156</xdr:row>
      <xdr:rowOff>179614</xdr:rowOff>
    </xdr:from>
    <xdr:ext cx="65" cy="172227"/>
    <xdr:sp>
      <xdr:nvSpPr>
        <xdr:cNvPr id="17" name="TextBox 16"/>
        <xdr:cNvSpPr txBox="1"/>
      </xdr:nvSpPr>
      <xdr:spPr>
        <a:xfrm>
          <a:off x="3408045" y="31473140"/>
          <a:ext cx="0" cy="172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6</xdr:col>
      <xdr:colOff>370114</xdr:colOff>
      <xdr:row>164</xdr:row>
      <xdr:rowOff>179614</xdr:rowOff>
    </xdr:from>
    <xdr:ext cx="65" cy="172227"/>
    <xdr:sp>
      <xdr:nvSpPr>
        <xdr:cNvPr id="18" name="TextBox 17"/>
        <xdr:cNvSpPr txBox="1"/>
      </xdr:nvSpPr>
      <xdr:spPr>
        <a:xfrm>
          <a:off x="4608195" y="33044765"/>
          <a:ext cx="0" cy="172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6</xdr:col>
      <xdr:colOff>370114</xdr:colOff>
      <xdr:row>137</xdr:row>
      <xdr:rowOff>179614</xdr:rowOff>
    </xdr:from>
    <xdr:ext cx="65" cy="172227"/>
    <xdr:sp>
      <xdr:nvSpPr>
        <xdr:cNvPr id="19" name="TextBox 18"/>
        <xdr:cNvSpPr txBox="1"/>
      </xdr:nvSpPr>
      <xdr:spPr>
        <a:xfrm>
          <a:off x="4608195" y="27748865"/>
          <a:ext cx="0" cy="172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6</xdr:col>
      <xdr:colOff>370114</xdr:colOff>
      <xdr:row>173</xdr:row>
      <xdr:rowOff>179614</xdr:rowOff>
    </xdr:from>
    <xdr:ext cx="65" cy="172227"/>
    <xdr:sp>
      <xdr:nvSpPr>
        <xdr:cNvPr id="20" name="TextBox 19"/>
        <xdr:cNvSpPr txBox="1"/>
      </xdr:nvSpPr>
      <xdr:spPr>
        <a:xfrm>
          <a:off x="4608195" y="34816415"/>
          <a:ext cx="0" cy="172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6</xdr:col>
      <xdr:colOff>370114</xdr:colOff>
      <xdr:row>178</xdr:row>
      <xdr:rowOff>0</xdr:rowOff>
    </xdr:from>
    <xdr:ext cx="65" cy="172227"/>
    <xdr:sp>
      <xdr:nvSpPr>
        <xdr:cNvPr id="21" name="TextBox 20"/>
        <xdr:cNvSpPr txBox="1"/>
      </xdr:nvSpPr>
      <xdr:spPr>
        <a:xfrm>
          <a:off x="4608195" y="35646995"/>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370114</xdr:colOff>
      <xdr:row>178</xdr:row>
      <xdr:rowOff>0</xdr:rowOff>
    </xdr:from>
    <xdr:ext cx="65" cy="172227"/>
    <xdr:sp>
      <xdr:nvSpPr>
        <xdr:cNvPr id="22" name="TextBox 21"/>
        <xdr:cNvSpPr txBox="1"/>
      </xdr:nvSpPr>
      <xdr:spPr>
        <a:xfrm>
          <a:off x="3408045" y="35646995"/>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370114</xdr:colOff>
      <xdr:row>178</xdr:row>
      <xdr:rowOff>0</xdr:rowOff>
    </xdr:from>
    <xdr:ext cx="65" cy="172227"/>
    <xdr:sp>
      <xdr:nvSpPr>
        <xdr:cNvPr id="23" name="TextBox 22"/>
        <xdr:cNvSpPr txBox="1"/>
      </xdr:nvSpPr>
      <xdr:spPr>
        <a:xfrm>
          <a:off x="3408045" y="35646995"/>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370114</xdr:colOff>
      <xdr:row>183</xdr:row>
      <xdr:rowOff>179614</xdr:rowOff>
    </xdr:from>
    <xdr:ext cx="65" cy="172227"/>
    <xdr:sp>
      <xdr:nvSpPr>
        <xdr:cNvPr id="24" name="TextBox 23"/>
        <xdr:cNvSpPr txBox="1"/>
      </xdr:nvSpPr>
      <xdr:spPr>
        <a:xfrm>
          <a:off x="3408045" y="36778565"/>
          <a:ext cx="0" cy="172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370114</xdr:colOff>
      <xdr:row>189</xdr:row>
      <xdr:rowOff>179614</xdr:rowOff>
    </xdr:from>
    <xdr:ext cx="65" cy="172227"/>
    <xdr:sp>
      <xdr:nvSpPr>
        <xdr:cNvPr id="25" name="TextBox 24"/>
        <xdr:cNvSpPr txBox="1"/>
      </xdr:nvSpPr>
      <xdr:spPr>
        <a:xfrm>
          <a:off x="3408045" y="37969190"/>
          <a:ext cx="0" cy="172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93"/>
  <sheetViews>
    <sheetView tabSelected="1" zoomScale="120" zoomScaleNormal="120" workbookViewId="0">
      <selection activeCell="L70" sqref="L70"/>
    </sheetView>
  </sheetViews>
  <sheetFormatPr defaultColWidth="9" defaultRowHeight="15"/>
  <cols>
    <col min="3" max="3" width="13.4285714285714" customWidth="1"/>
    <col min="4" max="4" width="14.1428571428571" customWidth="1"/>
  </cols>
  <sheetData>
    <row r="1" ht="15.75" spans="1:11">
      <c r="A1" s="8" t="s">
        <v>0</v>
      </c>
      <c r="B1" s="9"/>
      <c r="C1" s="9"/>
      <c r="D1" s="10"/>
      <c r="E1" s="11"/>
      <c r="F1" s="11"/>
      <c r="G1" s="11"/>
      <c r="H1" s="11"/>
      <c r="I1" s="11"/>
      <c r="J1" s="11"/>
      <c r="K1" s="11"/>
    </row>
    <row r="2" ht="15.75" spans="1:11">
      <c r="A2" s="12" t="s">
        <v>1</v>
      </c>
      <c r="B2" s="13"/>
      <c r="C2" s="13"/>
      <c r="D2" s="13"/>
      <c r="E2" s="13"/>
      <c r="F2" s="13"/>
      <c r="G2" s="13"/>
      <c r="H2" s="13"/>
      <c r="I2" s="13"/>
      <c r="J2" s="13"/>
      <c r="K2" s="11"/>
    </row>
    <row r="3" ht="14.65" customHeight="1" spans="1:11">
      <c r="A3" s="14" t="s">
        <v>2</v>
      </c>
      <c r="B3" s="15"/>
      <c r="C3" s="15"/>
      <c r="D3" s="15"/>
      <c r="E3" s="15"/>
      <c r="F3" s="15"/>
      <c r="G3" s="15"/>
      <c r="H3" s="15"/>
      <c r="I3" s="15"/>
      <c r="J3" s="15"/>
      <c r="K3" s="11"/>
    </row>
    <row r="4" ht="15.75" spans="1:11">
      <c r="A4" s="14"/>
      <c r="B4" s="15"/>
      <c r="C4" s="15"/>
      <c r="D4" s="15"/>
      <c r="E4" s="15"/>
      <c r="F4" s="15"/>
      <c r="G4" s="15"/>
      <c r="H4" s="15"/>
      <c r="I4" s="15"/>
      <c r="J4" s="15"/>
      <c r="K4" s="11"/>
    </row>
    <row r="5" ht="15.75" spans="1:13">
      <c r="A5" s="16"/>
      <c r="B5" s="17"/>
      <c r="C5" s="17"/>
      <c r="D5" s="17"/>
      <c r="E5" s="17"/>
      <c r="F5" s="17"/>
      <c r="G5" s="17"/>
      <c r="H5" s="17"/>
      <c r="I5" s="17"/>
      <c r="J5" s="17"/>
      <c r="K5" s="11"/>
      <c r="M5" s="35" t="s">
        <v>3</v>
      </c>
    </row>
    <row r="6" ht="15.95" customHeight="1" spans="1:11">
      <c r="A6" s="14" t="s">
        <v>4</v>
      </c>
      <c r="B6" s="15"/>
      <c r="C6" s="15"/>
      <c r="D6" s="15"/>
      <c r="E6" s="15"/>
      <c r="F6" s="15"/>
      <c r="G6" s="15"/>
      <c r="H6" s="15"/>
      <c r="I6" s="11"/>
      <c r="J6" s="11"/>
      <c r="K6" s="11"/>
    </row>
    <row r="7" ht="16.5" spans="1:11">
      <c r="A7" s="18"/>
      <c r="B7" s="11"/>
      <c r="C7" s="11"/>
      <c r="D7" s="11"/>
      <c r="E7" s="11"/>
      <c r="F7" s="11"/>
      <c r="G7" s="11"/>
      <c r="H7" s="11"/>
      <c r="I7" s="11"/>
      <c r="J7" s="11"/>
      <c r="K7" s="11"/>
    </row>
    <row r="8" ht="16.5" spans="1:11">
      <c r="A8" s="1" t="s">
        <v>5</v>
      </c>
      <c r="B8" s="19">
        <v>7.2</v>
      </c>
      <c r="C8" s="20" t="s">
        <v>6</v>
      </c>
      <c r="D8" s="19">
        <f>2.1/SQRT(50)</f>
        <v>0.29698484809835</v>
      </c>
      <c r="E8" s="21" t="s">
        <v>7</v>
      </c>
      <c r="F8" s="22"/>
      <c r="G8" s="11">
        <f>_xlfn.NORM.S.INV(1-0.025)</f>
        <v>1.95996398454005</v>
      </c>
      <c r="H8" s="11"/>
      <c r="I8" s="11"/>
      <c r="J8" s="11"/>
      <c r="K8" s="11"/>
    </row>
    <row r="9" ht="16.5" spans="1:11">
      <c r="A9" s="18"/>
      <c r="B9" s="11"/>
      <c r="C9" s="11"/>
      <c r="D9" s="11"/>
      <c r="E9" s="11"/>
      <c r="F9" s="11"/>
      <c r="G9" s="11"/>
      <c r="H9" s="11"/>
      <c r="I9" s="11"/>
      <c r="J9" s="11"/>
      <c r="K9" s="11"/>
    </row>
    <row r="10" ht="16.5" spans="1:11">
      <c r="A10" s="23" t="s">
        <v>8</v>
      </c>
      <c r="B10" s="24"/>
      <c r="C10" s="19">
        <f>D8*G8</f>
        <v>0.582079606226865</v>
      </c>
      <c r="D10" s="11"/>
      <c r="F10" s="4" t="s">
        <v>9</v>
      </c>
      <c r="G10" s="25"/>
      <c r="H10" s="19">
        <f>7.2-0.5821</f>
        <v>6.6179</v>
      </c>
      <c r="I10" s="36" t="s">
        <v>10</v>
      </c>
      <c r="J10" s="19">
        <f>7.2+0.5821</f>
        <v>7.7821</v>
      </c>
      <c r="K10" s="11"/>
    </row>
    <row r="11" ht="15.75" spans="1:11">
      <c r="A11" s="24"/>
      <c r="B11" s="24"/>
      <c r="C11" s="11"/>
      <c r="D11" s="11"/>
      <c r="F11" s="4"/>
      <c r="G11" s="4"/>
      <c r="H11" s="11"/>
      <c r="I11" s="36"/>
      <c r="J11" s="11"/>
      <c r="K11" s="11"/>
    </row>
    <row r="12" ht="16.5" spans="1:11">
      <c r="A12" s="26" t="s">
        <v>11</v>
      </c>
      <c r="B12" s="27"/>
      <c r="C12" s="27"/>
      <c r="D12" s="27"/>
      <c r="E12" s="27"/>
      <c r="F12" s="27"/>
      <c r="G12" s="27"/>
      <c r="H12" s="27"/>
      <c r="I12" s="27"/>
      <c r="J12" s="27"/>
      <c r="K12" s="11"/>
    </row>
    <row r="13" ht="15.75" spans="1:11">
      <c r="A13" s="28" t="s">
        <v>12</v>
      </c>
      <c r="B13" s="29"/>
      <c r="C13" s="29"/>
      <c r="D13" s="29"/>
      <c r="E13" s="29"/>
      <c r="F13" s="29"/>
      <c r="G13" s="29"/>
      <c r="H13" s="29"/>
      <c r="I13" s="29"/>
      <c r="J13" s="37"/>
      <c r="K13" s="11"/>
    </row>
    <row r="14" ht="16.5" spans="1:11">
      <c r="A14" s="30"/>
      <c r="B14" s="31"/>
      <c r="C14" s="31"/>
      <c r="D14" s="31"/>
      <c r="E14" s="31"/>
      <c r="F14" s="31"/>
      <c r="G14" s="31"/>
      <c r="H14" s="31"/>
      <c r="I14" s="31"/>
      <c r="J14" s="38"/>
      <c r="K14" s="11"/>
    </row>
    <row r="15" ht="15.75" spans="1:11">
      <c r="A15" s="18"/>
      <c r="B15" s="11"/>
      <c r="C15" s="11"/>
      <c r="D15" s="11"/>
      <c r="E15" s="11"/>
      <c r="F15" s="11"/>
      <c r="G15" s="11"/>
      <c r="H15" s="11"/>
      <c r="I15" s="11"/>
      <c r="J15" s="11"/>
      <c r="K15" s="11"/>
    </row>
    <row r="16" ht="15.75" spans="1:11">
      <c r="A16" s="14" t="s">
        <v>13</v>
      </c>
      <c r="B16" s="15"/>
      <c r="C16" s="15"/>
      <c r="D16" s="15"/>
      <c r="E16" s="15"/>
      <c r="F16" s="15"/>
      <c r="G16" s="15"/>
      <c r="H16" s="15"/>
      <c r="I16" s="11"/>
      <c r="J16" s="11"/>
      <c r="K16" s="11"/>
    </row>
    <row r="17" ht="16.5" spans="1:11">
      <c r="A17" s="18"/>
      <c r="B17" s="11"/>
      <c r="C17" s="11"/>
      <c r="D17" s="11"/>
      <c r="E17" s="11"/>
      <c r="F17" s="11"/>
      <c r="G17" s="11"/>
      <c r="H17" s="11"/>
      <c r="I17" s="11"/>
      <c r="J17" s="11"/>
      <c r="K17" s="11"/>
    </row>
    <row r="18" ht="16.5" spans="1:11">
      <c r="A18" s="1" t="s">
        <v>5</v>
      </c>
      <c r="B18" s="19">
        <v>7.2</v>
      </c>
      <c r="C18" s="20" t="s">
        <v>6</v>
      </c>
      <c r="D18" s="19">
        <f>2.1/SQRT(50)</f>
        <v>0.29698484809835</v>
      </c>
      <c r="E18" s="21" t="s">
        <v>14</v>
      </c>
      <c r="F18" s="22"/>
      <c r="G18" s="19">
        <f>_xlfn.NORM.S.INV(1-0.005)</f>
        <v>2.5758293035489</v>
      </c>
      <c r="H18" s="11"/>
      <c r="I18" s="11"/>
      <c r="J18" s="11">
        <f>_xlfn.NORM.S.INV(1-0.025)</f>
        <v>1.95996398454005</v>
      </c>
      <c r="K18" s="11"/>
    </row>
    <row r="19" ht="16.5" spans="1:11">
      <c r="A19" s="18"/>
      <c r="B19" s="11"/>
      <c r="C19" s="11"/>
      <c r="D19" s="11"/>
      <c r="E19" s="11"/>
      <c r="F19" s="11"/>
      <c r="G19" s="11"/>
      <c r="H19" s="11"/>
      <c r="I19" s="11"/>
      <c r="J19" s="11"/>
      <c r="K19" s="11"/>
    </row>
    <row r="20" ht="16.5" spans="1:11">
      <c r="A20" s="23" t="s">
        <v>8</v>
      </c>
      <c r="B20" s="24"/>
      <c r="C20" s="19">
        <f>D18*G18</f>
        <v>0.764982274441749</v>
      </c>
      <c r="D20" s="11"/>
      <c r="F20" s="4" t="s">
        <v>9</v>
      </c>
      <c r="G20" s="25"/>
      <c r="H20" s="19">
        <f>7.2-C20</f>
        <v>6.43501772555825</v>
      </c>
      <c r="I20" s="36" t="s">
        <v>10</v>
      </c>
      <c r="J20" s="19">
        <f>7.2+C20</f>
        <v>7.96498227444175</v>
      </c>
      <c r="K20" s="11"/>
    </row>
    <row r="21" ht="15.75" spans="1:11">
      <c r="A21" s="24"/>
      <c r="B21" s="24"/>
      <c r="C21" s="11"/>
      <c r="D21" s="11"/>
      <c r="F21" s="4"/>
      <c r="G21" s="4"/>
      <c r="H21" s="11"/>
      <c r="I21" s="36"/>
      <c r="J21" s="11"/>
      <c r="K21" s="11"/>
    </row>
    <row r="22" ht="16.5" spans="1:11">
      <c r="A22" s="26" t="s">
        <v>11</v>
      </c>
      <c r="B22" s="27"/>
      <c r="C22" s="27"/>
      <c r="D22" s="27"/>
      <c r="E22" s="27"/>
      <c r="F22" s="27"/>
      <c r="G22" s="27"/>
      <c r="H22" s="27"/>
      <c r="I22" s="27"/>
      <c r="J22" s="27"/>
      <c r="K22" s="11"/>
    </row>
    <row r="23" ht="15.75" spans="1:11">
      <c r="A23" s="28" t="s">
        <v>15</v>
      </c>
      <c r="B23" s="29"/>
      <c r="C23" s="29"/>
      <c r="D23" s="29"/>
      <c r="E23" s="29"/>
      <c r="F23" s="29"/>
      <c r="G23" s="29"/>
      <c r="H23" s="29"/>
      <c r="I23" s="29"/>
      <c r="J23" s="37"/>
      <c r="K23" s="11"/>
    </row>
    <row r="24" ht="16.5" spans="1:11">
      <c r="A24" s="30"/>
      <c r="B24" s="31"/>
      <c r="C24" s="31"/>
      <c r="D24" s="31"/>
      <c r="E24" s="31"/>
      <c r="F24" s="31"/>
      <c r="G24" s="31"/>
      <c r="H24" s="31"/>
      <c r="I24" s="31"/>
      <c r="J24" s="38"/>
      <c r="K24" s="11"/>
    </row>
    <row r="25" ht="15.75" spans="1:11">
      <c r="A25" s="18"/>
      <c r="B25" s="11"/>
      <c r="C25" s="11"/>
      <c r="D25" s="11"/>
      <c r="E25" s="11"/>
      <c r="F25" s="11"/>
      <c r="G25" s="11"/>
      <c r="H25" s="11"/>
      <c r="I25" s="11"/>
      <c r="J25" s="11"/>
      <c r="K25" s="11"/>
    </row>
    <row r="26" ht="15.75" spans="11:11">
      <c r="K26" s="11"/>
    </row>
    <row r="27" ht="15.75" spans="1:11">
      <c r="A27" s="14" t="s">
        <v>16</v>
      </c>
      <c r="B27" s="15"/>
      <c r="C27" s="15"/>
      <c r="D27" s="15"/>
      <c r="E27" s="15"/>
      <c r="F27" s="15"/>
      <c r="G27" s="15"/>
      <c r="H27" s="15"/>
      <c r="I27" s="15"/>
      <c r="J27" s="15"/>
      <c r="K27" s="11"/>
    </row>
    <row r="28" ht="15.75" spans="1:11">
      <c r="A28" s="14"/>
      <c r="B28" s="15"/>
      <c r="C28" s="15"/>
      <c r="D28" s="15"/>
      <c r="E28" s="15"/>
      <c r="F28" s="15"/>
      <c r="G28" s="15"/>
      <c r="H28" s="15"/>
      <c r="I28" s="15"/>
      <c r="J28" s="15"/>
      <c r="K28" s="11"/>
    </row>
    <row r="29" ht="15.75" spans="1:11">
      <c r="A29" s="14"/>
      <c r="B29" s="15"/>
      <c r="C29" s="15"/>
      <c r="D29" s="15"/>
      <c r="E29" s="15"/>
      <c r="F29" s="15"/>
      <c r="G29" s="15"/>
      <c r="H29" s="15"/>
      <c r="I29" s="15"/>
      <c r="J29" s="15"/>
      <c r="K29" s="11"/>
    </row>
    <row r="30" ht="15.75" spans="1:11">
      <c r="A30" s="14"/>
      <c r="B30" s="15"/>
      <c r="C30" s="15"/>
      <c r="D30" s="15"/>
      <c r="E30" s="15"/>
      <c r="F30" s="15"/>
      <c r="G30" s="15"/>
      <c r="H30" s="15"/>
      <c r="I30" s="15"/>
      <c r="J30" s="15"/>
      <c r="K30" s="11"/>
    </row>
    <row r="31" ht="16.5" spans="1:11">
      <c r="A31" s="16"/>
      <c r="B31" s="17"/>
      <c r="C31" s="17"/>
      <c r="D31" s="17"/>
      <c r="E31" s="17"/>
      <c r="F31" s="17"/>
      <c r="G31" s="17"/>
      <c r="H31" s="17"/>
      <c r="I31" s="17"/>
      <c r="J31" s="17"/>
      <c r="K31" s="11"/>
    </row>
    <row r="32" ht="16.5" spans="1:11">
      <c r="A32" s="1" t="s">
        <v>5</v>
      </c>
      <c r="B32" s="19">
        <v>5000</v>
      </c>
      <c r="C32" s="20" t="s">
        <v>6</v>
      </c>
      <c r="D32" s="19">
        <f>900/SQRT(415)</f>
        <v>44.1792624306434</v>
      </c>
      <c r="E32" s="21" t="s">
        <v>7</v>
      </c>
      <c r="F32" s="22"/>
      <c r="G32" s="19">
        <f>_xlfn.NORM.S.INV(1-0.025)</f>
        <v>1.95996398454005</v>
      </c>
      <c r="H32" s="11"/>
      <c r="I32" s="11"/>
      <c r="J32" s="11"/>
      <c r="K32" s="11"/>
    </row>
    <row r="33" ht="16.5" spans="1:11">
      <c r="A33" s="18"/>
      <c r="B33" s="11"/>
      <c r="C33" s="11"/>
      <c r="D33" s="11"/>
      <c r="E33" s="11"/>
      <c r="F33" s="11"/>
      <c r="G33" s="11"/>
      <c r="H33" s="11"/>
      <c r="I33" s="11"/>
      <c r="J33" s="11"/>
      <c r="K33" s="11"/>
    </row>
    <row r="34" ht="16.35" customHeight="1" spans="1:11">
      <c r="A34" s="23" t="s">
        <v>8</v>
      </c>
      <c r="B34" s="24"/>
      <c r="C34" s="19">
        <f>D32*G32</f>
        <v>86.5897632276046</v>
      </c>
      <c r="D34" s="11"/>
      <c r="E34" s="6"/>
      <c r="F34" s="4" t="s">
        <v>9</v>
      </c>
      <c r="G34" s="25"/>
      <c r="H34" s="19">
        <f>5000-C34</f>
        <v>4913.4102367724</v>
      </c>
      <c r="I34" s="36" t="s">
        <v>10</v>
      </c>
      <c r="J34" s="19">
        <f>5000+C34</f>
        <v>5086.5897632276</v>
      </c>
      <c r="K34" s="11"/>
    </row>
    <row r="35" ht="16.35" customHeight="1" spans="1:11">
      <c r="A35" s="23"/>
      <c r="B35" s="24"/>
      <c r="C35" s="11"/>
      <c r="D35" s="11"/>
      <c r="E35" s="6"/>
      <c r="F35" s="4"/>
      <c r="G35" s="4"/>
      <c r="H35" s="11"/>
      <c r="I35" s="36"/>
      <c r="J35" s="11"/>
      <c r="K35" s="11"/>
    </row>
    <row r="36" ht="16.5" spans="1:11">
      <c r="A36" s="15" t="s">
        <v>11</v>
      </c>
      <c r="B36" s="15"/>
      <c r="C36" s="15"/>
      <c r="D36" s="15"/>
      <c r="E36" s="15"/>
      <c r="F36" s="15"/>
      <c r="G36" s="15"/>
      <c r="H36" s="15"/>
      <c r="I36" s="15"/>
      <c r="J36" s="15"/>
      <c r="K36" s="11"/>
    </row>
    <row r="37" ht="15.75" spans="1:11">
      <c r="A37" s="28" t="s">
        <v>17</v>
      </c>
      <c r="B37" s="29"/>
      <c r="C37" s="29"/>
      <c r="D37" s="29"/>
      <c r="E37" s="29"/>
      <c r="F37" s="29"/>
      <c r="G37" s="29"/>
      <c r="H37" s="29"/>
      <c r="I37" s="29"/>
      <c r="J37" s="37"/>
      <c r="K37" s="11"/>
    </row>
    <row r="38" ht="16.5" spans="1:11">
      <c r="A38" s="30"/>
      <c r="B38" s="31"/>
      <c r="C38" s="31"/>
      <c r="D38" s="31"/>
      <c r="E38" s="31"/>
      <c r="F38" s="31"/>
      <c r="G38" s="31"/>
      <c r="H38" s="31"/>
      <c r="I38" s="31"/>
      <c r="J38" s="38"/>
      <c r="K38" s="11"/>
    </row>
    <row r="39" ht="15.75" spans="1:11">
      <c r="A39" s="15"/>
      <c r="B39" s="15"/>
      <c r="C39" s="15"/>
      <c r="D39" s="15"/>
      <c r="E39" s="15"/>
      <c r="F39" s="15"/>
      <c r="G39" s="15"/>
      <c r="H39" s="15"/>
      <c r="I39" s="15"/>
      <c r="J39" s="15"/>
      <c r="K39" s="11"/>
    </row>
    <row r="40" ht="16.5" spans="1:11">
      <c r="A40" s="15" t="s">
        <v>18</v>
      </c>
      <c r="B40" s="15"/>
      <c r="C40" s="15"/>
      <c r="D40" s="15"/>
      <c r="E40" s="17"/>
      <c r="F40" s="15"/>
      <c r="G40" s="15"/>
      <c r="H40" s="15"/>
      <c r="I40" s="15"/>
      <c r="J40" s="15"/>
      <c r="K40" s="11"/>
    </row>
    <row r="41" ht="16.5" spans="1:11">
      <c r="A41" s="32" t="s">
        <v>19</v>
      </c>
      <c r="B41" s="33"/>
      <c r="C41" s="33"/>
      <c r="D41" s="33"/>
      <c r="E41" s="33"/>
      <c r="F41" s="33"/>
      <c r="G41" s="33"/>
      <c r="H41" s="33"/>
      <c r="I41" s="33"/>
      <c r="J41" s="39"/>
      <c r="K41" s="11"/>
    </row>
    <row r="42" ht="15.75" spans="1:11">
      <c r="A42" s="11"/>
      <c r="B42" s="11"/>
      <c r="C42" s="11"/>
      <c r="D42" s="11"/>
      <c r="E42" s="11"/>
      <c r="F42" s="11"/>
      <c r="G42" s="11"/>
      <c r="H42" s="11"/>
      <c r="I42" s="11"/>
      <c r="J42" s="11"/>
      <c r="K42" s="11"/>
    </row>
    <row r="43" ht="15.75" spans="1:11">
      <c r="A43" s="11"/>
      <c r="B43" s="11"/>
      <c r="C43" s="11"/>
      <c r="D43" s="11"/>
      <c r="E43" s="11"/>
      <c r="F43" s="11"/>
      <c r="G43" s="11"/>
      <c r="H43" s="11"/>
      <c r="I43" s="11"/>
      <c r="J43" s="11"/>
      <c r="K43" s="11"/>
    </row>
    <row r="44" ht="15.95" customHeight="1" spans="1:11">
      <c r="A44" s="15" t="s">
        <v>20</v>
      </c>
      <c r="B44" s="15"/>
      <c r="C44" s="15"/>
      <c r="D44" s="15"/>
      <c r="E44" s="15"/>
      <c r="F44" s="15"/>
      <c r="G44" s="15"/>
      <c r="H44" s="15"/>
      <c r="I44" s="15"/>
      <c r="J44" s="15"/>
      <c r="K44" s="15"/>
    </row>
    <row r="45" ht="15.6" customHeight="1" spans="1:11">
      <c r="A45" s="15"/>
      <c r="B45" s="15"/>
      <c r="C45" s="15"/>
      <c r="D45" s="15"/>
      <c r="E45" s="15"/>
      <c r="F45" s="15"/>
      <c r="G45" s="15"/>
      <c r="H45" s="15"/>
      <c r="I45" s="15"/>
      <c r="J45" s="15"/>
      <c r="K45" s="15"/>
    </row>
    <row r="46" ht="15.6" customHeight="1" spans="1:11">
      <c r="A46" s="15"/>
      <c r="B46" s="15"/>
      <c r="C46" s="15"/>
      <c r="D46" s="15"/>
      <c r="E46" s="15"/>
      <c r="F46" s="15"/>
      <c r="G46" s="15"/>
      <c r="H46" s="15"/>
      <c r="I46" s="15"/>
      <c r="J46" s="15"/>
      <c r="K46" s="15"/>
    </row>
    <row r="47" ht="15.6" customHeight="1" spans="1:11">
      <c r="A47" s="15"/>
      <c r="B47" s="15"/>
      <c r="C47" s="15"/>
      <c r="D47" s="15"/>
      <c r="E47" s="15"/>
      <c r="F47" s="15"/>
      <c r="G47" s="15"/>
      <c r="H47" s="15"/>
      <c r="I47" s="15"/>
      <c r="J47" s="15"/>
      <c r="K47" s="15"/>
    </row>
    <row r="48" ht="16.5" spans="1:11">
      <c r="A48" s="11" t="s">
        <v>21</v>
      </c>
      <c r="B48" s="11"/>
      <c r="C48" s="11"/>
      <c r="D48" s="11"/>
      <c r="E48" s="11"/>
      <c r="F48" s="11"/>
      <c r="G48" s="11"/>
      <c r="H48" s="11"/>
      <c r="I48" s="11"/>
      <c r="J48" s="11"/>
      <c r="K48" s="11"/>
    </row>
    <row r="49" ht="16.5" spans="1:11">
      <c r="A49" s="1" t="s">
        <v>5</v>
      </c>
      <c r="B49" s="19">
        <v>6.88</v>
      </c>
      <c r="C49" s="20" t="s">
        <v>6</v>
      </c>
      <c r="D49" s="19">
        <f>1.92/SQRT(40)</f>
        <v>0.303578655376164</v>
      </c>
      <c r="E49" s="21" t="s">
        <v>22</v>
      </c>
      <c r="F49" s="22"/>
      <c r="G49" s="19">
        <f>_xlfn.NORM.S.INV(1-0.05)</f>
        <v>1.64485362695147</v>
      </c>
      <c r="H49" s="11"/>
      <c r="I49" s="11"/>
      <c r="J49" s="11"/>
      <c r="K49" s="11"/>
    </row>
    <row r="50" ht="16.35" customHeight="1" spans="1:11">
      <c r="A50" s="18"/>
      <c r="B50" s="11"/>
      <c r="C50" s="11"/>
      <c r="D50" s="11"/>
      <c r="E50" s="11"/>
      <c r="F50" s="11"/>
      <c r="G50" s="11"/>
      <c r="H50" s="11"/>
      <c r="I50" s="11"/>
      <c r="J50" s="11"/>
      <c r="K50" s="11"/>
    </row>
    <row r="51" ht="16.35" customHeight="1" spans="1:11">
      <c r="A51" s="23" t="s">
        <v>8</v>
      </c>
      <c r="B51" s="24"/>
      <c r="C51" s="19">
        <f>D49*G49</f>
        <v>0.499342452360535</v>
      </c>
      <c r="D51" s="11"/>
      <c r="F51" s="4" t="s">
        <v>9</v>
      </c>
      <c r="G51" s="25"/>
      <c r="H51" s="19">
        <f>6.88-C51</f>
        <v>6.38065754763946</v>
      </c>
      <c r="I51" s="36" t="s">
        <v>10</v>
      </c>
      <c r="J51" s="19">
        <f>6.88+C51</f>
        <v>7.37934245236054</v>
      </c>
      <c r="K51" s="11"/>
    </row>
    <row r="52" ht="16.35" customHeight="1" spans="1:11">
      <c r="A52" s="23"/>
      <c r="B52" s="24"/>
      <c r="C52" s="11"/>
      <c r="D52" s="11"/>
      <c r="F52" s="4"/>
      <c r="G52" s="4"/>
      <c r="H52" s="11"/>
      <c r="I52" s="36"/>
      <c r="J52" s="11"/>
      <c r="K52" s="11"/>
    </row>
    <row r="53" ht="16.5" spans="1:11">
      <c r="A53" s="15" t="s">
        <v>11</v>
      </c>
      <c r="B53" s="15"/>
      <c r="C53" s="15"/>
      <c r="D53" s="15"/>
      <c r="E53" s="15"/>
      <c r="F53" s="15"/>
      <c r="G53" s="15"/>
      <c r="H53" s="15"/>
      <c r="I53" s="15"/>
      <c r="J53" s="15"/>
      <c r="K53" s="11"/>
    </row>
    <row r="54" ht="15.75" spans="1:11">
      <c r="A54" s="28" t="s">
        <v>23</v>
      </c>
      <c r="B54" s="29"/>
      <c r="C54" s="29"/>
      <c r="D54" s="29"/>
      <c r="E54" s="29"/>
      <c r="F54" s="29"/>
      <c r="G54" s="29"/>
      <c r="H54" s="29"/>
      <c r="I54" s="29"/>
      <c r="J54" s="37"/>
      <c r="K54" s="11"/>
    </row>
    <row r="55" ht="16.5" spans="1:11">
      <c r="A55" s="30"/>
      <c r="B55" s="31"/>
      <c r="C55" s="31"/>
      <c r="D55" s="31"/>
      <c r="E55" s="31"/>
      <c r="F55" s="31"/>
      <c r="G55" s="31"/>
      <c r="H55" s="31"/>
      <c r="I55" s="31"/>
      <c r="J55" s="38"/>
      <c r="K55" s="11"/>
    </row>
    <row r="56" ht="15.75" spans="1:11">
      <c r="A56" s="11"/>
      <c r="B56" s="11"/>
      <c r="C56" s="11"/>
      <c r="D56" s="11"/>
      <c r="E56" s="11"/>
      <c r="F56" s="11"/>
      <c r="G56" s="11"/>
      <c r="H56" s="11"/>
      <c r="I56" s="11"/>
      <c r="J56" s="11"/>
      <c r="K56" s="11"/>
    </row>
    <row r="57" ht="15.75" spans="1:11">
      <c r="A57" s="11" t="s">
        <v>24</v>
      </c>
      <c r="B57" s="11"/>
      <c r="C57" s="11"/>
      <c r="D57" s="11"/>
      <c r="E57" s="11"/>
      <c r="F57" s="11"/>
      <c r="G57" s="11"/>
      <c r="H57" s="11"/>
      <c r="I57" s="11"/>
      <c r="J57" s="11"/>
      <c r="K57" s="11"/>
    </row>
    <row r="58" ht="15.75" spans="1:11">
      <c r="A58" s="15" t="s">
        <v>25</v>
      </c>
      <c r="B58" s="15"/>
      <c r="C58" s="15"/>
      <c r="D58" s="15"/>
      <c r="E58" s="15"/>
      <c r="F58" s="15"/>
      <c r="G58" s="15"/>
      <c r="H58" s="15"/>
      <c r="I58" s="15"/>
      <c r="J58" s="15"/>
      <c r="K58" s="11"/>
    </row>
    <row r="59" ht="15.75" spans="1:11">
      <c r="A59" s="15"/>
      <c r="B59" s="15"/>
      <c r="C59" s="15"/>
      <c r="D59" s="15"/>
      <c r="E59" s="15"/>
      <c r="F59" s="15"/>
      <c r="G59" s="15"/>
      <c r="H59" s="15"/>
      <c r="I59" s="15"/>
      <c r="J59" s="15"/>
      <c r="K59" s="11"/>
    </row>
    <row r="60" ht="16.5" spans="1:11">
      <c r="A60" s="11"/>
      <c r="B60" s="11"/>
      <c r="C60" s="11"/>
      <c r="D60" s="11"/>
      <c r="E60" s="11"/>
      <c r="F60" s="11"/>
      <c r="G60" s="11"/>
      <c r="H60" s="11"/>
      <c r="I60" s="11"/>
      <c r="J60" s="11"/>
      <c r="K60" s="11"/>
    </row>
    <row r="61" ht="16.5" spans="1:11">
      <c r="A61" s="11"/>
      <c r="B61" s="15" t="s">
        <v>26</v>
      </c>
      <c r="C61" s="15"/>
      <c r="D61" s="19">
        <f>(G49^2*1.92^2)/0.3^2</f>
        <v>110.819059879748</v>
      </c>
      <c r="E61" s="11" t="s">
        <v>27</v>
      </c>
      <c r="F61" s="11"/>
      <c r="G61" s="11" t="s">
        <v>28</v>
      </c>
      <c r="H61" s="11"/>
      <c r="I61" s="11"/>
      <c r="J61" s="11"/>
      <c r="K61" s="11"/>
    </row>
    <row r="62" ht="15.75" spans="1:11">
      <c r="A62" s="11"/>
      <c r="B62" s="11"/>
      <c r="C62" s="11"/>
      <c r="D62" s="11"/>
      <c r="E62" s="11"/>
      <c r="F62" s="11"/>
      <c r="G62" s="11"/>
      <c r="H62" s="11"/>
      <c r="I62" s="11"/>
      <c r="J62" s="11"/>
      <c r="K62" s="11"/>
    </row>
    <row r="63" ht="15.75" spans="1:11">
      <c r="A63" s="11"/>
      <c r="B63" s="11"/>
      <c r="C63" s="11"/>
      <c r="D63" s="11"/>
      <c r="E63" s="11"/>
      <c r="F63" s="11"/>
      <c r="G63" s="11"/>
      <c r="H63" s="11"/>
      <c r="I63" s="11"/>
      <c r="J63" s="11"/>
      <c r="K63" s="11"/>
    </row>
    <row r="64" ht="15.75" spans="1:11">
      <c r="A64" s="34" t="s">
        <v>29</v>
      </c>
      <c r="B64" s="34"/>
      <c r="C64" s="34"/>
      <c r="D64" s="34"/>
      <c r="E64" s="34"/>
      <c r="F64" s="34"/>
      <c r="G64" s="34"/>
      <c r="H64" s="34"/>
      <c r="I64" s="34"/>
      <c r="K64" s="11"/>
    </row>
    <row r="65" ht="15.75" spans="1:11">
      <c r="A65" s="5" t="s">
        <v>30</v>
      </c>
      <c r="B65" s="5"/>
      <c r="C65" s="5"/>
      <c r="D65" s="5"/>
      <c r="E65" s="5"/>
      <c r="F65" s="5"/>
      <c r="G65" s="5"/>
      <c r="H65" s="5"/>
      <c r="I65" s="5"/>
      <c r="K65" s="11"/>
    </row>
    <row r="66" ht="15.75" spans="1:11">
      <c r="A66" s="5"/>
      <c r="B66" s="5"/>
      <c r="C66" s="5"/>
      <c r="D66" s="5"/>
      <c r="E66" s="5"/>
      <c r="F66" s="5"/>
      <c r="G66" s="5"/>
      <c r="H66" s="5"/>
      <c r="I66" s="5"/>
      <c r="K66" s="11"/>
    </row>
    <row r="67" ht="15.75" spans="1:11">
      <c r="A67" s="5"/>
      <c r="B67" s="5"/>
      <c r="C67" s="5"/>
      <c r="D67" s="5"/>
      <c r="E67" s="5"/>
      <c r="F67" s="5"/>
      <c r="G67" s="5"/>
      <c r="H67" s="5"/>
      <c r="I67" s="5"/>
      <c r="K67" s="11"/>
    </row>
    <row r="68" ht="15.75" spans="1:11">
      <c r="A68" s="5"/>
      <c r="B68" s="5"/>
      <c r="C68" s="5"/>
      <c r="D68" s="5"/>
      <c r="E68" s="5"/>
      <c r="F68" s="5"/>
      <c r="G68" s="5"/>
      <c r="H68" s="5"/>
      <c r="I68" s="5"/>
      <c r="K68" s="11"/>
    </row>
    <row r="69" ht="15.75" spans="11:11">
      <c r="K69" s="11"/>
    </row>
    <row r="70" ht="15.75" spans="1:11">
      <c r="A70" s="40">
        <v>80</v>
      </c>
      <c r="B70" s="40">
        <v>90</v>
      </c>
      <c r="C70" s="40">
        <v>100</v>
      </c>
      <c r="D70" s="40">
        <v>120</v>
      </c>
      <c r="E70" s="40">
        <v>75</v>
      </c>
      <c r="F70" s="40">
        <v>37</v>
      </c>
      <c r="G70" s="40">
        <v>30</v>
      </c>
      <c r="H70" s="40">
        <v>23</v>
      </c>
      <c r="K70" s="11"/>
    </row>
    <row r="71" ht="15.75" spans="1:11">
      <c r="A71" s="40">
        <v>105</v>
      </c>
      <c r="B71" s="40">
        <v>95</v>
      </c>
      <c r="C71" s="40">
        <v>105</v>
      </c>
      <c r="D71" s="40">
        <v>60</v>
      </c>
      <c r="E71" s="40">
        <v>110</v>
      </c>
      <c r="F71" s="40">
        <v>120</v>
      </c>
      <c r="G71" s="40">
        <v>95</v>
      </c>
      <c r="H71" s="40">
        <v>90</v>
      </c>
      <c r="K71" s="11"/>
    </row>
    <row r="72" ht="15.75" spans="1:11">
      <c r="A72" s="40">
        <v>100</v>
      </c>
      <c r="B72" s="40">
        <v>110</v>
      </c>
      <c r="C72" s="40">
        <v>60</v>
      </c>
      <c r="D72" s="40">
        <v>70</v>
      </c>
      <c r="K72" s="11"/>
    </row>
    <row r="73" ht="15.75" spans="1:11">
      <c r="A73">
        <f t="shared" ref="A73:H73" si="0">SUM(A70:A72)</f>
        <v>285</v>
      </c>
      <c r="B73">
        <f t="shared" si="0"/>
        <v>295</v>
      </c>
      <c r="C73">
        <f t="shared" si="0"/>
        <v>265</v>
      </c>
      <c r="D73">
        <f t="shared" si="0"/>
        <v>250</v>
      </c>
      <c r="E73">
        <f t="shared" si="0"/>
        <v>185</v>
      </c>
      <c r="F73">
        <f t="shared" si="0"/>
        <v>157</v>
      </c>
      <c r="G73">
        <f t="shared" si="0"/>
        <v>125</v>
      </c>
      <c r="H73">
        <f t="shared" si="0"/>
        <v>113</v>
      </c>
      <c r="I73">
        <v>1675</v>
      </c>
      <c r="K73" s="11"/>
    </row>
    <row r="74" ht="15.75" spans="1:11">
      <c r="A74" s="5" t="s">
        <v>31</v>
      </c>
      <c r="B74" s="5"/>
      <c r="C74" s="5"/>
      <c r="D74" s="5"/>
      <c r="E74" s="5"/>
      <c r="F74" s="5"/>
      <c r="G74" s="5"/>
      <c r="H74" s="5"/>
      <c r="I74" s="5"/>
      <c r="K74" s="11"/>
    </row>
    <row r="75" ht="16.5" spans="11:11">
      <c r="K75" s="11"/>
    </row>
    <row r="76" ht="16.5" spans="1:11">
      <c r="A76" s="1" t="s">
        <v>5</v>
      </c>
      <c r="B76" s="41">
        <f>1675/20</f>
        <v>83.75</v>
      </c>
      <c r="C76" s="1" t="s">
        <v>32</v>
      </c>
      <c r="D76" s="41">
        <f>_xlfn.STDEV.S(A72,B72,C72,D72,A70:H71)</f>
        <v>28.9661780993663</v>
      </c>
      <c r="F76" t="s">
        <v>33</v>
      </c>
      <c r="G76" s="41">
        <v>20</v>
      </c>
      <c r="I76" t="s">
        <v>34</v>
      </c>
      <c r="J76" s="41">
        <f>D76/SQRT(20)</f>
        <v>6.47703432785488</v>
      </c>
      <c r="K76" s="11"/>
    </row>
    <row r="77" ht="15.75" spans="11:11">
      <c r="K77" s="11"/>
    </row>
    <row r="78" ht="15.75" spans="1:11">
      <c r="A78" s="5" t="s">
        <v>35</v>
      </c>
      <c r="B78" s="5"/>
      <c r="C78" s="5"/>
      <c r="D78" s="5"/>
      <c r="E78" s="5"/>
      <c r="F78" s="5"/>
      <c r="G78" s="5"/>
      <c r="H78" s="5"/>
      <c r="I78" s="5"/>
      <c r="J78" s="5"/>
      <c r="K78" s="11"/>
    </row>
    <row r="79" ht="15.75" spans="1:11">
      <c r="A79" s="5"/>
      <c r="B79" s="5"/>
      <c r="C79" s="5"/>
      <c r="D79" s="5"/>
      <c r="E79" s="5"/>
      <c r="F79" s="5"/>
      <c r="G79" s="5"/>
      <c r="H79" s="5"/>
      <c r="I79" s="5"/>
      <c r="J79" s="5"/>
      <c r="K79" s="11"/>
    </row>
    <row r="80" ht="16.5" spans="11:11">
      <c r="K80" s="11"/>
    </row>
    <row r="81" ht="16.5" spans="1:11">
      <c r="A81" s="1" t="s">
        <v>36</v>
      </c>
      <c r="B81" s="41">
        <f>20-1</f>
        <v>19</v>
      </c>
      <c r="D81" s="4" t="s">
        <v>37</v>
      </c>
      <c r="E81" s="4"/>
      <c r="F81" s="41">
        <f>_xlfn.T.INV.2T(0.1,19)</f>
        <v>1.72913281152137</v>
      </c>
      <c r="K81" s="11"/>
    </row>
    <row r="82" ht="16.5" spans="11:11">
      <c r="K82" s="11"/>
    </row>
    <row r="83" ht="16.5" spans="1:11">
      <c r="A83" s="4" t="s">
        <v>8</v>
      </c>
      <c r="B83" s="4"/>
      <c r="C83" s="41">
        <f>J76*F81</f>
        <v>11.1996525776441</v>
      </c>
      <c r="E83" s="4" t="s">
        <v>9</v>
      </c>
      <c r="F83" s="25"/>
      <c r="G83" s="19">
        <f>83.75-C83</f>
        <v>72.5503474223559</v>
      </c>
      <c r="H83" s="36" t="s">
        <v>10</v>
      </c>
      <c r="I83" s="19">
        <f>83.75+C83</f>
        <v>94.9496525776441</v>
      </c>
      <c r="K83" s="11"/>
    </row>
    <row r="84" ht="15.75" spans="11:11">
      <c r="K84" s="11"/>
    </row>
    <row r="85" ht="15.75" spans="11:11">
      <c r="K85" s="11"/>
    </row>
    <row r="86" ht="15.75" spans="1:11">
      <c r="A86" s="5" t="s">
        <v>38</v>
      </c>
      <c r="B86" s="5"/>
      <c r="C86" s="5"/>
      <c r="D86" s="5"/>
      <c r="E86" s="5"/>
      <c r="F86" s="5"/>
      <c r="G86" s="5"/>
      <c r="H86" s="5"/>
      <c r="I86" s="5"/>
      <c r="K86" s="11"/>
    </row>
    <row r="87" ht="15.75" spans="1:11">
      <c r="A87" s="5"/>
      <c r="B87" s="5"/>
      <c r="C87" s="5"/>
      <c r="D87" s="5"/>
      <c r="E87" s="5"/>
      <c r="F87" s="5"/>
      <c r="G87" s="5"/>
      <c r="H87" s="5"/>
      <c r="I87" s="5"/>
      <c r="K87" s="11"/>
    </row>
    <row r="88" ht="15.75" spans="1:11">
      <c r="A88" s="5"/>
      <c r="B88" s="5"/>
      <c r="C88" s="5"/>
      <c r="D88" s="5"/>
      <c r="E88" s="5"/>
      <c r="F88" s="5"/>
      <c r="G88" s="5"/>
      <c r="H88" s="5"/>
      <c r="I88" s="5"/>
      <c r="K88" s="11"/>
    </row>
    <row r="89" ht="15.75" spans="1:11">
      <c r="A89" s="5"/>
      <c r="B89" s="5"/>
      <c r="C89" s="5"/>
      <c r="D89" s="5"/>
      <c r="E89" s="5"/>
      <c r="F89" s="5"/>
      <c r="G89" s="5"/>
      <c r="H89" s="5"/>
      <c r="I89" s="5"/>
      <c r="K89" s="11"/>
    </row>
    <row r="90" ht="15.75" spans="11:11">
      <c r="K90" s="11"/>
    </row>
    <row r="91" ht="15.75" spans="1:11">
      <c r="A91" s="40">
        <v>95</v>
      </c>
      <c r="B91" s="40">
        <v>173</v>
      </c>
      <c r="C91" s="40">
        <v>129</v>
      </c>
      <c r="D91" s="40">
        <v>95</v>
      </c>
      <c r="E91" s="40">
        <v>75</v>
      </c>
      <c r="F91" s="40">
        <v>94</v>
      </c>
      <c r="G91" s="40">
        <v>116</v>
      </c>
      <c r="H91" s="40">
        <v>100</v>
      </c>
      <c r="I91" s="40">
        <v>85</v>
      </c>
      <c r="J91">
        <f>SUM(A91:I91)</f>
        <v>962</v>
      </c>
      <c r="K91" s="11"/>
    </row>
    <row r="92" ht="15.75" spans="11:11">
      <c r="K92" s="11"/>
    </row>
    <row r="93" ht="15.75" spans="1:11">
      <c r="A93" s="5" t="s">
        <v>31</v>
      </c>
      <c r="B93" s="5"/>
      <c r="C93" s="5"/>
      <c r="D93" s="5"/>
      <c r="E93" s="5"/>
      <c r="F93" s="5"/>
      <c r="G93" s="5"/>
      <c r="H93" s="5"/>
      <c r="I93" s="5"/>
      <c r="K93" s="11"/>
    </row>
    <row r="94" ht="15.75"/>
    <row r="95" ht="15.75" spans="1:10">
      <c r="A95" s="1" t="s">
        <v>5</v>
      </c>
      <c r="B95" s="41">
        <f>962/9</f>
        <v>106.888888888889</v>
      </c>
      <c r="C95" s="1" t="s">
        <v>32</v>
      </c>
      <c r="D95" s="41">
        <f>_xlfn.STDEV.S(A91:I91)</f>
        <v>29.4425051772282</v>
      </c>
      <c r="F95" t="s">
        <v>33</v>
      </c>
      <c r="G95" s="41">
        <v>9</v>
      </c>
      <c r="I95" t="s">
        <v>34</v>
      </c>
      <c r="J95" s="41">
        <f>D95/SQRT(9)</f>
        <v>9.81416839240941</v>
      </c>
    </row>
    <row r="97" spans="1:9">
      <c r="A97" s="5" t="s">
        <v>39</v>
      </c>
      <c r="B97" s="5"/>
      <c r="C97" s="5"/>
      <c r="D97" s="5"/>
      <c r="E97" s="5"/>
      <c r="F97" s="5"/>
      <c r="G97" s="5"/>
      <c r="H97" s="5"/>
      <c r="I97" s="5"/>
    </row>
    <row r="98" spans="1:9">
      <c r="A98" s="5"/>
      <c r="B98" s="5"/>
      <c r="C98" s="5"/>
      <c r="D98" s="5"/>
      <c r="E98" s="5"/>
      <c r="F98" s="5"/>
      <c r="G98" s="5"/>
      <c r="H98" s="5"/>
      <c r="I98" s="5"/>
    </row>
    <row r="99" ht="15.75"/>
    <row r="100" ht="15.75" spans="1:6">
      <c r="A100" s="1" t="s">
        <v>36</v>
      </c>
      <c r="B100" s="41">
        <v>8</v>
      </c>
      <c r="D100" s="4" t="s">
        <v>37</v>
      </c>
      <c r="E100" s="4"/>
      <c r="F100" s="41">
        <f>_xlfn.T.INV.2T(0.1,8)</f>
        <v>1.8595480375309</v>
      </c>
    </row>
    <row r="101" ht="15.75"/>
    <row r="102" ht="16.5" spans="1:9">
      <c r="A102" s="4" t="s">
        <v>8</v>
      </c>
      <c r="B102" s="4"/>
      <c r="C102" s="41">
        <f>J95*F100</f>
        <v>18.2499175741027</v>
      </c>
      <c r="E102" s="4" t="s">
        <v>9</v>
      </c>
      <c r="F102" s="25"/>
      <c r="G102" s="19">
        <f>B95-C102</f>
        <v>88.6389713147862</v>
      </c>
      <c r="H102" s="36" t="s">
        <v>10</v>
      </c>
      <c r="I102" s="19">
        <f>B95+C102</f>
        <v>125.138806462992</v>
      </c>
    </row>
    <row r="104" spans="1:9">
      <c r="A104" s="5" t="s">
        <v>40</v>
      </c>
      <c r="B104" s="5"/>
      <c r="C104" s="5"/>
      <c r="D104" s="5"/>
      <c r="E104" s="5"/>
      <c r="F104" s="5"/>
      <c r="G104" s="5"/>
      <c r="H104" s="5"/>
      <c r="I104" s="5"/>
    </row>
    <row r="105" ht="15.75" spans="1:9">
      <c r="A105" s="5"/>
      <c r="B105" s="5"/>
      <c r="C105" s="5"/>
      <c r="D105" s="5"/>
      <c r="E105" s="5"/>
      <c r="F105" s="5"/>
      <c r="G105" s="5"/>
      <c r="H105" s="5"/>
      <c r="I105" s="5"/>
    </row>
    <row r="106" ht="15.75" spans="1:9">
      <c r="A106" s="42">
        <v>63.2</v>
      </c>
      <c r="B106" s="43">
        <v>36.3</v>
      </c>
      <c r="C106" s="43">
        <v>26.2</v>
      </c>
      <c r="D106" s="43">
        <v>53.2</v>
      </c>
      <c r="E106" s="43">
        <v>65.3</v>
      </c>
      <c r="F106" s="43">
        <v>32</v>
      </c>
      <c r="G106" s="43">
        <v>65</v>
      </c>
      <c r="H106" s="6"/>
      <c r="I106" s="6"/>
    </row>
    <row r="107" ht="15.75" spans="1:9">
      <c r="A107" s="44">
        <v>66.3</v>
      </c>
      <c r="B107" s="45">
        <v>68.9</v>
      </c>
      <c r="C107" s="45">
        <v>35.2</v>
      </c>
      <c r="D107" s="45">
        <v>25.1</v>
      </c>
      <c r="E107" s="45">
        <v>32.5</v>
      </c>
      <c r="F107" s="45">
        <v>54</v>
      </c>
      <c r="G107" s="45">
        <v>42.4</v>
      </c>
      <c r="H107" s="6"/>
      <c r="I107" s="6"/>
    </row>
    <row r="108" ht="15.75" spans="1:7">
      <c r="A108" s="44">
        <v>77.5</v>
      </c>
      <c r="B108" s="45">
        <v>123.2</v>
      </c>
      <c r="C108" s="45">
        <v>66.3</v>
      </c>
      <c r="D108" s="45">
        <v>92.7</v>
      </c>
      <c r="E108" s="45">
        <v>56.9</v>
      </c>
      <c r="F108" s="45">
        <v>77.1</v>
      </c>
      <c r="G108" s="45">
        <v>27.5</v>
      </c>
    </row>
    <row r="109" ht="15.75" spans="1:7">
      <c r="A109" s="44">
        <v>69.2</v>
      </c>
      <c r="B109" s="45">
        <v>73.8</v>
      </c>
      <c r="C109" s="45">
        <v>71.5</v>
      </c>
      <c r="D109" s="45">
        <v>58.5</v>
      </c>
      <c r="E109" s="45">
        <v>67.2</v>
      </c>
      <c r="F109" s="45">
        <v>78.6</v>
      </c>
      <c r="G109" s="45">
        <v>33.2</v>
      </c>
    </row>
    <row r="110" ht="15.75" spans="1:7">
      <c r="A110" s="44">
        <v>74.9</v>
      </c>
      <c r="B110" s="45">
        <v>45.2</v>
      </c>
      <c r="C110" s="45">
        <v>132.1</v>
      </c>
      <c r="D110" s="45">
        <v>104.7</v>
      </c>
      <c r="E110" s="45">
        <v>63.2</v>
      </c>
      <c r="F110" s="45">
        <v>59.6</v>
      </c>
      <c r="G110" s="45">
        <v>75.7</v>
      </c>
    </row>
    <row r="111" ht="15.75" spans="1:7">
      <c r="A111" s="44">
        <v>39.2</v>
      </c>
      <c r="B111" s="45">
        <v>69.9</v>
      </c>
      <c r="C111" s="45">
        <v>87.5</v>
      </c>
      <c r="D111" s="45">
        <v>56</v>
      </c>
      <c r="E111" s="45">
        <v>154.2</v>
      </c>
      <c r="F111" s="45">
        <v>85.5</v>
      </c>
      <c r="G111" s="45">
        <v>77.5</v>
      </c>
    </row>
    <row r="112" ht="15.75" spans="1:7">
      <c r="A112" s="44">
        <v>84.7</v>
      </c>
      <c r="B112" s="45">
        <v>24.2</v>
      </c>
      <c r="C112" s="45">
        <v>37.5</v>
      </c>
      <c r="D112" s="45">
        <v>41.1</v>
      </c>
      <c r="E112" s="45"/>
      <c r="F112" s="45"/>
      <c r="G112" s="45"/>
    </row>
    <row r="113" spans="1:9">
      <c r="A113" s="46">
        <f t="shared" ref="A113:G113" si="1">SUM(A106:A112)</f>
        <v>475</v>
      </c>
      <c r="B113" s="46">
        <f t="shared" si="1"/>
        <v>441.5</v>
      </c>
      <c r="C113" s="46">
        <f t="shared" si="1"/>
        <v>456.3</v>
      </c>
      <c r="D113" s="46">
        <f t="shared" si="1"/>
        <v>431.3</v>
      </c>
      <c r="E113" s="46">
        <f t="shared" si="1"/>
        <v>439.3</v>
      </c>
      <c r="F113" s="46">
        <f t="shared" si="1"/>
        <v>386.8</v>
      </c>
      <c r="G113" s="46">
        <f t="shared" si="1"/>
        <v>321.3</v>
      </c>
      <c r="H113" t="s">
        <v>41</v>
      </c>
      <c r="I113" s="47">
        <f>SUM(A113:G113)</f>
        <v>2951.5</v>
      </c>
    </row>
    <row r="114" spans="1:7">
      <c r="A114" s="46"/>
      <c r="B114" s="46"/>
      <c r="C114" s="46"/>
      <c r="D114" s="46"/>
      <c r="E114" s="46"/>
      <c r="F114" s="46"/>
      <c r="G114" s="46"/>
    </row>
    <row r="115" spans="1:9">
      <c r="A115" s="5" t="s">
        <v>31</v>
      </c>
      <c r="B115" s="5"/>
      <c r="C115" s="5"/>
      <c r="D115" s="5"/>
      <c r="E115" s="5"/>
      <c r="F115" s="5"/>
      <c r="G115" s="5"/>
      <c r="H115" s="5"/>
      <c r="I115" s="5"/>
    </row>
    <row r="116" ht="15.75"/>
    <row r="117" ht="15.75" spans="1:10">
      <c r="A117" s="1" t="s">
        <v>5</v>
      </c>
      <c r="B117" s="41">
        <f>I113/46</f>
        <v>64.1630434782609</v>
      </c>
      <c r="C117" s="1" t="s">
        <v>32</v>
      </c>
      <c r="D117" s="41">
        <f>_xlfn.STDEV.S(A106:G112)</f>
        <v>27.8609512376146</v>
      </c>
      <c r="F117" t="s">
        <v>33</v>
      </c>
      <c r="G117" s="41">
        <v>46</v>
      </c>
      <c r="I117" t="s">
        <v>34</v>
      </c>
      <c r="J117" s="41">
        <f>D117/SQRT(46)</f>
        <v>4.10787315081009</v>
      </c>
    </row>
    <row r="119" spans="1:9">
      <c r="A119" s="5" t="s">
        <v>42</v>
      </c>
      <c r="B119" s="5"/>
      <c r="C119" s="5"/>
      <c r="D119" s="5"/>
      <c r="E119" s="5"/>
      <c r="F119" s="5"/>
      <c r="G119" s="5"/>
      <c r="H119" s="5"/>
      <c r="I119" s="5"/>
    </row>
    <row r="120" spans="1:9">
      <c r="A120" s="5"/>
      <c r="B120" s="5"/>
      <c r="C120" s="5"/>
      <c r="D120" s="5"/>
      <c r="E120" s="5"/>
      <c r="F120" s="5"/>
      <c r="G120" s="5"/>
      <c r="H120" s="5"/>
      <c r="I120" s="5"/>
    </row>
    <row r="121" ht="15.75"/>
    <row r="122" ht="15.75" spans="1:6">
      <c r="A122" s="1" t="s">
        <v>36</v>
      </c>
      <c r="B122" s="41">
        <v>45</v>
      </c>
      <c r="D122" s="4" t="s">
        <v>43</v>
      </c>
      <c r="E122" s="4"/>
      <c r="F122" s="41">
        <f>_xlfn.T.INV.2T(0.2,45)</f>
        <v>1.30064933225024</v>
      </c>
    </row>
    <row r="123" ht="15.75"/>
    <row r="124" ht="16.5" spans="1:9">
      <c r="A124" s="4" t="s">
        <v>8</v>
      </c>
      <c r="B124" s="4"/>
      <c r="C124" s="41">
        <f>J117*F122</f>
        <v>5.34290247056983</v>
      </c>
      <c r="E124" s="4" t="s">
        <v>9</v>
      </c>
      <c r="F124" s="25"/>
      <c r="G124" s="19">
        <f>B117-C124</f>
        <v>58.820141007691</v>
      </c>
      <c r="H124" s="36" t="s">
        <v>10</v>
      </c>
      <c r="I124" s="19">
        <f>B117+C124</f>
        <v>69.5059459488307</v>
      </c>
    </row>
    <row r="126" spans="1:9">
      <c r="A126" s="5" t="s">
        <v>44</v>
      </c>
      <c r="B126" s="5"/>
      <c r="C126" s="5"/>
      <c r="D126" s="5"/>
      <c r="E126" s="5"/>
      <c r="F126" s="5"/>
      <c r="G126" s="5"/>
      <c r="H126" s="5"/>
      <c r="I126" s="5"/>
    </row>
    <row r="127" spans="1:9">
      <c r="A127" s="5"/>
      <c r="B127" s="5"/>
      <c r="C127" s="5"/>
      <c r="D127" s="5"/>
      <c r="E127" s="5"/>
      <c r="F127" s="5"/>
      <c r="G127" s="5"/>
      <c r="H127" s="5"/>
      <c r="I127" s="5"/>
    </row>
    <row r="128" ht="15.75"/>
    <row r="129" ht="15.75" spans="1:6">
      <c r="A129" s="1" t="s">
        <v>36</v>
      </c>
      <c r="B129" s="41">
        <v>45</v>
      </c>
      <c r="D129" s="4" t="s">
        <v>45</v>
      </c>
      <c r="E129" s="4"/>
      <c r="F129" s="41">
        <f>_xlfn.T.INV.2T(0.05,45)</f>
        <v>2.01410338888085</v>
      </c>
    </row>
    <row r="130" ht="15.75"/>
    <row r="131" ht="16.5" spans="1:9">
      <c r="A131" s="4" t="s">
        <v>8</v>
      </c>
      <c r="B131" s="4"/>
      <c r="C131" s="41">
        <f>F129*J117</f>
        <v>8.27368123413925</v>
      </c>
      <c r="E131" s="4" t="s">
        <v>9</v>
      </c>
      <c r="F131" s="25"/>
      <c r="G131" s="19">
        <f>B117-C131</f>
        <v>55.8893622441216</v>
      </c>
      <c r="H131" s="36" t="s">
        <v>10</v>
      </c>
      <c r="I131" s="19">
        <f>B117+C131</f>
        <v>72.4367247124001</v>
      </c>
    </row>
    <row r="134" ht="15.75" spans="1:9">
      <c r="A134" s="34" t="s">
        <v>46</v>
      </c>
      <c r="B134" s="34"/>
      <c r="C134" s="34"/>
      <c r="D134" s="34"/>
      <c r="E134" s="34"/>
      <c r="F134" s="34"/>
      <c r="G134" s="34"/>
      <c r="H134" s="34"/>
      <c r="I134" s="34"/>
    </row>
    <row r="135" spans="1:10">
      <c r="A135" s="5" t="s">
        <v>47</v>
      </c>
      <c r="B135" s="5"/>
      <c r="C135" s="5"/>
      <c r="D135" s="5"/>
      <c r="E135" s="5"/>
      <c r="F135" s="5"/>
      <c r="G135" s="5"/>
      <c r="H135" s="5"/>
      <c r="I135" s="5"/>
      <c r="J135" s="5"/>
    </row>
    <row r="136" spans="1:10">
      <c r="A136" s="5"/>
      <c r="B136" s="5"/>
      <c r="C136" s="5"/>
      <c r="D136" s="5"/>
      <c r="E136" s="5"/>
      <c r="F136" s="5"/>
      <c r="G136" s="5"/>
      <c r="H136" s="5"/>
      <c r="I136" s="5"/>
      <c r="J136" s="5"/>
    </row>
    <row r="137" spans="1:10">
      <c r="A137" s="5"/>
      <c r="B137" s="5"/>
      <c r="C137" s="5"/>
      <c r="D137" s="5"/>
      <c r="E137" s="5"/>
      <c r="F137" s="5"/>
      <c r="G137" s="5"/>
      <c r="H137" s="5"/>
      <c r="I137" s="5"/>
      <c r="J137" s="5"/>
    </row>
    <row r="138" ht="15.75"/>
    <row r="139" ht="16.5" spans="1:9">
      <c r="A139" s="48"/>
      <c r="B139" s="1" t="s">
        <v>33</v>
      </c>
      <c r="C139" s="49">
        <v>1500</v>
      </c>
      <c r="D139" s="35" t="s">
        <v>48</v>
      </c>
      <c r="E139" s="50">
        <f>39/100</f>
        <v>0.39</v>
      </c>
      <c r="F139" s="35" t="s">
        <v>49</v>
      </c>
      <c r="G139" s="50">
        <f>1-0.39</f>
        <v>0.61</v>
      </c>
      <c r="H139" s="1" t="s">
        <v>6</v>
      </c>
      <c r="I139" s="50">
        <f>SQRT(0.39*0.61*1500)</f>
        <v>18.8904737897174</v>
      </c>
    </row>
    <row r="140" ht="15.75" spans="1:1">
      <c r="A140" s="51"/>
    </row>
    <row r="141" ht="16.5" spans="1:10">
      <c r="A141" s="48" t="s">
        <v>50</v>
      </c>
      <c r="B141" s="1"/>
      <c r="C141" s="11">
        <f>_xlfn.NORM.S.INV(1-0.025)</f>
        <v>1.95996398454005</v>
      </c>
      <c r="D141" s="52" t="s">
        <v>51</v>
      </c>
      <c r="E141" s="53"/>
      <c r="F141">
        <f>C141*SQRT((0.39*0.61)/1500)</f>
        <v>0.024683098852496</v>
      </c>
      <c r="G141" s="52" t="s">
        <v>52</v>
      </c>
      <c r="H141" s="50">
        <f>E139-F141</f>
        <v>0.365316901147504</v>
      </c>
      <c r="I141" s="60" t="s">
        <v>53</v>
      </c>
      <c r="J141" s="50">
        <f>E139+F141</f>
        <v>0.414683098852496</v>
      </c>
    </row>
    <row r="143" spans="3:10">
      <c r="C143" s="54"/>
      <c r="D143" s="55"/>
      <c r="E143" s="55"/>
      <c r="F143" s="54"/>
      <c r="G143" s="53"/>
      <c r="H143" s="54"/>
      <c r="I143" s="60"/>
      <c r="J143" s="54"/>
    </row>
    <row r="144" spans="1:10">
      <c r="A144" s="56" t="s">
        <v>54</v>
      </c>
      <c r="B144" s="5"/>
      <c r="C144" s="5"/>
      <c r="D144" s="5"/>
      <c r="E144" s="5"/>
      <c r="F144" s="5"/>
      <c r="G144" s="5"/>
      <c r="H144" s="5"/>
      <c r="I144" s="5"/>
      <c r="J144" s="5"/>
    </row>
    <row r="145" spans="1:10">
      <c r="A145" s="56"/>
      <c r="B145" s="5"/>
      <c r="C145" s="5"/>
      <c r="D145" s="5"/>
      <c r="E145" s="5"/>
      <c r="F145" s="5"/>
      <c r="G145" s="5"/>
      <c r="H145" s="5"/>
      <c r="I145" s="5"/>
      <c r="J145" s="5"/>
    </row>
    <row r="146" spans="1:1">
      <c r="A146" s="51"/>
    </row>
    <row r="147" spans="1:10">
      <c r="A147" s="56" t="s">
        <v>55</v>
      </c>
      <c r="B147" s="5"/>
      <c r="C147" s="5"/>
      <c r="D147" s="5"/>
      <c r="E147" s="5"/>
      <c r="F147" s="5"/>
      <c r="G147" s="5"/>
      <c r="H147" s="5"/>
      <c r="I147" s="5"/>
      <c r="J147" s="5"/>
    </row>
    <row r="148" spans="1:10">
      <c r="A148" s="56"/>
      <c r="B148" s="5"/>
      <c r="C148" s="5"/>
      <c r="D148" s="5"/>
      <c r="E148" s="5"/>
      <c r="F148" s="5"/>
      <c r="G148" s="5"/>
      <c r="H148" s="5"/>
      <c r="I148" s="5"/>
      <c r="J148" s="5"/>
    </row>
    <row r="149" spans="1:10">
      <c r="A149" s="56"/>
      <c r="B149" s="5"/>
      <c r="C149" s="5"/>
      <c r="D149" s="5"/>
      <c r="E149" s="5"/>
      <c r="F149" s="5"/>
      <c r="G149" s="5"/>
      <c r="H149" s="5"/>
      <c r="I149" s="5"/>
      <c r="J149" s="5"/>
    </row>
    <row r="150" ht="15.75" spans="1:10">
      <c r="A150" s="57"/>
      <c r="B150" s="6"/>
      <c r="C150" s="6"/>
      <c r="D150" s="6"/>
      <c r="E150" s="6"/>
      <c r="F150" s="6"/>
      <c r="G150" s="6"/>
      <c r="H150" s="6"/>
      <c r="I150" s="6"/>
      <c r="J150" s="6"/>
    </row>
    <row r="151" ht="16.5" spans="1:9">
      <c r="A151" s="48" t="s">
        <v>56</v>
      </c>
      <c r="B151" s="50">
        <v>0.03</v>
      </c>
      <c r="C151" s="35" t="s">
        <v>48</v>
      </c>
      <c r="D151" s="50">
        <v>0.5</v>
      </c>
      <c r="E151" s="35" t="s">
        <v>49</v>
      </c>
      <c r="F151" s="50">
        <v>0.5</v>
      </c>
      <c r="G151" s="58" t="s">
        <v>50</v>
      </c>
      <c r="H151" s="25"/>
      <c r="I151" s="11">
        <f>_xlfn.NORM.S.INV(1-0.025)</f>
        <v>1.95996398454005</v>
      </c>
    </row>
    <row r="152" ht="15.75" spans="1:1">
      <c r="A152" s="51"/>
    </row>
    <row r="153" ht="15.75" spans="1:7">
      <c r="A153" s="51"/>
      <c r="B153" s="1" t="s">
        <v>33</v>
      </c>
      <c r="C153" s="59">
        <f>(I151^2*0.5*0.5)/0.03^2</f>
        <v>1067.07189463726</v>
      </c>
      <c r="E153" s="5" t="s">
        <v>57</v>
      </c>
      <c r="F153" s="5"/>
      <c r="G153" s="49">
        <v>1068</v>
      </c>
    </row>
    <row r="154" spans="1:1">
      <c r="A154" s="51"/>
    </row>
    <row r="155" spans="1:10">
      <c r="A155" s="56" t="s">
        <v>58</v>
      </c>
      <c r="B155" s="5"/>
      <c r="C155" s="5"/>
      <c r="D155" s="5"/>
      <c r="E155" s="5"/>
      <c r="F155" s="5"/>
      <c r="G155" s="5"/>
      <c r="H155" s="5"/>
      <c r="I155" s="5"/>
      <c r="J155" s="5"/>
    </row>
    <row r="156" spans="1:10">
      <c r="A156" s="56"/>
      <c r="B156" s="5"/>
      <c r="C156" s="5"/>
      <c r="D156" s="5"/>
      <c r="E156" s="5"/>
      <c r="F156" s="5"/>
      <c r="G156" s="5"/>
      <c r="H156" s="5"/>
      <c r="I156" s="5"/>
      <c r="J156" s="5"/>
    </row>
    <row r="157" ht="15.75" spans="1:1">
      <c r="A157" s="51"/>
    </row>
    <row r="158" ht="16.5" spans="1:9">
      <c r="A158" s="48" t="s">
        <v>56</v>
      </c>
      <c r="B158" s="50">
        <v>0.03</v>
      </c>
      <c r="C158" s="35" t="s">
        <v>48</v>
      </c>
      <c r="D158" s="50">
        <v>0.5</v>
      </c>
      <c r="E158" s="35" t="s">
        <v>49</v>
      </c>
      <c r="F158" s="50">
        <v>0.5</v>
      </c>
      <c r="G158" s="58" t="s">
        <v>59</v>
      </c>
      <c r="H158" s="25"/>
      <c r="I158" s="11">
        <f>_xlfn.NORM.S.INV(1-0.01)</f>
        <v>2.32634787404084</v>
      </c>
    </row>
    <row r="159" ht="15.75" spans="1:1">
      <c r="A159" s="51"/>
    </row>
    <row r="160" ht="15.75" spans="1:7">
      <c r="A160" s="51"/>
      <c r="B160" s="1" t="s">
        <v>33</v>
      </c>
      <c r="C160" s="59">
        <f>(I158^2*0.5*0.5)/0.03^2</f>
        <v>1503.30400862621</v>
      </c>
      <c r="E160" s="5" t="s">
        <v>57</v>
      </c>
      <c r="F160" s="5"/>
      <c r="G160" s="49">
        <v>1504</v>
      </c>
    </row>
    <row r="161" spans="1:1">
      <c r="A161" s="51"/>
    </row>
    <row r="162" spans="1:10">
      <c r="A162" s="56" t="s">
        <v>60</v>
      </c>
      <c r="B162" s="5"/>
      <c r="C162" s="5"/>
      <c r="D162" s="5"/>
      <c r="E162" s="5"/>
      <c r="F162" s="5"/>
      <c r="G162" s="5"/>
      <c r="H162" s="5"/>
      <c r="I162" s="5"/>
      <c r="J162" s="5"/>
    </row>
    <row r="163" spans="1:10">
      <c r="A163" s="56"/>
      <c r="B163" s="5"/>
      <c r="C163" s="5"/>
      <c r="D163" s="5"/>
      <c r="E163" s="5"/>
      <c r="F163" s="5"/>
      <c r="G163" s="5"/>
      <c r="H163" s="5"/>
      <c r="I163" s="5"/>
      <c r="J163" s="5"/>
    </row>
    <row r="164" spans="1:10">
      <c r="A164" s="56"/>
      <c r="B164" s="5"/>
      <c r="C164" s="5"/>
      <c r="D164" s="5"/>
      <c r="E164" s="5"/>
      <c r="F164" s="5"/>
      <c r="G164" s="5"/>
      <c r="H164" s="5"/>
      <c r="I164" s="5"/>
      <c r="J164" s="5"/>
    </row>
    <row r="165" ht="15.75" spans="1:1">
      <c r="A165" s="51"/>
    </row>
    <row r="166" ht="16.5" spans="1:10">
      <c r="A166" s="48" t="s">
        <v>61</v>
      </c>
      <c r="B166" s="49">
        <v>320</v>
      </c>
      <c r="C166" s="1" t="s">
        <v>33</v>
      </c>
      <c r="D166" s="49">
        <v>400</v>
      </c>
      <c r="E166" s="35" t="s">
        <v>48</v>
      </c>
      <c r="F166" s="50">
        <f>320/400</f>
        <v>0.8</v>
      </c>
      <c r="G166" s="35" t="s">
        <v>49</v>
      </c>
      <c r="H166" s="50">
        <f>1-0.8</f>
        <v>0.2</v>
      </c>
      <c r="I166" s="1" t="s">
        <v>6</v>
      </c>
      <c r="J166" s="50">
        <f>SQRT(0.8*0.2*400)</f>
        <v>8</v>
      </c>
    </row>
    <row r="167" ht="15.75" spans="1:1">
      <c r="A167" s="51"/>
    </row>
    <row r="168" ht="16.5" spans="1:10">
      <c r="A168" s="48" t="s">
        <v>50</v>
      </c>
      <c r="B168" s="1"/>
      <c r="C168" s="11">
        <f>_xlfn.NORM.S.INV(1-0.025)</f>
        <v>1.95996398454005</v>
      </c>
      <c r="D168" s="52" t="s">
        <v>51</v>
      </c>
      <c r="E168" s="53"/>
      <c r="F168" s="50">
        <f>1.96*0.02</f>
        <v>0.0392</v>
      </c>
      <c r="G168" s="52" t="s">
        <v>52</v>
      </c>
      <c r="H168" s="50">
        <f>F166-F168</f>
        <v>0.7608</v>
      </c>
      <c r="I168" s="60" t="s">
        <v>53</v>
      </c>
      <c r="J168" s="50">
        <f>F166+F168</f>
        <v>0.8392</v>
      </c>
    </row>
    <row r="169" spans="1:1">
      <c r="A169" s="51"/>
    </row>
    <row r="171" spans="1:10">
      <c r="A171" s="5" t="s">
        <v>62</v>
      </c>
      <c r="B171" s="5"/>
      <c r="C171" s="5"/>
      <c r="D171" s="5"/>
      <c r="E171" s="5"/>
      <c r="F171" s="5"/>
      <c r="G171" s="5"/>
      <c r="H171" s="5"/>
      <c r="I171" s="5"/>
      <c r="J171" s="5"/>
    </row>
    <row r="172" spans="1:10">
      <c r="A172" s="5"/>
      <c r="B172" s="5"/>
      <c r="C172" s="5"/>
      <c r="D172" s="5"/>
      <c r="E172" s="5"/>
      <c r="F172" s="5"/>
      <c r="G172" s="5"/>
      <c r="H172" s="5"/>
      <c r="I172" s="5"/>
      <c r="J172" s="5"/>
    </row>
    <row r="173" spans="1:10">
      <c r="A173" s="5"/>
      <c r="B173" s="5"/>
      <c r="C173" s="5"/>
      <c r="D173" s="5"/>
      <c r="E173" s="5"/>
      <c r="F173" s="5"/>
      <c r="G173" s="5"/>
      <c r="H173" s="5"/>
      <c r="I173" s="5"/>
      <c r="J173" s="5"/>
    </row>
    <row r="174" ht="15.75"/>
    <row r="175" ht="16.5" spans="1:10">
      <c r="A175" s="48" t="s">
        <v>61</v>
      </c>
      <c r="B175" s="49">
        <v>65</v>
      </c>
      <c r="C175" s="1" t="s">
        <v>33</v>
      </c>
      <c r="D175" s="49">
        <v>205</v>
      </c>
      <c r="E175" s="35" t="s">
        <v>48</v>
      </c>
      <c r="F175" s="50">
        <f>65/205</f>
        <v>0.317073170731707</v>
      </c>
      <c r="G175" s="35" t="s">
        <v>49</v>
      </c>
      <c r="H175" s="50">
        <f>1-0.32</f>
        <v>0.68</v>
      </c>
      <c r="I175" s="1" t="s">
        <v>6</v>
      </c>
      <c r="J175" s="50">
        <f>SQRT(0.32*0.68*205)</f>
        <v>6.67892206871738</v>
      </c>
    </row>
    <row r="176" ht="15.75" spans="1:1">
      <c r="A176" s="51"/>
    </row>
    <row r="177" ht="16.5" spans="1:10">
      <c r="A177" s="48" t="s">
        <v>63</v>
      </c>
      <c r="B177" s="1"/>
      <c r="C177" s="11">
        <f>_xlfn.NORM.S.INV(1-0.005)</f>
        <v>2.5758293035489</v>
      </c>
      <c r="D177" s="52" t="s">
        <v>51</v>
      </c>
      <c r="E177" s="53"/>
      <c r="F177" s="50">
        <f>C177*SQRT((0.32*0.68)/100)</f>
        <v>0.120156294066612</v>
      </c>
      <c r="G177" s="52" t="s">
        <v>52</v>
      </c>
      <c r="H177" s="50">
        <f>0.32-F177</f>
        <v>0.199843705933388</v>
      </c>
      <c r="I177" s="60" t="s">
        <v>53</v>
      </c>
      <c r="J177" s="50">
        <f>F175+F177</f>
        <v>0.437229464798319</v>
      </c>
    </row>
    <row r="180" spans="1:10">
      <c r="A180" s="5" t="s">
        <v>64</v>
      </c>
      <c r="B180" s="5"/>
      <c r="C180" s="5"/>
      <c r="D180" s="5"/>
      <c r="E180" s="5"/>
      <c r="F180" s="5"/>
      <c r="G180" s="5"/>
      <c r="H180" s="5"/>
      <c r="I180" s="5"/>
      <c r="J180" s="5"/>
    </row>
    <row r="181" spans="1:10">
      <c r="A181" s="6"/>
      <c r="B181" s="6"/>
      <c r="C181" s="6"/>
      <c r="D181" s="6"/>
      <c r="E181" s="6"/>
      <c r="F181" s="6"/>
      <c r="G181" s="6"/>
      <c r="H181" s="6"/>
      <c r="I181" s="6"/>
      <c r="J181" s="6"/>
    </row>
    <row r="182" spans="1:10">
      <c r="A182" s="5" t="s">
        <v>65</v>
      </c>
      <c r="B182" s="5"/>
      <c r="C182" s="5"/>
      <c r="D182" s="5"/>
      <c r="E182" s="5"/>
      <c r="F182" s="5"/>
      <c r="G182" s="5"/>
      <c r="H182" s="5"/>
      <c r="I182" s="5"/>
      <c r="J182" s="6"/>
    </row>
    <row r="183" spans="1:9">
      <c r="A183" s="5"/>
      <c r="B183" s="5"/>
      <c r="C183" s="5"/>
      <c r="D183" s="5"/>
      <c r="E183" s="5"/>
      <c r="F183" s="5"/>
      <c r="G183" s="5"/>
      <c r="H183" s="5"/>
      <c r="I183" s="5"/>
    </row>
    <row r="184" ht="15.75"/>
    <row r="185" ht="16.5" spans="1:9">
      <c r="A185" s="48" t="s">
        <v>56</v>
      </c>
      <c r="B185" s="50">
        <f>5/100</f>
        <v>0.05</v>
      </c>
      <c r="C185" s="35" t="s">
        <v>48</v>
      </c>
      <c r="D185" s="50">
        <f>29/100</f>
        <v>0.29</v>
      </c>
      <c r="E185" s="35" t="s">
        <v>49</v>
      </c>
      <c r="F185" s="50">
        <f>1-0.29</f>
        <v>0.71</v>
      </c>
      <c r="G185" s="58" t="s">
        <v>66</v>
      </c>
      <c r="H185" s="25"/>
      <c r="I185" s="11">
        <f>_xlfn.NORM.S.INV(1-0.05)</f>
        <v>1.64485362695147</v>
      </c>
    </row>
    <row r="186" ht="15.75" spans="1:1">
      <c r="A186" s="51"/>
    </row>
    <row r="187" ht="15.75" spans="1:7">
      <c r="A187" s="51"/>
      <c r="B187" s="1" t="s">
        <v>33</v>
      </c>
      <c r="C187" s="59">
        <f>(I185^2*0.29*0.71)/0.05^2</f>
        <v>222.828558879298</v>
      </c>
      <c r="E187" s="5" t="s">
        <v>57</v>
      </c>
      <c r="F187" s="5"/>
      <c r="G187" s="49">
        <v>223</v>
      </c>
    </row>
    <row r="189" spans="1:10">
      <c r="A189" s="5" t="s">
        <v>67</v>
      </c>
      <c r="B189" s="5"/>
      <c r="C189" s="5"/>
      <c r="D189" s="5"/>
      <c r="E189" s="5"/>
      <c r="F189" s="5"/>
      <c r="G189" s="5"/>
      <c r="H189" s="5"/>
      <c r="I189" s="5"/>
      <c r="J189" s="5"/>
    </row>
    <row r="190" ht="15.75" spans="1:9">
      <c r="A190" s="6"/>
      <c r="B190" s="6"/>
      <c r="C190" s="6"/>
      <c r="D190" s="6"/>
      <c r="E190" s="6"/>
      <c r="F190" s="6"/>
      <c r="G190" s="6"/>
      <c r="H190" s="6"/>
      <c r="I190" s="6"/>
    </row>
    <row r="191" ht="16.5" spans="1:9">
      <c r="A191" s="48" t="s">
        <v>56</v>
      </c>
      <c r="B191" s="50">
        <v>0.05</v>
      </c>
      <c r="C191" s="35" t="s">
        <v>48</v>
      </c>
      <c r="D191" s="50">
        <v>0.5</v>
      </c>
      <c r="E191" s="35" t="s">
        <v>49</v>
      </c>
      <c r="F191" s="50">
        <v>0.5</v>
      </c>
      <c r="G191" s="58" t="s">
        <v>66</v>
      </c>
      <c r="H191" s="25"/>
      <c r="I191" s="11">
        <f>_xlfn.NORM.S.INV(1-0.05)</f>
        <v>1.64485362695147</v>
      </c>
    </row>
    <row r="192" ht="15.75" spans="1:1">
      <c r="A192" s="51"/>
    </row>
    <row r="193" ht="15.75" spans="1:7">
      <c r="A193" s="51"/>
      <c r="B193" s="1" t="s">
        <v>33</v>
      </c>
      <c r="C193" s="59">
        <f>(I191^2*0.5*0.5)/0.05^2</f>
        <v>270.554345409541</v>
      </c>
      <c r="E193" s="5" t="s">
        <v>57</v>
      </c>
      <c r="F193" s="5"/>
      <c r="G193" s="49">
        <v>271</v>
      </c>
    </row>
  </sheetData>
  <mergeCells count="78">
    <mergeCell ref="A1:C1"/>
    <mergeCell ref="A2:J2"/>
    <mergeCell ref="A6:H6"/>
    <mergeCell ref="E8:F8"/>
    <mergeCell ref="A10:B10"/>
    <mergeCell ref="F10:G10"/>
    <mergeCell ref="A12:J12"/>
    <mergeCell ref="A16:H16"/>
    <mergeCell ref="E18:F18"/>
    <mergeCell ref="A20:B20"/>
    <mergeCell ref="F20:G20"/>
    <mergeCell ref="A22:J22"/>
    <mergeCell ref="E32:F32"/>
    <mergeCell ref="A34:B34"/>
    <mergeCell ref="F34:G34"/>
    <mergeCell ref="A36:J36"/>
    <mergeCell ref="A40:D40"/>
    <mergeCell ref="A41:J41"/>
    <mergeCell ref="E49:F49"/>
    <mergeCell ref="A51:B51"/>
    <mergeCell ref="F51:G51"/>
    <mergeCell ref="A53:J53"/>
    <mergeCell ref="B61:C61"/>
    <mergeCell ref="A64:I64"/>
    <mergeCell ref="A74:I74"/>
    <mergeCell ref="D81:E81"/>
    <mergeCell ref="A83:B83"/>
    <mergeCell ref="E83:F83"/>
    <mergeCell ref="A93:I93"/>
    <mergeCell ref="D100:E100"/>
    <mergeCell ref="A102:B102"/>
    <mergeCell ref="E102:F102"/>
    <mergeCell ref="A115:I115"/>
    <mergeCell ref="D122:E122"/>
    <mergeCell ref="A124:B124"/>
    <mergeCell ref="E124:F124"/>
    <mergeCell ref="D129:E129"/>
    <mergeCell ref="A131:B131"/>
    <mergeCell ref="E131:F131"/>
    <mergeCell ref="A134:I134"/>
    <mergeCell ref="A141:B141"/>
    <mergeCell ref="D141:E141"/>
    <mergeCell ref="G151:H151"/>
    <mergeCell ref="E153:F153"/>
    <mergeCell ref="G158:H158"/>
    <mergeCell ref="E160:F160"/>
    <mergeCell ref="A168:B168"/>
    <mergeCell ref="D168:E168"/>
    <mergeCell ref="A177:B177"/>
    <mergeCell ref="D177:E177"/>
    <mergeCell ref="A180:J180"/>
    <mergeCell ref="G185:H185"/>
    <mergeCell ref="E187:F187"/>
    <mergeCell ref="A189:J189"/>
    <mergeCell ref="G191:H191"/>
    <mergeCell ref="E193:F193"/>
    <mergeCell ref="A37:J38"/>
    <mergeCell ref="A27:J30"/>
    <mergeCell ref="A23:J24"/>
    <mergeCell ref="A58:J59"/>
    <mergeCell ref="A54:J55"/>
    <mergeCell ref="A3:J4"/>
    <mergeCell ref="A13:J14"/>
    <mergeCell ref="A44:K47"/>
    <mergeCell ref="A126:I127"/>
    <mergeCell ref="A104:I105"/>
    <mergeCell ref="A119:I120"/>
    <mergeCell ref="A97:I98"/>
    <mergeCell ref="A147:J149"/>
    <mergeCell ref="A182:I183"/>
    <mergeCell ref="A171:J173"/>
    <mergeCell ref="A155:J156"/>
    <mergeCell ref="A162:J164"/>
    <mergeCell ref="A135:J137"/>
    <mergeCell ref="A144:J145"/>
    <mergeCell ref="A78:J79"/>
    <mergeCell ref="A65:I68"/>
    <mergeCell ref="A86:I89"/>
  </mergeCells>
  <pageMargins left="0.25" right="0.25" top="0.75" bottom="0.75" header="0.3" footer="0.3"/>
  <pageSetup paperSize="1" orientation="portrait"/>
  <headerFooter>
    <oddHeader>&amp;LMATH106 - Statistics 1 &amp;C#018 S8.1 Confidence Intervals - known SD&amp;RPage &amp;P</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5"/>
  <sheetViews>
    <sheetView topLeftCell="A22" workbookViewId="0">
      <selection activeCell="A37" sqref="A37"/>
    </sheetView>
  </sheetViews>
  <sheetFormatPr defaultColWidth="9" defaultRowHeight="15"/>
  <cols>
    <col min="1" max="1" width="28.7142857142857" customWidth="1"/>
    <col min="2" max="2" width="15.4285714285714" customWidth="1"/>
    <col min="3" max="4" width="28.7142857142857" customWidth="1"/>
    <col min="5" max="5" width="15.8571428571429" customWidth="1"/>
    <col min="6" max="6" width="10.5714285714286" customWidth="1"/>
    <col min="7" max="7" width="15.1428571428571" customWidth="1"/>
    <col min="8" max="8" width="14.8571428571429" customWidth="1"/>
    <col min="11" max="11" width="15.1428571428571" customWidth="1"/>
    <col min="12" max="12" width="11.8571428571429" customWidth="1"/>
    <col min="15" max="15" width="15.1428571428571" customWidth="1"/>
  </cols>
  <sheetData>
    <row r="1" spans="1:7">
      <c r="A1" t="s">
        <v>68</v>
      </c>
      <c r="D1" t="s">
        <v>69</v>
      </c>
      <c r="G1" t="s">
        <v>70</v>
      </c>
    </row>
    <row r="2" spans="1:12">
      <c r="A2" s="1" t="s">
        <v>5</v>
      </c>
      <c r="B2" s="1">
        <v>7.2</v>
      </c>
      <c r="D2" s="1" t="s">
        <v>5</v>
      </c>
      <c r="E2" s="1">
        <v>5000</v>
      </c>
      <c r="G2" s="1" t="s">
        <v>5</v>
      </c>
      <c r="H2" s="1">
        <v>6.88</v>
      </c>
      <c r="K2" s="1"/>
      <c r="L2" s="1"/>
    </row>
    <row r="3" spans="1:12">
      <c r="A3" s="1" t="s">
        <v>71</v>
      </c>
      <c r="B3" s="1">
        <v>2.1</v>
      </c>
      <c r="D3" s="1" t="s">
        <v>71</v>
      </c>
      <c r="E3" s="1">
        <v>900</v>
      </c>
      <c r="G3" s="1" t="s">
        <v>71</v>
      </c>
      <c r="H3" s="1">
        <v>1.92</v>
      </c>
      <c r="K3" s="1"/>
      <c r="L3" s="1"/>
    </row>
    <row r="4" spans="1:12">
      <c r="A4" s="1" t="s">
        <v>32</v>
      </c>
      <c r="B4" s="1">
        <v>0.29698484809835</v>
      </c>
      <c r="D4" s="1" t="s">
        <v>32</v>
      </c>
      <c r="E4" s="1">
        <v>44.1792624306434</v>
      </c>
      <c r="G4" s="1" t="s">
        <v>32</v>
      </c>
      <c r="H4" s="1">
        <v>0.303578655376164</v>
      </c>
      <c r="K4" s="1"/>
      <c r="L4" s="1"/>
    </row>
    <row r="5" spans="1:12">
      <c r="A5" s="1" t="s">
        <v>72</v>
      </c>
      <c r="B5" s="1">
        <v>1.96</v>
      </c>
      <c r="D5" s="1" t="s">
        <v>72</v>
      </c>
      <c r="E5" s="1">
        <v>1.96</v>
      </c>
      <c r="G5" s="1" t="s">
        <v>73</v>
      </c>
      <c r="H5" s="1">
        <v>1.645</v>
      </c>
      <c r="K5" s="1"/>
      <c r="L5" s="1"/>
    </row>
    <row r="6" spans="1:12">
      <c r="A6" s="1" t="s">
        <v>51</v>
      </c>
      <c r="B6" s="1">
        <v>0.58</v>
      </c>
      <c r="D6" s="1" t="s">
        <v>51</v>
      </c>
      <c r="E6" s="1">
        <v>86.5913496</v>
      </c>
      <c r="G6" t="s">
        <v>51</v>
      </c>
      <c r="H6" s="1">
        <v>0.5</v>
      </c>
      <c r="L6" s="1"/>
    </row>
    <row r="7" spans="1:11">
      <c r="A7" s="1" t="s">
        <v>52</v>
      </c>
      <c r="B7" t="s">
        <v>74</v>
      </c>
      <c r="D7" s="1" t="s">
        <v>52</v>
      </c>
      <c r="E7" t="s">
        <v>75</v>
      </c>
      <c r="G7" s="1" t="s">
        <v>52</v>
      </c>
      <c r="H7" t="s">
        <v>76</v>
      </c>
      <c r="K7" s="1"/>
    </row>
    <row r="9" spans="1:8">
      <c r="A9" t="s">
        <v>77</v>
      </c>
      <c r="G9" s="2" t="s">
        <v>78</v>
      </c>
      <c r="H9" s="3">
        <v>110.838784</v>
      </c>
    </row>
    <row r="10" spans="1:2">
      <c r="A10" s="1" t="s">
        <v>5</v>
      </c>
      <c r="B10" s="1">
        <v>7.2</v>
      </c>
    </row>
    <row r="11" spans="1:2">
      <c r="A11" s="1" t="s">
        <v>71</v>
      </c>
      <c r="B11" s="1">
        <v>2.1</v>
      </c>
    </row>
    <row r="12" spans="1:2">
      <c r="A12" s="1" t="s">
        <v>32</v>
      </c>
      <c r="B12" s="1">
        <v>0.29698484809835</v>
      </c>
    </row>
    <row r="13" spans="1:2">
      <c r="A13" s="1" t="s">
        <v>72</v>
      </c>
      <c r="B13" s="1">
        <v>2.576</v>
      </c>
    </row>
    <row r="14" spans="1:2">
      <c r="A14" s="1" t="s">
        <v>51</v>
      </c>
      <c r="B14">
        <v>0.765</v>
      </c>
    </row>
    <row r="15" spans="1:2">
      <c r="A15" s="1" t="s">
        <v>79</v>
      </c>
      <c r="B15" t="s">
        <v>80</v>
      </c>
    </row>
    <row r="17" spans="1:7">
      <c r="A17" t="s">
        <v>81</v>
      </c>
      <c r="D17" t="s">
        <v>82</v>
      </c>
      <c r="G17" t="s">
        <v>83</v>
      </c>
    </row>
    <row r="18" spans="1:8">
      <c r="A18" s="1" t="s">
        <v>84</v>
      </c>
      <c r="B18">
        <v>83.75</v>
      </c>
      <c r="D18" s="1" t="s">
        <v>84</v>
      </c>
      <c r="E18">
        <v>106.89</v>
      </c>
      <c r="G18" s="1" t="s">
        <v>84</v>
      </c>
      <c r="H18">
        <v>64.16</v>
      </c>
    </row>
    <row r="19" spans="1:8">
      <c r="A19" s="1" t="s">
        <v>85</v>
      </c>
      <c r="B19">
        <v>28.97</v>
      </c>
      <c r="D19" s="1" t="s">
        <v>85</v>
      </c>
      <c r="E19">
        <v>29.44</v>
      </c>
      <c r="G19" s="1" t="s">
        <v>85</v>
      </c>
      <c r="H19">
        <v>27.86</v>
      </c>
    </row>
    <row r="20" spans="1:8">
      <c r="A20" s="1" t="s">
        <v>36</v>
      </c>
      <c r="B20">
        <v>19</v>
      </c>
      <c r="D20" s="1" t="s">
        <v>36</v>
      </c>
      <c r="E20">
        <v>8</v>
      </c>
      <c r="G20" s="1" t="s">
        <v>36</v>
      </c>
      <c r="H20">
        <v>45</v>
      </c>
    </row>
    <row r="21" spans="1:8">
      <c r="A21" s="1" t="s">
        <v>86</v>
      </c>
      <c r="B21">
        <v>1.729</v>
      </c>
      <c r="D21" s="1" t="s">
        <v>86</v>
      </c>
      <c r="E21">
        <v>1.86</v>
      </c>
      <c r="G21" s="1" t="s">
        <v>86</v>
      </c>
      <c r="H21">
        <v>1.301</v>
      </c>
    </row>
    <row r="22" ht="14.45" customHeight="1" spans="1:9">
      <c r="A22" s="4" t="s">
        <v>8</v>
      </c>
      <c r="B22" s="4">
        <v>11.2</v>
      </c>
      <c r="C22" s="4"/>
      <c r="D22" s="4" t="s">
        <v>87</v>
      </c>
      <c r="E22" s="4">
        <v>18.25</v>
      </c>
      <c r="F22" s="5"/>
      <c r="G22" s="4" t="s">
        <v>8</v>
      </c>
      <c r="H22" s="4">
        <v>5.34</v>
      </c>
      <c r="I22" s="5"/>
    </row>
    <row r="23" ht="14.45" customHeight="1" spans="1:9">
      <c r="A23" s="4" t="s">
        <v>88</v>
      </c>
      <c r="B23" s="4" t="s">
        <v>89</v>
      </c>
      <c r="C23" s="6"/>
      <c r="D23" s="4" t="s">
        <v>88</v>
      </c>
      <c r="E23" s="4" t="s">
        <v>90</v>
      </c>
      <c r="F23" s="5"/>
      <c r="G23" s="4" t="s">
        <v>88</v>
      </c>
      <c r="H23" s="4" t="s">
        <v>91</v>
      </c>
      <c r="I23" s="5"/>
    </row>
    <row r="25" spans="7:8">
      <c r="G25" s="1" t="s">
        <v>84</v>
      </c>
      <c r="H25">
        <v>64.16</v>
      </c>
    </row>
    <row r="26" spans="7:8">
      <c r="G26" s="1" t="s">
        <v>85</v>
      </c>
      <c r="H26">
        <v>27.86</v>
      </c>
    </row>
    <row r="27" spans="7:8">
      <c r="G27" s="1" t="s">
        <v>36</v>
      </c>
      <c r="H27">
        <v>45</v>
      </c>
    </row>
    <row r="28" spans="7:8">
      <c r="G28" s="1" t="s">
        <v>86</v>
      </c>
      <c r="H28">
        <v>2.014</v>
      </c>
    </row>
    <row r="29" ht="14.45" customHeight="1" spans="7:9">
      <c r="G29" s="5" t="s">
        <v>87</v>
      </c>
      <c r="H29" s="4">
        <v>8.27</v>
      </c>
      <c r="I29" s="5"/>
    </row>
    <row r="30" ht="14.45" customHeight="1" spans="7:9">
      <c r="G30" s="4" t="s">
        <v>88</v>
      </c>
      <c r="H30" s="4" t="s">
        <v>92</v>
      </c>
      <c r="I30" s="5"/>
    </row>
    <row r="32" spans="1:6">
      <c r="A32" t="s">
        <v>93</v>
      </c>
      <c r="C32" t="s">
        <v>94</v>
      </c>
      <c r="D32" t="s">
        <v>95</v>
      </c>
      <c r="F32" t="s">
        <v>96</v>
      </c>
    </row>
    <row r="33" spans="1:12">
      <c r="A33" t="s">
        <v>97</v>
      </c>
      <c r="C33" s="2" t="s">
        <v>98</v>
      </c>
      <c r="D33" t="s">
        <v>99</v>
      </c>
      <c r="F33" s="2" t="s">
        <v>100</v>
      </c>
      <c r="L33" s="2"/>
    </row>
    <row r="34" spans="1:6">
      <c r="A34" t="s">
        <v>101</v>
      </c>
      <c r="C34" t="s">
        <v>102</v>
      </c>
      <c r="D34" t="s">
        <v>103</v>
      </c>
      <c r="F34" t="s">
        <v>104</v>
      </c>
    </row>
    <row r="35" spans="1:6">
      <c r="A35" t="s">
        <v>105</v>
      </c>
      <c r="C35" t="s">
        <v>106</v>
      </c>
      <c r="D35" t="s">
        <v>107</v>
      </c>
      <c r="F35" t="s">
        <v>108</v>
      </c>
    </row>
    <row r="36" spans="1:6">
      <c r="A36" t="s">
        <v>109</v>
      </c>
      <c r="C36" t="s">
        <v>109</v>
      </c>
      <c r="D36" t="s">
        <v>110</v>
      </c>
      <c r="F36" t="s">
        <v>111</v>
      </c>
    </row>
    <row r="37" ht="14.45" customHeight="1" spans="1:10">
      <c r="A37" s="6" t="s">
        <v>112</v>
      </c>
      <c r="B37" s="6"/>
      <c r="C37" t="s">
        <v>113</v>
      </c>
      <c r="D37" t="s">
        <v>114</v>
      </c>
      <c r="F37" t="s">
        <v>115</v>
      </c>
      <c r="H37" s="6"/>
      <c r="I37" s="6"/>
      <c r="J37" s="6"/>
    </row>
    <row r="38" spans="1:13">
      <c r="A38" t="s">
        <v>116</v>
      </c>
      <c r="B38" s="7"/>
      <c r="C38" t="s">
        <v>117</v>
      </c>
      <c r="D38" s="6" t="s">
        <v>118</v>
      </c>
      <c r="E38" s="6"/>
      <c r="F38" s="2" t="s">
        <v>119</v>
      </c>
      <c r="G38" s="2"/>
      <c r="I38" s="7"/>
      <c r="J38" s="7"/>
      <c r="K38" s="7"/>
      <c r="L38" s="2"/>
      <c r="M38" s="2"/>
    </row>
    <row r="39" spans="4:5">
      <c r="D39" t="s">
        <v>120</v>
      </c>
      <c r="E39" s="7"/>
    </row>
    <row r="40" spans="3:6">
      <c r="C40" t="s">
        <v>121</v>
      </c>
      <c r="F40" t="s">
        <v>122</v>
      </c>
    </row>
    <row r="41" spans="3:12">
      <c r="C41" s="2" t="s">
        <v>98</v>
      </c>
      <c r="F41" s="2" t="s">
        <v>100</v>
      </c>
      <c r="L41" s="2"/>
    </row>
    <row r="42" spans="3:6">
      <c r="C42" t="s">
        <v>102</v>
      </c>
      <c r="F42" t="s">
        <v>102</v>
      </c>
    </row>
    <row r="43" spans="3:6">
      <c r="C43" t="s">
        <v>106</v>
      </c>
      <c r="F43" t="s">
        <v>106</v>
      </c>
    </row>
    <row r="44" spans="3:6">
      <c r="C44" t="s">
        <v>123</v>
      </c>
      <c r="F44" t="s">
        <v>111</v>
      </c>
    </row>
    <row r="45" spans="1:6">
      <c r="A45" s="6"/>
      <c r="B45" s="6"/>
      <c r="C45" t="s">
        <v>124</v>
      </c>
      <c r="F45" t="s">
        <v>125</v>
      </c>
    </row>
    <row r="46" spans="2:13">
      <c r="B46" s="7"/>
      <c r="C46" t="s">
        <v>126</v>
      </c>
      <c r="F46" s="2" t="s">
        <v>127</v>
      </c>
      <c r="G46" s="2"/>
      <c r="L46" s="2"/>
      <c r="M46" s="2"/>
    </row>
    <row r="47" spans="4:6">
      <c r="D47" s="6"/>
      <c r="E47" s="6"/>
      <c r="F47" s="6"/>
    </row>
    <row r="48" spans="3:7">
      <c r="C48" t="s">
        <v>128</v>
      </c>
      <c r="E48" s="7"/>
      <c r="F48" s="7"/>
      <c r="G48" s="7"/>
    </row>
    <row r="49" spans="3:3">
      <c r="C49" t="s">
        <v>129</v>
      </c>
    </row>
    <row r="50" spans="3:3">
      <c r="C50" t="s">
        <v>130</v>
      </c>
    </row>
    <row r="51" spans="3:3">
      <c r="C51" t="s">
        <v>131</v>
      </c>
    </row>
    <row r="52" spans="3:3">
      <c r="C52" t="s">
        <v>132</v>
      </c>
    </row>
    <row r="53" spans="3:3">
      <c r="C53" t="s">
        <v>109</v>
      </c>
    </row>
    <row r="54" ht="14.45" customHeight="1" spans="3:7">
      <c r="C54" s="6" t="s">
        <v>133</v>
      </c>
      <c r="F54" s="6"/>
      <c r="G54" s="6"/>
    </row>
    <row r="55" spans="3:7">
      <c r="C55" t="s">
        <v>134</v>
      </c>
      <c r="F55" s="7"/>
      <c r="G55" s="7"/>
    </row>
  </sheetData>
  <mergeCells count="4">
    <mergeCell ref="F38:G38"/>
    <mergeCell ref="L38:M38"/>
    <mergeCell ref="F46:G46"/>
    <mergeCell ref="L46:M46"/>
  </mergeCells>
  <pageMargins left="0.7" right="0.7" top="0.75" bottom="0.75" header="0.3" footer="0.3"/>
  <pageSetup paperSize="1" orientation="portrait" horizontalDpi="1200" verticalDpi="12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Ch 8 Problems</vt:lpstr>
      <vt:lpstr>Ch 8-Answers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kamurua</dc:creator>
  <cp:lastModifiedBy>HomePC</cp:lastModifiedBy>
  <dcterms:created xsi:type="dcterms:W3CDTF">2015-06-05T18:17:00Z</dcterms:created>
  <cp:lastPrinted>2020-11-17T14:58:00Z</cp:lastPrinted>
  <dcterms:modified xsi:type="dcterms:W3CDTF">2025-07-05T12:37:47Z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1621588969C242FC9751E8D344DC2D43_13</vt:lpwstr>
  </property>
  <property fmtid="{D5CDD505-2E9C-101B-9397-08002B2CF9AE}" pid="3" name="KSOProductBuildVer">
    <vt:lpwstr>1033-12.2.0.21546</vt:lpwstr>
  </property>
</Properties>
</file>