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A66C4E88FB0D17/Documentos/"/>
    </mc:Choice>
  </mc:AlternateContent>
  <xr:revisionPtr revIDLastSave="348" documentId="8_{FDE5CBCE-8AF8-41F9-BF5D-FC43121CB0A6}" xr6:coauthVersionLast="47" xr6:coauthVersionMax="47" xr10:uidLastSave="{B44892F6-E375-4FA8-AF39-0AC77E441CD6}"/>
  <bookViews>
    <workbookView minimized="1" xWindow="1125" yWindow="1125" windowWidth="21600" windowHeight="11295" xr2:uid="{ACC24777-1EF7-4777-BC9E-05463E1B662D}"/>
  </bookViews>
  <sheets>
    <sheet name="Nómina" sheetId="1" r:id="rId1"/>
    <sheet name="Adiccion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3" i="1"/>
  <c r="M14" i="1"/>
  <c r="M15" i="1"/>
  <c r="M16" i="1"/>
  <c r="M19" i="1"/>
  <c r="M20" i="1"/>
  <c r="M21" i="1"/>
  <c r="M22" i="1"/>
  <c r="G8" i="1"/>
  <c r="Q8" i="1" s="1"/>
  <c r="P8" i="1" s="1"/>
  <c r="G9" i="1"/>
  <c r="G10" i="1"/>
  <c r="G13" i="1"/>
  <c r="Q13" i="1" s="1"/>
  <c r="P13" i="1" s="1"/>
  <c r="G14" i="1"/>
  <c r="G15" i="1"/>
  <c r="Q15" i="1" s="1"/>
  <c r="P15" i="1" s="1"/>
  <c r="G16" i="1"/>
  <c r="Q16" i="1" s="1"/>
  <c r="P16" i="1" s="1"/>
  <c r="G19" i="1"/>
  <c r="Q19" i="1" s="1"/>
  <c r="P19" i="1" s="1"/>
  <c r="G20" i="1"/>
  <c r="G21" i="1"/>
  <c r="G22" i="1"/>
  <c r="Q9" i="1"/>
  <c r="P9" i="1" s="1"/>
  <c r="Q10" i="1"/>
  <c r="P10" i="1" s="1"/>
  <c r="Q14" i="1"/>
  <c r="P14" i="1" s="1"/>
  <c r="Q22" i="1"/>
  <c r="P22" i="1" s="1"/>
  <c r="O8" i="1"/>
  <c r="O9" i="1"/>
  <c r="O10" i="1"/>
  <c r="O13" i="1"/>
  <c r="O14" i="1"/>
  <c r="O15" i="1"/>
  <c r="O16" i="1"/>
  <c r="O19" i="1"/>
  <c r="O20" i="1"/>
  <c r="O21" i="1"/>
  <c r="O22" i="1"/>
  <c r="N8" i="1"/>
  <c r="N9" i="1"/>
  <c r="N10" i="1"/>
  <c r="N13" i="1"/>
  <c r="N14" i="1"/>
  <c r="N15" i="1"/>
  <c r="N16" i="1"/>
  <c r="N19" i="1"/>
  <c r="N20" i="1"/>
  <c r="N21" i="1"/>
  <c r="N22" i="1"/>
  <c r="N7" i="1"/>
  <c r="G7" i="1"/>
  <c r="M7" i="1" s="1"/>
  <c r="H11" i="2"/>
  <c r="G11" i="2"/>
  <c r="R8" i="1"/>
  <c r="R9" i="1"/>
  <c r="R10" i="1"/>
  <c r="R13" i="1"/>
  <c r="R14" i="1"/>
  <c r="R15" i="1"/>
  <c r="R16" i="1"/>
  <c r="R19" i="1"/>
  <c r="R20" i="1"/>
  <c r="R21" i="1"/>
  <c r="R22" i="1"/>
  <c r="R7" i="1"/>
  <c r="O7" i="1"/>
  <c r="L7" i="1"/>
  <c r="L8" i="1"/>
  <c r="L9" i="1"/>
  <c r="L10" i="1"/>
  <c r="L13" i="1"/>
  <c r="L14" i="1"/>
  <c r="L15" i="1"/>
  <c r="L16" i="1"/>
  <c r="L19" i="1"/>
  <c r="L21" i="1"/>
  <c r="L22" i="1"/>
  <c r="Q21" i="1" l="1"/>
  <c r="P21" i="1" s="1"/>
  <c r="Q20" i="1"/>
  <c r="P20" i="1" s="1"/>
  <c r="K8" i="1"/>
  <c r="Q7" i="1"/>
  <c r="P7" i="1" s="1"/>
  <c r="K7" i="1" s="1"/>
  <c r="K14" i="1"/>
  <c r="K15" i="1"/>
  <c r="K9" i="1"/>
  <c r="K13" i="1"/>
  <c r="K16" i="1"/>
  <c r="K10" i="1"/>
  <c r="K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Guerra</author>
  </authors>
  <commentList>
    <comment ref="M6" authorId="0" shapeId="0" xr:uid="{3F73A23E-1A38-42FF-97E5-032C577012CD}">
      <text>
        <r>
          <rPr>
            <b/>
            <sz val="9"/>
            <color indexed="81"/>
            <rFont val="Tahoma"/>
            <family val="2"/>
          </rPr>
          <t>Luis Guerra:</t>
        </r>
        <r>
          <rPr>
            <sz val="9"/>
            <color indexed="81"/>
            <rFont val="Tahoma"/>
            <family val="2"/>
          </rPr>
          <t xml:space="preserve">
bonificaciones + auxilio de transporte solo en caso: 
salario base &lt;= 2 SMLV</t>
        </r>
      </text>
    </comment>
    <comment ref="P6" authorId="0" shapeId="0" xr:uid="{D2D42BE4-7AE4-4D9C-9875-CE9708F44863}">
      <text>
        <r>
          <rPr>
            <b/>
            <sz val="9"/>
            <color indexed="81"/>
            <rFont val="Tahoma"/>
            <family val="2"/>
          </rPr>
          <t>Luis Guerra:</t>
        </r>
        <r>
          <rPr>
            <sz val="9"/>
            <color indexed="81"/>
            <rFont val="Tahoma"/>
            <family val="2"/>
          </rPr>
          <t xml:space="preserve">
Fondo de Solidaridad Pensional (FSP) 
para los trabajadores colombianos</t>
        </r>
      </text>
    </comment>
    <comment ref="Q6" authorId="0" shapeId="0" xr:uid="{0D6D5E46-2C5C-4CFB-BE45-37646A23583C}">
      <text>
        <r>
          <rPr>
            <b/>
            <sz val="9"/>
            <color indexed="81"/>
            <rFont val="Tahoma"/>
            <family val="2"/>
          </rPr>
          <t>Luis Guerra:</t>
        </r>
        <r>
          <rPr>
            <sz val="9"/>
            <color indexed="81"/>
            <rFont val="Tahoma"/>
            <family val="2"/>
          </rPr>
          <t xml:space="preserve">
salario base + bonificaciones + horas extras
No se tiene en cuenta 
el auxilio de transporte</t>
        </r>
      </text>
    </comment>
    <comment ref="D13" authorId="0" shapeId="0" xr:uid="{92F9EEBF-CAA0-43AD-870C-AADDE58073BE}">
      <text>
        <r>
          <rPr>
            <b/>
            <sz val="9"/>
            <color indexed="81"/>
            <rFont val="Tahoma"/>
            <family val="2"/>
          </rPr>
          <t>Luis Guerra:</t>
        </r>
        <r>
          <rPr>
            <sz val="9"/>
            <color indexed="81"/>
            <rFont val="Tahoma"/>
            <family val="2"/>
          </rPr>
          <t xml:space="preserve">
Salario base extremadamente alto.
</t>
        </r>
      </text>
    </comment>
    <comment ref="E14" authorId="0" shapeId="0" xr:uid="{27891731-34D0-43DF-A8EB-190CE7BA3E26}">
      <text>
        <r>
          <rPr>
            <b/>
            <sz val="9"/>
            <color indexed="81"/>
            <rFont val="Tahoma"/>
            <family val="2"/>
          </rPr>
          <t>Luis Guerra:</t>
        </r>
        <r>
          <rPr>
            <sz val="9"/>
            <color indexed="81"/>
            <rFont val="Tahoma"/>
            <family val="2"/>
          </rPr>
          <t xml:space="preserve">
30 horas extras en un mes (límite legal).
</t>
        </r>
      </text>
    </comment>
    <comment ref="I15" authorId="0" shapeId="0" xr:uid="{0FCDE7A4-F2D6-4E7A-9FC5-0142DE5B9292}">
      <text>
        <r>
          <rPr>
            <b/>
            <sz val="9"/>
            <color indexed="81"/>
            <rFont val="Tahoma"/>
            <family val="2"/>
          </rPr>
          <t>Luis Guerra:</t>
        </r>
        <r>
          <rPr>
            <sz val="9"/>
            <color indexed="81"/>
            <rFont val="Tahoma"/>
            <family val="2"/>
          </rPr>
          <t xml:space="preserve">
Préstamo con 60 cuotas (plazo extenso).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tc={8CEB451D-CE14-469B-ACD3-0E2DAA3469EB}</author>
  </authors>
  <commentList>
    <comment ref="J5" authorId="0" shapeId="0" xr:uid="{8CEB451D-CE14-469B-ACD3-0E2DAA3469E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Salario mínimo legal vigente en 2025</t>
      </text>
    </comment>
  </commentList>
</comments>
</file>

<file path=xl/sharedStrings.xml><?xml version="1.0" encoding="utf-8"?>
<sst xmlns="http://schemas.openxmlformats.org/spreadsheetml/2006/main" count="79" uniqueCount="55">
  <si>
    <t>Entradas</t>
  </si>
  <si>
    <t>Salidas</t>
  </si>
  <si>
    <t>Casos Normales</t>
  </si>
  <si>
    <t>Salario base</t>
  </si>
  <si>
    <t>Recibo de pago</t>
  </si>
  <si>
    <t>Reporte de bonificaciones</t>
  </si>
  <si>
    <t>Caso Normal 1</t>
  </si>
  <si>
    <t>Caso Normal 2</t>
  </si>
  <si>
    <t>Caso Normal 3</t>
  </si>
  <si>
    <t>Caso Normal 4</t>
  </si>
  <si>
    <t xml:space="preserve">Casos extraordinarios </t>
  </si>
  <si>
    <t>Caso extraordinario 1</t>
  </si>
  <si>
    <t>Caso extraordinario 2</t>
  </si>
  <si>
    <t>Caso extraordinario 3</t>
  </si>
  <si>
    <t>Caso extraordinario 4</t>
  </si>
  <si>
    <t>Casos de Error</t>
  </si>
  <si>
    <t>Caso de Error 1</t>
  </si>
  <si>
    <t>Caso de Error 2</t>
  </si>
  <si>
    <t>Caso de Error 3</t>
  </si>
  <si>
    <t>Caso de Error 4</t>
  </si>
  <si>
    <t xml:space="preserve">   </t>
  </si>
  <si>
    <t>Horas extras</t>
  </si>
  <si>
    <t>Bonificaciones</t>
  </si>
  <si>
    <t>Deducciones</t>
  </si>
  <si>
    <t>Devengados</t>
  </si>
  <si>
    <t>Préstamos</t>
  </si>
  <si>
    <t>Tipo de hora extra</t>
  </si>
  <si>
    <t>Tipo de horas extras</t>
  </si>
  <si>
    <t>Diurnas</t>
  </si>
  <si>
    <t>Nocturnas</t>
  </si>
  <si>
    <t>Festivas</t>
  </si>
  <si>
    <t>Numero de cuotas</t>
  </si>
  <si>
    <t>Festibas</t>
  </si>
  <si>
    <t>#ERROR: Tipo de hora extra inválido  (Diurna/Nocturna/Festiva)</t>
  </si>
  <si>
    <t>Reporte de horas extras</t>
  </si>
  <si>
    <t>#ERROR: "Salario base negativo (Art. 127 CST)"</t>
  </si>
  <si>
    <t>#ERROR:  Horas extras negativas</t>
  </si>
  <si>
    <t>Impuestos</t>
  </si>
  <si>
    <t>Salud</t>
  </si>
  <si>
    <t>Pension</t>
  </si>
  <si>
    <t>Auxilio de transporte</t>
  </si>
  <si>
    <t>Deducción - Préstamo</t>
  </si>
  <si>
    <t>Deducciones - Salud, Pension</t>
  </si>
  <si>
    <t>SMLV</t>
  </si>
  <si>
    <t>Cargo</t>
  </si>
  <si>
    <t>Bonificacion</t>
  </si>
  <si>
    <t>Empleado nuevo</t>
  </si>
  <si>
    <t>Empleado antiguo</t>
  </si>
  <si>
    <t>Administrador</t>
  </si>
  <si>
    <t>Valor UVT</t>
  </si>
  <si>
    <t>Límite inferior   (4 UVT)</t>
  </si>
  <si>
    <t xml:space="preserve">Límite superior (16 UVT)	</t>
  </si>
  <si>
    <t>FPS</t>
  </si>
  <si>
    <t>Salario bruto</t>
  </si>
  <si>
    <t>Tasa de interes (Anual)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</si>
</sst>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XDR&quot;* #,##0.00_-;\-&quot;XDR&quot;* #,##0.00_-;_-&quot;XDR&quot;* &quot;-&quot;??_-;_-@_-"/>
    <numFmt numFmtId="164" formatCode="_-[$$-409]* #,##0.00_ ;_-[$$-409]* \-#,##0.00\ ;_-[$$-409]* &quot;-&quot;??_ ;_-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4ECE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5050"/>
        <bgColor rgb="FFFF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8" borderId="0" xfId="0" applyFont="1" applyFill="1" applyAlignment="1">
      <alignment vertical="center" wrapText="1"/>
    </xf>
    <xf numFmtId="0" fontId="2" fillId="10" borderId="0" xfId="0" applyFont="1" applyFill="1" applyAlignment="1">
      <alignment vertical="center" wrapText="1"/>
    </xf>
    <xf numFmtId="9" fontId="4" fillId="9" borderId="0" xfId="0" applyNumberFormat="1" applyFont="1" applyFill="1" applyAlignment="1">
      <alignment wrapText="1"/>
    </xf>
    <xf numFmtId="0" fontId="3" fillId="13" borderId="0" xfId="0" applyFont="1" applyFill="1" applyAlignment="1">
      <alignment vertical="center" wrapText="1"/>
    </xf>
    <xf numFmtId="164" fontId="4" fillId="1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4" fillId="9" borderId="0" xfId="0" applyNumberFormat="1" applyFont="1" applyFill="1" applyAlignment="1">
      <alignment wrapText="1"/>
    </xf>
    <xf numFmtId="164" fontId="4" fillId="12" borderId="0" xfId="1" applyNumberFormat="1" applyFont="1" applyFill="1" applyBorder="1" applyAlignment="1">
      <alignment vertical="center" wrapText="1"/>
    </xf>
    <xf numFmtId="0" fontId="4" fillId="0" borderId="0" xfId="0" applyFont="1" applyAlignment="1">
      <alignment horizontal="right" wrapText="1"/>
    </xf>
    <xf numFmtId="0" fontId="4" fillId="12" borderId="0" xfId="0" applyFont="1" applyFill="1" applyAlignment="1">
      <alignment horizontal="right" wrapText="1"/>
    </xf>
    <xf numFmtId="0" fontId="4" fillId="9" borderId="0" xfId="0" applyFont="1" applyFill="1" applyAlignment="1">
      <alignment wrapText="1"/>
    </xf>
    <xf numFmtId="164" fontId="4" fillId="9" borderId="0" xfId="0" applyNumberFormat="1" applyFont="1" applyFill="1" applyAlignment="1">
      <alignment vertical="center" wrapText="1"/>
    </xf>
    <xf numFmtId="0" fontId="4" fillId="11" borderId="0" xfId="1" applyNumberFormat="1" applyFont="1" applyFill="1" applyBorder="1" applyAlignment="1">
      <alignment vertical="center" wrapText="1"/>
    </xf>
    <xf numFmtId="0" fontId="4" fillId="12" borderId="0" xfId="0" applyFont="1" applyFill="1" applyAlignment="1">
      <alignment horizontal="right" vertical="center" wrapText="1"/>
    </xf>
    <xf numFmtId="0" fontId="4" fillId="9" borderId="0" xfId="1" applyNumberFormat="1" applyFont="1" applyFill="1" applyBorder="1" applyAlignment="1">
      <alignment vertical="center" wrapText="1"/>
    </xf>
    <xf numFmtId="164" fontId="4" fillId="14" borderId="0" xfId="0" applyNumberFormat="1" applyFont="1" applyFill="1" applyAlignment="1">
      <alignment vertical="center" wrapText="1"/>
    </xf>
    <xf numFmtId="0" fontId="4" fillId="14" borderId="0" xfId="0" applyFont="1" applyFill="1" applyAlignment="1">
      <alignment horizontal="right" vertical="center" wrapText="1"/>
    </xf>
    <xf numFmtId="164" fontId="4" fillId="8" borderId="0" xfId="0" applyNumberFormat="1" applyFont="1" applyFill="1" applyAlignment="1">
      <alignment horizontal="center" wrapText="1"/>
    </xf>
    <xf numFmtId="0" fontId="4" fillId="8" borderId="0" xfId="0" applyFont="1" applyFill="1" applyAlignment="1">
      <alignment horizontal="center" wrapText="1"/>
    </xf>
    <xf numFmtId="0" fontId="4" fillId="8" borderId="0" xfId="0" applyFont="1" applyFill="1" applyAlignment="1">
      <alignment horizontal="right" wrapText="1"/>
    </xf>
    <xf numFmtId="164" fontId="4" fillId="8" borderId="0" xfId="0" applyNumberFormat="1" applyFont="1" applyFill="1" applyAlignment="1">
      <alignment wrapText="1"/>
    </xf>
    <xf numFmtId="164" fontId="4" fillId="15" borderId="0" xfId="1" applyNumberFormat="1" applyFont="1" applyFill="1" applyBorder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9" fontId="4" fillId="9" borderId="0" xfId="0" applyNumberFormat="1" applyFont="1" applyFill="1" applyAlignment="1">
      <alignment vertical="center" wrapText="1"/>
    </xf>
    <xf numFmtId="0" fontId="4" fillId="8" borderId="0" xfId="0" applyFont="1" applyFill="1" applyAlignment="1">
      <alignment wrapText="1"/>
    </xf>
    <xf numFmtId="0" fontId="0" fillId="6" borderId="1" xfId="0" applyFill="1" applyBorder="1"/>
    <xf numFmtId="9" fontId="0" fillId="6" borderId="1" xfId="0" applyNumberFormat="1" applyFill="1" applyBorder="1"/>
    <xf numFmtId="0" fontId="2" fillId="18" borderId="1" xfId="0" applyFont="1" applyFill="1" applyBorder="1"/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vertical="center" wrapText="1"/>
    </xf>
    <xf numFmtId="0" fontId="2" fillId="16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16" borderId="1" xfId="0" applyFill="1" applyBorder="1" applyAlignment="1">
      <alignment horizontal="left" vertical="top" wrapText="1"/>
    </xf>
    <xf numFmtId="0" fontId="0" fillId="16" borderId="1" xfId="0" applyFill="1" applyBorder="1" applyAlignment="1">
      <alignment horizontal="left" vertical="center" wrapText="1"/>
    </xf>
    <xf numFmtId="0" fontId="0" fillId="8" borderId="1" xfId="0" applyFill="1" applyBorder="1"/>
    <xf numFmtId="0" fontId="2" fillId="16" borderId="1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0" fillId="9" borderId="0" xfId="0" applyFill="1" applyAlignment="1">
      <alignment vertical="center"/>
    </xf>
    <xf numFmtId="164" fontId="4" fillId="7" borderId="0" xfId="0" applyNumberFormat="1" applyFont="1" applyFill="1" applyAlignment="1">
      <alignment wrapText="1"/>
    </xf>
    <xf numFmtId="0" fontId="4" fillId="0" borderId="0" xfId="0" applyFont="1" applyAlignment="1">
      <alignment vertical="center" wrapText="1"/>
    </xf>
    <xf numFmtId="0" fontId="4" fillId="14" borderId="0" xfId="1" applyNumberFormat="1" applyFont="1" applyFill="1" applyBorder="1" applyAlignment="1">
      <alignment vertical="center" wrapText="1"/>
    </xf>
    <xf numFmtId="9" fontId="4" fillId="9" borderId="0" xfId="1" applyNumberFormat="1" applyFont="1" applyFill="1" applyBorder="1" applyAlignment="1">
      <alignment vertical="center" wrapText="1"/>
    </xf>
    <xf numFmtId="164" fontId="4" fillId="7" borderId="0" xfId="0" applyNumberFormat="1" applyFont="1" applyFill="1" applyAlignment="1">
      <alignment vertical="center" wrapText="1"/>
    </xf>
    <xf numFmtId="0" fontId="2" fillId="10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2" fillId="16" borderId="3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9" fontId="4" fillId="8" borderId="0" xfId="0" applyNumberFormat="1" applyFont="1" applyFill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5050"/>
      <color rgb="FFD4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is Guerra" id="{A1C62309-22D9-4BCE-9C58-2E7CC7B3B69B}" userId="a0a66c4e88fb0d17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5" dT="2025-02-23T23:54:19.78" personId="{A1C62309-22D9-4BCE-9C58-2E7CC7B3B69B}" id="{8CEB451D-CE14-469B-ACD3-0E2DAA3469EB}">
    <text>Salario mínimo legal vigente en 2025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11B7A-29B6-449E-A833-BFA5BF788BF0}">
  <dimension ref="B4:S25"/>
  <sheetViews>
    <sheetView showGridLines="0" tabSelected="1" topLeftCell="C3" zoomScaleNormal="100" workbookViewId="0">
      <selection activeCell="K12" sqref="K12"/>
    </sheetView>
  </sheetViews>
  <sheetFormatPr baseColWidth="10" defaultRowHeight="15" x14ac:dyDescent="0.25"/>
  <cols>
    <col min="2" max="2" width="20.140625" bestFit="1" customWidth="1"/>
    <col min="3" max="3" width="20.140625" customWidth="1"/>
    <col min="4" max="4" width="16.140625" bestFit="1" customWidth="1"/>
    <col min="5" max="5" width="10.42578125" bestFit="1" customWidth="1"/>
    <col min="6" max="6" width="14.5703125" customWidth="1"/>
    <col min="7" max="8" width="16.140625" bestFit="1" customWidth="1"/>
    <col min="9" max="10" width="16.140625" customWidth="1"/>
    <col min="11" max="11" width="16.140625" bestFit="1" customWidth="1"/>
    <col min="12" max="13" width="20" customWidth="1"/>
    <col min="14" max="14" width="15" bestFit="1" customWidth="1"/>
    <col min="15" max="18" width="15" customWidth="1"/>
    <col min="19" max="19" width="12.85546875" customWidth="1"/>
  </cols>
  <sheetData>
    <row r="4" spans="2:18" x14ac:dyDescent="0.25">
      <c r="B4" s="2" t="s">
        <v>20</v>
      </c>
      <c r="C4" s="50" t="s">
        <v>0</v>
      </c>
      <c r="D4" s="50"/>
      <c r="E4" s="50"/>
      <c r="F4" s="50"/>
      <c r="G4" s="50"/>
      <c r="H4" s="50"/>
      <c r="I4" s="50"/>
      <c r="J4" s="50"/>
      <c r="K4" s="49" t="s">
        <v>1</v>
      </c>
      <c r="L4" s="49"/>
      <c r="M4" s="49"/>
      <c r="N4" s="49"/>
      <c r="O4" s="49"/>
      <c r="P4" s="49"/>
      <c r="Q4" s="49"/>
      <c r="R4" s="49"/>
    </row>
    <row r="5" spans="2:18" x14ac:dyDescent="0.25">
      <c r="B5" s="3"/>
      <c r="C5" s="51" t="s">
        <v>24</v>
      </c>
      <c r="D5" s="51"/>
      <c r="E5" s="51"/>
      <c r="F5" s="51"/>
      <c r="G5" s="51"/>
      <c r="H5" s="52" t="s">
        <v>23</v>
      </c>
      <c r="I5" s="52"/>
      <c r="J5" s="52"/>
      <c r="K5" s="49"/>
      <c r="L5" s="49"/>
      <c r="M5" s="49"/>
      <c r="N5" s="49"/>
      <c r="O5" s="49"/>
      <c r="P5" s="49"/>
      <c r="Q5" s="49"/>
      <c r="R5" s="49"/>
    </row>
    <row r="6" spans="2:18" ht="27" x14ac:dyDescent="0.25">
      <c r="B6" s="5" t="s">
        <v>2</v>
      </c>
      <c r="C6" s="4" t="s">
        <v>44</v>
      </c>
      <c r="D6" s="4" t="s">
        <v>3</v>
      </c>
      <c r="E6" s="4" t="s">
        <v>21</v>
      </c>
      <c r="F6" s="4" t="s">
        <v>26</v>
      </c>
      <c r="G6" s="4" t="s">
        <v>22</v>
      </c>
      <c r="H6" s="4" t="s">
        <v>25</v>
      </c>
      <c r="I6" s="4" t="s">
        <v>31</v>
      </c>
      <c r="J6" s="4" t="s">
        <v>54</v>
      </c>
      <c r="K6" s="7" t="s">
        <v>4</v>
      </c>
      <c r="L6" s="4" t="s">
        <v>34</v>
      </c>
      <c r="M6" s="4" t="s">
        <v>5</v>
      </c>
      <c r="N6" s="4" t="s">
        <v>41</v>
      </c>
      <c r="O6" s="4" t="s">
        <v>42</v>
      </c>
      <c r="P6" s="4" t="s">
        <v>52</v>
      </c>
      <c r="Q6" s="4" t="s">
        <v>53</v>
      </c>
      <c r="R6" s="4" t="s">
        <v>37</v>
      </c>
    </row>
    <row r="7" spans="2:18" x14ac:dyDescent="0.25">
      <c r="B7" s="1" t="s">
        <v>6</v>
      </c>
      <c r="C7" s="1" t="s">
        <v>46</v>
      </c>
      <c r="D7" s="8">
        <v>1650000</v>
      </c>
      <c r="E7" s="12">
        <v>5</v>
      </c>
      <c r="F7" s="13" t="s">
        <v>28</v>
      </c>
      <c r="G7" s="10">
        <f>IF(C7="Empleado nuevo",50000,IF(C7="Empleado antiguo",100000,IF(C7="Administrador",150000,0)))</f>
        <v>50000</v>
      </c>
      <c r="H7" s="8">
        <v>500000</v>
      </c>
      <c r="I7" s="14">
        <v>12</v>
      </c>
      <c r="J7" s="6">
        <v>0.06</v>
      </c>
      <c r="K7" s="42">
        <f>D7+M7+L7-N7-O7-P7</f>
        <v>1741902.5083333333</v>
      </c>
      <c r="L7" s="9">
        <f>E7*(D7/240)*IF(F7="Diurnas",1.25,IF(F7="Nocturnas",1.75,IF(F7="Festivas",2.5,0)))</f>
        <v>42968.75</v>
      </c>
      <c r="M7" s="8">
        <f>IF(D7 &lt;= (Adiccionales!$J$6*2),(G7+Adiccionales!$H$6),G7)</f>
        <v>250000</v>
      </c>
      <c r="N7" s="10">
        <f>IF(I7=0,H7,(H7*(1+J7)/I7))</f>
        <v>44166.666666666664</v>
      </c>
      <c r="O7" s="8">
        <f>(D7*Adiccionales!$F$6) + (D7*Adiccionales!$G$6)</f>
        <v>132000</v>
      </c>
      <c r="P7" s="10">
        <f>IF(Q7 &lt;= Adiccionales!$G$11,
    0,
    IF(Q7 &lt;= Adiccionales!$H$11,
       (Q7 - Adiccionales!$G$11) * 0.01,
       ((Adiccionales!$H$11 - Adiccionales!$G$11) * 0.01) + ((Q7 - Adiccionales!$H$11) * 0.02)
      )
   )</f>
        <v>24899.575000000001</v>
      </c>
      <c r="Q7" s="8">
        <f>D7+G7+L7</f>
        <v>1742968.75</v>
      </c>
      <c r="R7" s="10" t="str">
        <f>ROUND(D7/Adiccionales!$I$6,2) &amp; " UVT"</f>
        <v>33.13 UVT</v>
      </c>
    </row>
    <row r="8" spans="2:18" x14ac:dyDescent="0.25">
      <c r="B8" s="1" t="s">
        <v>7</v>
      </c>
      <c r="C8" s="1" t="s">
        <v>46</v>
      </c>
      <c r="D8" s="8">
        <v>1750000</v>
      </c>
      <c r="E8" s="1">
        <v>0</v>
      </c>
      <c r="F8" s="13"/>
      <c r="G8" s="10">
        <f t="shared" ref="G8:G22" si="0">IF(C8="Empleado nuevo",50000,IF(C8="Empleado antiguo",100000,IF(C8="Administrador",150000,0)))</f>
        <v>50000</v>
      </c>
      <c r="H8" s="8">
        <v>600000</v>
      </c>
      <c r="I8" s="14">
        <v>12</v>
      </c>
      <c r="J8" s="6">
        <v>7.0000000000000007E-2</v>
      </c>
      <c r="K8" s="42">
        <f>D8+M8+L8-N8-O8-P8</f>
        <v>1780459.8</v>
      </c>
      <c r="L8" s="9">
        <f>E8*(D8/240)*IF(F8="Diurnas",1.25,IF(F8="Nocturnas",1.75,IF(F8="Festivas",2.5,0)))</f>
        <v>0</v>
      </c>
      <c r="M8" s="8">
        <f>IF(D8 &lt;= (Adiccionales!$J$6*2),(G8+Adiccionales!$H$6),G8)</f>
        <v>250000</v>
      </c>
      <c r="N8" s="10">
        <f t="shared" ref="N8:N22" si="1">IF(I8=0,H8,(H8*(1+J8)/I8))</f>
        <v>53500</v>
      </c>
      <c r="O8" s="8">
        <f>(D8*Adiccionales!$F$6) + (D8*Adiccionales!$G$6)</f>
        <v>140000</v>
      </c>
      <c r="P8" s="10">
        <f>IF(Q8 &lt;= Adiccionales!$G$11,
    0,
    IF(Q8 &lt;= Adiccionales!$H$11,
       (Q8 - Adiccionales!$G$11) * 0.01,
       ((Adiccionales!$H$11 - Adiccionales!$G$11) * 0.01) + ((Q8 - Adiccionales!$H$11) * 0.02)
      )
   )</f>
        <v>26040.2</v>
      </c>
      <c r="Q8" s="8">
        <f t="shared" ref="Q8:Q22" si="2">D8+G8+L8</f>
        <v>1800000</v>
      </c>
      <c r="R8" s="10" t="str">
        <f>ROUND(D8/Adiccionales!$I$6,2) &amp; " UVT"</f>
        <v>35.14 UVT</v>
      </c>
    </row>
    <row r="9" spans="2:18" x14ac:dyDescent="0.25">
      <c r="B9" s="1" t="s">
        <v>8</v>
      </c>
      <c r="C9" s="1" t="s">
        <v>48</v>
      </c>
      <c r="D9" s="8">
        <v>4000000</v>
      </c>
      <c r="E9" s="1">
        <v>15</v>
      </c>
      <c r="F9" s="13" t="s">
        <v>30</v>
      </c>
      <c r="G9" s="10">
        <f t="shared" si="0"/>
        <v>150000</v>
      </c>
      <c r="H9" s="8">
        <v>100000</v>
      </c>
      <c r="I9" s="14">
        <v>12</v>
      </c>
      <c r="J9" s="6">
        <v>0.06</v>
      </c>
      <c r="K9" s="42">
        <f>D9+M9+L9-N9-O9-P9</f>
        <v>4360626.4666666668</v>
      </c>
      <c r="L9" s="9">
        <f>E9*(D9/240)*IF(F9="Diurnas",1.25,IF(F9="Nocturnas",1.75,IF(F9="Festivas",2.5,0)))</f>
        <v>625000.00000000012</v>
      </c>
      <c r="M9" s="8">
        <f>IF(D9 &lt;= (Adiccionales!$J$6*2),(G9+Adiccionales!$H$6),G9)</f>
        <v>150000</v>
      </c>
      <c r="N9" s="10">
        <f t="shared" si="1"/>
        <v>8833.3333333333339</v>
      </c>
      <c r="O9" s="8">
        <f>(D9*Adiccionales!$F$6) + (D9*Adiccionales!$G$6)</f>
        <v>320000</v>
      </c>
      <c r="P9" s="10">
        <f>IF(Q9 &lt;= Adiccionales!$G$11,
    0,
    IF(Q9 &lt;= Adiccionales!$H$11,
       (Q9 - Adiccionales!$G$11) * 0.01,
       ((Adiccionales!$H$11 - Adiccionales!$G$11) * 0.01) + ((Q9 - Adiccionales!$H$11) * 0.02)
      )
   )</f>
        <v>85540.200000000012</v>
      </c>
      <c r="Q9" s="8">
        <f t="shared" si="2"/>
        <v>4775000</v>
      </c>
      <c r="R9" s="10" t="str">
        <f>ROUND(D9/Adiccionales!$I$6,2) &amp; " UVT"</f>
        <v>80.32 UVT</v>
      </c>
    </row>
    <row r="10" spans="2:18" x14ac:dyDescent="0.25">
      <c r="B10" s="1" t="s">
        <v>9</v>
      </c>
      <c r="C10" s="1" t="s">
        <v>46</v>
      </c>
      <c r="D10" s="8">
        <v>1850000</v>
      </c>
      <c r="E10" s="1">
        <v>25</v>
      </c>
      <c r="F10" s="13" t="s">
        <v>29</v>
      </c>
      <c r="G10" s="10">
        <f t="shared" si="0"/>
        <v>50000</v>
      </c>
      <c r="H10" s="8">
        <v>0</v>
      </c>
      <c r="I10" s="14">
        <v>12</v>
      </c>
      <c r="J10" s="6">
        <v>0.06</v>
      </c>
      <c r="K10" s="42">
        <f>D10+M10+L10-N10-O10-P10</f>
        <v>2254454.5916666668</v>
      </c>
      <c r="L10" s="9">
        <f>E10*(D10/240)*IF(F10="Diurnas",1.25,IF(F10="Nocturnas",1.75,IF(F10="Festivas",2.5,0)))</f>
        <v>337239.58333333331</v>
      </c>
      <c r="M10" s="8">
        <f>IF(D10 &lt;= (Adiccionales!$J$6*2),(G10+Adiccionales!$H$6),G10)</f>
        <v>250000</v>
      </c>
      <c r="N10" s="10">
        <f t="shared" si="1"/>
        <v>0</v>
      </c>
      <c r="O10" s="8">
        <f>(D10*Adiccionales!$F$6) + (D10*Adiccionales!$G$6)</f>
        <v>148000</v>
      </c>
      <c r="P10" s="10">
        <f>IF(Q10 &lt;= Adiccionales!$G$11,
    0,
    IF(Q10 &lt;= Adiccionales!$H$11,
       (Q10 - Adiccionales!$G$11) * 0.01,
       ((Adiccionales!$H$11 - Adiccionales!$G$11) * 0.01) + ((Q10 - Adiccionales!$H$11) * 0.02)
      )
   )</f>
        <v>34784.991666666669</v>
      </c>
      <c r="Q10" s="8">
        <f t="shared" si="2"/>
        <v>2237239.5833333335</v>
      </c>
      <c r="R10" s="10" t="str">
        <f>ROUND(D10/Adiccionales!$I$6,2) &amp; " UVT"</f>
        <v>37.15 UVT</v>
      </c>
    </row>
    <row r="11" spans="2:18" x14ac:dyDescent="0.25">
      <c r="B11" s="47" t="s">
        <v>10</v>
      </c>
      <c r="C11" s="28"/>
      <c r="D11" s="21"/>
      <c r="E11" s="22"/>
      <c r="F11" s="23"/>
      <c r="G11" s="24"/>
      <c r="H11" s="21"/>
      <c r="I11" s="22"/>
      <c r="J11" s="56"/>
      <c r="K11" s="24"/>
      <c r="L11" s="24"/>
      <c r="M11" s="24"/>
      <c r="N11" s="24"/>
      <c r="O11" s="24"/>
      <c r="P11" s="24"/>
      <c r="Q11" s="24"/>
      <c r="R11" s="24"/>
    </row>
    <row r="12" spans="2:18" x14ac:dyDescent="0.25">
      <c r="B12" s="47"/>
      <c r="C12" s="28"/>
      <c r="D12" s="21"/>
      <c r="E12" s="22"/>
      <c r="F12" s="23"/>
      <c r="G12" s="24"/>
      <c r="H12" s="21"/>
      <c r="I12" s="22"/>
      <c r="J12" s="56"/>
      <c r="K12" s="24"/>
      <c r="L12" s="24"/>
      <c r="M12" s="24"/>
      <c r="N12" s="24"/>
      <c r="O12" s="24"/>
      <c r="P12" s="24"/>
      <c r="Q12" s="24"/>
      <c r="R12" s="24"/>
    </row>
    <row r="13" spans="2:18" x14ac:dyDescent="0.25">
      <c r="B13" s="1" t="s">
        <v>11</v>
      </c>
      <c r="C13" s="1" t="s">
        <v>48</v>
      </c>
      <c r="D13" s="8">
        <v>50000000</v>
      </c>
      <c r="E13" s="1">
        <v>25</v>
      </c>
      <c r="F13" s="13" t="s">
        <v>30</v>
      </c>
      <c r="G13" s="10">
        <f t="shared" si="0"/>
        <v>150000</v>
      </c>
      <c r="H13" s="8">
        <v>20000000</v>
      </c>
      <c r="I13" s="14">
        <v>40</v>
      </c>
      <c r="J13" s="6">
        <v>0.06</v>
      </c>
      <c r="K13" s="42">
        <f>D13+M13+L13-N13-O13-P13</f>
        <v>57387376.466666669</v>
      </c>
      <c r="L13" s="9">
        <f>E13*(D13/240)*IF(F13="Diurnas",1.25,IF(F13="Nocturnas",1.75,IF(F13="Festivas",2.5,0)))</f>
        <v>13020833.333333336</v>
      </c>
      <c r="M13" s="8">
        <f>IF(D13 &lt;= (Adiccionales!$J$6*2),(G13+Adiccionales!$H$6),G13)</f>
        <v>150000</v>
      </c>
      <c r="N13" s="10">
        <f t="shared" si="1"/>
        <v>530000</v>
      </c>
      <c r="O13" s="8">
        <f>(D13*Adiccionales!$F$6) + (D13*Adiccionales!$G$6)</f>
        <v>4000000</v>
      </c>
      <c r="P13" s="10">
        <f>IF(Q13 &lt;= Adiccionales!$G$11,
    0,
    IF(Q13 &lt;= Adiccionales!$H$11,
       (Q13 - Adiccionales!$G$11) * 0.01,
       ((Adiccionales!$H$11 - Adiccionales!$G$11) * 0.01) + ((Q13 - Adiccionales!$H$11) * 0.02)
      )
   )</f>
        <v>1253456.8666666667</v>
      </c>
      <c r="Q13" s="8">
        <f t="shared" si="2"/>
        <v>63170833.333333336</v>
      </c>
      <c r="R13" s="10" t="str">
        <f>ROUND(D13/Adiccionales!$I$6,2) &amp; " UVT"</f>
        <v>1004.04 UVT</v>
      </c>
    </row>
    <row r="14" spans="2:18" x14ac:dyDescent="0.25">
      <c r="B14" s="1" t="s">
        <v>12</v>
      </c>
      <c r="C14" s="1" t="s">
        <v>46</v>
      </c>
      <c r="D14" s="8">
        <v>1760800</v>
      </c>
      <c r="E14" s="1">
        <v>30</v>
      </c>
      <c r="F14" s="13" t="s">
        <v>28</v>
      </c>
      <c r="G14" s="10">
        <f t="shared" si="0"/>
        <v>50000</v>
      </c>
      <c r="H14" s="8">
        <v>0</v>
      </c>
      <c r="I14" s="14">
        <v>0</v>
      </c>
      <c r="J14" s="6">
        <v>0.06</v>
      </c>
      <c r="K14" s="42">
        <f>D14+M14+L14-N14-O14-P14</f>
        <v>2113302.2999999998</v>
      </c>
      <c r="L14" s="9">
        <f>E14*(D14/240)*IF(F14="Diurnas",1.25,IF(F14="Nocturnas",1.75,IF(F14="Festivas",2.5,0)))</f>
        <v>275125</v>
      </c>
      <c r="M14" s="8">
        <f>IF(D14 &lt;= (Adiccionales!$J$6*2),(G14+Adiccionales!$H$6),G14)</f>
        <v>250000</v>
      </c>
      <c r="N14" s="10">
        <f t="shared" si="1"/>
        <v>0</v>
      </c>
      <c r="O14" s="8">
        <f>(D14*Adiccionales!$F$6) + (D14*Adiccionales!$G$6)</f>
        <v>140864</v>
      </c>
      <c r="P14" s="10">
        <f>IF(Q14 &lt;= Adiccionales!$G$11,
    0,
    IF(Q14 &lt;= Adiccionales!$H$11,
       (Q14 - Adiccionales!$G$11) * 0.01,
       ((Adiccionales!$H$11 - Adiccionales!$G$11) * 0.01) + ((Q14 - Adiccionales!$H$11) * 0.02)
      )
   )</f>
        <v>31758.7</v>
      </c>
      <c r="Q14" s="8">
        <f t="shared" si="2"/>
        <v>2085925</v>
      </c>
      <c r="R14" s="10" t="str">
        <f>ROUND(D14/Adiccionales!$I$6,2) &amp; " UVT"</f>
        <v>35.36 UVT</v>
      </c>
    </row>
    <row r="15" spans="2:18" x14ac:dyDescent="0.25">
      <c r="B15" s="1" t="s">
        <v>13</v>
      </c>
      <c r="C15" s="1" t="s">
        <v>47</v>
      </c>
      <c r="D15" s="8">
        <v>2060000</v>
      </c>
      <c r="E15" s="1">
        <v>10</v>
      </c>
      <c r="F15" s="13" t="s">
        <v>29</v>
      </c>
      <c r="G15" s="10">
        <f t="shared" si="0"/>
        <v>100000</v>
      </c>
      <c r="H15" s="8">
        <v>2000000</v>
      </c>
      <c r="I15" s="14">
        <v>60</v>
      </c>
      <c r="J15" s="6">
        <v>0.06</v>
      </c>
      <c r="K15" s="42">
        <f>D15+M15+L15-N15-O15-P15</f>
        <v>2273830.6333333333</v>
      </c>
      <c r="L15" s="9">
        <f>E15*(D15/240)*IF(F15="Diurnas",1.25,IF(F15="Nocturnas",1.75,IF(F15="Festivas",2.5,0)))</f>
        <v>150208.33333333334</v>
      </c>
      <c r="M15" s="8">
        <f>IF(D15 &lt;= (Adiccionales!$J$6*2),(G15+Adiccionales!$H$6),G15)</f>
        <v>300000</v>
      </c>
      <c r="N15" s="10">
        <f t="shared" si="1"/>
        <v>35333.333333333336</v>
      </c>
      <c r="O15" s="8">
        <f>(D15*Adiccionales!$F$6) + (D15*Adiccionales!$G$6)</f>
        <v>164800</v>
      </c>
      <c r="P15" s="10">
        <f>IF(Q15 &lt;= Adiccionales!$G$11,
    0,
    IF(Q15 &lt;= Adiccionales!$H$11,
       (Q15 - Adiccionales!$G$11) * 0.01,
       ((Adiccionales!$H$11 - Adiccionales!$G$11) * 0.01) + ((Q15 - Adiccionales!$H$11) * 0.02)
      )
   )</f>
        <v>36244.366666666669</v>
      </c>
      <c r="Q15" s="8">
        <f t="shared" si="2"/>
        <v>2310208.3333333335</v>
      </c>
      <c r="R15" s="10" t="str">
        <f>ROUND(D15/Adiccionales!$I$6,2) &amp; " UVT"</f>
        <v>41.37 UVT</v>
      </c>
    </row>
    <row r="16" spans="2:18" x14ac:dyDescent="0.25">
      <c r="B16" s="1" t="s">
        <v>14</v>
      </c>
      <c r="C16" s="1" t="s">
        <v>48</v>
      </c>
      <c r="D16" s="8">
        <v>5670500</v>
      </c>
      <c r="E16" s="1">
        <v>8</v>
      </c>
      <c r="F16" s="13" t="s">
        <v>29</v>
      </c>
      <c r="G16" s="10">
        <f t="shared" si="0"/>
        <v>150000</v>
      </c>
      <c r="H16" s="8">
        <v>4000000</v>
      </c>
      <c r="I16" s="14">
        <v>10</v>
      </c>
      <c r="J16" s="6">
        <v>0.06</v>
      </c>
      <c r="K16" s="42">
        <f>D16+M16+L16-N16-O16-P16</f>
        <v>5160573.3833333338</v>
      </c>
      <c r="L16" s="9">
        <f>E16*(D16/240)*IF(F16="Diurnas",1.25,IF(F16="Nocturnas",1.75,IF(F16="Festivas",2.5,0)))</f>
        <v>330779.16666666663</v>
      </c>
      <c r="M16" s="8">
        <f>IF(D16 &lt;= (Adiccionales!$J$6*2),(G16+Adiccionales!$H$6),G16)</f>
        <v>150000</v>
      </c>
      <c r="N16" s="10">
        <f t="shared" si="1"/>
        <v>424000</v>
      </c>
      <c r="O16" s="8">
        <f>(D16*Adiccionales!$F$6) + (D16*Adiccionales!$G$6)</f>
        <v>453640</v>
      </c>
      <c r="P16" s="10">
        <f>IF(Q16 &lt;= Adiccionales!$G$11,
    0,
    IF(Q16 &lt;= Adiccionales!$H$11,
       (Q16 - Adiccionales!$G$11) * 0.01,
       ((Adiccionales!$H$11 - Adiccionales!$G$11) * 0.01) + ((Q16 - Adiccionales!$H$11) * 0.02)
      )
   )</f>
        <v>113065.78333333334</v>
      </c>
      <c r="Q16" s="8">
        <f t="shared" si="2"/>
        <v>6151279.166666667</v>
      </c>
      <c r="R16" s="10" t="str">
        <f>ROUND(D16/Adiccionales!$I$6,2) &amp; " UVT"</f>
        <v>113.87 UVT</v>
      </c>
    </row>
    <row r="17" spans="2:19" x14ac:dyDescent="0.25">
      <c r="B17" s="48" t="s">
        <v>15</v>
      </c>
      <c r="C17" s="28"/>
      <c r="D17" s="21"/>
      <c r="E17" s="22"/>
      <c r="F17" s="23"/>
      <c r="G17" s="24"/>
      <c r="H17" s="21"/>
      <c r="I17" s="22"/>
      <c r="J17" s="22"/>
      <c r="K17" s="28"/>
      <c r="L17" s="28"/>
      <c r="M17" s="24"/>
      <c r="N17" s="24"/>
      <c r="O17" s="24"/>
      <c r="P17" s="24"/>
      <c r="Q17" s="24"/>
      <c r="R17" s="24"/>
    </row>
    <row r="18" spans="2:19" x14ac:dyDescent="0.25">
      <c r="B18" s="48"/>
      <c r="C18" s="28"/>
      <c r="D18" s="21"/>
      <c r="E18" s="22"/>
      <c r="F18" s="23"/>
      <c r="G18" s="24"/>
      <c r="H18" s="21"/>
      <c r="I18" s="22"/>
      <c r="J18" s="22"/>
      <c r="K18" s="28"/>
      <c r="L18" s="28"/>
      <c r="M18" s="24"/>
      <c r="N18" s="24"/>
      <c r="O18" s="24"/>
      <c r="P18" s="24"/>
      <c r="Q18" s="24"/>
      <c r="R18" s="24"/>
    </row>
    <row r="19" spans="2:19" ht="40.5" x14ac:dyDescent="0.25">
      <c r="B19" s="43" t="s">
        <v>16</v>
      </c>
      <c r="C19" s="43" t="s">
        <v>46</v>
      </c>
      <c r="D19" s="25">
        <v>-1000000</v>
      </c>
      <c r="E19" s="18">
        <v>15</v>
      </c>
      <c r="F19" s="17" t="s">
        <v>29</v>
      </c>
      <c r="G19" s="10">
        <f t="shared" si="0"/>
        <v>50000</v>
      </c>
      <c r="H19" s="11">
        <v>300000</v>
      </c>
      <c r="I19" s="18">
        <v>15</v>
      </c>
      <c r="J19" s="27">
        <v>0.06</v>
      </c>
      <c r="K19" s="19" t="s">
        <v>35</v>
      </c>
      <c r="L19" s="26">
        <f>E19*(D19/240)*IF(F19="Diurnas",1.25,IF(F19="Nocturnas",1.75,IF(F19="Festivas",2.5,0)))</f>
        <v>-109375.00000000001</v>
      </c>
      <c r="M19" s="8">
        <f>IF(D19 &lt;= (Adiccionales!$J$6*2),(G19+Adiccionales!$H$6),G19)</f>
        <v>250000</v>
      </c>
      <c r="N19" s="10">
        <f t="shared" si="1"/>
        <v>21200</v>
      </c>
      <c r="O19" s="8">
        <f>(D19*Adiccionales!$F$6) + (D19*Adiccionales!$G$6)</f>
        <v>-80000</v>
      </c>
      <c r="P19" s="10">
        <f>IF(Q19 &lt;= Adiccionales!$G$11,
    0,
    IF(Q19 &lt;= Adiccionales!$H$11,
       (Q19 - Adiccionales!$G$11) * 0.01,
       ((Adiccionales!$H$11 - Adiccionales!$G$11) * 0.01) + ((Q19 - Adiccionales!$H$11) * 0.02)
      )
   )</f>
        <v>0</v>
      </c>
      <c r="Q19" s="8">
        <f t="shared" si="2"/>
        <v>-1059375</v>
      </c>
      <c r="R19" s="15" t="str">
        <f>ROUND(D19/Adiccionales!$I$6,2) &amp; " UVT"</f>
        <v>-20.08 UVT</v>
      </c>
      <c r="S19" s="35"/>
    </row>
    <row r="20" spans="2:19" ht="54" x14ac:dyDescent="0.25">
      <c r="B20" s="43" t="s">
        <v>17</v>
      </c>
      <c r="C20" s="43" t="s">
        <v>46</v>
      </c>
      <c r="D20" s="11">
        <v>1650200</v>
      </c>
      <c r="E20" s="16">
        <v>5</v>
      </c>
      <c r="F20" s="20" t="s">
        <v>32</v>
      </c>
      <c r="G20" s="10">
        <f t="shared" si="0"/>
        <v>50000</v>
      </c>
      <c r="H20" s="11">
        <v>600000</v>
      </c>
      <c r="I20" s="18">
        <v>32</v>
      </c>
      <c r="J20" s="18"/>
      <c r="K20" s="19" t="s">
        <v>33</v>
      </c>
      <c r="L20" s="19" t="s">
        <v>33</v>
      </c>
      <c r="M20" s="8">
        <f>IF(D20 &lt;= (Adiccionales!$J$6*2),(G20+Adiccionales!$H$6),G20)</f>
        <v>250000</v>
      </c>
      <c r="N20" s="10">
        <f t="shared" si="1"/>
        <v>18750</v>
      </c>
      <c r="O20" s="8">
        <f>(D20*Adiccionales!$F$6) + (D20*Adiccionales!$G$6)</f>
        <v>132016</v>
      </c>
      <c r="P20" s="10" t="e">
        <f>IF(Q20 &lt;= Adiccionales!$G$11,
    0,
    IF(Q20 &lt;= Adiccionales!$H$11,
       (Q20 - Adiccionales!$G$11) * 0.01,
       ((Adiccionales!$H$11 - Adiccionales!$G$11) * 0.01) + ((Q20 - Adiccionales!$H$11) * 0.02)
      )
   )</f>
        <v>#VALUE!</v>
      </c>
      <c r="Q20" s="8" t="e">
        <f t="shared" si="2"/>
        <v>#VALUE!</v>
      </c>
      <c r="R20" s="15" t="str">
        <f>ROUND(D20/Adiccionales!$I$6,2) &amp; " UVT"</f>
        <v>33.14 UVT</v>
      </c>
      <c r="S20" s="35"/>
    </row>
    <row r="21" spans="2:19" ht="27" x14ac:dyDescent="0.25">
      <c r="B21" s="43" t="s">
        <v>18</v>
      </c>
      <c r="C21" s="43" t="s">
        <v>47</v>
      </c>
      <c r="D21" s="11">
        <v>1560300</v>
      </c>
      <c r="E21" s="44">
        <v>-10</v>
      </c>
      <c r="F21" s="17" t="s">
        <v>28</v>
      </c>
      <c r="G21" s="10">
        <f t="shared" si="0"/>
        <v>100000</v>
      </c>
      <c r="H21" s="11">
        <v>0</v>
      </c>
      <c r="I21" s="18"/>
      <c r="J21" s="45">
        <v>0.06</v>
      </c>
      <c r="K21" s="19" t="s">
        <v>36</v>
      </c>
      <c r="L21" s="26">
        <f>E21*(D21/240)*IF(F21="Diurnas",1.25,IF(F21="Nocturnas",1.75,IF(F21="Festivas",2.5,0)))</f>
        <v>-81265.625</v>
      </c>
      <c r="M21" s="8">
        <f>IF(D21 &lt;= (Adiccionales!$J$6*2),(G21+Adiccionales!$H$6),G21)</f>
        <v>300000</v>
      </c>
      <c r="N21" s="10">
        <f t="shared" si="1"/>
        <v>0</v>
      </c>
      <c r="O21" s="8">
        <f>(D21*Adiccionales!$F$6) + (D21*Adiccionales!$G$6)</f>
        <v>124824</v>
      </c>
      <c r="P21" s="10">
        <f>IF(Q21 &lt;= Adiccionales!$G$11,
    0,
    IF(Q21 &lt;= Adiccionales!$H$11,
       (Q21 - Adiccionales!$G$11) * 0.01,
       ((Adiccionales!$H$11 - Adiccionales!$G$11) * 0.01) + ((Q21 - Adiccionales!$H$11) * 0.02)
      )
   )</f>
        <v>21620.887500000001</v>
      </c>
      <c r="Q21" s="8">
        <f t="shared" si="2"/>
        <v>1579034.375</v>
      </c>
      <c r="R21" s="15" t="str">
        <f>ROUND(D21/Adiccionales!$I$6,2) &amp; " UVT"</f>
        <v>31.33 UVT</v>
      </c>
      <c r="S21" s="35"/>
    </row>
    <row r="22" spans="2:19" x14ac:dyDescent="0.25">
      <c r="B22" s="43" t="s">
        <v>19</v>
      </c>
      <c r="C22" s="43" t="s">
        <v>48</v>
      </c>
      <c r="D22" s="11">
        <v>4350000</v>
      </c>
      <c r="E22" s="18"/>
      <c r="F22" s="17"/>
      <c r="G22" s="10">
        <f t="shared" si="0"/>
        <v>150000</v>
      </c>
      <c r="H22" s="11">
        <v>0</v>
      </c>
      <c r="I22" s="16"/>
      <c r="J22" s="16"/>
      <c r="K22" s="46">
        <f>D22+G22+L22-N22</f>
        <v>4500000</v>
      </c>
      <c r="L22" s="26">
        <f>E22*(D22/240)*IF(F22="Diurnas",1.25,IF(F22="Nocturnas",1.75,IF(F22="Festivas",2.5,0)))</f>
        <v>0</v>
      </c>
      <c r="M22" s="8">
        <f>IF(D22 &lt;= (Adiccionales!$J$6*2),(G22+Adiccionales!$H$6),G22)</f>
        <v>150000</v>
      </c>
      <c r="N22" s="10">
        <f t="shared" si="1"/>
        <v>0</v>
      </c>
      <c r="O22" s="8">
        <f>(D22*Adiccionales!$F$6) + (D22*Adiccionales!$G$6)</f>
        <v>348000</v>
      </c>
      <c r="P22" s="10">
        <f>IF(Q22 &lt;= Adiccionales!$G$11,
    0,
    IF(Q22 &lt;= Adiccionales!$H$11,
       (Q22 - Adiccionales!$G$11) * 0.01,
       ((Adiccionales!$H$11 - Adiccionales!$G$11) * 0.01) + ((Q22 - Adiccionales!$H$11) * 0.02)
      )
   )</f>
        <v>80040.200000000012</v>
      </c>
      <c r="Q22" s="8">
        <f t="shared" si="2"/>
        <v>4500000</v>
      </c>
      <c r="R22" s="15" t="str">
        <f>ROUND(D22/Adiccionales!$I$6,2) &amp; " UVT"</f>
        <v>87.35 UVT</v>
      </c>
      <c r="S22" s="35"/>
    </row>
    <row r="23" spans="2:19" x14ac:dyDescent="0.25">
      <c r="B23" s="35"/>
      <c r="C23" s="35"/>
      <c r="D23" s="35"/>
      <c r="E23" s="35"/>
      <c r="F23" s="35"/>
      <c r="G23" s="41"/>
      <c r="H23" s="35"/>
      <c r="I23" s="35"/>
      <c r="J23" s="35"/>
      <c r="K23" s="35"/>
      <c r="L23" s="35"/>
      <c r="M23" s="35"/>
      <c r="N23" s="41"/>
      <c r="O23" s="15"/>
      <c r="P23" s="15"/>
      <c r="Q23" s="15"/>
      <c r="R23" s="15"/>
      <c r="S23" s="35"/>
    </row>
    <row r="24" spans="2:19" x14ac:dyDescent="0.25"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41"/>
      <c r="O24" s="41"/>
      <c r="P24" s="41"/>
      <c r="Q24" s="41"/>
      <c r="R24" s="41"/>
      <c r="S24" s="35"/>
    </row>
    <row r="25" spans="2:19" x14ac:dyDescent="0.25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</row>
  </sheetData>
  <mergeCells count="6">
    <mergeCell ref="B11:B12"/>
    <mergeCell ref="B17:B18"/>
    <mergeCell ref="K4:R5"/>
    <mergeCell ref="C4:J4"/>
    <mergeCell ref="C5:G5"/>
    <mergeCell ref="H5:J5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4310D41-33C8-4A0C-A65F-D519FD94C7B0}">
          <x14:formula1>
            <xm:f>Adiccionales!$C$5:$C$7</xm:f>
          </x14:formula1>
          <xm:sqref>F21:F22 F19 F13:F16 F7:F10</xm:sqref>
        </x14:dataValidation>
        <x14:dataValidation type="list" allowBlank="1" showInputMessage="1" showErrorMessage="1" xr:uid="{4517697C-3FF4-49BB-BEB3-8BC087888680}">
          <x14:formula1>
            <xm:f>Adiccionales!$C$11:$C$13</xm:f>
          </x14:formula1>
          <xm:sqref>C7:C22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95A1B-C2F3-4B1E-B98F-6DF2AF05EF81}">
  <dimension ref="C4:J13"/>
  <sheetViews>
    <sheetView showGridLines="0" workbookViewId="0">
      <selection activeCell="J5" sqref="J5"/>
    </sheetView>
  </sheetViews>
  <sheetFormatPr baseColWidth="10" defaultRowHeight="15" x14ac:dyDescent="0.25"/>
  <cols>
    <col min="3" max="3" width="18.85546875" bestFit="1" customWidth="1"/>
    <col min="7" max="7" width="9.5703125" bestFit="1" customWidth="1"/>
    <col min="8" max="8" width="10.28515625" bestFit="1" customWidth="1"/>
    <col min="9" max="10" width="10.28515625" customWidth="1"/>
  </cols>
  <sheetData>
    <row r="4" spans="3:10" x14ac:dyDescent="0.25">
      <c r="C4" s="34" t="s">
        <v>27</v>
      </c>
      <c r="E4" s="53" t="s">
        <v>37</v>
      </c>
      <c r="F4" s="54"/>
      <c r="G4" s="54"/>
      <c r="H4" s="54"/>
      <c r="I4" s="54"/>
      <c r="J4" s="55"/>
    </row>
    <row r="5" spans="3:10" ht="30" x14ac:dyDescent="0.25">
      <c r="C5" s="29" t="s">
        <v>28</v>
      </c>
      <c r="E5" s="29"/>
      <c r="F5" s="32" t="s">
        <v>38</v>
      </c>
      <c r="G5" s="32" t="s">
        <v>39</v>
      </c>
      <c r="H5" s="33" t="s">
        <v>40</v>
      </c>
      <c r="I5" s="33" t="s">
        <v>49</v>
      </c>
      <c r="J5" s="33" t="s">
        <v>43</v>
      </c>
    </row>
    <row r="6" spans="3:10" x14ac:dyDescent="0.25">
      <c r="C6" s="29" t="s">
        <v>29</v>
      </c>
      <c r="E6" s="31"/>
      <c r="F6" s="30">
        <v>0.04</v>
      </c>
      <c r="G6" s="30">
        <v>0.04</v>
      </c>
      <c r="H6" s="29">
        <v>200000</v>
      </c>
      <c r="I6" s="29">
        <v>49799</v>
      </c>
      <c r="J6" s="29">
        <v>1423500</v>
      </c>
    </row>
    <row r="7" spans="3:10" x14ac:dyDescent="0.25">
      <c r="C7" s="29" t="s">
        <v>30</v>
      </c>
    </row>
    <row r="10" spans="3:10" ht="45" x14ac:dyDescent="0.25">
      <c r="C10" s="39" t="s">
        <v>44</v>
      </c>
      <c r="D10" s="39" t="s">
        <v>45</v>
      </c>
      <c r="G10" s="36" t="s">
        <v>50</v>
      </c>
      <c r="H10" s="37" t="s">
        <v>51</v>
      </c>
    </row>
    <row r="11" spans="3:10" x14ac:dyDescent="0.25">
      <c r="C11" s="40" t="s">
        <v>46</v>
      </c>
      <c r="D11" s="38">
        <v>50000</v>
      </c>
      <c r="G11" s="38">
        <f>4*I6</f>
        <v>199196</v>
      </c>
      <c r="H11" s="38">
        <f>16*I6</f>
        <v>796784</v>
      </c>
    </row>
    <row r="12" spans="3:10" x14ac:dyDescent="0.25">
      <c r="C12" s="40" t="s">
        <v>47</v>
      </c>
      <c r="D12" s="38">
        <v>100000</v>
      </c>
    </row>
    <row r="13" spans="3:10" x14ac:dyDescent="0.25">
      <c r="C13" s="40" t="s">
        <v>48</v>
      </c>
      <c r="D13" s="38">
        <v>150000</v>
      </c>
    </row>
  </sheetData>
  <sheetProtection algorithmName="SHA-512" hashValue="Ppts18ZnWyj8PDKkr5zO7zNuLaJ+3gvjDlHZaAICDpMW1htsR556nTbOjf/ZRxwPx3aVdkrauLVlN6gznNepGg==" saltValue="ncf/LlaWlHSxG+W/2shylg==" spinCount="100000" sheet="1" objects="1" scenarios="1"/>
  <mergeCells count="1">
    <mergeCell ref="E4:J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Nómina</vt:lpstr>
      <vt:lpstr>Adiccionales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Guerra</dc:creator>
  <cp:lastModifiedBy>Luis Guerra</cp:lastModifiedBy>
  <dcterms:created xsi:type="dcterms:W3CDTF">2025-02-23T18:24:37Z</dcterms:created>
  <dcterms:modified xsi:type="dcterms:W3CDTF">2025-02-25T00:54:41Z</dcterms:modified>
</cp:coreProperties>
</file>