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iksr2-my.sharepoint.com/personal/dawid_vandermerwe_eriks_com/Documents/Desktop/Projects/2025/Projects/Dawid/article_config_st/article_configuration/data/"/>
    </mc:Choice>
  </mc:AlternateContent>
  <xr:revisionPtr revIDLastSave="2513" documentId="8_{3160EAB6-F98E-4D62-9E49-87D0765CA18A}" xr6:coauthVersionLast="47" xr6:coauthVersionMax="47" xr10:uidLastSave="{8F687DE7-9820-4EE9-BC56-C1D985A02135}"/>
  <bookViews>
    <workbookView xWindow="-120" yWindow="-120" windowWidth="29040" windowHeight="15720" activeTab="3" xr2:uid="{D33CC53A-2762-43FA-BFB4-FC6C9AAAA984}"/>
  </bookViews>
  <sheets>
    <sheet name="XD Lin Acc" sheetId="1" r:id="rId1"/>
    <sheet name="HD Lin Acc" sheetId="4" r:id="rId2"/>
    <sheet name="GX DC Lin Acc" sheetId="11" r:id="rId3"/>
    <sheet name="MD Lin Acc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2" l="1"/>
  <c r="N4" i="12"/>
  <c r="L7" i="12"/>
  <c r="L2" i="12"/>
  <c r="L3" i="12"/>
  <c r="L4" i="12"/>
  <c r="L5" i="12"/>
  <c r="L6" i="12"/>
  <c r="L8" i="12"/>
  <c r="L9" i="12"/>
  <c r="L10" i="12"/>
  <c r="I6" i="12" a="1"/>
  <c r="I6" i="12" s="1"/>
  <c r="J3" i="12"/>
  <c r="I3" i="12" s="1" a="1"/>
  <c r="I3" i="12" s="1"/>
  <c r="J4" i="12"/>
  <c r="I4" i="12" s="1" a="1"/>
  <c r="I4" i="12" s="1"/>
  <c r="J5" i="12"/>
  <c r="I5" i="12" s="1" a="1"/>
  <c r="I5" i="12" s="1"/>
  <c r="J6" i="12"/>
  <c r="J7" i="12"/>
  <c r="I7" i="12" s="1" a="1"/>
  <c r="I7" i="12" s="1"/>
  <c r="J8" i="12"/>
  <c r="I8" i="12" s="1" a="1"/>
  <c r="I8" i="12" s="1"/>
  <c r="J9" i="12"/>
  <c r="I9" i="12" s="1" a="1"/>
  <c r="I9" i="12" s="1"/>
  <c r="J10" i="12"/>
  <c r="I10" i="12" s="1" a="1"/>
  <c r="I10" i="12" s="1"/>
  <c r="J2" i="12"/>
  <c r="I2" i="12" a="1"/>
  <c r="I2" i="12" s="1"/>
  <c r="H10" i="12"/>
  <c r="H9" i="12"/>
  <c r="H8" i="12"/>
  <c r="H7" i="12"/>
  <c r="H6" i="12"/>
  <c r="H5" i="12"/>
  <c r="H4" i="12"/>
  <c r="H3" i="12"/>
  <c r="H2" i="12"/>
  <c r="E5" i="12"/>
  <c r="E7" i="12" s="1"/>
  <c r="E9" i="12" s="1"/>
  <c r="E11" i="12" s="1"/>
  <c r="E13" i="12" s="1"/>
  <c r="E15" i="12" s="1"/>
  <c r="E17" i="12" s="1"/>
  <c r="E19" i="12" s="1"/>
  <c r="E21" i="12" s="1"/>
  <c r="E23" i="12" s="1"/>
  <c r="E25" i="12" s="1"/>
  <c r="E27" i="12" s="1"/>
  <c r="E29" i="12" s="1"/>
  <c r="E6" i="12"/>
  <c r="E4" i="12"/>
  <c r="E5" i="4"/>
  <c r="F29" i="12"/>
  <c r="F30" i="12"/>
  <c r="F3" i="12"/>
  <c r="F4" i="12"/>
  <c r="F5" i="12"/>
  <c r="F6" i="12"/>
  <c r="E8" i="12" s="1"/>
  <c r="E10" i="12" s="1"/>
  <c r="E12" i="12" s="1"/>
  <c r="E14" i="12" s="1"/>
  <c r="E16" i="12" s="1"/>
  <c r="E18" i="12" s="1"/>
  <c r="E20" i="12" s="1"/>
  <c r="E22" i="12" s="1"/>
  <c r="E24" i="12" s="1"/>
  <c r="E26" i="12" s="1"/>
  <c r="E28" i="12" s="1"/>
  <c r="E30" i="12" s="1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" i="12"/>
  <c r="N4" i="11"/>
  <c r="N2" i="11"/>
  <c r="H10" i="11"/>
  <c r="H9" i="11"/>
  <c r="H8" i="11"/>
  <c r="H7" i="11"/>
  <c r="H6" i="11"/>
  <c r="H5" i="11"/>
  <c r="H4" i="11"/>
  <c r="J4" i="11" s="1"/>
  <c r="I4" i="11" s="1" a="1"/>
  <c r="I4" i="11" s="1"/>
  <c r="H3" i="11"/>
  <c r="H2" i="11"/>
  <c r="F2" i="11"/>
  <c r="F3" i="11"/>
  <c r="F4" i="11"/>
  <c r="F5" i="11"/>
  <c r="F6" i="11"/>
  <c r="F7" i="11"/>
  <c r="F8" i="11"/>
  <c r="F9" i="11"/>
  <c r="F10" i="11"/>
  <c r="E11" i="11" s="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J7" i="11" s="1"/>
  <c r="I7" i="11" s="1" a="1"/>
  <c r="I7" i="11" s="1"/>
  <c r="L7" i="11" s="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J10" i="11" l="1"/>
  <c r="I10" i="11" s="1" a="1"/>
  <c r="I10" i="11" s="1"/>
  <c r="L10" i="11" s="1"/>
  <c r="J2" i="11"/>
  <c r="I2" i="11" s="1" a="1"/>
  <c r="I2" i="11" s="1"/>
  <c r="J3" i="11"/>
  <c r="I3" i="11" s="1" a="1"/>
  <c r="I3" i="11" s="1"/>
  <c r="L3" i="11" s="1"/>
  <c r="J9" i="11"/>
  <c r="I9" i="11" s="1" a="1"/>
  <c r="I9" i="11" s="1"/>
  <c r="L9" i="11" s="1"/>
  <c r="J6" i="11"/>
  <c r="I6" i="11" s="1" a="1"/>
  <c r="I6" i="11" s="1"/>
  <c r="L6" i="11" s="1"/>
  <c r="L4" i="11"/>
  <c r="J5" i="11"/>
  <c r="I5" i="11" s="1" a="1"/>
  <c r="I5" i="11" s="1"/>
  <c r="J8" i="11"/>
  <c r="I8" i="11" s="1" a="1"/>
  <c r="I8" i="11" s="1"/>
  <c r="L8" i="11" s="1"/>
  <c r="L2" i="11" l="1"/>
  <c r="L5" i="11"/>
  <c r="H10" i="4" l="1"/>
  <c r="H9" i="4"/>
  <c r="H8" i="4"/>
  <c r="H7" i="4"/>
  <c r="H6" i="4"/>
  <c r="H5" i="4"/>
  <c r="H4" i="4"/>
  <c r="H3" i="4"/>
  <c r="H2" i="4"/>
  <c r="F4" i="4"/>
  <c r="F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H2" i="1"/>
  <c r="H3" i="1"/>
  <c r="H4" i="1"/>
  <c r="H5" i="1"/>
  <c r="H6" i="1"/>
  <c r="H7" i="1"/>
  <c r="I7" i="1" s="1" a="1"/>
  <c r="I7" i="1" s="1"/>
  <c r="H8" i="1"/>
  <c r="J8" i="1" s="1"/>
  <c r="H9" i="1"/>
  <c r="H10" i="1"/>
  <c r="F2" i="1"/>
  <c r="E6" i="4" l="1"/>
  <c r="E7" i="4" s="1"/>
  <c r="E8" i="4" s="1"/>
  <c r="E9" i="4" s="1"/>
  <c r="E10" i="4" s="1"/>
  <c r="E11" i="4" s="1"/>
  <c r="J4" i="4" s="1"/>
  <c r="I4" i="4" s="1" a="1"/>
  <c r="I4" i="4" s="1"/>
  <c r="L4" i="4" s="1"/>
  <c r="J2" i="4"/>
  <c r="I2" i="4" s="1" a="1"/>
  <c r="I2" i="4" s="1"/>
  <c r="J7" i="1"/>
  <c r="L7" i="1"/>
  <c r="J6" i="1"/>
  <c r="I10" i="1" a="1"/>
  <c r="I10" i="1" s="1"/>
  <c r="L10" i="1" s="1"/>
  <c r="I9" i="1" a="1"/>
  <c r="I9" i="1" s="1"/>
  <c r="L9" i="1" s="1"/>
  <c r="J5" i="1"/>
  <c r="I3" i="1" a="1"/>
  <c r="I3" i="1" s="1"/>
  <c r="L3" i="1" s="1"/>
  <c r="J10" i="1"/>
  <c r="I4" i="1" a="1"/>
  <c r="I4" i="1" s="1"/>
  <c r="L4" i="1" s="1"/>
  <c r="I2" i="1" a="1"/>
  <c r="I2" i="1" s="1"/>
  <c r="J2" i="1"/>
  <c r="I8" i="1" a="1"/>
  <c r="I8" i="1" s="1"/>
  <c r="L8" i="1" s="1"/>
  <c r="J9" i="1"/>
  <c r="I5" i="1" a="1"/>
  <c r="I5" i="1" s="1"/>
  <c r="L5" i="1" s="1"/>
  <c r="J4" i="1"/>
  <c r="J3" i="1"/>
  <c r="I6" i="1" a="1"/>
  <c r="I6" i="1" s="1"/>
  <c r="L6" i="1" s="1"/>
  <c r="L2" i="4" l="1"/>
  <c r="L2" i="1"/>
  <c r="M2" i="1" s="1"/>
  <c r="M4" i="1"/>
  <c r="J3" i="4"/>
  <c r="I3" i="4" s="1" a="1"/>
  <c r="I3" i="4" s="1"/>
  <c r="L3" i="4" s="1"/>
  <c r="E12" i="4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J5" i="4" s="1"/>
  <c r="I5" i="4" s="1" a="1"/>
  <c r="I5" i="4" s="1"/>
  <c r="L5" i="4" s="1"/>
  <c r="N4" i="4" l="1"/>
  <c r="N4" i="1"/>
  <c r="E32" i="4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J6" i="4" s="1"/>
  <c r="I6" i="4" s="1" a="1"/>
  <c r="I6" i="4" s="1"/>
  <c r="L6" i="4" s="1"/>
  <c r="O4" i="4" l="1"/>
  <c r="E44" i="4"/>
  <c r="E45" i="4" s="1"/>
  <c r="E46" i="4" s="1"/>
  <c r="J7" i="4" s="1"/>
  <c r="I7" i="4" l="1" a="1"/>
  <c r="I7" i="4" s="1"/>
  <c r="L7" i="4" s="1"/>
  <c r="E47" i="4"/>
  <c r="E48" i="4" s="1"/>
  <c r="E49" i="4" s="1"/>
  <c r="E50" i="4" s="1"/>
  <c r="E51" i="4" s="1"/>
  <c r="J8" i="4" s="1"/>
  <c r="I8" i="4" s="1" a="1"/>
  <c r="I8" i="4" s="1"/>
  <c r="L8" i="4" s="1"/>
  <c r="E52" i="4" l="1"/>
  <c r="E53" i="4" s="1"/>
  <c r="E54" i="4" s="1"/>
  <c r="E55" i="4" s="1"/>
  <c r="E56" i="4" s="1"/>
  <c r="E57" i="4" s="1"/>
  <c r="E58" i="4" s="1"/>
  <c r="J9" i="4" s="1"/>
  <c r="I9" i="4" s="1" a="1"/>
  <c r="I9" i="4" s="1"/>
  <c r="L9" i="4" s="1"/>
  <c r="E59" i="4" l="1"/>
  <c r="E60" i="4" s="1"/>
  <c r="J10" i="4" s="1"/>
  <c r="I10" i="4" s="1" a="1"/>
  <c r="I10" i="4" s="1"/>
  <c r="L10" i="4" s="1"/>
  <c r="N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AEB08-BEA8-4E6A-B09A-79753DD29ABE}" keepAlive="1" name="Query - HD" description="Connection to the 'HD' query in the workbook." type="5" refreshedVersion="8" background="1" saveData="1">
    <dbPr connection="Provider=Microsoft.Mashup.OleDb.1;Data Source=$Workbook$;Location=HD;Extended Properties=&quot;&quot;" command="SELECT * FROM [HD]"/>
  </connection>
  <connection id="2" xr16:uid="{A5DFA527-AAC0-44C7-A0B8-FD126C51F35A}" keepAlive="1" name="Query - XD" description="Connection to the 'XD' query in the workbook." type="5" refreshedVersion="8" background="1" saveData="1">
    <dbPr connection="Provider=Microsoft.Mashup.OleDb.1;Data Source=$Workbook$;Location=XD;Extended Properties=&quot;&quot;" command="SELECT * FROM [X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<sst xmlns="http://schemas.openxmlformats.org/spreadsheetml/2006/main" count="659" uniqueCount="315">
  <si>
    <t xml:space="preserve"> Electrak XD, 24 Vdc </t>
  </si>
  <si>
    <t xml:space="preserve"> Electrak XD, 48 Vdc </t>
  </si>
  <si>
    <t xml:space="preserve"> 5.5 kN @ 75 mm/s, 1200 mm </t>
  </si>
  <si>
    <t xml:space="preserve"> 8.0 kN @ 50 mm/s, 1200 mm </t>
  </si>
  <si>
    <t xml:space="preserve"> 16 kN @ 25mm/s, 1000 mm </t>
  </si>
  <si>
    <t xml:space="preserve"> 20 kN @ 20 mm/s, 800 mm </t>
  </si>
  <si>
    <t xml:space="preserve"> 25 kN @ 16 mm/s, 650 mm </t>
  </si>
  <si>
    <t xml:space="preserve"> 100 mm </t>
  </si>
  <si>
    <t xml:space="preserve"> 150 mm</t>
  </si>
  <si>
    <t xml:space="preserve"> 200 mm </t>
  </si>
  <si>
    <t xml:space="preserve"> 250 mm </t>
  </si>
  <si>
    <t xml:space="preserve"> 300 mm </t>
  </si>
  <si>
    <t xml:space="preserve"> 350 mm</t>
  </si>
  <si>
    <t xml:space="preserve"> 400 mm </t>
  </si>
  <si>
    <t xml:space="preserve"> 450 mm </t>
  </si>
  <si>
    <t xml:space="preserve"> 500 mm </t>
  </si>
  <si>
    <t xml:space="preserve"> 550 mm </t>
  </si>
  <si>
    <t xml:space="preserve"> 600 mm </t>
  </si>
  <si>
    <t xml:space="preserve"> 650 mm</t>
  </si>
  <si>
    <t xml:space="preserve"> 700 mm </t>
  </si>
  <si>
    <t xml:space="preserve"> 750 mm </t>
  </si>
  <si>
    <t xml:space="preserve"> 800 mm </t>
  </si>
  <si>
    <t xml:space="preserve"> 900 mm </t>
  </si>
  <si>
    <t xml:space="preserve"> 950 mm </t>
  </si>
  <si>
    <t xml:space="preserve"> 1000 mm</t>
  </si>
  <si>
    <t xml:space="preserve"> 1050 mm </t>
  </si>
  <si>
    <t xml:space="preserve"> 1100 mm </t>
  </si>
  <si>
    <t xml:space="preserve"> 1150 mm </t>
  </si>
  <si>
    <t xml:space="preserve"> 1200 mm</t>
  </si>
  <si>
    <t xml:space="preserve"> low-level signal motor switching</t>
  </si>
  <si>
    <t xml:space="preserve"> low-level signal motor switching + position feedback output</t>
  </si>
  <si>
    <t xml:space="preserve"> low-level signal motor switching + force feedback output</t>
  </si>
  <si>
    <t xml:space="preserve"> low-level signal motor switching + end-of-stroke indication outputs</t>
  </si>
  <si>
    <t xml:space="preserve"> low-level signal motor switching + position feedback + end-of-stroke indication outputs</t>
  </si>
  <si>
    <t xml:space="preserve"> low-level signal motor switching + programmable end-of-stroke limits</t>
  </si>
  <si>
    <t xml:space="preserve"> CANOpen + open loop speed control (includes diagnostics, position feedback, overload indication plus static and dynamic force feedback)</t>
  </si>
  <si>
    <t xml:space="preserve"> CANbus J1939 + open loop speed control (includes diagnostics, position feedback, overload indication plus static and dynamic force feedback)</t>
  </si>
  <si>
    <t xml:space="preserve"> no manual brake release or override </t>
  </si>
  <si>
    <t xml:space="preserve"> manual brake release and override</t>
  </si>
  <si>
    <t xml:space="preserve"> 16 mm cross hole</t>
  </si>
  <si>
    <t xml:space="preserve"> 16 mm forked cross hole</t>
  </si>
  <si>
    <t xml:space="preserve"> M20 × 1.5 male thread</t>
  </si>
  <si>
    <t xml:space="preserve"> force feedback sensor with 16 mm cross hole (4) (5)</t>
  </si>
  <si>
    <t xml:space="preserve"> M20 × 1.5 female thread</t>
  </si>
  <si>
    <t xml:space="preserve"> standard</t>
  </si>
  <si>
    <t xml:space="preserve"> 90° turned</t>
  </si>
  <si>
    <t xml:space="preserve"> no dampening</t>
  </si>
  <si>
    <t xml:space="preserve"> dampening</t>
  </si>
  <si>
    <t>Index</t>
  </si>
  <si>
    <t>Code</t>
  </si>
  <si>
    <t>Value</t>
  </si>
  <si>
    <t>Section</t>
  </si>
  <si>
    <t>XD24</t>
  </si>
  <si>
    <t>XD48</t>
  </si>
  <si>
    <t>B055-</t>
  </si>
  <si>
    <t>B080-</t>
  </si>
  <si>
    <t>B160-</t>
  </si>
  <si>
    <t>B200-</t>
  </si>
  <si>
    <t>B250-</t>
  </si>
  <si>
    <t>1000</t>
  </si>
  <si>
    <t>1050</t>
  </si>
  <si>
    <t>1100</t>
  </si>
  <si>
    <t>1150</t>
  </si>
  <si>
    <t>1200</t>
  </si>
  <si>
    <t>LXX</t>
  </si>
  <si>
    <t>LXP</t>
  </si>
  <si>
    <t>LXF</t>
  </si>
  <si>
    <t>LLX</t>
  </si>
  <si>
    <t>LLP</t>
  </si>
  <si>
    <t>PLS</t>
  </si>
  <si>
    <t>COO</t>
  </si>
  <si>
    <t>CNO</t>
  </si>
  <si>
    <t>R</t>
  </si>
  <si>
    <t>M</t>
  </si>
  <si>
    <t>N</t>
  </si>
  <si>
    <t>H</t>
  </si>
  <si>
    <t>K</t>
  </si>
  <si>
    <t>P</t>
  </si>
  <si>
    <t>S</t>
  </si>
  <si>
    <t>Len</t>
  </si>
  <si>
    <t>0100</t>
  </si>
  <si>
    <t>0150</t>
  </si>
  <si>
    <t>0200</t>
  </si>
  <si>
    <t>0250</t>
  </si>
  <si>
    <t>0300</t>
  </si>
  <si>
    <t>0350</t>
  </si>
  <si>
    <t>0400</t>
  </si>
  <si>
    <t>0450</t>
  </si>
  <si>
    <t>0500</t>
  </si>
  <si>
    <t>0550</t>
  </si>
  <si>
    <t>0600</t>
  </si>
  <si>
    <t>0650</t>
  </si>
  <si>
    <t>0700</t>
  </si>
  <si>
    <t>0750</t>
  </si>
  <si>
    <t>0800</t>
  </si>
  <si>
    <t>0900</t>
  </si>
  <si>
    <t>0950</t>
  </si>
  <si>
    <t>Variable</t>
  </si>
  <si>
    <t>-</t>
  </si>
  <si>
    <t>ID</t>
  </si>
  <si>
    <t>XD24B160-0150COORKHSN</t>
  </si>
  <si>
    <t>1</t>
  </si>
  <si>
    <t>2</t>
  </si>
  <si>
    <t>3</t>
  </si>
  <si>
    <t>HD12</t>
  </si>
  <si>
    <t>B026-</t>
  </si>
  <si>
    <t>D</t>
  </si>
  <si>
    <t>0050</t>
  </si>
  <si>
    <t>0850</t>
  </si>
  <si>
    <t>HD24</t>
  </si>
  <si>
    <t>B017-</t>
  </si>
  <si>
    <t>B045-</t>
  </si>
  <si>
    <t>B068-</t>
  </si>
  <si>
    <t>B100-</t>
  </si>
  <si>
    <t>EXX</t>
  </si>
  <si>
    <t>ELX</t>
  </si>
  <si>
    <t>EXP</t>
  </si>
  <si>
    <t>EXD</t>
  </si>
  <si>
    <t>ELP</t>
  </si>
  <si>
    <t>ELD</t>
  </si>
  <si>
    <t>SYN</t>
  </si>
  <si>
    <t>A</t>
  </si>
  <si>
    <t>E</t>
  </si>
  <si>
    <t>F</t>
  </si>
  <si>
    <t>G</t>
  </si>
  <si>
    <t>HD48</t>
  </si>
  <si>
    <t>Electrak HD, 48 Vdc</t>
  </si>
  <si>
    <t>Electrak HD, 12 Vdc</t>
  </si>
  <si>
    <t>Electrak HD, 24 Vdc</t>
  </si>
  <si>
    <t>ball screw, 1.7 kN (382 lbf)</t>
  </si>
  <si>
    <t>ball screw, 2.6 kN (585 lbf)</t>
  </si>
  <si>
    <t>ball screw, 4.5 kN (1012 lbf)</t>
  </si>
  <si>
    <t>ball screw, 6.8 kN (1529 lbf)</t>
  </si>
  <si>
    <t>ball screw, 10 kN (2248 lbf)</t>
  </si>
  <si>
    <t>ball screw, 16 kN (3584 lbf)</t>
  </si>
  <si>
    <t>50 mm</t>
  </si>
  <si>
    <t>100 mm</t>
  </si>
  <si>
    <t>150 mm</t>
  </si>
  <si>
    <t>200 mm</t>
  </si>
  <si>
    <t>250 mm</t>
  </si>
  <si>
    <t>300 mm</t>
  </si>
  <si>
    <t>350 mm</t>
  </si>
  <si>
    <t>400 mm</t>
  </si>
  <si>
    <t>450 mm</t>
  </si>
  <si>
    <t>500 mm</t>
  </si>
  <si>
    <t>550 mm</t>
  </si>
  <si>
    <t>600 mm</t>
  </si>
  <si>
    <t>650 mm</t>
  </si>
  <si>
    <t>700 mm</t>
  </si>
  <si>
    <t>750 mm</t>
  </si>
  <si>
    <t>800 mm</t>
  </si>
  <si>
    <t>850 mm</t>
  </si>
  <si>
    <t>900 mm</t>
  </si>
  <si>
    <t>950 mm</t>
  </si>
  <si>
    <t>1000 mm</t>
  </si>
  <si>
    <t>Electronic Monitoring Package only</t>
  </si>
  <si>
    <t>EXX + end-of-stroke indication output</t>
  </si>
  <si>
    <t>EXX + analog (potentiometer) position output</t>
  </si>
  <si>
    <t>EXX + digital position output</t>
  </si>
  <si>
    <t>ELX + analog (potentiometer) position output</t>
  </si>
  <si>
    <t>ELX + digital position output</t>
  </si>
  <si>
    <t>EXX + low-level signal motor switching</t>
  </si>
  <si>
    <t>LXX + end-of-stroke indication output</t>
  </si>
  <si>
    <t>LXX + analog (potentiometer) position output</t>
  </si>
  <si>
    <t>SAE J1939 CAN bus + open-loop speed control</t>
  </si>
  <si>
    <t>CANopen CAN bus + open-loop speed control</t>
  </si>
  <si>
    <t>LXX + synchronization option</t>
  </si>
  <si>
    <t>0.3 m long cables</t>
  </si>
  <si>
    <t>1.5 m long cables</t>
  </si>
  <si>
    <t>5.0 m long cables</t>
  </si>
  <si>
    <t>rear mounting flange^{(4) (5)}</t>
  </si>
  <si>
    <t>cross hole for 12 mm pin</t>
  </si>
  <si>
    <t>cross hole for ½ inch pin</t>
  </si>
  <si>
    <t>forked cross hole for 12 mm pin</t>
  </si>
  <si>
    <t>forked cross hole for ½ inch pin</t>
  </si>
  <si>
    <t>metric M16 male thread</t>
  </si>
  <si>
    <t>metric M12 female thread</t>
  </si>
  <si>
    <t>inch 1/2-20 UNF-2B female thread</t>
  </si>
  <si>
    <t>standard</t>
  </si>
  <si>
    <t>90 ° turned</t>
  </si>
  <si>
    <t>flying leads</t>
  </si>
  <si>
    <t>HD24B026-0100ELX2NPS</t>
  </si>
  <si>
    <t>4</t>
  </si>
  <si>
    <t>5</t>
  </si>
  <si>
    <t>6</t>
  </si>
  <si>
    <t>7</t>
  </si>
  <si>
    <t>8</t>
  </si>
  <si>
    <t>9</t>
  </si>
  <si>
    <t>Model and input voltage</t>
  </si>
  <si>
    <t>Electrak Modular Control System options</t>
  </si>
  <si>
    <t>Screw type, dynamic load capacity</t>
  </si>
  <si>
    <t>Ordering stroke length</t>
  </si>
  <si>
    <t>Cable length</t>
  </si>
  <si>
    <t>Rear adapter/mounting flange options</t>
  </si>
  <si>
    <t>Front adapter options</t>
  </si>
  <si>
    <t>Adapter orientation</t>
  </si>
  <si>
    <t>Connection options</t>
  </si>
  <si>
    <t>Result</t>
  </si>
  <si>
    <t>Text Join</t>
  </si>
  <si>
    <t>Dynamic load capacity, speed and max. stroke length</t>
  </si>
  <si>
    <t>Manual Brake Release and Override Option</t>
  </si>
  <si>
    <t>Rear adapter option</t>
  </si>
  <si>
    <t>Front adapter option</t>
  </si>
  <si>
    <t>Mechanical shock load dampening</t>
  </si>
  <si>
    <t>Description 1</t>
  </si>
  <si>
    <t>D12C</t>
  </si>
  <si>
    <t>Electrak GX, 12 Vdc, CE compliant</t>
  </si>
  <si>
    <t>Model, input voltage and CE compliance</t>
  </si>
  <si>
    <t>D24C</t>
  </si>
  <si>
    <t>Electrak GX, 24 Vdc, CE compliant</t>
  </si>
  <si>
    <t>D36C</t>
  </si>
  <si>
    <t>Electrak GX, 36 Vdc, CE compliant</t>
  </si>
  <si>
    <t>D48C</t>
  </si>
  <si>
    <t>Electrak GX, 48 Vdc, CE compliant</t>
  </si>
  <si>
    <t>D12N</t>
  </si>
  <si>
    <t>Electrak GX, 12 Vdc, not CE compliant</t>
  </si>
  <si>
    <t>D24N</t>
  </si>
  <si>
    <t>Electrak GX, 24 Vdc, not CE compliant</t>
  </si>
  <si>
    <t>D36N</t>
  </si>
  <si>
    <t>Electrak GX, 36 Vdc, not CE compliant</t>
  </si>
  <si>
    <t>D48N</t>
  </si>
  <si>
    <t>Electrak GX, 48 Vdc, not CE compliant</t>
  </si>
  <si>
    <t>D90N</t>
  </si>
  <si>
    <t>Electrak GX, 90 Vdc, not CE compliant</t>
  </si>
  <si>
    <t>05A5</t>
  </si>
  <si>
    <t>1100 N, acme screw, 54 mm/s</t>
  </si>
  <si>
    <t>Dynamic load capacity, screw type and maximum speed</t>
  </si>
  <si>
    <t>10A5</t>
  </si>
  <si>
    <t>2250 N, acme screw, 30 mm/s</t>
  </si>
  <si>
    <t>20A5</t>
  </si>
  <si>
    <t>2250 N, acme screw, 15 mm/s</t>
  </si>
  <si>
    <t>05B5</t>
  </si>
  <si>
    <t>2250 N, ball screw, 61 mm/s</t>
  </si>
  <si>
    <t>10B5</t>
  </si>
  <si>
    <t>4500 N, ball screw, 30 mm/s</t>
  </si>
  <si>
    <t>20B5</t>
  </si>
  <si>
    <t>4500 N, ball screw, 15 mm/s</t>
  </si>
  <si>
    <t>21B5</t>
  </si>
  <si>
    <t>6800 N, ball screw, 15 mm/s</t>
  </si>
  <si>
    <t>2KB5</t>
  </si>
  <si>
    <t>9000 N, ball screw, 9 mm/s</t>
  </si>
  <si>
    <t>2 inch (50.8 mm)</t>
  </si>
  <si>
    <t>4 inch (101.6 mm)</t>
  </si>
  <si>
    <t>6 inch (152.4 mm)</t>
  </si>
  <si>
    <t>8 inch (203.2 mm)</t>
  </si>
  <si>
    <t>10 inch (254.0 mm)</t>
  </si>
  <si>
    <t>12 inch (304.8 mm)</t>
  </si>
  <si>
    <t>14 inch (355.6 mm)</t>
  </si>
  <si>
    <t>16 inch (406.4 mm)</t>
  </si>
  <si>
    <t>18 inch (457.2 mm)</t>
  </si>
  <si>
    <t>20 inch (508.0 mm)</t>
  </si>
  <si>
    <t>22 inch (558.8 mm)</t>
  </si>
  <si>
    <t>24 inch (609.6 mm)</t>
  </si>
  <si>
    <t>M0</t>
  </si>
  <si>
    <t>Adapter at 0° (standard)</t>
  </si>
  <si>
    <t>Rear adapter hole orientation</t>
  </si>
  <si>
    <t>M3</t>
  </si>
  <si>
    <t>Adapter at 90°</t>
  </si>
  <si>
    <t>IP66</t>
  </si>
  <si>
    <t>Ingress protection rating</t>
  </si>
  <si>
    <t>IP66 and IP69K</t>
  </si>
  <si>
    <t>No option</t>
  </si>
  <si>
    <t>Options</t>
  </si>
  <si>
    <t>Potentiometer feedback</t>
  </si>
  <si>
    <t>Manual override</t>
  </si>
  <si>
    <t>AMP terminal 42098-2, housing 180908-5</t>
  </si>
  <si>
    <t>Connector option</t>
  </si>
  <si>
    <t>Packard Electric 56 Series</t>
  </si>
  <si>
    <t>No connector (flying leads)</t>
  </si>
  <si>
    <t>Cross hole for 0.5 inch pin</t>
  </si>
  <si>
    <t>Forked cross hole for 0.5 inch pin</t>
  </si>
  <si>
    <t>1/2-20 UNF 2B female thread</t>
  </si>
  <si>
    <t>Cross hole for 10 mm pin</t>
  </si>
  <si>
    <t>Cross hole for 12 mm pin</t>
  </si>
  <si>
    <t>Forked cross hole for 12 mm pin</t>
  </si>
  <si>
    <t>M12 female thread</t>
  </si>
  <si>
    <t>D24C2KB506M3NN-AMM</t>
  </si>
  <si>
    <t>02</t>
  </si>
  <si>
    <t>04</t>
  </si>
  <si>
    <t>06</t>
  </si>
  <si>
    <t>08</t>
  </si>
  <si>
    <t>-A</t>
  </si>
  <si>
    <t>-B</t>
  </si>
  <si>
    <t>-D</t>
  </si>
  <si>
    <t>MD12</t>
  </si>
  <si>
    <t>Electrak MD, 12 Vdc</t>
  </si>
  <si>
    <t>MD24</t>
  </si>
  <si>
    <t>Electrak MD, 24 Vdc</t>
  </si>
  <si>
    <t>Acme screw, 250 N (56 lbs)</t>
  </si>
  <si>
    <t>Acme screw, 500 N (112 lbs)</t>
  </si>
  <si>
    <t>Acme screw, 1000 N (225 lbs)</t>
  </si>
  <si>
    <t>Acme screw, 2000 N (450 lbs)</t>
  </si>
  <si>
    <t>XXX</t>
  </si>
  <si>
    <t>Internal end-of-stroke limit switches</t>
  </si>
  <si>
    <t>XXP</t>
  </si>
  <si>
    <t>XXX + analog (potentiometer) position output</t>
  </si>
  <si>
    <t>Electronic Monitoring Package</t>
  </si>
  <si>
    <t>LXX + end-of-stroke indication outputs</t>
  </si>
  <si>
    <t>LXP + end-of-stroke indication outputs</t>
  </si>
  <si>
    <t>CN0</t>
  </si>
  <si>
    <t>EXX + SAE J1939 CAN bus + open-loop speed control</t>
  </si>
  <si>
    <t>CO0</t>
  </si>
  <si>
    <t>EXX + CANopen CAN bus + open-loop speed control</t>
  </si>
  <si>
    <t>0.3 m long cable with flying leads</t>
  </si>
  <si>
    <t>Harness option</t>
  </si>
  <si>
    <t>1 m long cable with flying leads</t>
  </si>
  <si>
    <t>Forked cross hole for 10 mm pin</t>
  </si>
  <si>
    <t>Standard orientation</t>
  </si>
  <si>
    <t>90° turned orientation</t>
  </si>
  <si>
    <t>Flying leads</t>
  </si>
  <si>
    <t>MD24A200-0150XXP2NNSD</t>
  </si>
  <si>
    <t>A025-</t>
  </si>
  <si>
    <t>A050-</t>
  </si>
  <si>
    <t>A100-</t>
  </si>
  <si>
    <t>A200-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</si>
</sst>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4" applyNumberFormat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3" borderId="2" xfId="0" applyFill="1" applyBorder="1"/>
    <xf numFmtId="0" fontId="0" fillId="0" borderId="0" xfId="0" applyNumberFormat="1"/>
    <xf numFmtId="0" fontId="0" fillId="0" borderId="3" xfId="0" applyBorder="1"/>
    <xf numFmtId="0" fontId="0" fillId="0" borderId="0" xfId="0" applyNumberFormat="1" applyAlignment="1">
      <alignment horizontal="left"/>
    </xf>
    <xf numFmtId="0" fontId="1" fillId="2" borderId="1" xfId="1"/>
    <xf numFmtId="0" fontId="2" fillId="4" borderId="4" xfId="2"/>
    <xf numFmtId="0" fontId="3" fillId="5" borderId="0" xfId="0" applyFont="1" applyFill="1"/>
    <xf numFmtId="0" fontId="2" fillId="4" borderId="4" xfId="2" applyAlignment="1">
      <alignment wrapText="1"/>
    </xf>
    <xf numFmtId="0" fontId="0" fillId="0" borderId="0" xfId="0" applyFont="1"/>
    <xf numFmtId="0" fontId="0" fillId="3" borderId="6" xfId="0" applyFill="1" applyBorder="1"/>
    <xf numFmtId="0" fontId="1" fillId="2" borderId="7" xfId="1" applyBorder="1"/>
    <xf numFmtId="0" fontId="2" fillId="4" borderId="4" xfId="2" applyAlignment="1"/>
    <xf numFmtId="0" fontId="2" fillId="6" borderId="5" xfId="0" applyFont="1" applyFill="1" applyBorder="1"/>
    <xf numFmtId="0" fontId="1" fillId="2" borderId="2" xfId="1" applyBorder="1"/>
  </cellXfs>
  <cellStyles count="3">
    <cellStyle name="Check Cell" xfId="2" builtinId="23"/>
    <cellStyle name="Input" xfId="1" builtinId="20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numFmt numFmtId="0" formatCode="General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D743B-A1D0-496A-A50D-DDDAB0CC4070}" name="XD" displayName="XD" ref="A1:F52" totalsRowShown="0">
  <autoFilter ref="A1:F52" xr:uid="{547D743B-A1D0-496A-A50D-DDDAB0CC4070}"/>
  <tableColumns count="6">
    <tableColumn id="1" xr3:uid="{C5589DFE-E567-4F47-9F5C-864187B48822}" name="Code"/>
    <tableColumn id="2" xr3:uid="{8CDBC76E-5F0F-4855-A48B-9A33E040808D}" name="Value"/>
    <tableColumn id="7" xr3:uid="{7DC00FB6-97F2-4114-B957-0BF57678A911}" name="Variable"/>
    <tableColumn id="3" xr3:uid="{397181F0-BFE1-4977-A631-E5AF9EFE8B7C}" name="Section"/>
    <tableColumn id="4" xr3:uid="{88D95085-FD9E-43E5-8EC6-EEEFC3B4CE7F}" name="Index"/>
    <tableColumn id="5" xr3:uid="{2B9ADC4E-D169-42EE-AFDD-50CA5300E248}" name="Len">
      <calculatedColumnFormula>LEN(A2)</calculatedColumnFormula>
    </tableColumn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A0B695-10EC-41CB-97FB-2112ADB89B2E}" name="HD" displayName="HD" ref="A1:F60" totalsRowShown="0">
  <autoFilter ref="A1:F60" xr:uid="{95A0B695-10EC-41CB-97FB-2112ADB89B2E}"/>
  <tableColumns count="6">
    <tableColumn id="1" xr3:uid="{9CAEEA20-FFE7-4107-936A-377CBBFFD34A}" name="Code" dataDxfId="6"/>
    <tableColumn id="2" xr3:uid="{C1910994-5D61-4D99-BDC5-EBD467B75DFC}" name="Value"/>
    <tableColumn id="3" xr3:uid="{13383178-DECB-4611-959B-03FAE32BA6A8}" name="Variable"/>
    <tableColumn id="4" xr3:uid="{82D63796-EE47-4BD1-9454-F3448E721057}" name="Section"/>
    <tableColumn id="5" xr3:uid="{17BDECD9-1466-4B97-87CD-1561B83E7CED}" name="Index">
      <calculatedColumnFormula>IF(D2=D1,E1,
(E1+F1)
)</calculatedColumnFormula>
    </tableColumn>
    <tableColumn id="6" xr3:uid="{27EA8A1C-6F41-4FF0-B90E-145A2E0E84BE}" name="Len">
      <calculatedColumnFormula>LEN(A2)</calculatedColumnFormula>
    </tableColumn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67DD2-3D40-4750-A97B-0CDFC8DC1CDC}" name="GX_DC" displayName="GX_DC" ref="A1:F50" totalsRowShown="0">
  <autoFilter ref="A1:F50" xr:uid="{57167DD2-3D40-4750-A97B-0CDFC8DC1CDC}"/>
  <tableColumns count="6">
    <tableColumn id="1" xr3:uid="{3FE9B967-C113-401E-A7ED-AE3B8A46E7B9}" name="Code" dataDxfId="5"/>
    <tableColumn id="2" xr3:uid="{46613117-22AA-43E1-A2D1-EEAA55A2EEA8}" name="Value"/>
    <tableColumn id="3" xr3:uid="{02D17E2B-9EE7-47A5-AC01-CDA246305653}" name="Variable"/>
    <tableColumn id="4" xr3:uid="{57951E55-95F8-4124-BF58-2116FFB75BE8}" name="Section"/>
    <tableColumn id="5" xr3:uid="{9BD96ECA-9FB1-464A-A22D-F809B0576C7A}" name="Index"/>
    <tableColumn id="6" xr3:uid="{7FAEFD5D-E5CB-498B-99B7-C505CBD5144C}" name="Len" dataDxfId="4">
      <calculatedColumnFormula>LEN(GX_DC[[#This Row],[Code]])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8E5561-008E-4AA8-BCF4-746CBD448AA4}" name="MD" displayName="MD" ref="A1:F30" totalsRowShown="0" headerRowDxfId="3" headerRowBorderDxfId="2" tableBorderDxfId="1">
  <autoFilter ref="A1:F30" xr:uid="{658E5561-008E-4AA8-BCF4-746CBD448AA4}"/>
  <tableColumns count="6">
    <tableColumn id="1" xr3:uid="{1AD7302E-CB49-4290-A130-221565F3A9BC}" name="Code"/>
    <tableColumn id="2" xr3:uid="{23083720-B7EE-4BAD-A461-363FCABA7A51}" name="Value"/>
    <tableColumn id="3" xr3:uid="{C115B4DC-8FEA-44D9-87BE-93AB08AF7A3C}" name="Variable"/>
    <tableColumn id="4" xr3:uid="{56E96464-B7B6-438D-B63D-68DF662CF00C}" name="Section"/>
    <tableColumn id="5" xr3:uid="{1D77A1D4-EF8C-45E5-9276-304D81B66F89}" name="Index" dataDxfId="0"/>
    <tableColumn id="6" xr3:uid="{B0595847-B5FA-4009-A3AD-16C682F0BBBF}" name="Len">
      <calculatedColumnFormula>LEN(A2)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F0-57F2-47C5-B213-9CE63273D16C}">
  <sheetPr>
    <tabColor rgb="FF92D050"/>
  </sheetPr>
  <dimension ref="A1:N52"/>
  <sheetViews>
    <sheetView zoomScale="130" zoomScaleNormal="130" workbookViewId="0">
      <selection activeCell="A3" sqref="A3:F3"/>
    </sheetView>
  </sheetViews>
  <sheetFormatPr defaultRowHeight="14.4" x14ac:dyDescent="0.3"/>
  <cols>
    <col min="1" max="1" width="27.6640625" bestFit="1" customWidth="1"/>
    <col min="2" max="2" width="53.109375" customWidth="1"/>
    <col min="3" max="3" width="51" bestFit="1" customWidth="1"/>
    <col min="4" max="4" width="10.88671875" customWidth="1"/>
    <col min="8" max="8" width="51" bestFit="1" customWidth="1"/>
    <col min="9" max="9" width="80" bestFit="1" customWidth="1"/>
    <col min="12" max="12" width="119.6640625" hidden="1" customWidth="1"/>
    <col min="13" max="13" width="54.44140625" customWidth="1"/>
  </cols>
  <sheetData>
    <row r="1" spans="1:14" ht="15" thickBot="1" x14ac:dyDescent="0.35">
      <c r="A1" t="s">
        <v>49</v>
      </c>
      <c r="B1" t="s">
        <v>50</v>
      </c>
      <c r="C1" t="s">
        <v>97</v>
      </c>
      <c r="D1" t="s">
        <v>51</v>
      </c>
      <c r="E1" t="s">
        <v>48</v>
      </c>
      <c r="F1" t="s">
        <v>79</v>
      </c>
      <c r="H1" s="3" t="s">
        <v>99</v>
      </c>
      <c r="I1" s="7" t="s">
        <v>100</v>
      </c>
      <c r="J1" s="3" t="s">
        <v>49</v>
      </c>
      <c r="L1" t="s">
        <v>197</v>
      </c>
      <c r="M1" s="9" t="s">
        <v>198</v>
      </c>
    </row>
    <row r="2" spans="1:14" ht="15.6" thickTop="1" thickBot="1" x14ac:dyDescent="0.35">
      <c r="A2" t="s">
        <v>52</v>
      </c>
      <c r="B2" t="s">
        <v>0</v>
      </c>
      <c r="C2" t="s">
        <v>188</v>
      </c>
      <c r="D2">
        <v>1</v>
      </c>
      <c r="E2">
        <v>1</v>
      </c>
      <c r="F2">
        <f t="shared" ref="F2:F33" si="0">LEN(A2)</f>
        <v>4</v>
      </c>
      <c r="H2" s="2" t="str">
        <f>XD[[#This Row],[Variable]]</f>
        <v>Model and input voltage</v>
      </c>
      <c r="I2" s="5" t="str" cm="1">
        <f t="array" ref="I2">INDEX(XD[Value],
_xlfn.XMATCH(
MID($I$1,_xlfn.XLOOKUP(H2,XD[Variable],XD[Index]),_xlfn.XLOOKUP(H2,XD[Variable],XD[Len])),XD[Code],,))</f>
        <v xml:space="preserve"> Electrak XD, 24 Vdc </v>
      </c>
      <c r="J2" s="2" t="str">
        <f>MID($I$1,_xlfn.XLOOKUP(H2,XD[Variable],XD[Index]),_xlfn.XLOOKUP(H2,XD[Variable],XD[Len]))</f>
        <v>XD24</v>
      </c>
      <c r="L2" t="str">
        <f>H2&amp;": "&amp;I2</f>
        <v xml:space="preserve">Model and input voltage:  Electrak XD, 24 Vdc </v>
      </c>
      <c r="M2" s="8" t="str">
        <f>_xlfn.TEXTJOIN(CHAR(10),TRUE,L2:L10)</f>
        <v>Model and input voltage:  Electrak XD, 24 Vdc 
Dynamic load capacity, speed and max. stroke length:  16 kN @ 25mm/s, 1000 mm 
Ordering stroke length:  150 mm
Electrak Modular Control System options:  CANOpen + open loop speed control (includes diagnostics, position feedback, overload indication plus static and dynamic force feedback)
Manual Brake Release and Override Option:  manual brake release and override
Rear adapter option:  force feedback sensor with 16 mm cross hole (4) (5)
Front adapter option:  M20 × 1.5 male thread
Adapter orientation:  standard
Mechanical shock load dampening:  16 mm forked cross hole</v>
      </c>
    </row>
    <row r="3" spans="1:14" ht="15.6" thickTop="1" thickBot="1" x14ac:dyDescent="0.35">
      <c r="A3" t="s">
        <v>53</v>
      </c>
      <c r="B3" t="s">
        <v>1</v>
      </c>
      <c r="C3" t="s">
        <v>188</v>
      </c>
      <c r="D3">
        <v>1</v>
      </c>
      <c r="E3">
        <v>1</v>
      </c>
      <c r="F3">
        <f t="shared" si="0"/>
        <v>4</v>
      </c>
      <c r="H3" s="2" t="str">
        <f>C4</f>
        <v>Dynamic load capacity, speed and max. stroke length</v>
      </c>
      <c r="I3" s="5" t="str" cm="1">
        <f t="array" ref="I3">INDEX(XD[Value],
_xlfn.XMATCH(
MID($I$1,_xlfn.XLOOKUP(H3,XD[Variable],XD[Index]),_xlfn.XLOOKUP(H3,XD[Variable],XD[Len])),XD[Code],,))</f>
        <v xml:space="preserve"> 16 kN @ 25mm/s, 1000 mm </v>
      </c>
      <c r="J3" s="2" t="str">
        <f>MID($I$1,_xlfn.XLOOKUP(H3,XD[Variable],XD[Index]),_xlfn.XLOOKUP(H3,XD[Variable],XD[Len]))</f>
        <v>B160-</v>
      </c>
      <c r="L3" t="str">
        <f t="shared" ref="L3:L10" si="1">H3&amp;": "&amp;I3</f>
        <v xml:space="preserve">Dynamic load capacity, speed and max. stroke length:  16 kN @ 25mm/s, 1000 mm </v>
      </c>
      <c r="M3" s="9" t="s">
        <v>204</v>
      </c>
    </row>
    <row r="4" spans="1:14" ht="15.6" thickTop="1" thickBot="1" x14ac:dyDescent="0.35">
      <c r="A4" t="s">
        <v>54</v>
      </c>
      <c r="B4" t="s">
        <v>2</v>
      </c>
      <c r="C4" t="s">
        <v>199</v>
      </c>
      <c r="D4">
        <v>2</v>
      </c>
      <c r="E4">
        <v>5</v>
      </c>
      <c r="F4">
        <f t="shared" si="0"/>
        <v>5</v>
      </c>
      <c r="H4" s="2" t="str">
        <f>C9</f>
        <v>Ordering stroke length</v>
      </c>
      <c r="I4" s="5" t="str" cm="1">
        <f t="array" ref="I4">INDEX(XD[Value],
_xlfn.XMATCH(
MID($I$1,_xlfn.XLOOKUP(H4,XD[Variable],XD[Index]),_xlfn.XLOOKUP(H4,XD[Variable],XD[Len])),XD[Code],,))</f>
        <v xml:space="preserve"> 150 mm</v>
      </c>
      <c r="J4" s="2" t="str">
        <f>MID($I$1,_xlfn.XLOOKUP(H4,XD[Variable],XD[Index]),_xlfn.XLOOKUP(H4,XD[Variable],XD[Len]))</f>
        <v>0150</v>
      </c>
      <c r="L4" t="str">
        <f t="shared" si="1"/>
        <v>Ordering stroke length:  150 mm</v>
      </c>
      <c r="M4" s="8" t="str">
        <f>TRIM("Lin Act "
&amp;TRIM(MID(I2,1,FIND(",",I2,1)-1))
&amp;" "
&amp;SUBSTITUTE(TRIM(MID(I2,
FIND(",",I2,1)+2,
((FIND("V",I2)-FIND(",",I2)-1))))," ","")
&amp;" "&amp;J5
&amp;" "&amp;SUBSTITUTE(TRIM(LEFT(I3,6))," ",""))
&amp;" "&amp;SUBSTITUTE(TRIM(I4)," ","")</f>
        <v>Lin Act Electrak XD 24V COO 16kN 150mm</v>
      </c>
      <c r="N4">
        <f>LEN(M4)</f>
        <v>38</v>
      </c>
    </row>
    <row r="5" spans="1:14" ht="15" thickTop="1" x14ac:dyDescent="0.3">
      <c r="A5" t="s">
        <v>55</v>
      </c>
      <c r="B5" t="s">
        <v>3</v>
      </c>
      <c r="C5" t="s">
        <v>199</v>
      </c>
      <c r="D5">
        <v>2</v>
      </c>
      <c r="E5">
        <v>5</v>
      </c>
      <c r="F5">
        <f t="shared" si="0"/>
        <v>5</v>
      </c>
      <c r="H5" s="2" t="str">
        <f>C31</f>
        <v>Electrak Modular Control System options</v>
      </c>
      <c r="I5" s="5" t="str" cm="1">
        <f t="array" ref="I5">INDEX(XD[Value],
_xlfn.XMATCH(
MID($I$1,_xlfn.XLOOKUP(H5,XD[Variable],XD[Index]),_xlfn.XLOOKUP(H5,XD[Variable],XD[Len])),XD[Code],,))</f>
        <v xml:space="preserve"> CANOpen + open loop speed control (includes diagnostics, position feedback, overload indication plus static and dynamic force feedback)</v>
      </c>
      <c r="J5" s="2" t="str">
        <f>MID($I$1,_xlfn.XLOOKUP(H5,XD[Variable],XD[Index]),_xlfn.XLOOKUP(H5,XD[Variable],XD[Len]))</f>
        <v>COO</v>
      </c>
      <c r="L5" t="str">
        <f t="shared" si="1"/>
        <v>Electrak Modular Control System options:  CANOpen + open loop speed control (includes diagnostics, position feedback, overload indication plus static and dynamic force feedback)</v>
      </c>
    </row>
    <row r="6" spans="1:14" x14ac:dyDescent="0.3">
      <c r="A6" t="s">
        <v>56</v>
      </c>
      <c r="B6" t="s">
        <v>4</v>
      </c>
      <c r="C6" t="s">
        <v>199</v>
      </c>
      <c r="D6">
        <v>2</v>
      </c>
      <c r="E6">
        <v>5</v>
      </c>
      <c r="F6">
        <f t="shared" si="0"/>
        <v>5</v>
      </c>
      <c r="H6" s="2" t="str">
        <f>C39</f>
        <v>Manual Brake Release and Override Option</v>
      </c>
      <c r="I6" s="5" t="str" cm="1">
        <f t="array" ref="I6">INDEX(XD[Value],
_xlfn.XMATCH(
MID($I$1,_xlfn.XLOOKUP(H6,XD[Variable],XD[Index]),_xlfn.XLOOKUP(H6,XD[Variable],XD[Len])),XD[Code],,))</f>
        <v xml:space="preserve"> manual brake release and override</v>
      </c>
      <c r="J6" s="2" t="str">
        <f>MID($I$1,_xlfn.XLOOKUP(H6,XD[Variable],XD[Index]),_xlfn.XLOOKUP(H6,XD[Variable],XD[Len]))</f>
        <v>R</v>
      </c>
      <c r="L6" t="str">
        <f t="shared" si="1"/>
        <v>Manual Brake Release and Override Option:  manual brake release and override</v>
      </c>
    </row>
    <row r="7" spans="1:14" x14ac:dyDescent="0.3">
      <c r="A7" t="s">
        <v>57</v>
      </c>
      <c r="B7" t="s">
        <v>5</v>
      </c>
      <c r="C7" t="s">
        <v>199</v>
      </c>
      <c r="D7">
        <v>2</v>
      </c>
      <c r="E7">
        <v>5</v>
      </c>
      <c r="F7">
        <f t="shared" si="0"/>
        <v>5</v>
      </c>
      <c r="H7" s="2" t="str">
        <f>C41</f>
        <v>Rear adapter option</v>
      </c>
      <c r="I7" s="5" t="str" cm="1">
        <f t="array" ref="I7">INDEX(XD[Value],
_xlfn.XMATCH(
MID($I$1,_xlfn.XLOOKUP(H7,XD[Variable],XD[Index]),_xlfn.XLOOKUP(H7,XD[Variable],XD[Len])),XD[Code],,))</f>
        <v xml:space="preserve"> force feedback sensor with 16 mm cross hole (4) (5)</v>
      </c>
      <c r="J7" s="2" t="str">
        <f>MID($I$1,_xlfn.XLOOKUP(H7,XD[Variable],XD[Index]),_xlfn.XLOOKUP(H7,XD[Variable],XD[Len]))</f>
        <v>K</v>
      </c>
      <c r="L7" t="str">
        <f t="shared" si="1"/>
        <v>Rear adapter option:  force feedback sensor with 16 mm cross hole (4) (5)</v>
      </c>
    </row>
    <row r="8" spans="1:14" x14ac:dyDescent="0.3">
      <c r="A8" t="s">
        <v>58</v>
      </c>
      <c r="B8" t="s">
        <v>6</v>
      </c>
      <c r="C8" t="s">
        <v>199</v>
      </c>
      <c r="D8">
        <v>2</v>
      </c>
      <c r="E8">
        <v>5</v>
      </c>
      <c r="F8">
        <f t="shared" si="0"/>
        <v>5</v>
      </c>
      <c r="H8" s="2" t="str">
        <f>C45</f>
        <v>Front adapter option</v>
      </c>
      <c r="I8" s="5" t="str" cm="1">
        <f t="array" ref="I8">INDEX(XD[Value],
_xlfn.XMATCH(
MID($I$1,_xlfn.XLOOKUP(H8,XD[Variable],XD[Index]),_xlfn.XLOOKUP(H8,XD[Variable],XD[Len])),XD[Code],,))</f>
        <v xml:space="preserve"> M20 × 1.5 male thread</v>
      </c>
      <c r="J8" s="2" t="str">
        <f>MID($I$1,_xlfn.XLOOKUP(H8,XD[Variable],XD[Index]),_xlfn.XLOOKUP(H8,XD[Variable],XD[Len]))</f>
        <v>H</v>
      </c>
      <c r="L8" t="str">
        <f t="shared" si="1"/>
        <v>Front adapter option:  M20 × 1.5 male thread</v>
      </c>
    </row>
    <row r="9" spans="1:14" x14ac:dyDescent="0.3">
      <c r="A9" s="1" t="s">
        <v>80</v>
      </c>
      <c r="B9" t="s">
        <v>7</v>
      </c>
      <c r="C9" t="s">
        <v>191</v>
      </c>
      <c r="D9">
        <v>3</v>
      </c>
      <c r="E9">
        <v>10</v>
      </c>
      <c r="F9">
        <f t="shared" si="0"/>
        <v>4</v>
      </c>
      <c r="H9" s="2" t="str">
        <f>C49</f>
        <v>Adapter orientation</v>
      </c>
      <c r="I9" s="5" t="str" cm="1">
        <f t="array" ref="I9">INDEX(XD[Value],
_xlfn.XMATCH(
MID($I$1,_xlfn.XLOOKUP(H9,XD[Variable],XD[Index]),_xlfn.XLOOKUP(H9,XD[Variable],XD[Len])),XD[Code],,))</f>
        <v xml:space="preserve"> standard</v>
      </c>
      <c r="J9" s="2" t="str">
        <f>MID($I$1,_xlfn.XLOOKUP(H9,XD[Variable],XD[Index]),_xlfn.XLOOKUP(H9,XD[Variable],XD[Len]))</f>
        <v>S</v>
      </c>
      <c r="L9" t="str">
        <f t="shared" si="1"/>
        <v>Adapter orientation:  standard</v>
      </c>
    </row>
    <row r="10" spans="1:14" x14ac:dyDescent="0.3">
      <c r="A10" s="1" t="s">
        <v>81</v>
      </c>
      <c r="B10" t="s">
        <v>8</v>
      </c>
      <c r="C10" t="s">
        <v>191</v>
      </c>
      <c r="D10">
        <v>3</v>
      </c>
      <c r="E10">
        <v>10</v>
      </c>
      <c r="F10">
        <f t="shared" si="0"/>
        <v>4</v>
      </c>
      <c r="H10" s="2" t="str">
        <f>C51</f>
        <v>Mechanical shock load dampening</v>
      </c>
      <c r="I10" s="5" t="str" cm="1">
        <f t="array" ref="I10">INDEX(XD[Value],
_xlfn.XMATCH(
MID($I$1,_xlfn.XLOOKUP(H10,XD[Variable],XD[Index]),_xlfn.XLOOKUP(H10,XD[Variable],XD[Len])),XD[Code],,))</f>
        <v xml:space="preserve"> 16 mm forked cross hole</v>
      </c>
      <c r="J10" s="2" t="str">
        <f>MID($I$1,_xlfn.XLOOKUP(H10,XD[Variable],XD[Index]),_xlfn.XLOOKUP(H10,XD[Variable],XD[Len]))</f>
        <v>N</v>
      </c>
      <c r="L10" t="str">
        <f t="shared" si="1"/>
        <v>Mechanical shock load dampening:  16 mm forked cross hole</v>
      </c>
    </row>
    <row r="11" spans="1:14" x14ac:dyDescent="0.3">
      <c r="A11" s="1" t="s">
        <v>82</v>
      </c>
      <c r="B11" t="s">
        <v>9</v>
      </c>
      <c r="C11" t="s">
        <v>191</v>
      </c>
      <c r="D11">
        <v>3</v>
      </c>
      <c r="E11">
        <v>10</v>
      </c>
      <c r="F11">
        <f t="shared" si="0"/>
        <v>4</v>
      </c>
    </row>
    <row r="12" spans="1:14" x14ac:dyDescent="0.3">
      <c r="A12" s="1" t="s">
        <v>83</v>
      </c>
      <c r="B12" t="s">
        <v>10</v>
      </c>
      <c r="C12" t="s">
        <v>191</v>
      </c>
      <c r="D12">
        <v>3</v>
      </c>
      <c r="E12">
        <v>10</v>
      </c>
      <c r="F12">
        <f t="shared" si="0"/>
        <v>4</v>
      </c>
    </row>
    <row r="13" spans="1:14" x14ac:dyDescent="0.3">
      <c r="A13" s="1" t="s">
        <v>84</v>
      </c>
      <c r="B13" t="s">
        <v>11</v>
      </c>
      <c r="C13" t="s">
        <v>191</v>
      </c>
      <c r="D13">
        <v>3</v>
      </c>
      <c r="E13">
        <v>10</v>
      </c>
      <c r="F13">
        <f t="shared" si="0"/>
        <v>4</v>
      </c>
    </row>
    <row r="14" spans="1:14" x14ac:dyDescent="0.3">
      <c r="A14" s="1" t="s">
        <v>85</v>
      </c>
      <c r="B14" t="s">
        <v>12</v>
      </c>
      <c r="C14" t="s">
        <v>191</v>
      </c>
      <c r="D14">
        <v>3</v>
      </c>
      <c r="E14">
        <v>10</v>
      </c>
      <c r="F14">
        <f t="shared" si="0"/>
        <v>4</v>
      </c>
    </row>
    <row r="15" spans="1:14" x14ac:dyDescent="0.3">
      <c r="A15" s="1" t="s">
        <v>86</v>
      </c>
      <c r="B15" t="s">
        <v>13</v>
      </c>
      <c r="C15" t="s">
        <v>191</v>
      </c>
      <c r="D15">
        <v>3</v>
      </c>
      <c r="E15">
        <v>10</v>
      </c>
      <c r="F15">
        <f t="shared" si="0"/>
        <v>4</v>
      </c>
    </row>
    <row r="16" spans="1:14" x14ac:dyDescent="0.3">
      <c r="A16" s="1" t="s">
        <v>87</v>
      </c>
      <c r="B16" t="s">
        <v>14</v>
      </c>
      <c r="C16" t="s">
        <v>191</v>
      </c>
      <c r="D16">
        <v>3</v>
      </c>
      <c r="E16">
        <v>10</v>
      </c>
      <c r="F16">
        <f t="shared" si="0"/>
        <v>4</v>
      </c>
    </row>
    <row r="17" spans="1:6" x14ac:dyDescent="0.3">
      <c r="A17" s="1" t="s">
        <v>88</v>
      </c>
      <c r="B17" t="s">
        <v>15</v>
      </c>
      <c r="C17" t="s">
        <v>191</v>
      </c>
      <c r="D17">
        <v>3</v>
      </c>
      <c r="E17">
        <v>10</v>
      </c>
      <c r="F17">
        <f t="shared" si="0"/>
        <v>4</v>
      </c>
    </row>
    <row r="18" spans="1:6" x14ac:dyDescent="0.3">
      <c r="A18" s="1" t="s">
        <v>89</v>
      </c>
      <c r="B18" t="s">
        <v>16</v>
      </c>
      <c r="C18" t="s">
        <v>191</v>
      </c>
      <c r="D18">
        <v>3</v>
      </c>
      <c r="E18">
        <v>10</v>
      </c>
      <c r="F18">
        <f t="shared" si="0"/>
        <v>4</v>
      </c>
    </row>
    <row r="19" spans="1:6" x14ac:dyDescent="0.3">
      <c r="A19" s="1" t="s">
        <v>90</v>
      </c>
      <c r="B19" t="s">
        <v>17</v>
      </c>
      <c r="C19" t="s">
        <v>191</v>
      </c>
      <c r="D19">
        <v>3</v>
      </c>
      <c r="E19">
        <v>10</v>
      </c>
      <c r="F19">
        <f t="shared" si="0"/>
        <v>4</v>
      </c>
    </row>
    <row r="20" spans="1:6" x14ac:dyDescent="0.3">
      <c r="A20" s="1" t="s">
        <v>91</v>
      </c>
      <c r="B20" t="s">
        <v>18</v>
      </c>
      <c r="C20" t="s">
        <v>191</v>
      </c>
      <c r="D20">
        <v>3</v>
      </c>
      <c r="E20">
        <v>10</v>
      </c>
      <c r="F20">
        <f t="shared" si="0"/>
        <v>4</v>
      </c>
    </row>
    <row r="21" spans="1:6" x14ac:dyDescent="0.3">
      <c r="A21" s="1" t="s">
        <v>92</v>
      </c>
      <c r="B21" t="s">
        <v>19</v>
      </c>
      <c r="C21" t="s">
        <v>191</v>
      </c>
      <c r="D21">
        <v>3</v>
      </c>
      <c r="E21">
        <v>10</v>
      </c>
      <c r="F21">
        <f t="shared" si="0"/>
        <v>4</v>
      </c>
    </row>
    <row r="22" spans="1:6" x14ac:dyDescent="0.3">
      <c r="A22" s="1" t="s">
        <v>93</v>
      </c>
      <c r="B22" t="s">
        <v>20</v>
      </c>
      <c r="C22" t="s">
        <v>191</v>
      </c>
      <c r="D22">
        <v>3</v>
      </c>
      <c r="E22">
        <v>10</v>
      </c>
      <c r="F22">
        <f t="shared" si="0"/>
        <v>4</v>
      </c>
    </row>
    <row r="23" spans="1:6" x14ac:dyDescent="0.3">
      <c r="A23" s="1" t="s">
        <v>94</v>
      </c>
      <c r="B23" t="s">
        <v>21</v>
      </c>
      <c r="C23" t="s">
        <v>191</v>
      </c>
      <c r="D23">
        <v>3</v>
      </c>
      <c r="E23">
        <v>10</v>
      </c>
      <c r="F23">
        <f t="shared" si="0"/>
        <v>4</v>
      </c>
    </row>
    <row r="24" spans="1:6" x14ac:dyDescent="0.3">
      <c r="A24" s="1" t="s">
        <v>95</v>
      </c>
      <c r="B24" t="s">
        <v>22</v>
      </c>
      <c r="C24" t="s">
        <v>191</v>
      </c>
      <c r="D24">
        <v>3</v>
      </c>
      <c r="E24">
        <v>10</v>
      </c>
      <c r="F24">
        <f t="shared" si="0"/>
        <v>4</v>
      </c>
    </row>
    <row r="25" spans="1:6" x14ac:dyDescent="0.3">
      <c r="A25" s="1" t="s">
        <v>96</v>
      </c>
      <c r="B25" t="s">
        <v>23</v>
      </c>
      <c r="C25" t="s">
        <v>191</v>
      </c>
      <c r="D25">
        <v>3</v>
      </c>
      <c r="E25">
        <v>10</v>
      </c>
      <c r="F25">
        <f t="shared" si="0"/>
        <v>4</v>
      </c>
    </row>
    <row r="26" spans="1:6" x14ac:dyDescent="0.3">
      <c r="A26" s="1" t="s">
        <v>59</v>
      </c>
      <c r="B26" t="s">
        <v>24</v>
      </c>
      <c r="C26" t="s">
        <v>191</v>
      </c>
      <c r="D26">
        <v>3</v>
      </c>
      <c r="E26">
        <v>10</v>
      </c>
      <c r="F26">
        <f t="shared" si="0"/>
        <v>4</v>
      </c>
    </row>
    <row r="27" spans="1:6" x14ac:dyDescent="0.3">
      <c r="A27" s="1" t="s">
        <v>60</v>
      </c>
      <c r="B27" t="s">
        <v>25</v>
      </c>
      <c r="C27" t="s">
        <v>191</v>
      </c>
      <c r="D27">
        <v>3</v>
      </c>
      <c r="E27">
        <v>10</v>
      </c>
      <c r="F27">
        <f t="shared" si="0"/>
        <v>4</v>
      </c>
    </row>
    <row r="28" spans="1:6" x14ac:dyDescent="0.3">
      <c r="A28" s="1" t="s">
        <v>61</v>
      </c>
      <c r="B28" t="s">
        <v>26</v>
      </c>
      <c r="C28" t="s">
        <v>191</v>
      </c>
      <c r="D28">
        <v>3</v>
      </c>
      <c r="E28">
        <v>10</v>
      </c>
      <c r="F28">
        <f t="shared" si="0"/>
        <v>4</v>
      </c>
    </row>
    <row r="29" spans="1:6" x14ac:dyDescent="0.3">
      <c r="A29" s="1" t="s">
        <v>62</v>
      </c>
      <c r="B29" t="s">
        <v>27</v>
      </c>
      <c r="C29" t="s">
        <v>191</v>
      </c>
      <c r="D29">
        <v>3</v>
      </c>
      <c r="E29">
        <v>10</v>
      </c>
      <c r="F29">
        <f t="shared" si="0"/>
        <v>4</v>
      </c>
    </row>
    <row r="30" spans="1:6" x14ac:dyDescent="0.3">
      <c r="A30" s="1" t="s">
        <v>63</v>
      </c>
      <c r="B30" t="s">
        <v>28</v>
      </c>
      <c r="C30" t="s">
        <v>191</v>
      </c>
      <c r="D30">
        <v>3</v>
      </c>
      <c r="E30">
        <v>10</v>
      </c>
      <c r="F30">
        <f t="shared" si="0"/>
        <v>4</v>
      </c>
    </row>
    <row r="31" spans="1:6" x14ac:dyDescent="0.3">
      <c r="A31" t="s">
        <v>64</v>
      </c>
      <c r="B31" t="s">
        <v>29</v>
      </c>
      <c r="C31" t="s">
        <v>189</v>
      </c>
      <c r="D31">
        <v>4</v>
      </c>
      <c r="E31">
        <v>14</v>
      </c>
      <c r="F31">
        <f t="shared" si="0"/>
        <v>3</v>
      </c>
    </row>
    <row r="32" spans="1:6" x14ac:dyDescent="0.3">
      <c r="A32" t="s">
        <v>65</v>
      </c>
      <c r="B32" t="s">
        <v>30</v>
      </c>
      <c r="C32" t="s">
        <v>189</v>
      </c>
      <c r="D32">
        <v>4</v>
      </c>
      <c r="E32">
        <v>14</v>
      </c>
      <c r="F32">
        <f t="shared" si="0"/>
        <v>3</v>
      </c>
    </row>
    <row r="33" spans="1:6" x14ac:dyDescent="0.3">
      <c r="A33" t="s">
        <v>66</v>
      </c>
      <c r="B33" t="s">
        <v>31</v>
      </c>
      <c r="C33" t="s">
        <v>189</v>
      </c>
      <c r="D33">
        <v>4</v>
      </c>
      <c r="E33">
        <v>14</v>
      </c>
      <c r="F33">
        <f t="shared" si="0"/>
        <v>3</v>
      </c>
    </row>
    <row r="34" spans="1:6" x14ac:dyDescent="0.3">
      <c r="A34" t="s">
        <v>67</v>
      </c>
      <c r="B34" t="s">
        <v>32</v>
      </c>
      <c r="C34" t="s">
        <v>189</v>
      </c>
      <c r="D34">
        <v>4</v>
      </c>
      <c r="E34">
        <v>14</v>
      </c>
      <c r="F34">
        <f t="shared" ref="F34:F52" si="2">LEN(A34)</f>
        <v>3</v>
      </c>
    </row>
    <row r="35" spans="1:6" x14ac:dyDescent="0.3">
      <c r="A35" t="s">
        <v>68</v>
      </c>
      <c r="B35" t="s">
        <v>33</v>
      </c>
      <c r="C35" t="s">
        <v>189</v>
      </c>
      <c r="D35">
        <v>4</v>
      </c>
      <c r="E35">
        <v>14</v>
      </c>
      <c r="F35">
        <f t="shared" si="2"/>
        <v>3</v>
      </c>
    </row>
    <row r="36" spans="1:6" x14ac:dyDescent="0.3">
      <c r="A36" t="s">
        <v>69</v>
      </c>
      <c r="B36" t="s">
        <v>34</v>
      </c>
      <c r="C36" t="s">
        <v>189</v>
      </c>
      <c r="D36">
        <v>4</v>
      </c>
      <c r="E36">
        <v>14</v>
      </c>
      <c r="F36">
        <f t="shared" si="2"/>
        <v>3</v>
      </c>
    </row>
    <row r="37" spans="1:6" x14ac:dyDescent="0.3">
      <c r="A37" t="s">
        <v>70</v>
      </c>
      <c r="B37" t="s">
        <v>35</v>
      </c>
      <c r="C37" t="s">
        <v>189</v>
      </c>
      <c r="D37">
        <v>4</v>
      </c>
      <c r="E37">
        <v>14</v>
      </c>
      <c r="F37">
        <f t="shared" si="2"/>
        <v>3</v>
      </c>
    </row>
    <row r="38" spans="1:6" x14ac:dyDescent="0.3">
      <c r="A38" t="s">
        <v>71</v>
      </c>
      <c r="B38" t="s">
        <v>36</v>
      </c>
      <c r="C38" t="s">
        <v>189</v>
      </c>
      <c r="D38">
        <v>4</v>
      </c>
      <c r="E38">
        <v>14</v>
      </c>
      <c r="F38">
        <f t="shared" si="2"/>
        <v>3</v>
      </c>
    </row>
    <row r="39" spans="1:6" x14ac:dyDescent="0.3">
      <c r="A39" t="s">
        <v>98</v>
      </c>
      <c r="B39" t="s">
        <v>37</v>
      </c>
      <c r="C39" t="s">
        <v>200</v>
      </c>
      <c r="D39">
        <v>5</v>
      </c>
      <c r="E39">
        <v>17</v>
      </c>
      <c r="F39">
        <f t="shared" si="2"/>
        <v>1</v>
      </c>
    </row>
    <row r="40" spans="1:6" x14ac:dyDescent="0.3">
      <c r="A40" t="s">
        <v>72</v>
      </c>
      <c r="B40" t="s">
        <v>38</v>
      </c>
      <c r="C40" t="s">
        <v>200</v>
      </c>
      <c r="D40">
        <v>5</v>
      </c>
      <c r="E40">
        <v>17</v>
      </c>
      <c r="F40">
        <f t="shared" si="2"/>
        <v>1</v>
      </c>
    </row>
    <row r="41" spans="1:6" x14ac:dyDescent="0.3">
      <c r="A41" t="s">
        <v>73</v>
      </c>
      <c r="B41" t="s">
        <v>39</v>
      </c>
      <c r="C41" t="s">
        <v>201</v>
      </c>
      <c r="D41">
        <v>6</v>
      </c>
      <c r="E41">
        <v>18</v>
      </c>
      <c r="F41">
        <f t="shared" si="2"/>
        <v>1</v>
      </c>
    </row>
    <row r="42" spans="1:6" x14ac:dyDescent="0.3">
      <c r="A42" t="s">
        <v>74</v>
      </c>
      <c r="B42" t="s">
        <v>40</v>
      </c>
      <c r="C42" t="s">
        <v>201</v>
      </c>
      <c r="D42">
        <v>6</v>
      </c>
      <c r="E42">
        <v>18</v>
      </c>
      <c r="F42">
        <f t="shared" si="2"/>
        <v>1</v>
      </c>
    </row>
    <row r="43" spans="1:6" x14ac:dyDescent="0.3">
      <c r="A43" t="s">
        <v>75</v>
      </c>
      <c r="B43" t="s">
        <v>41</v>
      </c>
      <c r="C43" t="s">
        <v>201</v>
      </c>
      <c r="D43">
        <v>6</v>
      </c>
      <c r="E43">
        <v>18</v>
      </c>
      <c r="F43">
        <f t="shared" si="2"/>
        <v>1</v>
      </c>
    </row>
    <row r="44" spans="1:6" x14ac:dyDescent="0.3">
      <c r="A44" t="s">
        <v>76</v>
      </c>
      <c r="B44" t="s">
        <v>42</v>
      </c>
      <c r="C44" t="s">
        <v>201</v>
      </c>
      <c r="D44">
        <v>6</v>
      </c>
      <c r="E44">
        <v>18</v>
      </c>
      <c r="F44">
        <f t="shared" si="2"/>
        <v>1</v>
      </c>
    </row>
    <row r="45" spans="1:6" x14ac:dyDescent="0.3">
      <c r="A45" t="s">
        <v>73</v>
      </c>
      <c r="B45" t="s">
        <v>39</v>
      </c>
      <c r="C45" t="s">
        <v>202</v>
      </c>
      <c r="D45">
        <v>7</v>
      </c>
      <c r="E45">
        <v>19</v>
      </c>
      <c r="F45">
        <f t="shared" si="2"/>
        <v>1</v>
      </c>
    </row>
    <row r="46" spans="1:6" x14ac:dyDescent="0.3">
      <c r="A46" t="s">
        <v>74</v>
      </c>
      <c r="B46" t="s">
        <v>40</v>
      </c>
      <c r="C46" t="s">
        <v>202</v>
      </c>
      <c r="D46">
        <v>7</v>
      </c>
      <c r="E46">
        <v>19</v>
      </c>
      <c r="F46">
        <f t="shared" si="2"/>
        <v>1</v>
      </c>
    </row>
    <row r="47" spans="1:6" x14ac:dyDescent="0.3">
      <c r="A47" t="s">
        <v>75</v>
      </c>
      <c r="B47" t="s">
        <v>41</v>
      </c>
      <c r="C47" t="s">
        <v>202</v>
      </c>
      <c r="D47">
        <v>7</v>
      </c>
      <c r="E47">
        <v>19</v>
      </c>
      <c r="F47">
        <f t="shared" si="2"/>
        <v>1</v>
      </c>
    </row>
    <row r="48" spans="1:6" x14ac:dyDescent="0.3">
      <c r="A48" t="s">
        <v>77</v>
      </c>
      <c r="B48" t="s">
        <v>43</v>
      </c>
      <c r="C48" t="s">
        <v>202</v>
      </c>
      <c r="D48">
        <v>7</v>
      </c>
      <c r="E48">
        <v>19</v>
      </c>
      <c r="F48">
        <f t="shared" si="2"/>
        <v>1</v>
      </c>
    </row>
    <row r="49" spans="1:6" x14ac:dyDescent="0.3">
      <c r="A49" t="s">
        <v>78</v>
      </c>
      <c r="B49" t="s">
        <v>44</v>
      </c>
      <c r="C49" t="s">
        <v>195</v>
      </c>
      <c r="D49">
        <v>8</v>
      </c>
      <c r="E49">
        <v>20</v>
      </c>
      <c r="F49">
        <f t="shared" si="2"/>
        <v>1</v>
      </c>
    </row>
    <row r="50" spans="1:6" x14ac:dyDescent="0.3">
      <c r="A50" t="s">
        <v>73</v>
      </c>
      <c r="B50" t="s">
        <v>45</v>
      </c>
      <c r="C50" t="s">
        <v>195</v>
      </c>
      <c r="D50">
        <v>8</v>
      </c>
      <c r="E50">
        <v>20</v>
      </c>
      <c r="F50">
        <f t="shared" si="2"/>
        <v>1</v>
      </c>
    </row>
    <row r="51" spans="1:6" x14ac:dyDescent="0.3">
      <c r="A51" t="s">
        <v>74</v>
      </c>
      <c r="B51" t="s">
        <v>46</v>
      </c>
      <c r="C51" t="s">
        <v>203</v>
      </c>
      <c r="D51">
        <v>9</v>
      </c>
      <c r="E51">
        <v>21</v>
      </c>
      <c r="F51">
        <f t="shared" si="2"/>
        <v>1</v>
      </c>
    </row>
    <row r="52" spans="1:6" x14ac:dyDescent="0.3">
      <c r="A52" t="s">
        <v>73</v>
      </c>
      <c r="B52" t="s">
        <v>47</v>
      </c>
      <c r="C52" t="s">
        <v>203</v>
      </c>
      <c r="D52">
        <v>9</v>
      </c>
      <c r="E52">
        <v>21</v>
      </c>
      <c r="F52">
        <f t="shared" si="2"/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EB81-6DE2-4B74-ACA7-1008E927916A}">
  <sheetPr>
    <tabColor rgb="FF92D050"/>
  </sheetPr>
  <dimension ref="A1:O60"/>
  <sheetViews>
    <sheetView topLeftCell="B1" zoomScale="130" zoomScaleNormal="130" workbookViewId="0">
      <selection activeCell="I15" sqref="I15"/>
    </sheetView>
  </sheetViews>
  <sheetFormatPr defaultRowHeight="14.4" x14ac:dyDescent="0.3"/>
  <cols>
    <col min="1" max="1" width="34.33203125" bestFit="1" customWidth="1"/>
    <col min="2" max="2" width="42.109375" bestFit="1" customWidth="1"/>
    <col min="3" max="3" width="39.44140625" bestFit="1" customWidth="1"/>
    <col min="4" max="4" width="9.5546875" customWidth="1"/>
    <col min="8" max="8" width="39.44140625" bestFit="1" customWidth="1"/>
    <col min="9" max="9" width="41.109375" bestFit="1" customWidth="1"/>
    <col min="12" max="12" width="81.44140625" hidden="1" customWidth="1"/>
    <col min="14" max="14" width="43" customWidth="1"/>
  </cols>
  <sheetData>
    <row r="1" spans="1:15" ht="15" thickBot="1" x14ac:dyDescent="0.35">
      <c r="A1" t="s">
        <v>49</v>
      </c>
      <c r="B1" t="s">
        <v>50</v>
      </c>
      <c r="C1" t="s">
        <v>97</v>
      </c>
      <c r="D1" t="s">
        <v>51</v>
      </c>
      <c r="E1" t="s">
        <v>48</v>
      </c>
      <c r="F1" t="s">
        <v>79</v>
      </c>
      <c r="H1" s="3" t="s">
        <v>99</v>
      </c>
      <c r="I1" s="7" t="s">
        <v>181</v>
      </c>
      <c r="J1" s="3" t="s">
        <v>49</v>
      </c>
      <c r="L1" t="s">
        <v>197</v>
      </c>
      <c r="N1" s="9" t="s">
        <v>198</v>
      </c>
    </row>
    <row r="2" spans="1:15" ht="14.25" customHeight="1" thickTop="1" thickBot="1" x14ac:dyDescent="0.35">
      <c r="A2" s="6" t="s">
        <v>104</v>
      </c>
      <c r="B2" t="s">
        <v>127</v>
      </c>
      <c r="C2" t="s">
        <v>188</v>
      </c>
      <c r="D2" t="s">
        <v>101</v>
      </c>
      <c r="E2">
        <v>1</v>
      </c>
      <c r="F2">
        <f t="shared" ref="F2:F33" si="0">LEN(A2)</f>
        <v>4</v>
      </c>
      <c r="H2" s="2" t="str">
        <f>HD[[#This Row],[Variable]]</f>
        <v>Model and input voltage</v>
      </c>
      <c r="I2" s="2" t="str" cm="1">
        <f t="array" ref="I2">INDEX(HD[Value],_xlfn.XMATCH(J2,HD[Code]))</f>
        <v>Electrak HD, 24 Vdc</v>
      </c>
      <c r="J2" s="2" t="str">
        <f>MID($I$1,_xlfn.XLOOKUP(H2,HD[Variable],HD[Index]),_xlfn.XLOOKUP(H2,HD[Variable],HD[Len]))</f>
        <v>HD24</v>
      </c>
      <c r="L2" t="str">
        <f>H2&amp;": "&amp;I2</f>
        <v>Model and input voltage: Electrak HD, 24 Vdc</v>
      </c>
      <c r="N2" s="10" t="str">
        <f>_xlfn.TEXTJOIN(CHAR(10),TRUE,L2:L10)</f>
        <v xml:space="preserve">Model and input voltage: Electrak HD, 24 Vdc
Screw type, dynamic load capacity: ball screw, 2.6 kN (585 lbf)
Ordering stroke length: 100 mm
Electrak Modular Control System options: EXX + end-of-stroke indication output
Cable length: 1.5 m long cables
Rear adapter/mounting flange options: forked cross hole for 12 mm pin
Front adapter options: metric M12 female thread
Adapter orientation: standard
Connection options: </v>
      </c>
    </row>
    <row r="3" spans="1:15" ht="15.6" thickTop="1" thickBot="1" x14ac:dyDescent="0.35">
      <c r="A3" s="6" t="s">
        <v>109</v>
      </c>
      <c r="B3" t="s">
        <v>128</v>
      </c>
      <c r="C3" t="s">
        <v>188</v>
      </c>
      <c r="D3" t="s">
        <v>101</v>
      </c>
      <c r="E3">
        <v>1</v>
      </c>
      <c r="F3">
        <f t="shared" si="0"/>
        <v>4</v>
      </c>
      <c r="H3" s="2" t="str">
        <f>C5</f>
        <v>Screw type, dynamic load capacity</v>
      </c>
      <c r="I3" s="2" t="str" cm="1">
        <f t="array" ref="I3">INDEX(HD[Value],_xlfn.XMATCH(J3,HD[Code]))</f>
        <v>ball screw, 2.6 kN (585 lbf)</v>
      </c>
      <c r="J3" s="2" t="str">
        <f>MID($I$1,_xlfn.XLOOKUP(H3,HD[Variable],HD[Index]),_xlfn.XLOOKUP(H3,HD[Variable],HD[Len]))</f>
        <v>B026-</v>
      </c>
      <c r="L3" t="str">
        <f t="shared" ref="L3:L10" si="1">H3&amp;": "&amp;I3</f>
        <v>Screw type, dynamic load capacity: ball screw, 2.6 kN (585 lbf)</v>
      </c>
      <c r="N3" s="9" t="s">
        <v>204</v>
      </c>
    </row>
    <row r="4" spans="1:15" ht="15.6" thickTop="1" thickBot="1" x14ac:dyDescent="0.35">
      <c r="A4" s="4" t="s">
        <v>125</v>
      </c>
      <c r="B4" t="s">
        <v>126</v>
      </c>
      <c r="C4" t="s">
        <v>188</v>
      </c>
      <c r="D4" t="s">
        <v>101</v>
      </c>
      <c r="E4">
        <v>1</v>
      </c>
      <c r="F4">
        <f t="shared" si="0"/>
        <v>4</v>
      </c>
      <c r="H4" s="2" t="str">
        <f>C11</f>
        <v>Ordering stroke length</v>
      </c>
      <c r="I4" s="2" t="str" cm="1">
        <f t="array" ref="I4">INDEX(HD[Value],_xlfn.XMATCH(J4,HD[Code]))</f>
        <v>100 mm</v>
      </c>
      <c r="J4" s="2" t="str">
        <f>MID($I$1,_xlfn.XLOOKUP(H4,HD[Variable],HD[Index]),_xlfn.XLOOKUP(H4,HD[Variable],HD[Len]))</f>
        <v>0100</v>
      </c>
      <c r="L4" t="str">
        <f t="shared" si="1"/>
        <v>Ordering stroke length: 100 mm</v>
      </c>
      <c r="N4" s="10" t="str">
        <f>TRIM("Lin Act "
&amp;TRIM(MID(I2,1,FIND(",",I2,1)-1))
&amp;" "
&amp;SUBSTITUTE(TRIM(MID(I2,
FIND(",",I2,1)+2,
((FIND("V",I2)-FIND(",",I2)-1))))," ","")
&amp;" "&amp;J5
&amp;" "&amp;SUBSTITUTE(TRIM(
MID(I3,
FIND("N",I3)-5,6)
)," ","")
&amp;" "&amp;SUBSTITUTE(TRIM(I4)," ",""))</f>
        <v>Lin Act Electrak HD 24V ELX 2.6kN 100mm</v>
      </c>
      <c r="O4">
        <f>LEN(N4)</f>
        <v>39</v>
      </c>
    </row>
    <row r="5" spans="1:15" ht="15" thickTop="1" x14ac:dyDescent="0.3">
      <c r="A5" s="6" t="s">
        <v>110</v>
      </c>
      <c r="B5" t="s">
        <v>129</v>
      </c>
      <c r="C5" t="s">
        <v>190</v>
      </c>
      <c r="D5" t="s">
        <v>102</v>
      </c>
      <c r="E5">
        <f>IF(D5=D3,E3,
(E3+F3)
)</f>
        <v>5</v>
      </c>
      <c r="F5">
        <f t="shared" si="0"/>
        <v>5</v>
      </c>
      <c r="H5" s="2" t="str">
        <f>C31</f>
        <v>Electrak Modular Control System options</v>
      </c>
      <c r="I5" s="2" t="str" cm="1">
        <f t="array" ref="I5">INDEX(HD[Value],_xlfn.XMATCH(J5,HD[Code]))</f>
        <v>EXX + end-of-stroke indication output</v>
      </c>
      <c r="J5" s="2" t="str">
        <f>MID($I$1,_xlfn.XLOOKUP(H5,HD[Variable],HD[Index]),_xlfn.XLOOKUP(H5,HD[Variable],HD[Len]))</f>
        <v>ELX</v>
      </c>
      <c r="L5" t="str">
        <f t="shared" si="1"/>
        <v>Electrak Modular Control System options: EXX + end-of-stroke indication output</v>
      </c>
    </row>
    <row r="6" spans="1:15" x14ac:dyDescent="0.3">
      <c r="A6" s="6" t="s">
        <v>105</v>
      </c>
      <c r="B6" t="s">
        <v>130</v>
      </c>
      <c r="C6" t="s">
        <v>190</v>
      </c>
      <c r="D6" t="s">
        <v>102</v>
      </c>
      <c r="E6">
        <f t="shared" ref="E6:E60" si="2">IF(D6=D5,E5,
(E5+F5)
)</f>
        <v>5</v>
      </c>
      <c r="F6">
        <f t="shared" si="0"/>
        <v>5</v>
      </c>
      <c r="H6" s="2" t="str">
        <f>C43</f>
        <v>Cable length</v>
      </c>
      <c r="I6" s="2" t="str" cm="1">
        <f t="array" ref="I6">INDEX(HD[Value],_xlfn.XMATCH(J6,HD[Code]))</f>
        <v>1.5 m long cables</v>
      </c>
      <c r="J6" s="2" t="str">
        <f>MID($I$1,_xlfn.XLOOKUP(H6,HD[Variable],HD[Index]),_xlfn.XLOOKUP(H6,HD[Variable],HD[Len]))</f>
        <v>2</v>
      </c>
      <c r="L6" t="str">
        <f t="shared" si="1"/>
        <v>Cable length: 1.5 m long cables</v>
      </c>
    </row>
    <row r="7" spans="1:15" x14ac:dyDescent="0.3">
      <c r="A7" s="6" t="s">
        <v>111</v>
      </c>
      <c r="B7" t="s">
        <v>131</v>
      </c>
      <c r="C7" t="s">
        <v>190</v>
      </c>
      <c r="D7" t="s">
        <v>102</v>
      </c>
      <c r="E7">
        <f t="shared" si="2"/>
        <v>5</v>
      </c>
      <c r="F7">
        <f t="shared" si="0"/>
        <v>5</v>
      </c>
      <c r="H7" s="2" t="str">
        <f>C46</f>
        <v>Rear adapter/mounting flange options</v>
      </c>
      <c r="I7" s="2" t="str" cm="1">
        <f t="array" ref="I7">INDEX(HD[Value],_xlfn.XMATCH(J7,HD[Code]))</f>
        <v>forked cross hole for 12 mm pin</v>
      </c>
      <c r="J7" s="2" t="str">
        <f>MID($I$1,_xlfn.XLOOKUP(H7,HD[Variable],HD[Index]),_xlfn.XLOOKUP(H7,HD[Variable],HD[Len]))</f>
        <v>N</v>
      </c>
      <c r="L7" t="str">
        <f t="shared" si="1"/>
        <v>Rear adapter/mounting flange options: forked cross hole for 12 mm pin</v>
      </c>
    </row>
    <row r="8" spans="1:15" x14ac:dyDescent="0.3">
      <c r="A8" s="6" t="s">
        <v>112</v>
      </c>
      <c r="B8" t="s">
        <v>132</v>
      </c>
      <c r="C8" t="s">
        <v>190</v>
      </c>
      <c r="D8" t="s">
        <v>102</v>
      </c>
      <c r="E8">
        <f t="shared" si="2"/>
        <v>5</v>
      </c>
      <c r="F8">
        <f t="shared" si="0"/>
        <v>5</v>
      </c>
      <c r="H8" s="2" t="str">
        <f>C52</f>
        <v>Front adapter options</v>
      </c>
      <c r="I8" s="2" t="str" cm="1">
        <f t="array" ref="I8">INDEX(HD[Value],_xlfn.XMATCH(J8,HD[Code]))</f>
        <v>metric M12 female thread</v>
      </c>
      <c r="J8" s="2" t="str">
        <f>MID($I$1,_xlfn.XLOOKUP(H8,HD[Variable],HD[Index]),_xlfn.XLOOKUP(H8,HD[Variable],HD[Len]))</f>
        <v>P</v>
      </c>
      <c r="L8" t="str">
        <f t="shared" si="1"/>
        <v>Front adapter options: metric M12 female thread</v>
      </c>
    </row>
    <row r="9" spans="1:15" x14ac:dyDescent="0.3">
      <c r="A9" s="6" t="s">
        <v>113</v>
      </c>
      <c r="B9" t="s">
        <v>133</v>
      </c>
      <c r="C9" t="s">
        <v>190</v>
      </c>
      <c r="D9" t="s">
        <v>102</v>
      </c>
      <c r="E9">
        <f t="shared" si="2"/>
        <v>5</v>
      </c>
      <c r="F9">
        <f t="shared" si="0"/>
        <v>5</v>
      </c>
      <c r="H9" s="2" t="str">
        <f>C58</f>
        <v>Adapter orientation</v>
      </c>
      <c r="I9" s="2" t="str" cm="1">
        <f t="array" ref="I9">INDEX(HD[Value],_xlfn.XMATCH(J9,HD[Code]))</f>
        <v>standard</v>
      </c>
      <c r="J9" s="2" t="str">
        <f>MID($I$1,_xlfn.XLOOKUP(H9,HD[Variable],HD[Index]),_xlfn.XLOOKUP(H9,HD[Variable],HD[Len]))</f>
        <v>S</v>
      </c>
      <c r="L9" t="str">
        <f t="shared" si="1"/>
        <v>Adapter orientation: standard</v>
      </c>
    </row>
    <row r="10" spans="1:15" x14ac:dyDescent="0.3">
      <c r="A10" s="6" t="s">
        <v>56</v>
      </c>
      <c r="B10" t="s">
        <v>134</v>
      </c>
      <c r="C10" t="s">
        <v>190</v>
      </c>
      <c r="D10" t="s">
        <v>102</v>
      </c>
      <c r="E10">
        <f t="shared" si="2"/>
        <v>5</v>
      </c>
      <c r="F10">
        <f t="shared" si="0"/>
        <v>5</v>
      </c>
      <c r="H10" s="2" t="str">
        <f>C60</f>
        <v>Connection options</v>
      </c>
      <c r="I10" s="2" t="str" cm="1">
        <f t="array" ref="I10">IF(J10=A60,INDEX(HD[Value],_xlfn.XMATCH(J10,HD[Code])),"")</f>
        <v/>
      </c>
      <c r="J10" s="2" t="str">
        <f>MID($I$1,_xlfn.XLOOKUP(H10,HD[Variable],HD[Index]),_xlfn.XLOOKUP(H10,HD[Variable],HD[Len]))</f>
        <v/>
      </c>
      <c r="L10" t="str">
        <f t="shared" si="1"/>
        <v xml:space="preserve">Connection options: </v>
      </c>
    </row>
    <row r="11" spans="1:15" x14ac:dyDescent="0.3">
      <c r="A11" s="6" t="s">
        <v>107</v>
      </c>
      <c r="B11" t="s">
        <v>135</v>
      </c>
      <c r="C11" t="s">
        <v>191</v>
      </c>
      <c r="D11" t="s">
        <v>103</v>
      </c>
      <c r="E11">
        <f t="shared" si="2"/>
        <v>10</v>
      </c>
      <c r="F11">
        <f t="shared" si="0"/>
        <v>4</v>
      </c>
    </row>
    <row r="12" spans="1:15" x14ac:dyDescent="0.3">
      <c r="A12" s="6" t="s">
        <v>80</v>
      </c>
      <c r="B12" t="s">
        <v>136</v>
      </c>
      <c r="C12" t="s">
        <v>191</v>
      </c>
      <c r="D12" t="s">
        <v>103</v>
      </c>
      <c r="E12">
        <f t="shared" si="2"/>
        <v>10</v>
      </c>
      <c r="F12">
        <f t="shared" si="0"/>
        <v>4</v>
      </c>
    </row>
    <row r="13" spans="1:15" x14ac:dyDescent="0.3">
      <c r="A13" s="6" t="s">
        <v>81</v>
      </c>
      <c r="B13" t="s">
        <v>137</v>
      </c>
      <c r="C13" t="s">
        <v>191</v>
      </c>
      <c r="D13" t="s">
        <v>103</v>
      </c>
      <c r="E13">
        <f t="shared" si="2"/>
        <v>10</v>
      </c>
      <c r="F13">
        <f t="shared" si="0"/>
        <v>4</v>
      </c>
    </row>
    <row r="14" spans="1:15" x14ac:dyDescent="0.3">
      <c r="A14" s="6" t="s">
        <v>82</v>
      </c>
      <c r="B14" t="s">
        <v>138</v>
      </c>
      <c r="C14" t="s">
        <v>191</v>
      </c>
      <c r="D14" t="s">
        <v>103</v>
      </c>
      <c r="E14">
        <f t="shared" si="2"/>
        <v>10</v>
      </c>
      <c r="F14">
        <f t="shared" si="0"/>
        <v>4</v>
      </c>
    </row>
    <row r="15" spans="1:15" x14ac:dyDescent="0.3">
      <c r="A15" s="6" t="s">
        <v>83</v>
      </c>
      <c r="B15" t="s">
        <v>139</v>
      </c>
      <c r="C15" t="s">
        <v>191</v>
      </c>
      <c r="D15" t="s">
        <v>103</v>
      </c>
      <c r="E15">
        <f t="shared" si="2"/>
        <v>10</v>
      </c>
      <c r="F15">
        <f t="shared" si="0"/>
        <v>4</v>
      </c>
    </row>
    <row r="16" spans="1:15" x14ac:dyDescent="0.3">
      <c r="A16" s="6" t="s">
        <v>84</v>
      </c>
      <c r="B16" t="s">
        <v>140</v>
      </c>
      <c r="C16" t="s">
        <v>191</v>
      </c>
      <c r="D16" t="s">
        <v>103</v>
      </c>
      <c r="E16">
        <f t="shared" si="2"/>
        <v>10</v>
      </c>
      <c r="F16">
        <f t="shared" si="0"/>
        <v>4</v>
      </c>
    </row>
    <row r="17" spans="1:6" x14ac:dyDescent="0.3">
      <c r="A17" s="6" t="s">
        <v>85</v>
      </c>
      <c r="B17" t="s">
        <v>141</v>
      </c>
      <c r="C17" t="s">
        <v>191</v>
      </c>
      <c r="D17" t="s">
        <v>103</v>
      </c>
      <c r="E17">
        <f t="shared" si="2"/>
        <v>10</v>
      </c>
      <c r="F17">
        <f t="shared" si="0"/>
        <v>4</v>
      </c>
    </row>
    <row r="18" spans="1:6" x14ac:dyDescent="0.3">
      <c r="A18" s="6" t="s">
        <v>86</v>
      </c>
      <c r="B18" t="s">
        <v>142</v>
      </c>
      <c r="C18" t="s">
        <v>191</v>
      </c>
      <c r="D18" t="s">
        <v>103</v>
      </c>
      <c r="E18">
        <f t="shared" si="2"/>
        <v>10</v>
      </c>
      <c r="F18">
        <f t="shared" si="0"/>
        <v>4</v>
      </c>
    </row>
    <row r="19" spans="1:6" x14ac:dyDescent="0.3">
      <c r="A19" s="6" t="s">
        <v>87</v>
      </c>
      <c r="B19" t="s">
        <v>143</v>
      </c>
      <c r="C19" t="s">
        <v>191</v>
      </c>
      <c r="D19" t="s">
        <v>103</v>
      </c>
      <c r="E19">
        <f t="shared" si="2"/>
        <v>10</v>
      </c>
      <c r="F19">
        <f t="shared" si="0"/>
        <v>4</v>
      </c>
    </row>
    <row r="20" spans="1:6" x14ac:dyDescent="0.3">
      <c r="A20" s="6" t="s">
        <v>88</v>
      </c>
      <c r="B20" t="s">
        <v>144</v>
      </c>
      <c r="C20" t="s">
        <v>191</v>
      </c>
      <c r="D20" t="s">
        <v>103</v>
      </c>
      <c r="E20">
        <f t="shared" si="2"/>
        <v>10</v>
      </c>
      <c r="F20">
        <f t="shared" si="0"/>
        <v>4</v>
      </c>
    </row>
    <row r="21" spans="1:6" x14ac:dyDescent="0.3">
      <c r="A21" s="6" t="s">
        <v>89</v>
      </c>
      <c r="B21" t="s">
        <v>145</v>
      </c>
      <c r="C21" t="s">
        <v>191</v>
      </c>
      <c r="D21" t="s">
        <v>103</v>
      </c>
      <c r="E21">
        <f t="shared" si="2"/>
        <v>10</v>
      </c>
      <c r="F21">
        <f t="shared" si="0"/>
        <v>4</v>
      </c>
    </row>
    <row r="22" spans="1:6" x14ac:dyDescent="0.3">
      <c r="A22" s="6" t="s">
        <v>90</v>
      </c>
      <c r="B22" t="s">
        <v>146</v>
      </c>
      <c r="C22" t="s">
        <v>191</v>
      </c>
      <c r="D22" t="s">
        <v>103</v>
      </c>
      <c r="E22">
        <f t="shared" si="2"/>
        <v>10</v>
      </c>
      <c r="F22">
        <f t="shared" si="0"/>
        <v>4</v>
      </c>
    </row>
    <row r="23" spans="1:6" x14ac:dyDescent="0.3">
      <c r="A23" s="6" t="s">
        <v>91</v>
      </c>
      <c r="B23" t="s">
        <v>147</v>
      </c>
      <c r="C23" t="s">
        <v>191</v>
      </c>
      <c r="D23" t="s">
        <v>103</v>
      </c>
      <c r="E23">
        <f t="shared" si="2"/>
        <v>10</v>
      </c>
      <c r="F23">
        <f t="shared" si="0"/>
        <v>4</v>
      </c>
    </row>
    <row r="24" spans="1:6" x14ac:dyDescent="0.3">
      <c r="A24" s="6" t="s">
        <v>92</v>
      </c>
      <c r="B24" t="s">
        <v>148</v>
      </c>
      <c r="C24" t="s">
        <v>191</v>
      </c>
      <c r="D24" t="s">
        <v>103</v>
      </c>
      <c r="E24">
        <f t="shared" si="2"/>
        <v>10</v>
      </c>
      <c r="F24">
        <f t="shared" si="0"/>
        <v>4</v>
      </c>
    </row>
    <row r="25" spans="1:6" x14ac:dyDescent="0.3">
      <c r="A25" s="6" t="s">
        <v>93</v>
      </c>
      <c r="B25" t="s">
        <v>149</v>
      </c>
      <c r="C25" t="s">
        <v>191</v>
      </c>
      <c r="D25" t="s">
        <v>103</v>
      </c>
      <c r="E25">
        <f t="shared" si="2"/>
        <v>10</v>
      </c>
      <c r="F25">
        <f t="shared" si="0"/>
        <v>4</v>
      </c>
    </row>
    <row r="26" spans="1:6" x14ac:dyDescent="0.3">
      <c r="A26" s="6" t="s">
        <v>94</v>
      </c>
      <c r="B26" t="s">
        <v>150</v>
      </c>
      <c r="C26" t="s">
        <v>191</v>
      </c>
      <c r="D26" t="s">
        <v>103</v>
      </c>
      <c r="E26">
        <f t="shared" si="2"/>
        <v>10</v>
      </c>
      <c r="F26">
        <f t="shared" si="0"/>
        <v>4</v>
      </c>
    </row>
    <row r="27" spans="1:6" x14ac:dyDescent="0.3">
      <c r="A27" s="6" t="s">
        <v>108</v>
      </c>
      <c r="B27" t="s">
        <v>151</v>
      </c>
      <c r="C27" t="s">
        <v>191</v>
      </c>
      <c r="D27" t="s">
        <v>103</v>
      </c>
      <c r="E27">
        <f t="shared" si="2"/>
        <v>10</v>
      </c>
      <c r="F27">
        <f t="shared" si="0"/>
        <v>4</v>
      </c>
    </row>
    <row r="28" spans="1:6" x14ac:dyDescent="0.3">
      <c r="A28" s="6" t="s">
        <v>95</v>
      </c>
      <c r="B28" t="s">
        <v>152</v>
      </c>
      <c r="C28" t="s">
        <v>191</v>
      </c>
      <c r="D28" t="s">
        <v>103</v>
      </c>
      <c r="E28">
        <f t="shared" si="2"/>
        <v>10</v>
      </c>
      <c r="F28">
        <f t="shared" si="0"/>
        <v>4</v>
      </c>
    </row>
    <row r="29" spans="1:6" x14ac:dyDescent="0.3">
      <c r="A29" s="6" t="s">
        <v>96</v>
      </c>
      <c r="B29" t="s">
        <v>153</v>
      </c>
      <c r="C29" t="s">
        <v>191</v>
      </c>
      <c r="D29" t="s">
        <v>103</v>
      </c>
      <c r="E29">
        <f t="shared" si="2"/>
        <v>10</v>
      </c>
      <c r="F29">
        <f t="shared" si="0"/>
        <v>4</v>
      </c>
    </row>
    <row r="30" spans="1:6" x14ac:dyDescent="0.3">
      <c r="A30" s="6" t="s">
        <v>59</v>
      </c>
      <c r="B30" t="s">
        <v>154</v>
      </c>
      <c r="C30" t="s">
        <v>191</v>
      </c>
      <c r="D30" t="s">
        <v>103</v>
      </c>
      <c r="E30">
        <f t="shared" si="2"/>
        <v>10</v>
      </c>
      <c r="F30">
        <f t="shared" si="0"/>
        <v>4</v>
      </c>
    </row>
    <row r="31" spans="1:6" x14ac:dyDescent="0.3">
      <c r="A31" s="6" t="s">
        <v>114</v>
      </c>
      <c r="B31" t="s">
        <v>155</v>
      </c>
      <c r="C31" t="s">
        <v>189</v>
      </c>
      <c r="D31" t="s">
        <v>182</v>
      </c>
      <c r="E31">
        <f t="shared" si="2"/>
        <v>14</v>
      </c>
      <c r="F31">
        <f t="shared" si="0"/>
        <v>3</v>
      </c>
    </row>
    <row r="32" spans="1:6" x14ac:dyDescent="0.3">
      <c r="A32" s="6" t="s">
        <v>115</v>
      </c>
      <c r="B32" t="s">
        <v>156</v>
      </c>
      <c r="C32" t="s">
        <v>189</v>
      </c>
      <c r="D32" t="s">
        <v>182</v>
      </c>
      <c r="E32">
        <f t="shared" si="2"/>
        <v>14</v>
      </c>
      <c r="F32">
        <f t="shared" si="0"/>
        <v>3</v>
      </c>
    </row>
    <row r="33" spans="1:6" x14ac:dyDescent="0.3">
      <c r="A33" s="6" t="s">
        <v>116</v>
      </c>
      <c r="B33" t="s">
        <v>157</v>
      </c>
      <c r="C33" t="s">
        <v>189</v>
      </c>
      <c r="D33" t="s">
        <v>182</v>
      </c>
      <c r="E33">
        <f t="shared" si="2"/>
        <v>14</v>
      </c>
      <c r="F33">
        <f t="shared" si="0"/>
        <v>3</v>
      </c>
    </row>
    <row r="34" spans="1:6" x14ac:dyDescent="0.3">
      <c r="A34" s="6" t="s">
        <v>117</v>
      </c>
      <c r="B34" t="s">
        <v>158</v>
      </c>
      <c r="C34" t="s">
        <v>189</v>
      </c>
      <c r="D34" t="s">
        <v>182</v>
      </c>
      <c r="E34">
        <f t="shared" si="2"/>
        <v>14</v>
      </c>
      <c r="F34">
        <f t="shared" ref="F34:F60" si="3">LEN(A34)</f>
        <v>3</v>
      </c>
    </row>
    <row r="35" spans="1:6" x14ac:dyDescent="0.3">
      <c r="A35" s="6" t="s">
        <v>118</v>
      </c>
      <c r="B35" t="s">
        <v>159</v>
      </c>
      <c r="C35" t="s">
        <v>189</v>
      </c>
      <c r="D35" t="s">
        <v>182</v>
      </c>
      <c r="E35">
        <f t="shared" si="2"/>
        <v>14</v>
      </c>
      <c r="F35">
        <f t="shared" si="3"/>
        <v>3</v>
      </c>
    </row>
    <row r="36" spans="1:6" x14ac:dyDescent="0.3">
      <c r="A36" s="6" t="s">
        <v>119</v>
      </c>
      <c r="B36" t="s">
        <v>160</v>
      </c>
      <c r="C36" t="s">
        <v>189</v>
      </c>
      <c r="D36" t="s">
        <v>182</v>
      </c>
      <c r="E36">
        <f t="shared" si="2"/>
        <v>14</v>
      </c>
      <c r="F36">
        <f t="shared" si="3"/>
        <v>3</v>
      </c>
    </row>
    <row r="37" spans="1:6" x14ac:dyDescent="0.3">
      <c r="A37" s="6" t="s">
        <v>64</v>
      </c>
      <c r="B37" t="s">
        <v>161</v>
      </c>
      <c r="C37" t="s">
        <v>189</v>
      </c>
      <c r="D37" t="s">
        <v>182</v>
      </c>
      <c r="E37">
        <f t="shared" si="2"/>
        <v>14</v>
      </c>
      <c r="F37">
        <f t="shared" si="3"/>
        <v>3</v>
      </c>
    </row>
    <row r="38" spans="1:6" x14ac:dyDescent="0.3">
      <c r="A38" s="6" t="s">
        <v>67</v>
      </c>
      <c r="B38" t="s">
        <v>162</v>
      </c>
      <c r="C38" t="s">
        <v>189</v>
      </c>
      <c r="D38" t="s">
        <v>182</v>
      </c>
      <c r="E38">
        <f t="shared" si="2"/>
        <v>14</v>
      </c>
      <c r="F38">
        <f t="shared" si="3"/>
        <v>3</v>
      </c>
    </row>
    <row r="39" spans="1:6" x14ac:dyDescent="0.3">
      <c r="A39" s="6" t="s">
        <v>65</v>
      </c>
      <c r="B39" t="s">
        <v>163</v>
      </c>
      <c r="C39" t="s">
        <v>189</v>
      </c>
      <c r="D39" t="s">
        <v>182</v>
      </c>
      <c r="E39">
        <f t="shared" si="2"/>
        <v>14</v>
      </c>
      <c r="F39">
        <f t="shared" si="3"/>
        <v>3</v>
      </c>
    </row>
    <row r="40" spans="1:6" x14ac:dyDescent="0.3">
      <c r="A40" s="6" t="s">
        <v>71</v>
      </c>
      <c r="B40" t="s">
        <v>164</v>
      </c>
      <c r="C40" t="s">
        <v>189</v>
      </c>
      <c r="D40" t="s">
        <v>182</v>
      </c>
      <c r="E40">
        <f t="shared" si="2"/>
        <v>14</v>
      </c>
      <c r="F40">
        <f t="shared" si="3"/>
        <v>3</v>
      </c>
    </row>
    <row r="41" spans="1:6" x14ac:dyDescent="0.3">
      <c r="A41" s="6" t="s">
        <v>70</v>
      </c>
      <c r="B41" t="s">
        <v>165</v>
      </c>
      <c r="C41" t="s">
        <v>189</v>
      </c>
      <c r="D41" t="s">
        <v>182</v>
      </c>
      <c r="E41">
        <f t="shared" si="2"/>
        <v>14</v>
      </c>
      <c r="F41">
        <f t="shared" si="3"/>
        <v>3</v>
      </c>
    </row>
    <row r="42" spans="1:6" x14ac:dyDescent="0.3">
      <c r="A42" s="6" t="s">
        <v>120</v>
      </c>
      <c r="B42" t="s">
        <v>166</v>
      </c>
      <c r="C42" t="s">
        <v>189</v>
      </c>
      <c r="D42" t="s">
        <v>182</v>
      </c>
      <c r="E42">
        <f t="shared" si="2"/>
        <v>14</v>
      </c>
      <c r="F42">
        <f t="shared" si="3"/>
        <v>3</v>
      </c>
    </row>
    <row r="43" spans="1:6" x14ac:dyDescent="0.3">
      <c r="A43" s="6" t="s">
        <v>101</v>
      </c>
      <c r="B43" t="s">
        <v>167</v>
      </c>
      <c r="C43" t="s">
        <v>192</v>
      </c>
      <c r="D43" t="s">
        <v>183</v>
      </c>
      <c r="E43">
        <f t="shared" si="2"/>
        <v>17</v>
      </c>
      <c r="F43">
        <f t="shared" si="3"/>
        <v>1</v>
      </c>
    </row>
    <row r="44" spans="1:6" x14ac:dyDescent="0.3">
      <c r="A44" s="6" t="s">
        <v>102</v>
      </c>
      <c r="B44" t="s">
        <v>168</v>
      </c>
      <c r="C44" t="s">
        <v>192</v>
      </c>
      <c r="D44" t="s">
        <v>183</v>
      </c>
      <c r="E44">
        <f t="shared" si="2"/>
        <v>17</v>
      </c>
      <c r="F44">
        <f t="shared" si="3"/>
        <v>1</v>
      </c>
    </row>
    <row r="45" spans="1:6" x14ac:dyDescent="0.3">
      <c r="A45" s="6" t="s">
        <v>103</v>
      </c>
      <c r="B45" t="s">
        <v>169</v>
      </c>
      <c r="C45" t="s">
        <v>192</v>
      </c>
      <c r="D45" t="s">
        <v>183</v>
      </c>
      <c r="E45">
        <f t="shared" si="2"/>
        <v>17</v>
      </c>
      <c r="F45">
        <f t="shared" si="3"/>
        <v>1</v>
      </c>
    </row>
    <row r="46" spans="1:6" x14ac:dyDescent="0.3">
      <c r="A46" s="6" t="s">
        <v>121</v>
      </c>
      <c r="B46" t="s">
        <v>170</v>
      </c>
      <c r="C46" t="s">
        <v>193</v>
      </c>
      <c r="D46" t="s">
        <v>184</v>
      </c>
      <c r="E46">
        <f t="shared" si="2"/>
        <v>18</v>
      </c>
      <c r="F46">
        <f t="shared" si="3"/>
        <v>1</v>
      </c>
    </row>
    <row r="47" spans="1:6" x14ac:dyDescent="0.3">
      <c r="A47" s="6" t="s">
        <v>73</v>
      </c>
      <c r="B47" t="s">
        <v>171</v>
      </c>
      <c r="C47" t="s">
        <v>193</v>
      </c>
      <c r="D47" t="s">
        <v>184</v>
      </c>
      <c r="E47">
        <f t="shared" si="2"/>
        <v>18</v>
      </c>
      <c r="F47">
        <f t="shared" si="3"/>
        <v>1</v>
      </c>
    </row>
    <row r="48" spans="1:6" x14ac:dyDescent="0.3">
      <c r="A48" s="6" t="s">
        <v>122</v>
      </c>
      <c r="B48" t="s">
        <v>172</v>
      </c>
      <c r="C48" t="s">
        <v>193</v>
      </c>
      <c r="D48" t="s">
        <v>184</v>
      </c>
      <c r="E48">
        <f t="shared" si="2"/>
        <v>18</v>
      </c>
      <c r="F48">
        <f t="shared" si="3"/>
        <v>1</v>
      </c>
    </row>
    <row r="49" spans="1:6" x14ac:dyDescent="0.3">
      <c r="A49" s="6" t="s">
        <v>74</v>
      </c>
      <c r="B49" t="s">
        <v>173</v>
      </c>
      <c r="C49" t="s">
        <v>193</v>
      </c>
      <c r="D49" t="s">
        <v>184</v>
      </c>
      <c r="E49">
        <f t="shared" si="2"/>
        <v>18</v>
      </c>
      <c r="F49">
        <f t="shared" si="3"/>
        <v>1</v>
      </c>
    </row>
    <row r="50" spans="1:6" x14ac:dyDescent="0.3">
      <c r="A50" s="6" t="s">
        <v>123</v>
      </c>
      <c r="B50" t="s">
        <v>174</v>
      </c>
      <c r="C50" t="s">
        <v>193</v>
      </c>
      <c r="D50" t="s">
        <v>184</v>
      </c>
      <c r="E50">
        <f t="shared" si="2"/>
        <v>18</v>
      </c>
      <c r="F50">
        <f t="shared" si="3"/>
        <v>1</v>
      </c>
    </row>
    <row r="51" spans="1:6" x14ac:dyDescent="0.3">
      <c r="A51" s="6" t="s">
        <v>121</v>
      </c>
      <c r="B51" t="s">
        <v>175</v>
      </c>
      <c r="C51" t="s">
        <v>194</v>
      </c>
      <c r="D51" t="s">
        <v>185</v>
      </c>
      <c r="E51">
        <f t="shared" si="2"/>
        <v>19</v>
      </c>
      <c r="F51">
        <f t="shared" si="3"/>
        <v>1</v>
      </c>
    </row>
    <row r="52" spans="1:6" x14ac:dyDescent="0.3">
      <c r="A52" s="6" t="s">
        <v>73</v>
      </c>
      <c r="B52" t="s">
        <v>171</v>
      </c>
      <c r="C52" t="s">
        <v>194</v>
      </c>
      <c r="D52" t="s">
        <v>185</v>
      </c>
      <c r="E52">
        <f t="shared" si="2"/>
        <v>19</v>
      </c>
      <c r="F52">
        <f t="shared" si="3"/>
        <v>1</v>
      </c>
    </row>
    <row r="53" spans="1:6" x14ac:dyDescent="0.3">
      <c r="A53" s="6" t="s">
        <v>122</v>
      </c>
      <c r="B53" t="s">
        <v>172</v>
      </c>
      <c r="C53" t="s">
        <v>194</v>
      </c>
      <c r="D53" t="s">
        <v>185</v>
      </c>
      <c r="E53">
        <f t="shared" si="2"/>
        <v>19</v>
      </c>
      <c r="F53">
        <f t="shared" si="3"/>
        <v>1</v>
      </c>
    </row>
    <row r="54" spans="1:6" x14ac:dyDescent="0.3">
      <c r="A54" s="6" t="s">
        <v>74</v>
      </c>
      <c r="B54" t="s">
        <v>173</v>
      </c>
      <c r="C54" t="s">
        <v>194</v>
      </c>
      <c r="D54" t="s">
        <v>185</v>
      </c>
      <c r="E54">
        <f t="shared" si="2"/>
        <v>19</v>
      </c>
      <c r="F54">
        <f t="shared" si="3"/>
        <v>1</v>
      </c>
    </row>
    <row r="55" spans="1:6" x14ac:dyDescent="0.3">
      <c r="A55" s="6" t="s">
        <v>123</v>
      </c>
      <c r="B55" t="s">
        <v>174</v>
      </c>
      <c r="C55" t="s">
        <v>194</v>
      </c>
      <c r="D55" t="s">
        <v>185</v>
      </c>
      <c r="E55">
        <f t="shared" si="2"/>
        <v>19</v>
      </c>
      <c r="F55">
        <f t="shared" si="3"/>
        <v>1</v>
      </c>
    </row>
    <row r="56" spans="1:6" x14ac:dyDescent="0.3">
      <c r="A56" s="6" t="s">
        <v>77</v>
      </c>
      <c r="B56" t="s">
        <v>176</v>
      </c>
      <c r="C56" t="s">
        <v>194</v>
      </c>
      <c r="D56" t="s">
        <v>185</v>
      </c>
      <c r="E56">
        <f t="shared" si="2"/>
        <v>19</v>
      </c>
      <c r="F56">
        <f t="shared" si="3"/>
        <v>1</v>
      </c>
    </row>
    <row r="57" spans="1:6" x14ac:dyDescent="0.3">
      <c r="A57" s="6" t="s">
        <v>124</v>
      </c>
      <c r="B57" t="s">
        <v>177</v>
      </c>
      <c r="C57" t="s">
        <v>194</v>
      </c>
      <c r="D57" t="s">
        <v>185</v>
      </c>
      <c r="E57">
        <f t="shared" si="2"/>
        <v>19</v>
      </c>
      <c r="F57">
        <f t="shared" si="3"/>
        <v>1</v>
      </c>
    </row>
    <row r="58" spans="1:6" x14ac:dyDescent="0.3">
      <c r="A58" s="6" t="s">
        <v>78</v>
      </c>
      <c r="B58" t="s">
        <v>178</v>
      </c>
      <c r="C58" t="s">
        <v>195</v>
      </c>
      <c r="D58" t="s">
        <v>186</v>
      </c>
      <c r="E58">
        <f t="shared" si="2"/>
        <v>20</v>
      </c>
      <c r="F58">
        <f t="shared" si="3"/>
        <v>1</v>
      </c>
    </row>
    <row r="59" spans="1:6" x14ac:dyDescent="0.3">
      <c r="A59" s="6" t="s">
        <v>73</v>
      </c>
      <c r="B59" t="s">
        <v>179</v>
      </c>
      <c r="C59" t="s">
        <v>195</v>
      </c>
      <c r="D59" t="s">
        <v>186</v>
      </c>
      <c r="E59">
        <f t="shared" si="2"/>
        <v>20</v>
      </c>
      <c r="F59">
        <f t="shared" si="3"/>
        <v>1</v>
      </c>
    </row>
    <row r="60" spans="1:6" x14ac:dyDescent="0.3">
      <c r="A60" s="6" t="s">
        <v>106</v>
      </c>
      <c r="B60" t="s">
        <v>180</v>
      </c>
      <c r="C60" t="s">
        <v>196</v>
      </c>
      <c r="D60" t="s">
        <v>187</v>
      </c>
      <c r="E60">
        <f t="shared" si="2"/>
        <v>21</v>
      </c>
      <c r="F60">
        <f t="shared" si="3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BF6D-22E3-472A-9929-74C531E58E44}">
  <sheetPr>
    <tabColor rgb="FF92D050"/>
  </sheetPr>
  <dimension ref="A1:N50"/>
  <sheetViews>
    <sheetView topLeftCell="D1" zoomScale="145" zoomScaleNormal="145" workbookViewId="0">
      <selection activeCell="N11" sqref="N11"/>
    </sheetView>
  </sheetViews>
  <sheetFormatPr defaultRowHeight="14.4" x14ac:dyDescent="0.3"/>
  <cols>
    <col min="1" max="1" width="7.5546875" bestFit="1" customWidth="1"/>
    <col min="2" max="2" width="34.44140625" bestFit="1" customWidth="1"/>
    <col min="3" max="3" width="46.109375" bestFit="1" customWidth="1"/>
    <col min="4" max="4" width="9.5546875" bestFit="1" customWidth="1"/>
    <col min="5" max="5" width="7.6640625" bestFit="1" customWidth="1"/>
    <col min="6" max="6" width="6.109375" bestFit="1" customWidth="1"/>
    <col min="8" max="8" width="49.88671875" customWidth="1"/>
    <col min="9" max="9" width="34.44140625" bestFit="1" customWidth="1"/>
    <col min="10" max="10" width="11.44140625" customWidth="1"/>
    <col min="12" max="12" width="69.109375" hidden="1" customWidth="1"/>
    <col min="13" max="13" width="7.109375" customWidth="1"/>
    <col min="14" max="14" width="45.6640625" customWidth="1"/>
  </cols>
  <sheetData>
    <row r="1" spans="1:14" ht="15" thickBot="1" x14ac:dyDescent="0.35">
      <c r="A1" t="s">
        <v>49</v>
      </c>
      <c r="B1" t="s">
        <v>50</v>
      </c>
      <c r="C1" t="s">
        <v>97</v>
      </c>
      <c r="D1" t="s">
        <v>51</v>
      </c>
      <c r="E1" t="s">
        <v>48</v>
      </c>
      <c r="F1" t="s">
        <v>79</v>
      </c>
      <c r="H1" s="12" t="s">
        <v>99</v>
      </c>
      <c r="I1" s="13" t="s">
        <v>276</v>
      </c>
      <c r="J1" s="12" t="s">
        <v>49</v>
      </c>
      <c r="N1" s="9" t="s">
        <v>198</v>
      </c>
    </row>
    <row r="2" spans="1:14" ht="15.6" thickTop="1" thickBot="1" x14ac:dyDescent="0.35">
      <c r="A2" s="1" t="s">
        <v>205</v>
      </c>
      <c r="B2" t="s">
        <v>206</v>
      </c>
      <c r="C2" t="s">
        <v>207</v>
      </c>
      <c r="D2">
        <v>1</v>
      </c>
      <c r="E2">
        <v>1</v>
      </c>
      <c r="F2">
        <f>LEN(GX_DC[[#This Row],[Code]])</f>
        <v>4</v>
      </c>
      <c r="H2" s="2" t="str">
        <f>C3</f>
        <v>Model, input voltage and CE compliance</v>
      </c>
      <c r="I2" s="2" t="str" cm="1">
        <f t="array" ref="I2">INDEX(GX_DC[Value],_xlfn.XMATCH(J2,GX_DC[Code]))</f>
        <v>Electrak GX, 24 Vdc, CE compliant</v>
      </c>
      <c r="J2" s="2" t="str">
        <f>MID($I$1,_xlfn.XLOOKUP(H2,GX_DC[Variable],GX_DC[Index]),_xlfn.XLOOKUP(H2,GX_DC[Variable],GX_DC[Len]))</f>
        <v>D24C</v>
      </c>
      <c r="L2" t="str">
        <f>H2&amp;": "&amp;I2</f>
        <v>Model, input voltage and CE compliance: Electrak GX, 24 Vdc, CE compliant</v>
      </c>
      <c r="N2" s="14" t="str">
        <f>_xlfn.TEXTJOIN(CHAR(10),TRUE,L2:L10)</f>
        <v>Model, input voltage and CE compliance: Electrak GX, 24 Vdc, CE compliant
Dynamic load capacity, screw type and maximum speed: 9000 N, ball screw, 9 mm/s
Ordering stroke length: 6 inch (152.4 mm)
Rear adapter hole orientation: Adapter at 90°
Ingress protection rating: IP66
Options: IP66
Connector option: AMP terminal 42098-2, housing 180908-5
Front adapter option: Cross hole for 12 mm pin
Rear adapter option: Cross hole for 12 mm pin</v>
      </c>
    </row>
    <row r="3" spans="1:14" ht="15.6" thickTop="1" thickBot="1" x14ac:dyDescent="0.35">
      <c r="A3" s="1" t="s">
        <v>208</v>
      </c>
      <c r="B3" t="s">
        <v>209</v>
      </c>
      <c r="C3" t="s">
        <v>207</v>
      </c>
      <c r="D3">
        <v>1</v>
      </c>
      <c r="E3">
        <v>1</v>
      </c>
      <c r="F3">
        <f>LEN(GX_DC[[#This Row],[Code]])</f>
        <v>4</v>
      </c>
      <c r="H3" s="2" t="str">
        <f>C11</f>
        <v>Dynamic load capacity, screw type and maximum speed</v>
      </c>
      <c r="I3" s="2" t="str" cm="1">
        <f t="array" ref="I3">INDEX(GX_DC[Value],_xlfn.XMATCH(J3,GX_DC[Code]))</f>
        <v>9000 N, ball screw, 9 mm/s</v>
      </c>
      <c r="J3" s="2" t="str">
        <f>MID($I$1,_xlfn.XLOOKUP(H3,GX_DC[Variable],GX_DC[Index]),_xlfn.XLOOKUP(H3,GX_DC[Variable],GX_DC[Len]))</f>
        <v>2KB5</v>
      </c>
      <c r="L3" t="str">
        <f t="shared" ref="L3:L10" si="0">H3&amp;": "&amp;I3</f>
        <v>Dynamic load capacity, screw type and maximum speed: 9000 N, ball screw, 9 mm/s</v>
      </c>
      <c r="N3" s="9" t="s">
        <v>204</v>
      </c>
    </row>
    <row r="4" spans="1:14" ht="15.6" thickTop="1" thickBot="1" x14ac:dyDescent="0.35">
      <c r="A4" s="1" t="s">
        <v>210</v>
      </c>
      <c r="B4" t="s">
        <v>211</v>
      </c>
      <c r="C4" t="s">
        <v>207</v>
      </c>
      <c r="D4">
        <v>1</v>
      </c>
      <c r="E4">
        <v>1</v>
      </c>
      <c r="F4">
        <f>LEN(GX_DC[[#This Row],[Code]])</f>
        <v>4</v>
      </c>
      <c r="H4" s="2" t="str">
        <f>C19</f>
        <v>Ordering stroke length</v>
      </c>
      <c r="I4" s="2" t="str" cm="1">
        <f t="array" ref="I4">INDEX(GX_DC[Value],_xlfn.XMATCH(TRIM(J4),TRIM(GX_DC[Code])))</f>
        <v>6 inch (152.4 mm)</v>
      </c>
      <c r="J4" s="2" t="str">
        <f>MID($I$1,_xlfn.XLOOKUP(H4,GX_DC[Variable],GX_DC[Index]),_xlfn.XLOOKUP(H4,GX_DC[Variable],GX_DC[Len]))</f>
        <v>06</v>
      </c>
      <c r="L4" t="str">
        <f t="shared" si="0"/>
        <v>Ordering stroke length: 6 inch (152.4 mm)</v>
      </c>
      <c r="N4" s="14" t="str">
        <f>TRIM("Lin Act "
&amp;TRIM(MID(I2,1,FIND(",",I2,1)-1))
&amp;" "
&amp;SUBSTITUTE(TRIM(MID(I2,
FIND(",",I2,1)+2,
((FIND("V",I2)-FIND(",",I2)-1))))," ","")
&amp;" "&amp;J5
&amp;" "&amp;SUBSTITUTE(TRIM(
MID(I3,
FIND("N",I3)-5,6)
)," ","")
&amp;" "&amp;SUBSTITUTE(TRIM(I4)," ",""))</f>
        <v>Lin Act Electrak GX 24V M3 9000N 6inch(152.4mm)</v>
      </c>
    </row>
    <row r="5" spans="1:14" ht="15" thickTop="1" x14ac:dyDescent="0.3">
      <c r="A5" s="1" t="s">
        <v>212</v>
      </c>
      <c r="B5" t="s">
        <v>213</v>
      </c>
      <c r="C5" t="s">
        <v>207</v>
      </c>
      <c r="D5">
        <v>1</v>
      </c>
      <c r="E5">
        <v>1</v>
      </c>
      <c r="F5">
        <f>LEN(GX_DC[[#This Row],[Code]])</f>
        <v>4</v>
      </c>
      <c r="H5" s="2" t="str">
        <f>C31</f>
        <v>Rear adapter hole orientation</v>
      </c>
      <c r="I5" s="2" t="str" cm="1">
        <f t="array" ref="I5">INDEX(GX_DC[Value],_xlfn.XMATCH(J5,GX_DC[Code]))</f>
        <v>Adapter at 90°</v>
      </c>
      <c r="J5" s="2" t="str">
        <f>MID($I$1,_xlfn.XLOOKUP(H5,GX_DC[Variable],GX_DC[Index]),_xlfn.XLOOKUP(H5,GX_DC[Variable],GX_DC[Len]))</f>
        <v>M3</v>
      </c>
      <c r="L5" t="str">
        <f t="shared" si="0"/>
        <v>Rear adapter hole orientation: Adapter at 90°</v>
      </c>
    </row>
    <row r="6" spans="1:14" x14ac:dyDescent="0.3">
      <c r="A6" s="1" t="s">
        <v>214</v>
      </c>
      <c r="B6" t="s">
        <v>215</v>
      </c>
      <c r="C6" t="s">
        <v>207</v>
      </c>
      <c r="D6">
        <v>1</v>
      </c>
      <c r="E6">
        <v>1</v>
      </c>
      <c r="F6">
        <f>LEN(GX_DC[[#This Row],[Code]])</f>
        <v>4</v>
      </c>
      <c r="H6" s="2" t="str">
        <f>C33</f>
        <v>Ingress protection rating</v>
      </c>
      <c r="I6" s="2" t="str" cm="1">
        <f t="array" ref="I6">INDEX(GX_DC[Value],_xlfn.XMATCH(J6,GX_DC[Code]))</f>
        <v>IP66</v>
      </c>
      <c r="J6" s="2" t="str">
        <f>MID($I$1,_xlfn.XLOOKUP(H6,GX_DC[Variable],GX_DC[Index]),_xlfn.XLOOKUP(H6,GX_DC[Variable],GX_DC[Len]))</f>
        <v>N</v>
      </c>
      <c r="L6" t="str">
        <f t="shared" si="0"/>
        <v>Ingress protection rating: IP66</v>
      </c>
    </row>
    <row r="7" spans="1:14" x14ac:dyDescent="0.3">
      <c r="A7" s="1" t="s">
        <v>216</v>
      </c>
      <c r="B7" t="s">
        <v>217</v>
      </c>
      <c r="C7" t="s">
        <v>207</v>
      </c>
      <c r="D7">
        <v>1</v>
      </c>
      <c r="E7">
        <v>1</v>
      </c>
      <c r="F7">
        <f>LEN(GX_DC[[#This Row],[Code]])</f>
        <v>4</v>
      </c>
      <c r="H7" s="2" t="str">
        <f>C35</f>
        <v>Options</v>
      </c>
      <c r="I7" s="2" t="str" cm="1">
        <f t="array" ref="I7">INDEX(GX_DC[Value],_xlfn.XMATCH(J7,GX_DC[Code]))</f>
        <v>IP66</v>
      </c>
      <c r="J7" s="2" t="str">
        <f>MID($I$1,_xlfn.XLOOKUP(H7,GX_DC[Variable],GX_DC[Index]),_xlfn.XLOOKUP(H7,GX_DC[Variable],GX_DC[Len]))</f>
        <v>N</v>
      </c>
      <c r="L7" t="str">
        <f t="shared" si="0"/>
        <v>Options: IP66</v>
      </c>
    </row>
    <row r="8" spans="1:14" x14ac:dyDescent="0.3">
      <c r="A8" s="1" t="s">
        <v>218</v>
      </c>
      <c r="B8" t="s">
        <v>219</v>
      </c>
      <c r="C8" t="s">
        <v>207</v>
      </c>
      <c r="D8">
        <v>1</v>
      </c>
      <c r="E8">
        <v>1</v>
      </c>
      <c r="F8">
        <f>LEN(GX_DC[[#This Row],[Code]])</f>
        <v>4</v>
      </c>
      <c r="H8" s="2" t="str">
        <f>C38</f>
        <v>Connector option</v>
      </c>
      <c r="I8" s="2" t="str" cm="1">
        <f t="array" ref="I8">INDEX(GX_DC[Value],_xlfn.XMATCH(J8,GX_DC[Code]))</f>
        <v>AMP terminal 42098-2, housing 180908-5</v>
      </c>
      <c r="J8" s="2" t="str">
        <f>MID($I$1,_xlfn.XLOOKUP(H8,GX_DC[Variable],GX_DC[Index]),_xlfn.XLOOKUP(H8,GX_DC[Variable],GX_DC[Len]))</f>
        <v>-A</v>
      </c>
      <c r="L8" t="str">
        <f t="shared" si="0"/>
        <v>Connector option: AMP terminal 42098-2, housing 180908-5</v>
      </c>
    </row>
    <row r="9" spans="1:14" x14ac:dyDescent="0.3">
      <c r="A9" s="1" t="s">
        <v>220</v>
      </c>
      <c r="B9" t="s">
        <v>221</v>
      </c>
      <c r="C9" t="s">
        <v>207</v>
      </c>
      <c r="D9">
        <v>1</v>
      </c>
      <c r="E9">
        <v>1</v>
      </c>
      <c r="F9">
        <f>LEN(GX_DC[[#This Row],[Code]])</f>
        <v>4</v>
      </c>
      <c r="H9" s="2" t="str">
        <f>C41</f>
        <v>Front adapter option</v>
      </c>
      <c r="I9" s="2" t="str" cm="1">
        <f t="array" ref="I9">INDEX(GX_DC[Value],_xlfn.XMATCH(J9,GX_DC[Code]))</f>
        <v>Cross hole for 12 mm pin</v>
      </c>
      <c r="J9" s="2" t="str">
        <f>MID($I$1,_xlfn.XLOOKUP(H9,GX_DC[Variable],GX_DC[Index]),_xlfn.XLOOKUP(H9,GX_DC[Variable],GX_DC[Len]))</f>
        <v>M</v>
      </c>
      <c r="L9" t="str">
        <f t="shared" si="0"/>
        <v>Front adapter option: Cross hole for 12 mm pin</v>
      </c>
    </row>
    <row r="10" spans="1:14" x14ac:dyDescent="0.3">
      <c r="A10" s="1" t="s">
        <v>222</v>
      </c>
      <c r="B10" t="s">
        <v>223</v>
      </c>
      <c r="C10" t="s">
        <v>207</v>
      </c>
      <c r="D10">
        <v>1</v>
      </c>
      <c r="E10">
        <v>1</v>
      </c>
      <c r="F10">
        <f>LEN(GX_DC[[#This Row],[Code]])</f>
        <v>4</v>
      </c>
      <c r="H10" s="2" t="str">
        <f>C48</f>
        <v>Rear adapter option</v>
      </c>
      <c r="I10" s="2" t="str" cm="1">
        <f t="array" ref="I10">INDEX(GX_DC[Value],_xlfn.XMATCH(J10,GX_DC[Code]))</f>
        <v>Cross hole for 12 mm pin</v>
      </c>
      <c r="J10" s="2" t="str">
        <f>MID($I$1,_xlfn.XLOOKUP(H10,GX_DC[Variable],GX_DC[Index]),_xlfn.XLOOKUP(H10,GX_DC[Variable],GX_DC[Len]))</f>
        <v>M</v>
      </c>
      <c r="L10" t="str">
        <f t="shared" si="0"/>
        <v>Rear adapter option: Cross hole for 12 mm pin</v>
      </c>
    </row>
    <row r="11" spans="1:14" x14ac:dyDescent="0.3">
      <c r="A11" s="1" t="s">
        <v>224</v>
      </c>
      <c r="B11" t="s">
        <v>225</v>
      </c>
      <c r="C11" t="s">
        <v>226</v>
      </c>
      <c r="D11">
        <v>2</v>
      </c>
      <c r="E11">
        <f>D10+F10</f>
        <v>5</v>
      </c>
      <c r="F11">
        <f>LEN(GX_DC[[#This Row],[Code]])</f>
        <v>4</v>
      </c>
    </row>
    <row r="12" spans="1:14" x14ac:dyDescent="0.3">
      <c r="A12" s="1" t="s">
        <v>227</v>
      </c>
      <c r="B12" t="s">
        <v>228</v>
      </c>
      <c r="C12" t="s">
        <v>226</v>
      </c>
      <c r="D12">
        <v>2</v>
      </c>
      <c r="E12">
        <v>5</v>
      </c>
      <c r="F12">
        <f>LEN(GX_DC[[#This Row],[Code]])</f>
        <v>4</v>
      </c>
    </row>
    <row r="13" spans="1:14" x14ac:dyDescent="0.3">
      <c r="A13" s="1" t="s">
        <v>229</v>
      </c>
      <c r="B13" t="s">
        <v>230</v>
      </c>
      <c r="C13" t="s">
        <v>226</v>
      </c>
      <c r="D13">
        <v>2</v>
      </c>
      <c r="E13">
        <v>5</v>
      </c>
      <c r="F13">
        <f>LEN(GX_DC[[#This Row],[Code]])</f>
        <v>4</v>
      </c>
    </row>
    <row r="14" spans="1:14" x14ac:dyDescent="0.3">
      <c r="A14" s="1" t="s">
        <v>231</v>
      </c>
      <c r="B14" t="s">
        <v>232</v>
      </c>
      <c r="C14" t="s">
        <v>226</v>
      </c>
      <c r="D14">
        <v>2</v>
      </c>
      <c r="E14">
        <v>5</v>
      </c>
      <c r="F14">
        <f>LEN(GX_DC[[#This Row],[Code]])</f>
        <v>4</v>
      </c>
    </row>
    <row r="15" spans="1:14" x14ac:dyDescent="0.3">
      <c r="A15" s="1" t="s">
        <v>233</v>
      </c>
      <c r="B15" t="s">
        <v>234</v>
      </c>
      <c r="C15" t="s">
        <v>226</v>
      </c>
      <c r="D15">
        <v>2</v>
      </c>
      <c r="E15">
        <v>5</v>
      </c>
      <c r="F15">
        <f>LEN(GX_DC[[#This Row],[Code]])</f>
        <v>4</v>
      </c>
    </row>
    <row r="16" spans="1:14" x14ac:dyDescent="0.3">
      <c r="A16" s="1" t="s">
        <v>235</v>
      </c>
      <c r="B16" t="s">
        <v>236</v>
      </c>
      <c r="C16" t="s">
        <v>226</v>
      </c>
      <c r="D16">
        <v>2</v>
      </c>
      <c r="E16">
        <v>5</v>
      </c>
      <c r="F16">
        <f>LEN(GX_DC[[#This Row],[Code]])</f>
        <v>4</v>
      </c>
    </row>
    <row r="17" spans="1:6" x14ac:dyDescent="0.3">
      <c r="A17" s="1" t="s">
        <v>237</v>
      </c>
      <c r="B17" t="s">
        <v>238</v>
      </c>
      <c r="C17" t="s">
        <v>226</v>
      </c>
      <c r="D17">
        <v>2</v>
      </c>
      <c r="E17">
        <v>5</v>
      </c>
      <c r="F17">
        <f>LEN(GX_DC[[#This Row],[Code]])</f>
        <v>4</v>
      </c>
    </row>
    <row r="18" spans="1:6" x14ac:dyDescent="0.3">
      <c r="A18" s="1" t="s">
        <v>239</v>
      </c>
      <c r="B18" t="s">
        <v>240</v>
      </c>
      <c r="C18" t="s">
        <v>226</v>
      </c>
      <c r="D18">
        <v>2</v>
      </c>
      <c r="E18">
        <v>5</v>
      </c>
      <c r="F18">
        <f>LEN(GX_DC[[#This Row],[Code]])</f>
        <v>4</v>
      </c>
    </row>
    <row r="19" spans="1:6" x14ac:dyDescent="0.3">
      <c r="A19" s="1" t="s">
        <v>277</v>
      </c>
      <c r="B19" t="s">
        <v>241</v>
      </c>
      <c r="C19" t="s">
        <v>191</v>
      </c>
      <c r="D19">
        <v>3</v>
      </c>
      <c r="E19">
        <v>9</v>
      </c>
      <c r="F19">
        <f>LEN(GX_DC[[#This Row],[Code]])</f>
        <v>2</v>
      </c>
    </row>
    <row r="20" spans="1:6" x14ac:dyDescent="0.3">
      <c r="A20" s="1" t="s">
        <v>278</v>
      </c>
      <c r="B20" t="s">
        <v>242</v>
      </c>
      <c r="C20" t="s">
        <v>191</v>
      </c>
      <c r="D20">
        <v>3</v>
      </c>
      <c r="E20">
        <v>9</v>
      </c>
      <c r="F20">
        <f>LEN(GX_DC[[#This Row],[Code]])</f>
        <v>2</v>
      </c>
    </row>
    <row r="21" spans="1:6" x14ac:dyDescent="0.3">
      <c r="A21" s="1" t="s">
        <v>279</v>
      </c>
      <c r="B21" t="s">
        <v>243</v>
      </c>
      <c r="C21" t="s">
        <v>191</v>
      </c>
      <c r="D21">
        <v>3</v>
      </c>
      <c r="E21">
        <v>9</v>
      </c>
      <c r="F21">
        <f>LEN(GX_DC[[#This Row],[Code]])</f>
        <v>2</v>
      </c>
    </row>
    <row r="22" spans="1:6" x14ac:dyDescent="0.3">
      <c r="A22" s="1" t="s">
        <v>280</v>
      </c>
      <c r="B22" t="s">
        <v>244</v>
      </c>
      <c r="C22" t="s">
        <v>191</v>
      </c>
      <c r="D22">
        <v>3</v>
      </c>
      <c r="E22">
        <v>9</v>
      </c>
      <c r="F22">
        <f>LEN(GX_DC[[#This Row],[Code]])</f>
        <v>2</v>
      </c>
    </row>
    <row r="23" spans="1:6" x14ac:dyDescent="0.3">
      <c r="A23" s="1">
        <v>10</v>
      </c>
      <c r="B23" t="s">
        <v>245</v>
      </c>
      <c r="C23" t="s">
        <v>191</v>
      </c>
      <c r="D23">
        <v>3</v>
      </c>
      <c r="E23">
        <v>9</v>
      </c>
      <c r="F23">
        <f>LEN(GX_DC[[#This Row],[Code]])</f>
        <v>2</v>
      </c>
    </row>
    <row r="24" spans="1:6" x14ac:dyDescent="0.3">
      <c r="A24" s="1">
        <v>12</v>
      </c>
      <c r="B24" t="s">
        <v>246</v>
      </c>
      <c r="C24" t="s">
        <v>191</v>
      </c>
      <c r="D24">
        <v>3</v>
      </c>
      <c r="E24">
        <v>9</v>
      </c>
      <c r="F24">
        <f>LEN(GX_DC[[#This Row],[Code]])</f>
        <v>2</v>
      </c>
    </row>
    <row r="25" spans="1:6" x14ac:dyDescent="0.3">
      <c r="A25" s="1">
        <v>14</v>
      </c>
      <c r="B25" t="s">
        <v>247</v>
      </c>
      <c r="C25" t="s">
        <v>191</v>
      </c>
      <c r="D25">
        <v>3</v>
      </c>
      <c r="E25">
        <v>9</v>
      </c>
      <c r="F25">
        <f>LEN(GX_DC[[#This Row],[Code]])</f>
        <v>2</v>
      </c>
    </row>
    <row r="26" spans="1:6" x14ac:dyDescent="0.3">
      <c r="A26" s="1">
        <v>16</v>
      </c>
      <c r="B26" t="s">
        <v>248</v>
      </c>
      <c r="C26" t="s">
        <v>191</v>
      </c>
      <c r="D26">
        <v>3</v>
      </c>
      <c r="E26">
        <v>9</v>
      </c>
      <c r="F26">
        <f>LEN(GX_DC[[#This Row],[Code]])</f>
        <v>2</v>
      </c>
    </row>
    <row r="27" spans="1:6" x14ac:dyDescent="0.3">
      <c r="A27" s="1">
        <v>18</v>
      </c>
      <c r="B27" t="s">
        <v>249</v>
      </c>
      <c r="C27" t="s">
        <v>191</v>
      </c>
      <c r="D27">
        <v>3</v>
      </c>
      <c r="E27">
        <v>9</v>
      </c>
      <c r="F27">
        <f>LEN(GX_DC[[#This Row],[Code]])</f>
        <v>2</v>
      </c>
    </row>
    <row r="28" spans="1:6" x14ac:dyDescent="0.3">
      <c r="A28" s="1">
        <v>20</v>
      </c>
      <c r="B28" t="s">
        <v>250</v>
      </c>
      <c r="C28" t="s">
        <v>191</v>
      </c>
      <c r="D28">
        <v>3</v>
      </c>
      <c r="E28">
        <v>9</v>
      </c>
      <c r="F28">
        <f>LEN(GX_DC[[#This Row],[Code]])</f>
        <v>2</v>
      </c>
    </row>
    <row r="29" spans="1:6" x14ac:dyDescent="0.3">
      <c r="A29" s="1">
        <v>22</v>
      </c>
      <c r="B29" t="s">
        <v>251</v>
      </c>
      <c r="C29" t="s">
        <v>191</v>
      </c>
      <c r="D29">
        <v>3</v>
      </c>
      <c r="E29">
        <v>9</v>
      </c>
      <c r="F29">
        <f>LEN(GX_DC[[#This Row],[Code]])</f>
        <v>2</v>
      </c>
    </row>
    <row r="30" spans="1:6" x14ac:dyDescent="0.3">
      <c r="A30" s="1">
        <v>24</v>
      </c>
      <c r="B30" t="s">
        <v>252</v>
      </c>
      <c r="C30" t="s">
        <v>191</v>
      </c>
      <c r="D30">
        <v>3</v>
      </c>
      <c r="E30">
        <v>9</v>
      </c>
      <c r="F30">
        <f>LEN(GX_DC[[#This Row],[Code]])</f>
        <v>2</v>
      </c>
    </row>
    <row r="31" spans="1:6" x14ac:dyDescent="0.3">
      <c r="A31" s="1" t="s">
        <v>253</v>
      </c>
      <c r="B31" t="s">
        <v>254</v>
      </c>
      <c r="C31" t="s">
        <v>255</v>
      </c>
      <c r="D31">
        <v>4</v>
      </c>
      <c r="E31">
        <v>11</v>
      </c>
      <c r="F31">
        <f>LEN(GX_DC[[#This Row],[Code]])</f>
        <v>2</v>
      </c>
    </row>
    <row r="32" spans="1:6" x14ac:dyDescent="0.3">
      <c r="A32" s="1" t="s">
        <v>256</v>
      </c>
      <c r="B32" t="s">
        <v>257</v>
      </c>
      <c r="C32" t="s">
        <v>255</v>
      </c>
      <c r="D32">
        <v>4</v>
      </c>
      <c r="E32">
        <v>11</v>
      </c>
      <c r="F32">
        <f>LEN(GX_DC[[#This Row],[Code]])</f>
        <v>2</v>
      </c>
    </row>
    <row r="33" spans="1:6" x14ac:dyDescent="0.3">
      <c r="A33" s="1" t="s">
        <v>74</v>
      </c>
      <c r="B33" t="s">
        <v>258</v>
      </c>
      <c r="C33" t="s">
        <v>259</v>
      </c>
      <c r="D33">
        <v>5</v>
      </c>
      <c r="E33">
        <v>13</v>
      </c>
      <c r="F33">
        <f>LEN(GX_DC[[#This Row],[Code]])</f>
        <v>1</v>
      </c>
    </row>
    <row r="34" spans="1:6" x14ac:dyDescent="0.3">
      <c r="A34" s="1" t="s">
        <v>76</v>
      </c>
      <c r="B34" t="s">
        <v>260</v>
      </c>
      <c r="C34" t="s">
        <v>259</v>
      </c>
      <c r="D34">
        <v>5</v>
      </c>
      <c r="E34">
        <v>13</v>
      </c>
      <c r="F34">
        <f>LEN(GX_DC[[#This Row],[Code]])</f>
        <v>1</v>
      </c>
    </row>
    <row r="35" spans="1:6" x14ac:dyDescent="0.3">
      <c r="A35" s="1" t="s">
        <v>74</v>
      </c>
      <c r="B35" t="s">
        <v>261</v>
      </c>
      <c r="C35" t="s">
        <v>262</v>
      </c>
      <c r="D35">
        <v>6</v>
      </c>
      <c r="E35">
        <v>14</v>
      </c>
      <c r="F35">
        <f>LEN(GX_DC[[#This Row],[Code]])</f>
        <v>1</v>
      </c>
    </row>
    <row r="36" spans="1:6" x14ac:dyDescent="0.3">
      <c r="A36" s="1" t="s">
        <v>77</v>
      </c>
      <c r="B36" t="s">
        <v>263</v>
      </c>
      <c r="C36" t="s">
        <v>262</v>
      </c>
      <c r="D36">
        <v>6</v>
      </c>
      <c r="E36">
        <v>14</v>
      </c>
      <c r="F36">
        <f>LEN(GX_DC[[#This Row],[Code]])</f>
        <v>1</v>
      </c>
    </row>
    <row r="37" spans="1:6" x14ac:dyDescent="0.3">
      <c r="A37" s="1" t="s">
        <v>75</v>
      </c>
      <c r="B37" t="s">
        <v>264</v>
      </c>
      <c r="C37" t="s">
        <v>262</v>
      </c>
      <c r="D37">
        <v>6</v>
      </c>
      <c r="E37">
        <v>14</v>
      </c>
      <c r="F37">
        <f>LEN(GX_DC[[#This Row],[Code]])</f>
        <v>1</v>
      </c>
    </row>
    <row r="38" spans="1:6" x14ac:dyDescent="0.3">
      <c r="A38" s="1" t="s">
        <v>281</v>
      </c>
      <c r="B38" t="s">
        <v>265</v>
      </c>
      <c r="C38" t="s">
        <v>266</v>
      </c>
      <c r="D38">
        <v>7</v>
      </c>
      <c r="E38">
        <v>15</v>
      </c>
      <c r="F38">
        <f>LEN(GX_DC[[#This Row],[Code]])</f>
        <v>2</v>
      </c>
    </row>
    <row r="39" spans="1:6" x14ac:dyDescent="0.3">
      <c r="A39" s="1" t="s">
        <v>282</v>
      </c>
      <c r="B39" t="s">
        <v>267</v>
      </c>
      <c r="C39" t="s">
        <v>266</v>
      </c>
      <c r="D39">
        <v>7</v>
      </c>
      <c r="E39">
        <v>15</v>
      </c>
      <c r="F39">
        <f>LEN(GX_DC[[#This Row],[Code]])</f>
        <v>2</v>
      </c>
    </row>
    <row r="40" spans="1:6" x14ac:dyDescent="0.3">
      <c r="A40" s="1" t="s">
        <v>283</v>
      </c>
      <c r="B40" t="s">
        <v>268</v>
      </c>
      <c r="C40" t="s">
        <v>266</v>
      </c>
      <c r="D40">
        <v>7</v>
      </c>
      <c r="E40">
        <v>15</v>
      </c>
      <c r="F40">
        <f>LEN(GX_DC[[#This Row],[Code]])</f>
        <v>2</v>
      </c>
    </row>
    <row r="41" spans="1:6" x14ac:dyDescent="0.3">
      <c r="A41" s="1" t="s">
        <v>122</v>
      </c>
      <c r="B41" t="s">
        <v>269</v>
      </c>
      <c r="C41" t="s">
        <v>202</v>
      </c>
      <c r="D41">
        <v>8</v>
      </c>
      <c r="E41">
        <v>17</v>
      </c>
      <c r="F41">
        <f>LEN(GX_DC[[#This Row],[Code]])</f>
        <v>1</v>
      </c>
    </row>
    <row r="42" spans="1:6" x14ac:dyDescent="0.3">
      <c r="A42" s="1" t="s">
        <v>123</v>
      </c>
      <c r="B42" t="s">
        <v>270</v>
      </c>
      <c r="C42" t="s">
        <v>202</v>
      </c>
      <c r="D42">
        <v>8</v>
      </c>
      <c r="E42">
        <v>17</v>
      </c>
      <c r="F42">
        <f>LEN(GX_DC[[#This Row],[Code]])</f>
        <v>1</v>
      </c>
    </row>
    <row r="43" spans="1:6" x14ac:dyDescent="0.3">
      <c r="A43" s="1" t="s">
        <v>124</v>
      </c>
      <c r="B43" t="s">
        <v>271</v>
      </c>
      <c r="C43" t="s">
        <v>202</v>
      </c>
      <c r="D43">
        <v>8</v>
      </c>
      <c r="E43">
        <v>17</v>
      </c>
      <c r="F43">
        <f>LEN(GX_DC[[#This Row],[Code]])</f>
        <v>1</v>
      </c>
    </row>
    <row r="44" spans="1:6" x14ac:dyDescent="0.3">
      <c r="A44" s="1" t="s">
        <v>76</v>
      </c>
      <c r="B44" t="s">
        <v>272</v>
      </c>
      <c r="C44" t="s">
        <v>202</v>
      </c>
      <c r="D44">
        <v>8</v>
      </c>
      <c r="E44">
        <v>17</v>
      </c>
      <c r="F44">
        <f>LEN(GX_DC[[#This Row],[Code]])</f>
        <v>1</v>
      </c>
    </row>
    <row r="45" spans="1:6" x14ac:dyDescent="0.3">
      <c r="A45" s="1" t="s">
        <v>73</v>
      </c>
      <c r="B45" t="s">
        <v>273</v>
      </c>
      <c r="C45" t="s">
        <v>202</v>
      </c>
      <c r="D45">
        <v>8</v>
      </c>
      <c r="E45">
        <v>17</v>
      </c>
      <c r="F45">
        <f>LEN(GX_DC[[#This Row],[Code]])</f>
        <v>1</v>
      </c>
    </row>
    <row r="46" spans="1:6" x14ac:dyDescent="0.3">
      <c r="A46" s="1" t="s">
        <v>74</v>
      </c>
      <c r="B46" t="s">
        <v>274</v>
      </c>
      <c r="C46" t="s">
        <v>202</v>
      </c>
      <c r="D46">
        <v>8</v>
      </c>
      <c r="E46">
        <v>17</v>
      </c>
      <c r="F46">
        <f>LEN(GX_DC[[#This Row],[Code]])</f>
        <v>1</v>
      </c>
    </row>
    <row r="47" spans="1:6" x14ac:dyDescent="0.3">
      <c r="A47" s="1" t="s">
        <v>77</v>
      </c>
      <c r="B47" t="s">
        <v>275</v>
      </c>
      <c r="C47" t="s">
        <v>202</v>
      </c>
      <c r="D47">
        <v>8</v>
      </c>
      <c r="E47">
        <v>17</v>
      </c>
      <c r="F47">
        <f>LEN(GX_DC[[#This Row],[Code]])</f>
        <v>1</v>
      </c>
    </row>
    <row r="48" spans="1:6" x14ac:dyDescent="0.3">
      <c r="A48" s="1" t="s">
        <v>122</v>
      </c>
      <c r="B48" t="s">
        <v>269</v>
      </c>
      <c r="C48" t="s">
        <v>201</v>
      </c>
      <c r="D48">
        <v>9</v>
      </c>
      <c r="E48">
        <v>18</v>
      </c>
      <c r="F48">
        <f>LEN(GX_DC[[#This Row],[Code]])</f>
        <v>1</v>
      </c>
    </row>
    <row r="49" spans="1:6" x14ac:dyDescent="0.3">
      <c r="A49" s="1" t="s">
        <v>76</v>
      </c>
      <c r="B49" t="s">
        <v>272</v>
      </c>
      <c r="C49" t="s">
        <v>201</v>
      </c>
      <c r="D49">
        <v>9</v>
      </c>
      <c r="E49">
        <v>18</v>
      </c>
      <c r="F49">
        <f>LEN(GX_DC[[#This Row],[Code]])</f>
        <v>1</v>
      </c>
    </row>
    <row r="50" spans="1:6" x14ac:dyDescent="0.3">
      <c r="A50" s="1" t="s">
        <v>73</v>
      </c>
      <c r="B50" t="s">
        <v>273</v>
      </c>
      <c r="C50" t="s">
        <v>201</v>
      </c>
      <c r="D50">
        <v>9</v>
      </c>
      <c r="E50">
        <v>18</v>
      </c>
      <c r="F50">
        <f>LEN(GX_DC[[#This Row],[Code]])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0305-1EEA-487B-80B0-E6B1A167047C}">
  <sheetPr>
    <tabColor rgb="FF92D050"/>
  </sheetPr>
  <dimension ref="A1:N30"/>
  <sheetViews>
    <sheetView tabSelected="1" zoomScale="115" zoomScaleNormal="115" workbookViewId="0">
      <selection activeCell="H14" sqref="H14"/>
    </sheetView>
  </sheetViews>
  <sheetFormatPr defaultRowHeight="14.4" x14ac:dyDescent="0.3"/>
  <cols>
    <col min="1" max="1" width="7.33203125" customWidth="1"/>
    <col min="2" max="2" width="42.88671875" bestFit="1" customWidth="1"/>
    <col min="3" max="3" width="33.6640625" bestFit="1" customWidth="1"/>
    <col min="4" max="4" width="9.33203125" customWidth="1"/>
    <col min="8" max="8" width="37.21875" customWidth="1"/>
    <col min="9" max="9" width="36.5546875" bestFit="1" customWidth="1"/>
    <col min="12" max="12" width="0" hidden="1" customWidth="1"/>
    <col min="14" max="14" width="38.44140625" customWidth="1"/>
  </cols>
  <sheetData>
    <row r="1" spans="1:14" ht="15" thickBot="1" x14ac:dyDescent="0.35">
      <c r="A1" s="15" t="s">
        <v>49</v>
      </c>
      <c r="B1" s="15" t="s">
        <v>50</v>
      </c>
      <c r="C1" s="15" t="s">
        <v>97</v>
      </c>
      <c r="D1" s="15" t="s">
        <v>51</v>
      </c>
      <c r="E1" s="15" t="s">
        <v>48</v>
      </c>
      <c r="F1" s="15" t="s">
        <v>79</v>
      </c>
      <c r="H1" s="3" t="s">
        <v>99</v>
      </c>
      <c r="I1" s="16" t="s">
        <v>310</v>
      </c>
      <c r="J1" s="3" t="s">
        <v>49</v>
      </c>
      <c r="N1" s="9" t="s">
        <v>198</v>
      </c>
    </row>
    <row r="2" spans="1:14" ht="15.6" thickTop="1" thickBot="1" x14ac:dyDescent="0.35">
      <c r="A2" t="s">
        <v>284</v>
      </c>
      <c r="B2" t="s">
        <v>285</v>
      </c>
      <c r="C2" t="s">
        <v>188</v>
      </c>
      <c r="D2">
        <v>1</v>
      </c>
      <c r="E2">
        <v>1</v>
      </c>
      <c r="F2">
        <f>LEN(A2)</f>
        <v>4</v>
      </c>
      <c r="H2" s="2" t="str">
        <f>MD[[#This Row],[Variable]]</f>
        <v>Model and input voltage</v>
      </c>
      <c r="I2" s="2" t="str" cm="1">
        <f t="array" ref="I2">INDEX(MD[Value],_xlfn.XMATCH(J2,MD[Code]))</f>
        <v>Electrak MD, 24 Vdc</v>
      </c>
      <c r="J2" s="2" t="str">
        <f>MID($I$1,_xlfn.XLOOKUP(H2,MD[Variable],MD[Index]),_xlfn.XLOOKUP(H2,MD[Variable],MD[Len]))</f>
        <v>MD24</v>
      </c>
      <c r="L2" t="str">
        <f>H2&amp;": "&amp;I2</f>
        <v>Model and input voltage: Electrak MD, 24 Vdc</v>
      </c>
      <c r="N2" s="14" t="str">
        <f>_xlfn.TEXTJOIN(CHAR(10),TRUE,L2:L10)</f>
        <v>Model and input voltage: Electrak MD, 24 Vdc
Screw type, dynamic load capacity: Acme screw, 2000 N (450 lbs)
Ordering stroke length: 150 mm
Electrak Modular Control System options: XXX + analog (potentiometer) position output
Harness option: 1 m long cable with flying leads
Rear adapter option: Forked cross hole for 10 mm pin
Front adapter option: Forked cross hole for 10 mm pin
Adapter orientation: Forked cross hole for 10 mm pin
Connector option: Standard orientation</v>
      </c>
    </row>
    <row r="3" spans="1:14" ht="15.6" thickTop="1" thickBot="1" x14ac:dyDescent="0.35">
      <c r="A3" t="s">
        <v>286</v>
      </c>
      <c r="B3" t="s">
        <v>287</v>
      </c>
      <c r="C3" t="s">
        <v>188</v>
      </c>
      <c r="D3">
        <v>1</v>
      </c>
      <c r="E3">
        <v>1</v>
      </c>
      <c r="F3">
        <f t="shared" ref="F3:F30" si="0">LEN(A3)</f>
        <v>4</v>
      </c>
      <c r="H3" s="2" t="str">
        <f>C4</f>
        <v>Screw type, dynamic load capacity</v>
      </c>
      <c r="I3" s="2" t="str" cm="1">
        <f t="array" ref="I3">INDEX(MD[Value],_xlfn.XMATCH(J3,MD[Code]))</f>
        <v>Acme screw, 2000 N (450 lbs)</v>
      </c>
      <c r="J3" s="2" t="str">
        <f>MID($I$1,_xlfn.XLOOKUP(H3,MD[Variable],MD[Index]),_xlfn.XLOOKUP(H3,MD[Variable],MD[Len]))</f>
        <v>A200-</v>
      </c>
      <c r="L3" t="str">
        <f t="shared" ref="L3:L10" si="1">H3&amp;": "&amp;I3</f>
        <v>Screw type, dynamic load capacity: Acme screw, 2000 N (450 lbs)</v>
      </c>
      <c r="N3" s="9" t="s">
        <v>204</v>
      </c>
    </row>
    <row r="4" spans="1:14" ht="15.6" thickTop="1" thickBot="1" x14ac:dyDescent="0.35">
      <c r="A4" t="s">
        <v>311</v>
      </c>
      <c r="B4" t="s">
        <v>288</v>
      </c>
      <c r="C4" t="s">
        <v>190</v>
      </c>
      <c r="D4">
        <v>2</v>
      </c>
      <c r="E4" s="11">
        <f>IF(D4=D2,E2,
(E2+F2)
)</f>
        <v>5</v>
      </c>
      <c r="F4">
        <f t="shared" si="0"/>
        <v>5</v>
      </c>
      <c r="H4" s="2" t="str">
        <f>C8</f>
        <v>Ordering stroke length</v>
      </c>
      <c r="I4" s="2" t="str" cm="1">
        <f t="array" ref="I4">INDEX(MD[Value],_xlfn.XMATCH(J4,MD[Code]))</f>
        <v>150 mm</v>
      </c>
      <c r="J4" s="2" t="str">
        <f>MID($I$1,_xlfn.XLOOKUP(H4,MD[Variable],MD[Index]),_xlfn.XLOOKUP(H4,MD[Variable],MD[Len]))</f>
        <v>0150</v>
      </c>
      <c r="L4" t="str">
        <f t="shared" si="1"/>
        <v>Ordering stroke length: 150 mm</v>
      </c>
      <c r="N4" s="14" t="str">
        <f>TRIM("Lin Act "
&amp;TRIM(MID(I2,1,FIND(",",I2,1)-1))
&amp;" "
&amp;SUBSTITUTE(TRIM(MID(I2,
FIND(",",I2,1)+2,
((FIND("V",I2)-FIND(",",I2)-1))))," ","")
&amp;" "&amp;J5
&amp;" "&amp;SUBSTITUTE(TRIM(
MID(I3,
FIND("N",I3)-5,6)
)," ","")
&amp;" "&amp;SUBSTITUTE(TRIM(I4)," ",""))</f>
        <v>Lin Act Electrak MD 24V XXP 2000N 150mm</v>
      </c>
    </row>
    <row r="5" spans="1:14" ht="15" thickTop="1" x14ac:dyDescent="0.3">
      <c r="A5" t="s">
        <v>312</v>
      </c>
      <c r="B5" t="s">
        <v>289</v>
      </c>
      <c r="C5" t="s">
        <v>190</v>
      </c>
      <c r="D5">
        <v>2</v>
      </c>
      <c r="E5" s="11">
        <f t="shared" ref="E5:E30" si="2">IF(D5=D3,E3,
(E3+F3)
)</f>
        <v>5</v>
      </c>
      <c r="F5">
        <f t="shared" si="0"/>
        <v>5</v>
      </c>
      <c r="H5" s="2" t="str">
        <f>C14</f>
        <v>Electrak Modular Control System options</v>
      </c>
      <c r="I5" s="2" t="str" cm="1">
        <f t="array" ref="I5">INDEX(MD[Value],_xlfn.XMATCH(J5,MD[Code]))</f>
        <v>XXX + analog (potentiometer) position output</v>
      </c>
      <c r="J5" s="2" t="str">
        <f>MID($I$1,_xlfn.XLOOKUP(H5,MD[Variable],MD[Index]),_xlfn.XLOOKUP(H5,MD[Variable],MD[Len]))</f>
        <v>XXP</v>
      </c>
      <c r="L5" t="str">
        <f t="shared" si="1"/>
        <v>Electrak Modular Control System options: XXX + analog (potentiometer) position output</v>
      </c>
    </row>
    <row r="6" spans="1:14" x14ac:dyDescent="0.3">
      <c r="A6" t="s">
        <v>313</v>
      </c>
      <c r="B6" t="s">
        <v>290</v>
      </c>
      <c r="C6" t="s">
        <v>190</v>
      </c>
      <c r="D6">
        <v>2</v>
      </c>
      <c r="E6" s="11">
        <f t="shared" si="2"/>
        <v>5</v>
      </c>
      <c r="F6">
        <f t="shared" si="0"/>
        <v>5</v>
      </c>
      <c r="H6" s="2" t="str">
        <f>C24</f>
        <v>Harness option</v>
      </c>
      <c r="I6" s="2" t="str" cm="1">
        <f t="array" ref="I6">INDEX(MD[Value],_xlfn.XMATCH(J6,TRIM(MD[Code])))</f>
        <v>1 m long cable with flying leads</v>
      </c>
      <c r="J6" s="2" t="str">
        <f>MID($I$1,_xlfn.XLOOKUP(H6,MD[Variable],MD[Index]),_xlfn.XLOOKUP(H6,MD[Variable],MD[Len]))</f>
        <v>2</v>
      </c>
      <c r="L6" t="str">
        <f t="shared" si="1"/>
        <v>Harness option: 1 m long cable with flying leads</v>
      </c>
    </row>
    <row r="7" spans="1:14" x14ac:dyDescent="0.3">
      <c r="A7" t="s">
        <v>314</v>
      </c>
      <c r="B7" t="s">
        <v>291</v>
      </c>
      <c r="C7" t="s">
        <v>190</v>
      </c>
      <c r="D7">
        <v>2</v>
      </c>
      <c r="E7" s="11">
        <f t="shared" si="2"/>
        <v>5</v>
      </c>
      <c r="F7">
        <f t="shared" si="0"/>
        <v>5</v>
      </c>
      <c r="H7" s="2" t="str">
        <f>C26</f>
        <v>Rear adapter option</v>
      </c>
      <c r="I7" s="2" t="str" cm="1">
        <f t="array" ref="I7">INDEX(MD[Value],_xlfn.XMATCH(J7,MD[Code]))</f>
        <v>Forked cross hole for 10 mm pin</v>
      </c>
      <c r="J7" s="2" t="str">
        <f>MID($I$1,_xlfn.XLOOKUP(H7,MD[Variable],MD[Index]),_xlfn.XLOOKUP(H7,MD[Variable],MD[Len]))</f>
        <v>N</v>
      </c>
      <c r="L7" t="str">
        <f>H7&amp;": "&amp;I7</f>
        <v>Rear adapter option: Forked cross hole for 10 mm pin</v>
      </c>
    </row>
    <row r="8" spans="1:14" x14ac:dyDescent="0.3">
      <c r="A8" s="1" t="s">
        <v>107</v>
      </c>
      <c r="B8" t="s">
        <v>135</v>
      </c>
      <c r="C8" t="s">
        <v>191</v>
      </c>
      <c r="D8">
        <v>3</v>
      </c>
      <c r="E8" s="11">
        <f t="shared" si="2"/>
        <v>10</v>
      </c>
      <c r="F8">
        <f t="shared" si="0"/>
        <v>4</v>
      </c>
      <c r="H8" s="2" t="str">
        <f>C27</f>
        <v>Front adapter option</v>
      </c>
      <c r="I8" s="2" t="str" cm="1">
        <f t="array" ref="I8">INDEX(MD[Value],_xlfn.XMATCH(J8,MD[Code]))</f>
        <v>Forked cross hole for 10 mm pin</v>
      </c>
      <c r="J8" s="2" t="str">
        <f>MID($I$1,_xlfn.XLOOKUP(H8,MD[Variable],MD[Index]),_xlfn.XLOOKUP(H8,MD[Variable],MD[Len]))</f>
        <v>N</v>
      </c>
      <c r="L8" t="str">
        <f t="shared" si="1"/>
        <v>Front adapter option: Forked cross hole for 10 mm pin</v>
      </c>
    </row>
    <row r="9" spans="1:14" x14ac:dyDescent="0.3">
      <c r="A9" s="1" t="s">
        <v>80</v>
      </c>
      <c r="B9" t="s">
        <v>136</v>
      </c>
      <c r="C9" t="s">
        <v>191</v>
      </c>
      <c r="D9">
        <v>3</v>
      </c>
      <c r="E9" s="11">
        <f t="shared" si="2"/>
        <v>10</v>
      </c>
      <c r="F9">
        <f t="shared" si="0"/>
        <v>4</v>
      </c>
      <c r="H9" s="2" t="str">
        <f>C28</f>
        <v>Adapter orientation</v>
      </c>
      <c r="I9" s="2" t="str" cm="1">
        <f t="array" ref="I9">INDEX(MD[Value],_xlfn.XMATCH(J9,MD[Code]))</f>
        <v>Forked cross hole for 10 mm pin</v>
      </c>
      <c r="J9" s="2" t="str">
        <f>MID($I$1,_xlfn.XLOOKUP(H9,MD[Variable],MD[Index]),_xlfn.XLOOKUP(H9,MD[Variable],MD[Len]))</f>
        <v>N</v>
      </c>
      <c r="L9" t="str">
        <f t="shared" si="1"/>
        <v>Adapter orientation: Forked cross hole for 10 mm pin</v>
      </c>
    </row>
    <row r="10" spans="1:14" x14ac:dyDescent="0.3">
      <c r="A10" s="1" t="s">
        <v>81</v>
      </c>
      <c r="B10" t="s">
        <v>137</v>
      </c>
      <c r="C10" t="s">
        <v>191</v>
      </c>
      <c r="D10">
        <v>3</v>
      </c>
      <c r="E10" s="11">
        <f t="shared" si="2"/>
        <v>10</v>
      </c>
      <c r="F10">
        <f t="shared" si="0"/>
        <v>4</v>
      </c>
      <c r="H10" s="2" t="str">
        <f>C30</f>
        <v>Connector option</v>
      </c>
      <c r="I10" s="2" t="str" cm="1">
        <f t="array" ref="I10">INDEX(MD[Value],_xlfn.XMATCH(J10,MD[Code]))</f>
        <v>Standard orientation</v>
      </c>
      <c r="J10" s="2" t="str">
        <f>MID($I$1,_xlfn.XLOOKUP(H10,MD[Variable],MD[Index]),_xlfn.XLOOKUP(H10,MD[Variable],MD[Len]))</f>
        <v>S</v>
      </c>
      <c r="L10" t="str">
        <f t="shared" si="1"/>
        <v>Connector option: Standard orientation</v>
      </c>
    </row>
    <row r="11" spans="1:14" x14ac:dyDescent="0.3">
      <c r="A11" s="1" t="s">
        <v>82</v>
      </c>
      <c r="B11" t="s">
        <v>138</v>
      </c>
      <c r="C11" t="s">
        <v>191</v>
      </c>
      <c r="D11">
        <v>3</v>
      </c>
      <c r="E11" s="11">
        <f t="shared" si="2"/>
        <v>10</v>
      </c>
      <c r="F11">
        <f t="shared" si="0"/>
        <v>4</v>
      </c>
    </row>
    <row r="12" spans="1:14" x14ac:dyDescent="0.3">
      <c r="A12" s="1" t="s">
        <v>83</v>
      </c>
      <c r="B12" t="s">
        <v>139</v>
      </c>
      <c r="C12" t="s">
        <v>191</v>
      </c>
      <c r="D12">
        <v>3</v>
      </c>
      <c r="E12" s="11">
        <f t="shared" si="2"/>
        <v>10</v>
      </c>
      <c r="F12">
        <f t="shared" si="0"/>
        <v>4</v>
      </c>
    </row>
    <row r="13" spans="1:14" x14ac:dyDescent="0.3">
      <c r="A13" s="1" t="s">
        <v>84</v>
      </c>
      <c r="B13" t="s">
        <v>140</v>
      </c>
      <c r="C13" t="s">
        <v>191</v>
      </c>
      <c r="D13">
        <v>3</v>
      </c>
      <c r="E13" s="11">
        <f t="shared" si="2"/>
        <v>10</v>
      </c>
      <c r="F13">
        <f t="shared" si="0"/>
        <v>4</v>
      </c>
    </row>
    <row r="14" spans="1:14" x14ac:dyDescent="0.3">
      <c r="A14" t="s">
        <v>292</v>
      </c>
      <c r="B14" t="s">
        <v>293</v>
      </c>
      <c r="C14" t="s">
        <v>189</v>
      </c>
      <c r="D14">
        <v>4</v>
      </c>
      <c r="E14" s="11">
        <f t="shared" si="2"/>
        <v>14</v>
      </c>
      <c r="F14">
        <f t="shared" si="0"/>
        <v>3</v>
      </c>
    </row>
    <row r="15" spans="1:14" x14ac:dyDescent="0.3">
      <c r="A15" t="s">
        <v>294</v>
      </c>
      <c r="B15" t="s">
        <v>295</v>
      </c>
      <c r="C15" t="s">
        <v>189</v>
      </c>
      <c r="D15">
        <v>4</v>
      </c>
      <c r="E15" s="11">
        <f t="shared" si="2"/>
        <v>14</v>
      </c>
      <c r="F15">
        <f t="shared" si="0"/>
        <v>3</v>
      </c>
    </row>
    <row r="16" spans="1:14" x14ac:dyDescent="0.3">
      <c r="A16" t="s">
        <v>114</v>
      </c>
      <c r="B16" t="s">
        <v>296</v>
      </c>
      <c r="C16" t="s">
        <v>189</v>
      </c>
      <c r="D16">
        <v>4</v>
      </c>
      <c r="E16" s="11">
        <f t="shared" si="2"/>
        <v>14</v>
      </c>
      <c r="F16">
        <f t="shared" si="0"/>
        <v>3</v>
      </c>
    </row>
    <row r="17" spans="1:6" x14ac:dyDescent="0.3">
      <c r="A17" t="s">
        <v>116</v>
      </c>
      <c r="B17" t="s">
        <v>157</v>
      </c>
      <c r="C17" t="s">
        <v>189</v>
      </c>
      <c r="D17">
        <v>4</v>
      </c>
      <c r="E17" s="11">
        <f t="shared" si="2"/>
        <v>14</v>
      </c>
      <c r="F17">
        <f t="shared" si="0"/>
        <v>3</v>
      </c>
    </row>
    <row r="18" spans="1:6" x14ac:dyDescent="0.3">
      <c r="A18" t="s">
        <v>64</v>
      </c>
      <c r="B18" t="s">
        <v>161</v>
      </c>
      <c r="C18" t="s">
        <v>189</v>
      </c>
      <c r="D18">
        <v>4</v>
      </c>
      <c r="E18" s="11">
        <f t="shared" si="2"/>
        <v>14</v>
      </c>
      <c r="F18">
        <f t="shared" si="0"/>
        <v>3</v>
      </c>
    </row>
    <row r="19" spans="1:6" x14ac:dyDescent="0.3">
      <c r="A19" t="s">
        <v>67</v>
      </c>
      <c r="B19" t="s">
        <v>297</v>
      </c>
      <c r="C19" t="s">
        <v>189</v>
      </c>
      <c r="D19">
        <v>4</v>
      </c>
      <c r="E19" s="11">
        <f t="shared" si="2"/>
        <v>14</v>
      </c>
      <c r="F19">
        <f t="shared" si="0"/>
        <v>3</v>
      </c>
    </row>
    <row r="20" spans="1:6" x14ac:dyDescent="0.3">
      <c r="A20" t="s">
        <v>65</v>
      </c>
      <c r="B20" t="s">
        <v>163</v>
      </c>
      <c r="C20" t="s">
        <v>189</v>
      </c>
      <c r="D20">
        <v>4</v>
      </c>
      <c r="E20" s="11">
        <f t="shared" si="2"/>
        <v>14</v>
      </c>
      <c r="F20">
        <f t="shared" si="0"/>
        <v>3</v>
      </c>
    </row>
    <row r="21" spans="1:6" x14ac:dyDescent="0.3">
      <c r="A21" t="s">
        <v>68</v>
      </c>
      <c r="B21" t="s">
        <v>298</v>
      </c>
      <c r="C21" t="s">
        <v>189</v>
      </c>
      <c r="D21">
        <v>4</v>
      </c>
      <c r="E21" s="11">
        <f t="shared" si="2"/>
        <v>14</v>
      </c>
      <c r="F21">
        <f t="shared" si="0"/>
        <v>3</v>
      </c>
    </row>
    <row r="22" spans="1:6" x14ac:dyDescent="0.3">
      <c r="A22" t="s">
        <v>299</v>
      </c>
      <c r="B22" t="s">
        <v>300</v>
      </c>
      <c r="C22" t="s">
        <v>189</v>
      </c>
      <c r="D22">
        <v>4</v>
      </c>
      <c r="E22" s="11">
        <f t="shared" si="2"/>
        <v>14</v>
      </c>
      <c r="F22">
        <f t="shared" si="0"/>
        <v>3</v>
      </c>
    </row>
    <row r="23" spans="1:6" x14ac:dyDescent="0.3">
      <c r="A23" t="s">
        <v>301</v>
      </c>
      <c r="B23" t="s">
        <v>302</v>
      </c>
      <c r="C23" t="s">
        <v>189</v>
      </c>
      <c r="D23">
        <v>4</v>
      </c>
      <c r="E23" s="11">
        <f t="shared" si="2"/>
        <v>14</v>
      </c>
      <c r="F23">
        <f t="shared" si="0"/>
        <v>3</v>
      </c>
    </row>
    <row r="24" spans="1:6" x14ac:dyDescent="0.3">
      <c r="A24">
        <v>1</v>
      </c>
      <c r="B24" t="s">
        <v>303</v>
      </c>
      <c r="C24" t="s">
        <v>304</v>
      </c>
      <c r="D24">
        <v>5</v>
      </c>
      <c r="E24" s="11">
        <f t="shared" si="2"/>
        <v>17</v>
      </c>
      <c r="F24">
        <f t="shared" si="0"/>
        <v>1</v>
      </c>
    </row>
    <row r="25" spans="1:6" x14ac:dyDescent="0.3">
      <c r="A25">
        <v>2</v>
      </c>
      <c r="B25" t="s">
        <v>305</v>
      </c>
      <c r="C25" t="s">
        <v>304</v>
      </c>
      <c r="D25">
        <v>5</v>
      </c>
      <c r="E25" s="11">
        <f t="shared" si="2"/>
        <v>17</v>
      </c>
      <c r="F25">
        <f t="shared" si="0"/>
        <v>1</v>
      </c>
    </row>
    <row r="26" spans="1:6" x14ac:dyDescent="0.3">
      <c r="A26" t="s">
        <v>74</v>
      </c>
      <c r="B26" t="s">
        <v>306</v>
      </c>
      <c r="C26" t="s">
        <v>201</v>
      </c>
      <c r="D26">
        <v>6</v>
      </c>
      <c r="E26" s="11">
        <f t="shared" si="2"/>
        <v>18</v>
      </c>
      <c r="F26">
        <f t="shared" si="0"/>
        <v>1</v>
      </c>
    </row>
    <row r="27" spans="1:6" x14ac:dyDescent="0.3">
      <c r="A27" t="s">
        <v>74</v>
      </c>
      <c r="B27" t="s">
        <v>306</v>
      </c>
      <c r="C27" t="s">
        <v>202</v>
      </c>
      <c r="D27">
        <v>7</v>
      </c>
      <c r="E27" s="11">
        <f t="shared" si="2"/>
        <v>18</v>
      </c>
      <c r="F27">
        <f t="shared" si="0"/>
        <v>1</v>
      </c>
    </row>
    <row r="28" spans="1:6" x14ac:dyDescent="0.3">
      <c r="A28" t="s">
        <v>78</v>
      </c>
      <c r="B28" t="s">
        <v>307</v>
      </c>
      <c r="C28" t="s">
        <v>195</v>
      </c>
      <c r="D28">
        <v>8</v>
      </c>
      <c r="E28" s="11">
        <f t="shared" si="2"/>
        <v>19</v>
      </c>
      <c r="F28">
        <f t="shared" si="0"/>
        <v>1</v>
      </c>
    </row>
    <row r="29" spans="1:6" x14ac:dyDescent="0.3">
      <c r="A29" t="s">
        <v>73</v>
      </c>
      <c r="B29" t="s">
        <v>308</v>
      </c>
      <c r="C29" t="s">
        <v>195</v>
      </c>
      <c r="D29">
        <v>8</v>
      </c>
      <c r="E29" s="11">
        <f t="shared" si="2"/>
        <v>19</v>
      </c>
      <c r="F29">
        <f>LEN(A29)</f>
        <v>1</v>
      </c>
    </row>
    <row r="30" spans="1:6" x14ac:dyDescent="0.3">
      <c r="A30" t="s">
        <v>106</v>
      </c>
      <c r="B30" t="s">
        <v>309</v>
      </c>
      <c r="C30" t="s">
        <v>266</v>
      </c>
      <c r="D30">
        <v>9</v>
      </c>
      <c r="E30" s="11">
        <f t="shared" si="2"/>
        <v>20</v>
      </c>
      <c r="F30">
        <f t="shared" si="0"/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FDA642D85294B832109D3212D0360" ma:contentTypeVersion="14" ma:contentTypeDescription="Create a new document." ma:contentTypeScope="" ma:versionID="1142f0aadde6cb22468b411fcf09b03a">
  <xsd:schema xmlns:xsd="http://www.w3.org/2001/XMLSchema" xmlns:xs="http://www.w3.org/2001/XMLSchema" xmlns:p="http://schemas.microsoft.com/office/2006/metadata/properties" xmlns:ns2="469a21ff-5e38-4558-9bbf-b9d5a584ac9b" xmlns:ns3="fd3b3689-4142-4cd1-85e0-5129ec632af5" targetNamespace="http://schemas.microsoft.com/office/2006/metadata/properties" ma:root="true" ma:fieldsID="c1b27b1435e8d280f2e137c35341481a" ns2:_="" ns3:_="">
    <xsd:import namespace="469a21ff-5e38-4558-9bbf-b9d5a584ac9b"/>
    <xsd:import namespace="fd3b3689-4142-4cd1-85e0-5129ec632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a21ff-5e38-4558-9bbf-b9d5a584a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e4a01f1-7599-4238-843e-88d8c931bc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b3689-4142-4cd1-85e0-5129ec632af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ae21813-ed06-41ce-b4b5-722a03991416}" ma:internalName="TaxCatchAll" ma:showField="CatchAllData" ma:web="fd3b3689-4142-4cd1-85e0-5129ec632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3b3689-4142-4cd1-85e0-5129ec632af5" xsi:nil="true"/>
    <lcf76f155ced4ddcb4097134ff3c332f xmlns="469a21ff-5e38-4558-9bbf-b9d5a584ac9b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ECD674B6-5A12-4486-A85A-FE41FB4CB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44C893-9205-43FF-9332-E024EFEF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a21ff-5e38-4558-9bbf-b9d5a584ac9b"/>
    <ds:schemaRef ds:uri="fd3b3689-4142-4cd1-85e0-5129ec632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D4222B-C7BD-4351-9271-4CF63D9BD214}">
  <ds:schemaRefs>
    <ds:schemaRef ds:uri="http://schemas.microsoft.com/office/2006/metadata/properties"/>
    <ds:schemaRef ds:uri="http://schemas.microsoft.com/office/infopath/2007/PartnerControls"/>
    <ds:schemaRef ds:uri="fd3b3689-4142-4cd1-85e0-5129ec632af5"/>
    <ds:schemaRef ds:uri="469a21ff-5e38-4558-9bbf-b9d5a584ac9b"/>
  </ds:schemaRefs>
</ds:datastoreItem>
</file>

<file path=customXml/itemProps4.xml><?xml version="1.0" encoding="utf-8"?>
<ds:datastoreItem xmlns:ds="http://schemas.openxmlformats.org/officeDocument/2006/customXml" ds:itemID="{97D7E253-774C-46FD-A42A-E401B8AD5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XD Lin Acc</vt:lpstr>
      <vt:lpstr>HD Lin Acc</vt:lpstr>
      <vt:lpstr>GX DC Lin Acc</vt:lpstr>
      <vt:lpstr>MD Lin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van der Merwe</dc:creator>
  <cp:lastModifiedBy>Dawid van der Merwe</cp:lastModifiedBy>
  <dcterms:created xsi:type="dcterms:W3CDTF">2025-04-16T10:23:08Z</dcterms:created>
  <dcterms:modified xsi:type="dcterms:W3CDTF">2025-05-16T13:15:52Z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0x010100D2AFDA642D85294B832109D3212D0360</vt:lpwstr>
  </property>
  <property fmtid="{D5CDD505-2E9C-101B-9397-08002B2CF9AE}" pid="3" name="MediaServiceImageTags">
    <vt:lpwstr/>
  </property>
</Properties>
</file>