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Projects\Excel projects\Statistics\"/>
    </mc:Choice>
  </mc:AlternateContent>
  <xr:revisionPtr revIDLastSave="9" documentId="6_{AB53D39F-D7CD-43D3-9D19-975740C5CF2B}" xr6:coauthVersionLast="37" xr6:coauthVersionMax="37" xr10:uidLastSave="{ACD52283-E4D5-445C-8176-94065D3354AD}"/>
  <bookViews>
    <workbookView xWindow="0" yWindow="0" windowWidth="23040" windowHeight="9192" activeTab="4" xr2:uid="{910CDDCA-ABAF-4B24-8BA9-64BC3FDB4922}"/>
  </bookViews>
  <sheets>
    <sheet name="ROC" sheetId="1" r:id="rId1"/>
    <sheet name="Risk, Odds" sheetId="5" r:id="rId2"/>
    <sheet name="Probability" sheetId="3" r:id="rId3"/>
    <sheet name="Tests" sheetId="6" r:id="rId4"/>
    <sheet name="Notes" sheetId="2" r:id="rId5"/>
  </sheets>
  <definedNames>
    <definedName name="_ARP">'Risk, Odds'!$B$15</definedName>
    <definedName name="_CE">'Risk, Odds'!$C$3</definedName>
    <definedName name="_CER">'Risk, Odds'!$C$6</definedName>
    <definedName name="_CN">'Risk, Odds'!$C$4</definedName>
    <definedName name="_CS">'Risk, Odds'!$C$5</definedName>
    <definedName name="_EE">'Risk, Odds'!$B$3</definedName>
    <definedName name="_EER">'Risk, Odds'!$B$6</definedName>
    <definedName name="_EN">'Risk, Odds'!$B$4</definedName>
    <definedName name="_ES">'Risk, Odds'!$B$5</definedName>
    <definedName name="_OR">'Risk, Odds'!$B$13</definedName>
    <definedName name="_PF">'Risk, Odds'!$B$16</definedName>
    <definedName name="_RR">'Risk, Odds'!$B$12</definedName>
    <definedName name="DISEASE">ROC!$B$5</definedName>
    <definedName name="FDR">ROC!$H$6</definedName>
    <definedName name="FNeg">ROC!$B$4</definedName>
    <definedName name="FOR">ROC!$H$7</definedName>
    <definedName name="FPos">ROC!$C$3</definedName>
    <definedName name="LRNEG">ROC!$H$9</definedName>
    <definedName name="LRPOS">ROC!$H$8</definedName>
    <definedName name="NPV">ROC!$H$5</definedName>
    <definedName name="POPULATION">ROC!$B$7</definedName>
    <definedName name="POSTTESTONEG">ROC!$H$14</definedName>
    <definedName name="POSTTESTOPOS">ROC!$H$12</definedName>
    <definedName name="POSTTESTPNEG">ROC!$H$15</definedName>
    <definedName name="POSTTESTPPOS">ROC!$H$13</definedName>
    <definedName name="PPV">ROC!$H$4</definedName>
    <definedName name="PRETESTO">ROC!$H$11</definedName>
    <definedName name="PRETESTP">ROC!$H$10</definedName>
    <definedName name="SENS">ROC!$H$2</definedName>
    <definedName name="SPEC">ROC!$H$3</definedName>
    <definedName name="TNeg">ROC!$C$4</definedName>
    <definedName name="TPos">ROC!$B$3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5" l="1"/>
  <c r="O3" i="5"/>
  <c r="O2" i="5"/>
  <c r="I4" i="5"/>
  <c r="I3" i="5"/>
  <c r="H5" i="5"/>
  <c r="G5" i="5"/>
  <c r="I5" i="5" s="1"/>
  <c r="B13" i="5" l="1"/>
  <c r="D4" i="5"/>
  <c r="D3" i="5"/>
  <c r="C5" i="5"/>
  <c r="C6" i="5" s="1"/>
  <c r="B5" i="5"/>
  <c r="D5" i="5" l="1"/>
  <c r="B6" i="5"/>
  <c r="B29" i="3"/>
  <c r="B32" i="3" s="1"/>
  <c r="B28" i="3"/>
  <c r="B31" i="3" s="1"/>
  <c r="B27" i="3"/>
  <c r="B30" i="3" s="1"/>
  <c r="M12" i="3"/>
  <c r="B8" i="3"/>
  <c r="B9" i="3" s="1"/>
  <c r="E1" i="3"/>
  <c r="B9" i="5" l="1"/>
  <c r="C9" i="5" s="1"/>
  <c r="D9" i="5" s="1"/>
  <c r="B14" i="5"/>
  <c r="B12" i="5"/>
  <c r="C12" i="5" s="1"/>
  <c r="B11" i="5"/>
  <c r="C11" i="5" s="1"/>
  <c r="D11" i="5" s="1"/>
  <c r="B10" i="5"/>
  <c r="C10" i="5" s="1"/>
  <c r="D10" i="5" s="1"/>
  <c r="B33" i="3"/>
  <c r="H5" i="1"/>
  <c r="H7" i="1" s="1"/>
  <c r="H2" i="1"/>
  <c r="H3" i="1"/>
  <c r="H4" i="1"/>
  <c r="H6" i="1" s="1"/>
  <c r="B16" i="5" l="1"/>
  <c r="B15" i="5"/>
  <c r="H8" i="1"/>
  <c r="H9" i="1"/>
  <c r="I7" i="1"/>
  <c r="I6" i="1"/>
  <c r="I3" i="1"/>
  <c r="I4" i="1"/>
  <c r="I5" i="1"/>
  <c r="I2" i="1"/>
  <c r="D4" i="1"/>
  <c r="D3" i="1"/>
  <c r="C5" i="1"/>
  <c r="B5" i="1"/>
  <c r="E5" i="1" l="1"/>
  <c r="D6" i="1"/>
  <c r="B7" i="1" s="1"/>
  <c r="H10" i="1" s="1"/>
  <c r="I10" i="1" l="1"/>
  <c r="H11" i="1"/>
  <c r="H12" i="1" s="1"/>
  <c r="H13" i="1" s="1"/>
  <c r="I13" i="1" s="1"/>
  <c r="D5" i="1"/>
  <c r="H14" i="1" l="1"/>
  <c r="H15" i="1" s="1"/>
  <c r="H17" i="1"/>
  <c r="I17" i="1" s="1"/>
  <c r="I15" i="1" l="1"/>
  <c r="H18" i="1"/>
  <c r="I18" i="1" s="1"/>
</calcChain>
</file>

<file path=xl/sharedStrings.xml><?xml version="1.0" encoding="utf-8"?>
<sst xmlns="http://schemas.openxmlformats.org/spreadsheetml/2006/main" count="194" uniqueCount="182">
  <si>
    <t>DIS +</t>
  </si>
  <si>
    <t>DIS -</t>
  </si>
  <si>
    <t>TEST +</t>
  </si>
  <si>
    <t>TEST -</t>
  </si>
  <si>
    <t xml:space="preserve">Population: </t>
  </si>
  <si>
    <t>SENS</t>
  </si>
  <si>
    <t>SPEC</t>
  </si>
  <si>
    <t>PPV</t>
  </si>
  <si>
    <t>NPV</t>
  </si>
  <si>
    <t>Total</t>
  </si>
  <si>
    <t>FDR</t>
  </si>
  <si>
    <t>FDR = False Discovery Rate (complement of PPV)</t>
  </si>
  <si>
    <t>P(cancer)</t>
  </si>
  <si>
    <t>P(mam|ca)</t>
  </si>
  <si>
    <t>P(mam|no ca)</t>
  </si>
  <si>
    <t>x</t>
  </si>
  <si>
    <t>P(ca|mam)</t>
  </si>
  <si>
    <t>FOR</t>
  </si>
  <si>
    <t>FOR = False Omission Rate</t>
  </si>
  <si>
    <t>P(A)</t>
  </si>
  <si>
    <t>P(B)</t>
  </si>
  <si>
    <t>P(B|A)</t>
  </si>
  <si>
    <t>P(A and B)</t>
  </si>
  <si>
    <t>P(C)</t>
  </si>
  <si>
    <t>accepted to uni</t>
  </si>
  <si>
    <t>dorm avail to accepted student</t>
  </si>
  <si>
    <t>Want to know chance of being accepted, getting dorm,</t>
  </si>
  <si>
    <t>and not having a roommate</t>
  </si>
  <si>
    <t>Probability of the intersection of three events (A, B, C)</t>
  </si>
  <si>
    <t>no roommate (of those accepted to dorm)</t>
  </si>
  <si>
    <t>P(A and B and C)</t>
  </si>
  <si>
    <t>P(A and B and C) == P(A)*P(B|A)*P(C|A and B)</t>
  </si>
  <si>
    <t>State A</t>
  </si>
  <si>
    <t>Lib</t>
  </si>
  <si>
    <t>Con</t>
  </si>
  <si>
    <t>State B</t>
  </si>
  <si>
    <t>State C</t>
  </si>
  <si>
    <t>%Pop</t>
  </si>
  <si>
    <t>Given that a voter is liberal, what is probability he lives in state B?</t>
  </si>
  <si>
    <t>Usinge Bayes' theorem</t>
  </si>
  <si>
    <t>P(lives in state B|liberal)</t>
  </si>
  <si>
    <r>
      <t>P(A|B) = P(B|A)*P(A) / P(B|A)*P(A) + P(B|A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)P(A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</t>
    </r>
  </si>
  <si>
    <t>BAYES</t>
  </si>
  <si>
    <t>A = lives in state B</t>
  </si>
  <si>
    <t>B = liberal</t>
  </si>
  <si>
    <t>P(stateA)</t>
  </si>
  <si>
    <t>P(stateB)</t>
  </si>
  <si>
    <t>P(stateC)</t>
  </si>
  <si>
    <t>P(stateA + lib)</t>
  </si>
  <si>
    <t>P(stateB + lib)</t>
  </si>
  <si>
    <t>P(stateC + lib)</t>
  </si>
  <si>
    <t>P(lib|stateA)</t>
  </si>
  <si>
    <t>P(lib|stateB)</t>
  </si>
  <si>
    <t>P(lib|stateC)</t>
  </si>
  <si>
    <t>P(stateB|lib)</t>
  </si>
  <si>
    <t>P(B|lib) = P(lib|B)P(B) / P(lib|A)P(A)  +  P(lib|B)P(B)  +  P(lib|C)P(C)</t>
  </si>
  <si>
    <t>Written out Bayes version</t>
  </si>
  <si>
    <t>(from http://www.stat.yale.edu/Courses/1997-98/101/condprob.htm)</t>
  </si>
  <si>
    <t xml:space="preserve"> = TPos / (TPos + FNeg)</t>
  </si>
  <si>
    <t xml:space="preserve"> = TPos / (TPos + FPos)</t>
  </si>
  <si>
    <t xml:space="preserve"> = TNeg / (TNeg + FPos)</t>
  </si>
  <si>
    <t xml:space="preserve"> = TNeg / (TNeg + FNeg)</t>
  </si>
  <si>
    <t xml:space="preserve"> = 1 - PPV</t>
  </si>
  <si>
    <t xml:space="preserve"> = 1 - NPV</t>
  </si>
  <si>
    <t xml:space="preserve">ROC = </t>
  </si>
  <si>
    <t xml:space="preserve">AUROC = </t>
  </si>
  <si>
    <t>F1 = 2(TPos) / (2TPos + FPos + FNeg)</t>
  </si>
  <si>
    <t>F1</t>
  </si>
  <si>
    <t>Receiver Operator Characteristics</t>
  </si>
  <si>
    <t>plot of sens(Y) vs 1-spec (X); 45 deg line is what you'd expect from random guesses</t>
  </si>
  <si>
    <t>area under ROC; the higher the AUROC, the better your model is. 1 is ideal</t>
  </si>
  <si>
    <t>"For a test at different but generally high sens &amp; spec, increased disease prevalence (&gt;2-3%), ppv generally performs well. At low prev (&lt;2-3%), ppv drops to nearly zero and is useless."</t>
  </si>
  <si>
    <t>LR+</t>
  </si>
  <si>
    <t>LR-</t>
  </si>
  <si>
    <t>Pretest P</t>
  </si>
  <si>
    <t>Pretest Odds</t>
  </si>
  <si>
    <t>LR+ = Likelihood ratio for a positive test</t>
  </si>
  <si>
    <t>LR- = Likelihood ratio for a negative test</t>
  </si>
  <si>
    <t>Post-test Odds (+)</t>
  </si>
  <si>
    <t>Post-test P (+)</t>
  </si>
  <si>
    <t>Post-test Odds (-)</t>
  </si>
  <si>
    <t>Post-test P (-)</t>
  </si>
  <si>
    <t xml:space="preserve"> = SENS / (1 - SPEC)</t>
  </si>
  <si>
    <t xml:space="preserve"> = (1 - SENS) / SPEC</t>
  </si>
  <si>
    <t xml:space="preserve"> = DISEASE / POPULATION</t>
  </si>
  <si>
    <t xml:space="preserve"> = PRETEST P / (1 - PRETEST P)</t>
  </si>
  <si>
    <t xml:space="preserve"> = PRETEST O * LR+</t>
  </si>
  <si>
    <t xml:space="preserve"> = PRETEST O * LR-</t>
  </si>
  <si>
    <t xml:space="preserve"> = POSTTEST O+ / (POSTTEST O+ + 1)</t>
  </si>
  <si>
    <t xml:space="preserve"> = POSTTEST O- / (POSTTEST O- + 1)</t>
  </si>
  <si>
    <t>Equivalent to PPV</t>
  </si>
  <si>
    <t>As sens increases, NPV increases; as prevalence increases, NPV decreases</t>
  </si>
  <si>
    <t>Pretest P of the population is "prevalence", but pretest P for an individual may be different based on clinical factors</t>
  </si>
  <si>
    <t>Absolute diff +</t>
  </si>
  <si>
    <t>Absolute diff -</t>
  </si>
  <si>
    <t>Events (E)</t>
  </si>
  <si>
    <t>Non-events (N)</t>
  </si>
  <si>
    <t>Total subjects (S)</t>
  </si>
  <si>
    <t>Event rate (ER)</t>
  </si>
  <si>
    <t>Control group (C)</t>
  </si>
  <si>
    <t>(E)</t>
  </si>
  <si>
    <t>(C)</t>
  </si>
  <si>
    <t>Example 1: risk reduction</t>
  </si>
  <si>
    <t>Example 2: risk increase</t>
  </si>
  <si>
    <t>Relative risk</t>
  </si>
  <si>
    <t>Number needed</t>
  </si>
  <si>
    <t>Relative risk R/I</t>
  </si>
  <si>
    <t>Absolute risk R/I</t>
  </si>
  <si>
    <t>Odds ratio</t>
  </si>
  <si>
    <t>Attributable risk</t>
  </si>
  <si>
    <t>Attributable risk %</t>
  </si>
  <si>
    <t>Preventive fraction</t>
  </si>
  <si>
    <t>Also called "Recall"; "how many cases you are able to recover"; rules out</t>
  </si>
  <si>
    <t>Rules in</t>
  </si>
  <si>
    <t>Also called "Precision". As spec (or prevalence) increases, PPV increases. With prev &lt;= 3%, PPV is worthless.</t>
  </si>
  <si>
    <t>Absolute risk</t>
  </si>
  <si>
    <t>mean</t>
  </si>
  <si>
    <t>medium</t>
  </si>
  <si>
    <t>mode</t>
  </si>
  <si>
    <t>Types of Data</t>
  </si>
  <si>
    <t>Categorical</t>
  </si>
  <si>
    <t>Nominal: names, ethnic groups</t>
  </si>
  <si>
    <t>Ordinal: in order but not equal (Likert), mild/moderate/severe</t>
  </si>
  <si>
    <t>Dichotomous: only two values</t>
  </si>
  <si>
    <t>frequency</t>
  </si>
  <si>
    <t>...</t>
  </si>
  <si>
    <t>Descriptive Statistics: to describe study sample; seen in table 1 of studies</t>
  </si>
  <si>
    <t>mean: average</t>
  </si>
  <si>
    <t>median: midpoint when data is ordered</t>
  </si>
  <si>
    <t>mode: most common value observed</t>
  </si>
  <si>
    <t>Measures of association</t>
  </si>
  <si>
    <t>Incidence: # of new cases occurring in a period of time</t>
  </si>
  <si>
    <t>Prevalence: # of existing cases at a single point in time</t>
  </si>
  <si>
    <r>
      <rPr>
        <b/>
        <sz val="11"/>
        <color theme="1"/>
        <rFont val="Calibri"/>
        <family val="2"/>
        <scheme val="minor"/>
      </rPr>
      <t>Distributions</t>
    </r>
    <r>
      <rPr>
        <sz val="11"/>
        <color theme="1"/>
        <rFont val="Calibri"/>
        <family val="2"/>
        <scheme val="minor"/>
      </rPr>
      <t>: normal, skewed (skewness), bimodal</t>
    </r>
  </si>
  <si>
    <t>Risk Ratio</t>
  </si>
  <si>
    <t>Pearson's correlation coefficient</t>
  </si>
  <si>
    <t>P: chance of event occuring; 0 - 1</t>
  </si>
  <si>
    <t>Odds: P(event occurs)/P(event doesn't occur); 0 - infinity</t>
  </si>
  <si>
    <t>Odds ratio: odds of outcome in group 1 / odds of outcome in group 2</t>
  </si>
  <si>
    <t>Reasonable estimation of risk for rare events</t>
  </si>
  <si>
    <t>OR = RR for rare events</t>
  </si>
  <si>
    <t>overestimates risk if baseline risk is high</t>
  </si>
  <si>
    <t>RR (risk ratio) = P(outcome in those exposed)/ ......</t>
  </si>
  <si>
    <t>AR difference = magnitude of difference between groups</t>
  </si>
  <si>
    <t>Exposure group (E)</t>
  </si>
  <si>
    <t>Confidence Intervals</t>
  </si>
  <si>
    <t>You want a narrow confidence interval. "I am 95% confident that the actual value is between 63 and 66."</t>
  </si>
  <si>
    <t>Odds Ratio/RR: if the 95% CI passes through 1.0, it is NOT statistically significant</t>
  </si>
  <si>
    <t>CIs are affected by sample size</t>
  </si>
  <si>
    <t>Measure of the precision of the results; CIs quantify the size of effects or differences</t>
  </si>
  <si>
    <r>
      <rPr>
        <b/>
        <sz val="11"/>
        <color theme="1"/>
        <rFont val="Calibri"/>
        <family val="2"/>
        <scheme val="minor"/>
      </rPr>
      <t>P-value</t>
    </r>
    <r>
      <rPr>
        <sz val="11"/>
        <color theme="1"/>
        <rFont val="Calibri"/>
        <family val="2"/>
        <scheme val="minor"/>
      </rPr>
      <t>: only talks about significance</t>
    </r>
  </si>
  <si>
    <t>Cohort studies: can give you relative risk</t>
  </si>
  <si>
    <t>Case-Control studies: can give you odds ratios</t>
  </si>
  <si>
    <t>Measures of significance</t>
  </si>
  <si>
    <r>
      <rPr>
        <b/>
        <sz val="11"/>
        <color theme="1"/>
        <rFont val="Calibri"/>
        <family val="2"/>
        <scheme val="minor"/>
      </rPr>
      <t>Continuous</t>
    </r>
    <r>
      <rPr>
        <sz val="11"/>
        <color theme="1"/>
        <rFont val="Calibri"/>
        <family val="2"/>
        <scheme val="minor"/>
      </rPr>
      <t>: measurements</t>
    </r>
  </si>
  <si>
    <t>Chi square test</t>
  </si>
  <si>
    <t>T-test</t>
  </si>
  <si>
    <t>Analysis of variance (ANOVA)</t>
  </si>
  <si>
    <t>Mann-Whitney U</t>
  </si>
  <si>
    <t>Multiple regression</t>
  </si>
  <si>
    <t>Choosing a test</t>
  </si>
  <si>
    <t>2 groups</t>
  </si>
  <si>
    <t>&gt; 2 groups</t>
  </si>
  <si>
    <t>some var</t>
  </si>
  <si>
    <t>If you declare an increased risk (i.e., &gt;1) and your confidence interval includes 0.8 - 1.2, you're saying you're confident that it could be a risk increase OR decrease (risk &lt;1); and vice versa.</t>
  </si>
  <si>
    <t>study type</t>
  </si>
  <si>
    <t>cohort</t>
  </si>
  <si>
    <t>case-control</t>
  </si>
  <si>
    <t>measure of ...</t>
  </si>
  <si>
    <t>incidence</t>
  </si>
  <si>
    <t>relative risk</t>
  </si>
  <si>
    <t>A relative risk of 1.0 signifies that the incidence rate is the same among exposed and non-exposed subjects and indicates a lack of association between exposure and disease.</t>
  </si>
  <si>
    <t>In case-control studies, data are not available to calculate the incidence rate of the disease being studied, and the actual relative risk cannot be determined.</t>
  </si>
  <si>
    <t>odds ratio</t>
  </si>
  <si>
    <t>The odds ratio is generally a good estimate of the relative risk.</t>
  </si>
  <si>
    <t>... disease</t>
  </si>
  <si>
    <t>... association</t>
  </si>
  <si>
    <t>Odds Ratio: used to estimate RR in case-control studies</t>
  </si>
  <si>
    <t>In case-control studies, and in cohort studies in which the outcome occurs in less than 10% of the unexposed population, the OR provides a reasonable approximation of the RR.</t>
  </si>
  <si>
    <t xml:space="preserve"> However, when an outcome is common (iY 10% in the unexposed group), the OR will exaggerate the RR.</t>
  </si>
  <si>
    <t xml:space="preserve"> One method readers can use to estimate the RR from an OR involves using a simple formula. Readers should also look to see that a confidence interval is provided with any report of an OR or RR.</t>
  </si>
  <si>
    <t>https://www.ncbi.nlm.nih.gov/pubmed/18580722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</si>
</sst>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onsolas"/>
      <family val="3"/>
    </font>
    <font>
      <sz val="9"/>
      <color rgb="FF444444"/>
      <name val="Arial"/>
      <family val="2"/>
    </font>
    <font>
      <sz val="9"/>
      <color rgb="FF444444"/>
      <name val="Inherit"/>
    </font>
    <font>
      <sz val="7"/>
      <color rgb="FF000099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3" borderId="10" applyNumberFormat="0" applyAlignment="0" applyProtection="0"/>
    <xf numFmtId="0" fontId="6" fillId="4" borderId="11" applyNumberFormat="0" applyAlignment="0" applyProtection="0"/>
    <xf numFmtId="0" fontId="7" fillId="4" borderId="10" applyNumberFormat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3" xfId="0" applyFill="1" applyBorder="1"/>
    <xf numFmtId="0" fontId="0" fillId="2" borderId="4" xfId="0" applyFill="1" applyBorder="1"/>
    <xf numFmtId="10" fontId="0" fillId="0" borderId="0" xfId="0" applyNumberFormat="1"/>
    <xf numFmtId="9" fontId="0" fillId="0" borderId="0" xfId="0" applyNumberFormat="1"/>
    <xf numFmtId="164" fontId="0" fillId="0" borderId="0" xfId="1" applyNumberFormat="1" applyFont="1"/>
    <xf numFmtId="0" fontId="0" fillId="0" borderId="0" xfId="0" applyNumberFormat="1"/>
    <xf numFmtId="0" fontId="0" fillId="0" borderId="0" xfId="0" applyBorder="1"/>
    <xf numFmtId="0" fontId="2" fillId="0" borderId="0" xfId="0" applyFont="1" applyBorder="1"/>
    <xf numFmtId="0" fontId="2" fillId="0" borderId="5" xfId="0" applyFont="1" applyBorder="1"/>
    <xf numFmtId="0" fontId="4" fillId="0" borderId="0" xfId="0" applyFont="1" applyBorder="1"/>
    <xf numFmtId="0" fontId="2" fillId="0" borderId="0" xfId="0" applyFont="1"/>
    <xf numFmtId="0" fontId="7" fillId="4" borderId="10" xfId="4"/>
    <xf numFmtId="9" fontId="6" fillId="4" borderId="11" xfId="3" applyNumberFormat="1"/>
    <xf numFmtId="0" fontId="5" fillId="3" borderId="10" xfId="2"/>
    <xf numFmtId="0" fontId="2" fillId="0" borderId="0" xfId="0" applyFont="1" applyFill="1" applyBorder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165" fontId="7" fillId="4" borderId="10" xfId="4" applyNumberFormat="1"/>
    <xf numFmtId="9" fontId="0" fillId="0" borderId="0" xfId="1" applyFont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Font="1"/>
    <xf numFmtId="0" fontId="11" fillId="0" borderId="0" xfId="0" applyFont="1"/>
    <xf numFmtId="0" fontId="0" fillId="0" borderId="0" xfId="0" applyAlignment="1">
      <alignment horizontal="center" vertical="center"/>
    </xf>
    <xf numFmtId="0" fontId="12" fillId="0" borderId="0" xfId="0" applyFont="1"/>
  </cellXfs>
  <cellStyles count="5">
    <cellStyle name="Calculation" xfId="4" builtinId="22"/>
    <cellStyle name="Input" xfId="2" builtinId="20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12</xdr:col>
      <xdr:colOff>493719</xdr:colOff>
      <xdr:row>43</xdr:row>
      <xdr:rowOff>151130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CAC3FE-8CEB-4C32-982E-DF4030662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98850"/>
          <a:ext cx="8634419" cy="4754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510541</xdr:colOff>
      <xdr:row>38</xdr:row>
      <xdr:rowOff>114903</xdr:rowOff>
    </xdr:from>
    <xdr:to>
      <xdr:col>15</xdr:col>
      <xdr:colOff>502921</xdr:colOff>
      <xdr:row>45</xdr:row>
      <xdr:rowOff>93101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04410A-3C36-4D5E-9301-BF34C3242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6641" y="7064343"/>
          <a:ext cx="2430780" cy="12583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2885-3C3C-4F07-9B27-5DBA82A02E1A}">
  <dimension ref="A2:R23"/>
  <sheetViews>
    <sheetView workbookViewId="0"/>
  </sheetViews>
  <sheetFormatPr defaultRowHeight="14.4"/>
  <cols>
    <col min="1" max="1" width="12.109375" customWidth="1"/>
    <col min="7" max="7" width="16.6640625" customWidth="1"/>
  </cols>
  <sheetData>
    <row r="2" spans="1:18">
      <c r="A2" s="10"/>
      <c r="B2" s="13" t="s">
        <v>0</v>
      </c>
      <c r="C2" s="13" t="s">
        <v>1</v>
      </c>
      <c r="D2" s="14" t="s">
        <v>9</v>
      </c>
      <c r="G2" s="23" t="s">
        <v>5</v>
      </c>
      <c r="H2" s="31">
        <f>TPos / (TPos + FNeg)</f>
        <v>0.66666666666666663</v>
      </c>
      <c r="I2" s="25">
        <f>H2</f>
        <v>0.66666666666666663</v>
      </c>
      <c r="J2" t="s">
        <v>58</v>
      </c>
      <c r="N2" t="s">
        <v>112</v>
      </c>
    </row>
    <row r="3" spans="1:18">
      <c r="A3" s="11" t="s">
        <v>2</v>
      </c>
      <c r="B3" s="26">
        <v>2</v>
      </c>
      <c r="C3" s="26">
        <v>18</v>
      </c>
      <c r="D3" s="1">
        <f>B3+C3</f>
        <v>20</v>
      </c>
      <c r="G3" s="23" t="s">
        <v>6</v>
      </c>
      <c r="H3" s="31">
        <f>TNeg / (TNeg + FPos)</f>
        <v>0.91</v>
      </c>
      <c r="I3" s="25">
        <f t="shared" ref="I3:I7" si="0">H3</f>
        <v>0.91</v>
      </c>
      <c r="J3" t="s">
        <v>60</v>
      </c>
      <c r="N3" t="s">
        <v>113</v>
      </c>
    </row>
    <row r="4" spans="1:18">
      <c r="A4" s="11" t="s">
        <v>3</v>
      </c>
      <c r="B4" s="26">
        <v>1</v>
      </c>
      <c r="C4" s="26">
        <v>182</v>
      </c>
      <c r="D4" s="1">
        <f>B4+C4</f>
        <v>183</v>
      </c>
      <c r="G4" s="23" t="s">
        <v>7</v>
      </c>
      <c r="H4" s="31">
        <f>TPos/(TPos+FPos)</f>
        <v>0.1</v>
      </c>
      <c r="I4" s="25">
        <f t="shared" si="0"/>
        <v>0.1</v>
      </c>
      <c r="J4" t="s">
        <v>59</v>
      </c>
      <c r="N4" t="s">
        <v>114</v>
      </c>
    </row>
    <row r="5" spans="1:18">
      <c r="A5" s="12" t="s">
        <v>9</v>
      </c>
      <c r="B5" s="1">
        <f>B3+B4</f>
        <v>3</v>
      </c>
      <c r="C5" s="1">
        <f>C3+C4</f>
        <v>200</v>
      </c>
      <c r="D5" s="9" t="b">
        <f>IF(AND(E5=D6,E5=B7),TRUE,FALSE)</f>
        <v>1</v>
      </c>
      <c r="E5">
        <f>B5+C5</f>
        <v>203</v>
      </c>
      <c r="G5" s="23" t="s">
        <v>8</v>
      </c>
      <c r="H5" s="31">
        <f>TNeg / (TNeg + FNeg)</f>
        <v>0.99453551912568305</v>
      </c>
      <c r="I5" s="25">
        <f t="shared" si="0"/>
        <v>0.99453551912568305</v>
      </c>
      <c r="J5" t="s">
        <v>61</v>
      </c>
      <c r="N5" t="s">
        <v>91</v>
      </c>
    </row>
    <row r="6" spans="1:18">
      <c r="D6">
        <f>D3+D4</f>
        <v>203</v>
      </c>
      <c r="G6" s="23" t="s">
        <v>10</v>
      </c>
      <c r="H6" s="31">
        <f>1 - PPV</f>
        <v>0.9</v>
      </c>
      <c r="I6" s="25">
        <f>H6</f>
        <v>0.9</v>
      </c>
      <c r="J6" t="s">
        <v>62</v>
      </c>
      <c r="N6" t="s">
        <v>11</v>
      </c>
    </row>
    <row r="7" spans="1:18">
      <c r="A7" t="s">
        <v>4</v>
      </c>
      <c r="B7" s="26">
        <f>D6</f>
        <v>203</v>
      </c>
      <c r="G7" s="23" t="s">
        <v>17</v>
      </c>
      <c r="H7" s="31">
        <f>1 - NPV</f>
        <v>5.464480874316946E-3</v>
      </c>
      <c r="I7" s="25">
        <f t="shared" si="0"/>
        <v>5.464480874316946E-3</v>
      </c>
      <c r="J7" t="s">
        <v>63</v>
      </c>
      <c r="N7" t="s">
        <v>18</v>
      </c>
    </row>
    <row r="8" spans="1:18">
      <c r="G8" s="23" t="s">
        <v>72</v>
      </c>
      <c r="H8" s="31">
        <f>SENS/(1-SPEC)</f>
        <v>7.4074074074074092</v>
      </c>
      <c r="J8" t="s">
        <v>82</v>
      </c>
      <c r="N8" t="s">
        <v>76</v>
      </c>
    </row>
    <row r="9" spans="1:18">
      <c r="G9" s="27" t="s">
        <v>73</v>
      </c>
      <c r="H9" s="31">
        <f>(1-SENS)/SPEC</f>
        <v>0.36630036630036633</v>
      </c>
      <c r="J9" t="s">
        <v>83</v>
      </c>
      <c r="N9" t="s">
        <v>77</v>
      </c>
      <c r="R9" t="s">
        <v>69</v>
      </c>
    </row>
    <row r="10" spans="1:18">
      <c r="G10" s="27" t="s">
        <v>74</v>
      </c>
      <c r="H10" s="31">
        <f>DISEASE/POPULATION</f>
        <v>1.4778325123152709E-2</v>
      </c>
      <c r="I10" s="25">
        <f>H10</f>
        <v>1.4778325123152709E-2</v>
      </c>
      <c r="J10" t="s">
        <v>84</v>
      </c>
      <c r="N10" t="s">
        <v>92</v>
      </c>
    </row>
    <row r="11" spans="1:18">
      <c r="G11" s="27" t="s">
        <v>75</v>
      </c>
      <c r="H11" s="31">
        <f>PRETESTP/(1-PRETESTP)</f>
        <v>1.4999999999999999E-2</v>
      </c>
      <c r="J11" t="s">
        <v>85</v>
      </c>
    </row>
    <row r="12" spans="1:18">
      <c r="G12" s="27" t="s">
        <v>78</v>
      </c>
      <c r="H12" s="31">
        <f>PRETESTO * LRPOS</f>
        <v>0.11111111111111113</v>
      </c>
      <c r="J12" t="s">
        <v>86</v>
      </c>
      <c r="R12" s="28"/>
    </row>
    <row r="13" spans="1:18">
      <c r="G13" s="27" t="s">
        <v>79</v>
      </c>
      <c r="H13" s="31">
        <f>POSTTESTOPOS / (POSTTESTOPOS + 1)</f>
        <v>0.10000000000000002</v>
      </c>
      <c r="I13" s="25">
        <f>H13</f>
        <v>0.10000000000000002</v>
      </c>
      <c r="J13" t="s">
        <v>88</v>
      </c>
      <c r="N13" t="s">
        <v>90</v>
      </c>
      <c r="R13" s="28"/>
    </row>
    <row r="14" spans="1:18">
      <c r="G14" s="27" t="s">
        <v>80</v>
      </c>
      <c r="H14" s="31">
        <f>PRETESTO * LRNEG</f>
        <v>5.4945054945054949E-3</v>
      </c>
      <c r="J14" t="s">
        <v>87</v>
      </c>
      <c r="R14" s="28"/>
    </row>
    <row r="15" spans="1:18">
      <c r="G15" s="27" t="s">
        <v>81</v>
      </c>
      <c r="H15" s="31">
        <f>POSTTESTONEG / (POSTTESTONEG + 1)</f>
        <v>5.4644808743169408E-3</v>
      </c>
      <c r="I15" s="25">
        <f>H15</f>
        <v>5.4644808743169408E-3</v>
      </c>
      <c r="J15" t="s">
        <v>89</v>
      </c>
      <c r="R15" s="28"/>
    </row>
    <row r="16" spans="1:18">
      <c r="R16" s="28"/>
    </row>
    <row r="17" spans="7:18">
      <c r="G17" s="27" t="s">
        <v>93</v>
      </c>
      <c r="H17">
        <f>ABS(PRETESTP - POSTTESTPPOS)</f>
        <v>8.5221674876847314E-2</v>
      </c>
      <c r="I17" s="32">
        <f>H17</f>
        <v>8.5221674876847314E-2</v>
      </c>
      <c r="R17" s="28"/>
    </row>
    <row r="18" spans="7:18">
      <c r="G18" s="27" t="s">
        <v>94</v>
      </c>
      <c r="H18">
        <f>ABS(PRETESTP - POSTTESTPNEG)</f>
        <v>9.3138442488357679E-3</v>
      </c>
      <c r="I18" s="32">
        <f>H18</f>
        <v>9.3138442488357679E-3</v>
      </c>
    </row>
    <row r="22" spans="7:18">
      <c r="N22" t="s">
        <v>64</v>
      </c>
      <c r="O22" t="s">
        <v>68</v>
      </c>
    </row>
    <row r="23" spans="7:18">
      <c r="N23" t="s">
        <v>65</v>
      </c>
      <c r="O23" t="s"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E1D0-D09C-4F3B-8EE2-CC00896ABD08}">
  <dimension ref="A1:P16"/>
  <sheetViews>
    <sheetView workbookViewId="0">
      <selection activeCell="E8" sqref="E8"/>
    </sheetView>
  </sheetViews>
  <sheetFormatPr defaultRowHeight="14.4"/>
  <cols>
    <col min="1" max="1" width="17.109375" customWidth="1"/>
    <col min="2" max="2" width="12.21875" customWidth="1"/>
  </cols>
  <sheetData>
    <row r="1" spans="1:16">
      <c r="B1" s="37" t="s">
        <v>102</v>
      </c>
      <c r="C1" s="37"/>
      <c r="D1" s="37"/>
      <c r="G1" s="37" t="s">
        <v>103</v>
      </c>
      <c r="H1" s="37"/>
      <c r="I1" s="37"/>
    </row>
    <row r="2" spans="1:16" ht="28.95" customHeight="1">
      <c r="B2" s="33" t="s">
        <v>144</v>
      </c>
      <c r="C2" s="33" t="s">
        <v>99</v>
      </c>
      <c r="D2" t="s">
        <v>9</v>
      </c>
      <c r="G2" t="s">
        <v>100</v>
      </c>
      <c r="H2" t="s">
        <v>101</v>
      </c>
      <c r="I2" t="s">
        <v>9</v>
      </c>
      <c r="N2">
        <v>36</v>
      </c>
      <c r="O2">
        <f>AVERAGE(N2:N4)</f>
        <v>38</v>
      </c>
      <c r="P2" t="s">
        <v>116</v>
      </c>
    </row>
    <row r="3" spans="1:16">
      <c r="A3" t="s">
        <v>95</v>
      </c>
      <c r="B3" s="26">
        <v>75</v>
      </c>
      <c r="C3" s="26">
        <v>100</v>
      </c>
      <c r="D3" s="24">
        <f xml:space="preserve"> _EE + _CE</f>
        <v>175</v>
      </c>
      <c r="G3" s="26">
        <v>75</v>
      </c>
      <c r="H3" s="26">
        <v>100</v>
      </c>
      <c r="I3" s="24">
        <f>G3+H3</f>
        <v>175</v>
      </c>
      <c r="N3">
        <v>37</v>
      </c>
      <c r="O3">
        <f>MEDIAN(N2:N4)</f>
        <v>37</v>
      </c>
      <c r="P3" t="s">
        <v>117</v>
      </c>
    </row>
    <row r="4" spans="1:16">
      <c r="A4" t="s">
        <v>96</v>
      </c>
      <c r="B4" s="26">
        <v>75</v>
      </c>
      <c r="C4" s="26">
        <v>150</v>
      </c>
      <c r="D4" s="24">
        <f xml:space="preserve"> _EN + _CN</f>
        <v>225</v>
      </c>
      <c r="G4" s="26">
        <v>75</v>
      </c>
      <c r="H4" s="26">
        <v>150</v>
      </c>
      <c r="I4" s="24">
        <f>G4+H4</f>
        <v>225</v>
      </c>
      <c r="N4">
        <v>41</v>
      </c>
      <c r="O4" t="e">
        <f>MODE(N2:N4)</f>
        <v>#N/A</v>
      </c>
      <c r="P4" t="s">
        <v>118</v>
      </c>
    </row>
    <row r="5" spans="1:16">
      <c r="A5" t="s">
        <v>97</v>
      </c>
      <c r="B5" s="24">
        <f>_EE + _EN</f>
        <v>150</v>
      </c>
      <c r="C5" s="24">
        <f xml:space="preserve"> _CE + _CN</f>
        <v>250</v>
      </c>
      <c r="D5" s="24">
        <f xml:space="preserve"> _ES + _CS</f>
        <v>400</v>
      </c>
      <c r="G5" s="24">
        <f>G3+G4</f>
        <v>150</v>
      </c>
      <c r="H5" s="24">
        <f>H3+H4</f>
        <v>250</v>
      </c>
      <c r="I5" s="24">
        <f>G5+H5</f>
        <v>400</v>
      </c>
    </row>
    <row r="6" spans="1:16">
      <c r="A6" t="s">
        <v>98</v>
      </c>
      <c r="B6" s="24">
        <f xml:space="preserve"> _EE / _ES</f>
        <v>0.5</v>
      </c>
      <c r="C6" s="24">
        <f xml:space="preserve"> _CE / _CS</f>
        <v>0.4</v>
      </c>
    </row>
    <row r="9" spans="1:16">
      <c r="A9" t="s">
        <v>107</v>
      </c>
      <c r="B9" s="24">
        <f xml:space="preserve"> _EER - _CER</f>
        <v>9.9999999999999978E-2</v>
      </c>
      <c r="C9" t="str">
        <f>IF(B9&lt;0,"reduction","increase")</f>
        <v>increase</v>
      </c>
      <c r="D9" t="str">
        <f>IF(C9="reduction","(ARR)","(ARI)")</f>
        <v>(ARI)</v>
      </c>
    </row>
    <row r="10" spans="1:16">
      <c r="A10" t="s">
        <v>106</v>
      </c>
      <c r="B10" s="24">
        <f>(_EER - _CER)/_CER</f>
        <v>0.24999999999999994</v>
      </c>
      <c r="C10" t="str">
        <f>IF(B10&lt;0,"reduction","increase")</f>
        <v>increase</v>
      </c>
      <c r="D10" t="str">
        <f>IF(C10="reduction","(ARR)","(ARI)")</f>
        <v>(ARI)</v>
      </c>
    </row>
    <row r="11" spans="1:16">
      <c r="A11" t="s">
        <v>105</v>
      </c>
      <c r="B11" s="24">
        <f>1/(_EER - _CER)</f>
        <v>10.000000000000002</v>
      </c>
      <c r="C11" t="str">
        <f>IF(B11&lt;0,"to treat","to harm")</f>
        <v>to harm</v>
      </c>
      <c r="D11" t="str">
        <f>IF(C11="to treat","(NNT)","(NNH)")</f>
        <v>(NNH)</v>
      </c>
    </row>
    <row r="12" spans="1:16">
      <c r="A12" t="s">
        <v>104</v>
      </c>
      <c r="B12" s="24">
        <f xml:space="preserve"> _EER / _CER</f>
        <v>1.25</v>
      </c>
      <c r="C12" s="35" t="str">
        <f>IF(B12&lt;0,"outcome is negatively associated with exposure", "outcome is positively associated with exposure")</f>
        <v>outcome is positively associated with exposure</v>
      </c>
    </row>
    <row r="13" spans="1:16">
      <c r="A13" t="s">
        <v>108</v>
      </c>
      <c r="B13" s="24">
        <f xml:space="preserve"> (_EE / _EN) / (_CE / _CN)</f>
        <v>1.5</v>
      </c>
    </row>
    <row r="14" spans="1:16">
      <c r="A14" t="s">
        <v>109</v>
      </c>
      <c r="B14" s="24">
        <f>_EER - _CER</f>
        <v>9.9999999999999978E-2</v>
      </c>
    </row>
    <row r="15" spans="1:16">
      <c r="A15" t="s">
        <v>110</v>
      </c>
      <c r="B15" s="24">
        <f>(_RR - 1)/_RR</f>
        <v>0.2</v>
      </c>
    </row>
    <row r="16" spans="1:16">
      <c r="A16" t="s">
        <v>111</v>
      </c>
      <c r="B16" s="24">
        <f xml:space="preserve"> 1 - _RR</f>
        <v>-0.25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0340-0EBE-4542-90FC-292AA2524DFF}">
  <dimension ref="A1:R35"/>
  <sheetViews>
    <sheetView workbookViewId="0">
      <selection activeCell="H1" sqref="H1:I7"/>
    </sheetView>
  </sheetViews>
  <sheetFormatPr defaultRowHeight="14.4"/>
  <cols>
    <col min="1" max="1" width="17.6640625" customWidth="1"/>
    <col min="2" max="2" width="10" customWidth="1"/>
  </cols>
  <sheetData>
    <row r="1" spans="1:18">
      <c r="A1" t="s">
        <v>12</v>
      </c>
      <c r="B1" s="15">
        <v>8.0000000000000002E-3</v>
      </c>
      <c r="C1" t="s">
        <v>15</v>
      </c>
      <c r="D1" t="s">
        <v>16</v>
      </c>
      <c r="E1" s="17">
        <f>(B1*B2)/((B1*B2)+(99.2 * B3))</f>
        <v>1.0357923811715962E-3</v>
      </c>
    </row>
    <row r="2" spans="1:18">
      <c r="A2" t="s">
        <v>13</v>
      </c>
      <c r="B2" s="16">
        <v>0.9</v>
      </c>
    </row>
    <row r="3" spans="1:18">
      <c r="A3" t="s">
        <v>14</v>
      </c>
      <c r="B3" s="16">
        <v>7.0000000000000007E-2</v>
      </c>
    </row>
    <row r="6" spans="1:18">
      <c r="A6" t="s">
        <v>19</v>
      </c>
      <c r="B6" s="18">
        <v>0.8</v>
      </c>
    </row>
    <row r="7" spans="1:18">
      <c r="A7" t="s">
        <v>20</v>
      </c>
      <c r="B7" s="18">
        <v>0.6</v>
      </c>
    </row>
    <row r="8" spans="1:18">
      <c r="A8" t="s">
        <v>22</v>
      </c>
      <c r="B8" s="18">
        <f>B6*B7</f>
        <v>0.48</v>
      </c>
    </row>
    <row r="9" spans="1:18">
      <c r="A9" t="s">
        <v>21</v>
      </c>
      <c r="B9">
        <f>B8/B6</f>
        <v>0.6</v>
      </c>
    </row>
    <row r="11" spans="1:18">
      <c r="A11" t="s">
        <v>19</v>
      </c>
      <c r="B11">
        <v>0.8</v>
      </c>
      <c r="C11" t="s">
        <v>24</v>
      </c>
      <c r="G11" t="s">
        <v>26</v>
      </c>
      <c r="L11" t="s">
        <v>66</v>
      </c>
      <c r="R11" s="28"/>
    </row>
    <row r="12" spans="1:18">
      <c r="A12" t="s">
        <v>20</v>
      </c>
      <c r="B12">
        <v>0.6</v>
      </c>
      <c r="C12" t="s">
        <v>25</v>
      </c>
      <c r="G12" t="s">
        <v>27</v>
      </c>
      <c r="L12" s="27" t="s">
        <v>67</v>
      </c>
      <c r="M12">
        <f>2*TPos / ((2*TPos) + FPos + FNeg)</f>
        <v>0.17391304347826086</v>
      </c>
      <c r="R12" s="28"/>
    </row>
    <row r="13" spans="1:18">
      <c r="A13" t="s">
        <v>23</v>
      </c>
      <c r="B13">
        <v>0.2</v>
      </c>
      <c r="C13" t="s">
        <v>29</v>
      </c>
    </row>
    <row r="14" spans="1:18">
      <c r="A14" t="s">
        <v>30</v>
      </c>
      <c r="C14" t="s">
        <v>28</v>
      </c>
      <c r="R14" s="28"/>
    </row>
    <row r="15" spans="1:18">
      <c r="A15" t="s">
        <v>31</v>
      </c>
      <c r="Q15" s="29"/>
    </row>
    <row r="16" spans="1:18">
      <c r="Q16" s="30"/>
    </row>
    <row r="17" spans="1:17">
      <c r="A17" s="2"/>
      <c r="B17" s="3" t="s">
        <v>33</v>
      </c>
      <c r="C17" s="3" t="s">
        <v>34</v>
      </c>
      <c r="D17" s="3" t="s">
        <v>37</v>
      </c>
      <c r="E17" s="3"/>
      <c r="F17" s="3" t="s">
        <v>38</v>
      </c>
      <c r="G17" s="3"/>
      <c r="H17" s="3"/>
      <c r="I17" s="3"/>
      <c r="J17" s="3"/>
      <c r="K17" s="4"/>
      <c r="Q17" s="29"/>
    </row>
    <row r="18" spans="1:17">
      <c r="A18" s="5" t="s">
        <v>32</v>
      </c>
      <c r="B18" s="19">
        <v>0.5</v>
      </c>
      <c r="C18" s="19">
        <v>0.5</v>
      </c>
      <c r="D18" s="19">
        <v>0.4</v>
      </c>
      <c r="E18" s="19"/>
      <c r="F18" s="19" t="s">
        <v>39</v>
      </c>
      <c r="G18" s="19"/>
      <c r="H18" s="19"/>
      <c r="I18" s="19"/>
      <c r="J18" s="19"/>
      <c r="K18" s="6"/>
    </row>
    <row r="19" spans="1:17">
      <c r="A19" s="5" t="s">
        <v>35</v>
      </c>
      <c r="B19" s="19">
        <v>0.6</v>
      </c>
      <c r="C19" s="19">
        <v>0.4</v>
      </c>
      <c r="D19" s="19">
        <v>0.25</v>
      </c>
      <c r="E19" s="19"/>
      <c r="F19" s="20" t="s">
        <v>40</v>
      </c>
      <c r="G19" s="19"/>
      <c r="H19" s="19"/>
      <c r="I19" s="19"/>
      <c r="J19" s="19"/>
      <c r="K19" s="6"/>
    </row>
    <row r="20" spans="1:17">
      <c r="A20" s="5" t="s">
        <v>36</v>
      </c>
      <c r="B20" s="19">
        <v>0.35</v>
      </c>
      <c r="C20" s="19">
        <v>0.65</v>
      </c>
      <c r="D20" s="19">
        <v>0.35</v>
      </c>
      <c r="E20" s="19"/>
      <c r="F20" s="19"/>
      <c r="G20" s="19"/>
      <c r="H20" s="19"/>
      <c r="I20" s="19"/>
      <c r="J20" s="19"/>
      <c r="K20" s="6"/>
    </row>
    <row r="21" spans="1:17">
      <c r="A21" s="5"/>
      <c r="B21" s="19"/>
      <c r="C21" s="19"/>
      <c r="D21" s="19"/>
      <c r="E21" s="19"/>
      <c r="F21" s="19"/>
      <c r="G21" s="19"/>
      <c r="H21" s="19"/>
      <c r="I21" s="19"/>
      <c r="J21" s="19"/>
      <c r="K21" s="6"/>
    </row>
    <row r="22" spans="1:17" ht="16.2">
      <c r="A22" s="21" t="s">
        <v>42</v>
      </c>
      <c r="B22" s="19" t="s">
        <v>41</v>
      </c>
      <c r="C22" s="19"/>
      <c r="D22" s="19"/>
      <c r="E22" s="19"/>
      <c r="F22" s="19"/>
      <c r="G22" s="19" t="s">
        <v>43</v>
      </c>
      <c r="H22" s="19"/>
      <c r="I22" s="19"/>
      <c r="J22" s="19"/>
      <c r="K22" s="6"/>
    </row>
    <row r="23" spans="1:17">
      <c r="A23" s="5"/>
      <c r="B23" s="19"/>
      <c r="C23" s="19"/>
      <c r="D23" s="19"/>
      <c r="E23" s="19"/>
      <c r="F23" s="19"/>
      <c r="G23" s="19" t="s">
        <v>44</v>
      </c>
      <c r="H23" s="19"/>
      <c r="I23" s="19"/>
      <c r="J23" s="19"/>
      <c r="K23" s="6"/>
    </row>
    <row r="24" spans="1:17">
      <c r="A24" s="5" t="s">
        <v>45</v>
      </c>
      <c r="B24" s="19">
        <v>0.4</v>
      </c>
      <c r="C24" s="19"/>
      <c r="D24" s="19"/>
      <c r="E24" s="19"/>
      <c r="F24" s="19"/>
      <c r="G24" s="19"/>
      <c r="H24" s="19"/>
      <c r="I24" s="19"/>
      <c r="J24" s="19"/>
      <c r="K24" s="6"/>
    </row>
    <row r="25" spans="1:17">
      <c r="A25" s="5" t="s">
        <v>46</v>
      </c>
      <c r="B25" s="19">
        <v>0.25</v>
      </c>
      <c r="C25" s="19"/>
      <c r="D25" s="19"/>
      <c r="E25" s="19"/>
      <c r="F25" s="19"/>
      <c r="G25" s="19"/>
      <c r="H25" s="19"/>
      <c r="I25" s="19"/>
      <c r="J25" s="19"/>
      <c r="K25" s="6"/>
    </row>
    <row r="26" spans="1:17">
      <c r="A26" s="5" t="s">
        <v>47</v>
      </c>
      <c r="B26" s="19">
        <v>0.35</v>
      </c>
      <c r="C26" s="19"/>
      <c r="D26" s="19"/>
      <c r="E26" s="19"/>
      <c r="F26" s="19"/>
      <c r="G26" s="19"/>
      <c r="H26" s="19"/>
      <c r="I26" s="19"/>
      <c r="J26" s="19"/>
      <c r="K26" s="6"/>
    </row>
    <row r="27" spans="1:17">
      <c r="A27" s="5" t="s">
        <v>48</v>
      </c>
      <c r="B27" s="19">
        <f>B24*B18</f>
        <v>0.2</v>
      </c>
      <c r="C27" s="19"/>
      <c r="D27" s="19"/>
      <c r="E27" s="19"/>
      <c r="F27" s="19"/>
      <c r="G27" s="19"/>
      <c r="H27" s="19"/>
      <c r="I27" s="19"/>
      <c r="J27" s="19"/>
      <c r="K27" s="6"/>
    </row>
    <row r="28" spans="1:17">
      <c r="A28" s="5" t="s">
        <v>49</v>
      </c>
      <c r="B28" s="19">
        <f>B25*B19</f>
        <v>0.15</v>
      </c>
      <c r="C28" s="19"/>
      <c r="D28" s="19"/>
      <c r="E28" s="19"/>
      <c r="F28" s="19"/>
      <c r="G28" s="19"/>
      <c r="H28" s="19"/>
      <c r="I28" s="19"/>
      <c r="J28" s="19"/>
      <c r="K28" s="6"/>
    </row>
    <row r="29" spans="1:17">
      <c r="A29" s="5" t="s">
        <v>50</v>
      </c>
      <c r="B29" s="19">
        <f>B26*B20</f>
        <v>0.12249999999999998</v>
      </c>
      <c r="C29" s="19"/>
      <c r="D29" s="19"/>
      <c r="E29" s="19"/>
      <c r="F29" s="19"/>
      <c r="G29" s="19"/>
      <c r="H29" s="19"/>
      <c r="I29" s="19"/>
      <c r="J29" s="19"/>
      <c r="K29" s="6"/>
    </row>
    <row r="30" spans="1:17">
      <c r="A30" s="5" t="s">
        <v>51</v>
      </c>
      <c r="B30" s="19">
        <f>B27/B24</f>
        <v>0.5</v>
      </c>
      <c r="C30" s="19"/>
      <c r="D30" s="19"/>
      <c r="E30" s="19"/>
      <c r="F30" s="19"/>
      <c r="G30" s="19"/>
      <c r="H30" s="19"/>
      <c r="I30" s="19"/>
      <c r="J30" s="19"/>
      <c r="K30" s="6"/>
    </row>
    <row r="31" spans="1:17">
      <c r="A31" s="5" t="s">
        <v>52</v>
      </c>
      <c r="B31" s="19">
        <f>B28/B25</f>
        <v>0.6</v>
      </c>
      <c r="C31" s="19"/>
      <c r="D31" s="19"/>
      <c r="E31" s="19"/>
      <c r="F31" s="19"/>
      <c r="G31" s="19"/>
      <c r="H31" s="19"/>
      <c r="I31" s="19"/>
      <c r="J31" s="19"/>
      <c r="K31" s="6"/>
    </row>
    <row r="32" spans="1:17">
      <c r="A32" s="5" t="s">
        <v>53</v>
      </c>
      <c r="B32" s="19">
        <f>B29/B26</f>
        <v>0.35</v>
      </c>
      <c r="C32" s="19"/>
      <c r="D32" s="22" t="s">
        <v>56</v>
      </c>
      <c r="E32" s="19"/>
      <c r="F32" s="19"/>
      <c r="G32" s="19"/>
      <c r="H32" s="19"/>
      <c r="I32" s="19"/>
      <c r="J32" s="19"/>
      <c r="K32" s="6"/>
    </row>
    <row r="33" spans="1:11">
      <c r="A33" s="5" t="s">
        <v>54</v>
      </c>
      <c r="B33" s="19">
        <f>B31*B25/((B30*B24)+(B31*B25)+(B32*B26))</f>
        <v>0.31746031746031744</v>
      </c>
      <c r="C33" s="19"/>
      <c r="D33" s="19" t="s">
        <v>55</v>
      </c>
      <c r="E33" s="19"/>
      <c r="F33" s="19"/>
      <c r="G33" s="19"/>
      <c r="H33" s="19"/>
      <c r="I33" s="19"/>
      <c r="J33" s="19"/>
      <c r="K33" s="6"/>
    </row>
    <row r="34" spans="1:11">
      <c r="A34" s="5"/>
      <c r="B34" s="19"/>
      <c r="C34" s="19"/>
      <c r="D34" s="19"/>
      <c r="E34" s="19"/>
      <c r="F34" s="19"/>
      <c r="G34" s="19"/>
      <c r="H34" s="19"/>
      <c r="I34" s="19"/>
      <c r="J34" s="19"/>
      <c r="K34" s="6"/>
    </row>
    <row r="35" spans="1:11">
      <c r="A35" s="7" t="s">
        <v>57</v>
      </c>
      <c r="B35" s="8"/>
      <c r="C35" s="8"/>
      <c r="D35" s="8"/>
      <c r="E35" s="8"/>
      <c r="F35" s="8"/>
      <c r="G35" s="8"/>
      <c r="H35" s="8"/>
      <c r="I35" s="8"/>
      <c r="J35" s="8"/>
      <c r="K3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939A-10AB-49A5-B9DD-D19771A42027}">
  <dimension ref="A2:F10"/>
  <sheetViews>
    <sheetView workbookViewId="0">
      <selection activeCell="A13" sqref="A13"/>
    </sheetView>
  </sheetViews>
  <sheetFormatPr defaultRowHeight="14.4"/>
  <sheetData>
    <row r="2" spans="1:6">
      <c r="A2" t="s">
        <v>155</v>
      </c>
      <c r="E2" t="s">
        <v>160</v>
      </c>
    </row>
    <row r="4" spans="1:6">
      <c r="A4" t="s">
        <v>156</v>
      </c>
      <c r="E4" t="s">
        <v>161</v>
      </c>
      <c r="F4" t="s">
        <v>162</v>
      </c>
    </row>
    <row r="5" spans="1:6">
      <c r="D5" t="s">
        <v>163</v>
      </c>
    </row>
    <row r="6" spans="1:6">
      <c r="A6" t="s">
        <v>157</v>
      </c>
      <c r="D6" t="s">
        <v>163</v>
      </c>
    </row>
    <row r="7" spans="1:6">
      <c r="D7" t="s">
        <v>163</v>
      </c>
    </row>
    <row r="8" spans="1:6">
      <c r="A8" t="s">
        <v>158</v>
      </c>
    </row>
    <row r="10" spans="1:6">
      <c r="A10" t="s">
        <v>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BAD9-E030-491F-AD54-90FCB74CB3D7}">
  <dimension ref="A1:K40"/>
  <sheetViews>
    <sheetView tabSelected="1" topLeftCell="A19" workbookViewId="0">
      <selection activeCell="H40" sqref="H40"/>
    </sheetView>
  </sheetViews>
  <sheetFormatPr defaultRowHeight="14.4"/>
  <cols>
    <col min="7" max="7" width="11.6640625" customWidth="1"/>
  </cols>
  <sheetData>
    <row r="1" spans="1:10">
      <c r="A1" s="28" t="s">
        <v>71</v>
      </c>
    </row>
    <row r="2" spans="1:10">
      <c r="A2" t="s">
        <v>64</v>
      </c>
      <c r="B2" t="s">
        <v>68</v>
      </c>
    </row>
    <row r="3" spans="1:10">
      <c r="A3" t="s">
        <v>65</v>
      </c>
      <c r="B3" t="s">
        <v>70</v>
      </c>
    </row>
    <row r="6" spans="1:10">
      <c r="A6" t="s">
        <v>119</v>
      </c>
      <c r="H6" t="s">
        <v>131</v>
      </c>
    </row>
    <row r="7" spans="1:10">
      <c r="H7" t="s">
        <v>132</v>
      </c>
    </row>
    <row r="8" spans="1:10">
      <c r="A8" t="s">
        <v>154</v>
      </c>
    </row>
    <row r="9" spans="1:10">
      <c r="I9" t="s">
        <v>136</v>
      </c>
    </row>
    <row r="10" spans="1:10">
      <c r="A10" s="23" t="s">
        <v>120</v>
      </c>
      <c r="I10" t="s">
        <v>137</v>
      </c>
    </row>
    <row r="11" spans="1:10">
      <c r="A11" t="s">
        <v>121</v>
      </c>
      <c r="I11" t="s">
        <v>138</v>
      </c>
    </row>
    <row r="12" spans="1:10">
      <c r="A12" t="s">
        <v>122</v>
      </c>
    </row>
    <row r="13" spans="1:10">
      <c r="A13" t="s">
        <v>123</v>
      </c>
      <c r="I13" t="s">
        <v>139</v>
      </c>
    </row>
    <row r="14" spans="1:10">
      <c r="J14" t="s">
        <v>140</v>
      </c>
    </row>
    <row r="15" spans="1:10">
      <c r="J15" t="s">
        <v>141</v>
      </c>
    </row>
    <row r="16" spans="1:10">
      <c r="A16" t="s">
        <v>126</v>
      </c>
    </row>
    <row r="17" spans="1:10">
      <c r="A17" t="s">
        <v>124</v>
      </c>
      <c r="I17" t="s">
        <v>142</v>
      </c>
    </row>
    <row r="18" spans="1:10">
      <c r="A18" t="s">
        <v>127</v>
      </c>
      <c r="I18" t="s">
        <v>143</v>
      </c>
    </row>
    <row r="19" spans="1:10">
      <c r="A19" t="s">
        <v>128</v>
      </c>
    </row>
    <row r="20" spans="1:10">
      <c r="A20" t="s">
        <v>129</v>
      </c>
      <c r="H20" s="23" t="s">
        <v>153</v>
      </c>
    </row>
    <row r="21" spans="1:10">
      <c r="A21" t="s">
        <v>125</v>
      </c>
      <c r="I21" t="s">
        <v>150</v>
      </c>
      <c r="J21" t="s">
        <v>149</v>
      </c>
    </row>
    <row r="22" spans="1:10">
      <c r="A22" t="s">
        <v>125</v>
      </c>
      <c r="I22" s="23" t="s">
        <v>145</v>
      </c>
    </row>
    <row r="23" spans="1:10">
      <c r="I23" t="s">
        <v>146</v>
      </c>
    </row>
    <row r="24" spans="1:10">
      <c r="A24" t="s">
        <v>133</v>
      </c>
      <c r="I24" t="s">
        <v>148</v>
      </c>
    </row>
    <row r="25" spans="1:10">
      <c r="I25" t="s">
        <v>147</v>
      </c>
    </row>
    <row r="26" spans="1:10">
      <c r="A26" s="23" t="s">
        <v>130</v>
      </c>
      <c r="J26" t="s">
        <v>164</v>
      </c>
    </row>
    <row r="27" spans="1:10">
      <c r="A27" t="s">
        <v>177</v>
      </c>
    </row>
    <row r="28" spans="1:10">
      <c r="A28" t="s">
        <v>134</v>
      </c>
    </row>
    <row r="29" spans="1:10">
      <c r="A29" t="s">
        <v>115</v>
      </c>
    </row>
    <row r="30" spans="1:10">
      <c r="A30" t="s">
        <v>135</v>
      </c>
    </row>
    <row r="31" spans="1:10">
      <c r="H31" s="34" t="s">
        <v>168</v>
      </c>
    </row>
    <row r="32" spans="1:10">
      <c r="G32" s="23" t="s">
        <v>165</v>
      </c>
      <c r="H32" s="23" t="s">
        <v>175</v>
      </c>
      <c r="I32" s="23" t="s">
        <v>176</v>
      </c>
    </row>
    <row r="33" spans="1:11">
      <c r="A33" t="s">
        <v>151</v>
      </c>
      <c r="G33" t="s">
        <v>166</v>
      </c>
      <c r="H33" t="s">
        <v>169</v>
      </c>
      <c r="I33" t="s">
        <v>170</v>
      </c>
      <c r="K33" s="36" t="s">
        <v>171</v>
      </c>
    </row>
    <row r="34" spans="1:11">
      <c r="A34" t="s">
        <v>152</v>
      </c>
      <c r="G34" t="s">
        <v>167</v>
      </c>
      <c r="I34" t="s">
        <v>173</v>
      </c>
      <c r="K34" s="36" t="s">
        <v>172</v>
      </c>
    </row>
    <row r="35" spans="1:11">
      <c r="K35" s="36" t="s">
        <v>174</v>
      </c>
    </row>
    <row r="37" spans="1:11">
      <c r="H37" s="38" t="s">
        <v>178</v>
      </c>
    </row>
    <row r="38" spans="1:11">
      <c r="H38" s="35" t="s">
        <v>179</v>
      </c>
    </row>
    <row r="39" spans="1:11">
      <c r="H39" s="35" t="s">
        <v>180</v>
      </c>
    </row>
    <row r="40" spans="1:11">
      <c r="H40" t="s">
        <v>181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size="37" baseType="lpstr">
      <vt:lpstr>ROC</vt:lpstr>
      <vt:lpstr>Risk, Odds</vt:lpstr>
      <vt:lpstr>Probability</vt:lpstr>
      <vt:lpstr>Tests</vt:lpstr>
      <vt:lpstr>Notes</vt:lpstr>
      <vt:lpstr>_ARP</vt:lpstr>
      <vt:lpstr>_CE</vt:lpstr>
      <vt:lpstr>_CER</vt:lpstr>
      <vt:lpstr>_CN</vt:lpstr>
      <vt:lpstr>_CS</vt:lpstr>
      <vt:lpstr>_EE</vt:lpstr>
      <vt:lpstr>_EER</vt:lpstr>
      <vt:lpstr>_EN</vt:lpstr>
      <vt:lpstr>_ES</vt:lpstr>
      <vt:lpstr>_OR</vt:lpstr>
      <vt:lpstr>_PF</vt:lpstr>
      <vt:lpstr>_RR</vt:lpstr>
      <vt:lpstr>DISEASE</vt:lpstr>
      <vt:lpstr>FDR</vt:lpstr>
      <vt:lpstr>FNeg</vt:lpstr>
      <vt:lpstr>FOR</vt:lpstr>
      <vt:lpstr>FPos</vt:lpstr>
      <vt:lpstr>LRNEG</vt:lpstr>
      <vt:lpstr>LRPOS</vt:lpstr>
      <vt:lpstr>NPV</vt:lpstr>
      <vt:lpstr>POPULATION</vt:lpstr>
      <vt:lpstr>POSTTESTONEG</vt:lpstr>
      <vt:lpstr>POSTTESTOPOS</vt:lpstr>
      <vt:lpstr>POSTTESTPNEG</vt:lpstr>
      <vt:lpstr>POSTTESTPPOS</vt:lpstr>
      <vt:lpstr>PPV</vt:lpstr>
      <vt:lpstr>PRETESTO</vt:lpstr>
      <vt:lpstr>PRETESTP</vt:lpstr>
      <vt:lpstr>SENS</vt:lpstr>
      <vt:lpstr>SPEC</vt:lpstr>
      <vt:lpstr>TNeg</vt:lpstr>
      <vt:lpstr>TPos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Alt</dc:creator>
  <cp:lastModifiedBy>David Alt</cp:lastModifiedBy>
  <dcterms:created xsi:type="dcterms:W3CDTF">2017-11-29T14:52:12Z</dcterms:created>
  <dcterms:modified xsi:type="dcterms:W3CDTF">2018-10-17T20:00:31Z</dcterms:modified>
</cp:coreProperties>
</file>