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13_ncr:1_{BA2817B4-AA9F-4573-8332-48369F74CACA}" xr6:coauthVersionLast="47" xr6:coauthVersionMax="47" xr10:uidLastSave="{00000000-0000-0000-0000-000000000000}"/>
  <bookViews>
    <workbookView xWindow="-120" yWindow="-120" windowWidth="29040" windowHeight="15720" activeTab="3" xr2:uid="{F3726037-B9D2-4850-AADC-0AC892BF7F02}"/>
  </bookViews>
  <sheets>
    <sheet name="Warm up percentage" sheetId="4" r:id="rId1"/>
    <sheet name="Max-one Rep" sheetId="3" r:id="rId2"/>
    <sheet name="Personal Records" sheetId="2" r:id="rId3"/>
    <sheet name="Historical lifts" sheetId="6" r:id="rId4"/>
    <sheet name="Graphs" sheetId="7" r:id="rId5"/>
    <sheet name="Calories" sheetId="5" r:id="rId6"/>
    <sheet name="Basic Protein food" sheetId="1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44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U4" i="6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Y3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P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G3" i="6"/>
  <c r="P3" i="5"/>
  <c r="T11" i="5" s="1"/>
  <c r="D2" i="2"/>
  <c r="K4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F3" i="5"/>
  <c r="H3" i="5"/>
  <c r="I3" i="5" s="1"/>
  <c r="C20" i="1"/>
  <c r="H8" i="1"/>
  <c r="I9" i="4"/>
  <c r="I4" i="4"/>
  <c r="K2" i="4" s="1"/>
  <c r="A2" i="4" s="1"/>
  <c r="S3" i="3"/>
  <c r="T3" i="3"/>
  <c r="K3" i="3"/>
  <c r="G4" i="5"/>
  <c r="H4" i="5" s="1"/>
  <c r="J4" i="5" s="1"/>
  <c r="G5" i="5"/>
  <c r="H5" i="5" s="1"/>
  <c r="J5" i="5" s="1"/>
  <c r="G6" i="5"/>
  <c r="H6" i="5" s="1"/>
  <c r="I6" i="5" s="1"/>
  <c r="M4" i="5"/>
  <c r="N4" i="5" s="1"/>
  <c r="M5" i="5"/>
  <c r="N5" i="5" s="1"/>
  <c r="M6" i="5"/>
  <c r="N6" i="5" s="1"/>
  <c r="M3" i="5"/>
  <c r="N3" i="5" s="1"/>
  <c r="S10" i="5" s="1"/>
  <c r="C8" i="1"/>
  <c r="F2" i="1"/>
  <c r="I8" i="1" s="1"/>
  <c r="G12" i="1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5" i="2"/>
  <c r="D5" i="2"/>
  <c r="B5" i="2"/>
  <c r="Q3" i="5" l="1"/>
  <c r="T10" i="5" s="1"/>
  <c r="S11" i="5"/>
  <c r="U3" i="3"/>
  <c r="N2" i="3" s="1"/>
  <c r="P2" i="3" s="1"/>
  <c r="A2" i="3"/>
  <c r="C2" i="3" s="1"/>
  <c r="J3" i="5"/>
  <c r="J6" i="5"/>
  <c r="S12" i="5"/>
  <c r="T12" i="5"/>
  <c r="I4" i="5"/>
  <c r="S4" i="5" s="1"/>
  <c r="T4" i="5" s="1"/>
  <c r="G10" i="1"/>
  <c r="G11" i="1"/>
  <c r="D8" i="1"/>
  <c r="B12" i="2"/>
  <c r="C12" i="2"/>
  <c r="C4" i="2"/>
  <c r="B10" i="2"/>
  <c r="B8" i="2"/>
  <c r="C6" i="2"/>
  <c r="D10" i="2"/>
  <c r="D8" i="2"/>
  <c r="C10" i="2"/>
  <c r="C8" i="2"/>
  <c r="D6" i="2"/>
  <c r="D12" i="2"/>
  <c r="B4" i="2"/>
  <c r="D4" i="2"/>
  <c r="B6" i="2"/>
  <c r="I5" i="5"/>
  <c r="S5" i="5" s="1"/>
  <c r="T5" i="5" s="1"/>
  <c r="S6" i="5"/>
  <c r="T6" i="5" s="1"/>
  <c r="A5" i="4"/>
  <c r="A4" i="4"/>
  <c r="A3" i="4"/>
  <c r="S3" i="5" l="1"/>
  <c r="Q11" i="3"/>
  <c r="Q14" i="3"/>
  <c r="Q6" i="3"/>
  <c r="Q17" i="3"/>
  <c r="Q13" i="3"/>
  <c r="Q9" i="3"/>
  <c r="Q5" i="3"/>
  <c r="Q7" i="3"/>
  <c r="Q16" i="3"/>
  <c r="Q12" i="3"/>
  <c r="Q8" i="3"/>
  <c r="Q15" i="3"/>
  <c r="Q10" i="3"/>
  <c r="D12" i="3"/>
  <c r="D10" i="3"/>
  <c r="D13" i="3"/>
  <c r="D8" i="3"/>
  <c r="D15" i="3"/>
  <c r="D6" i="3"/>
  <c r="D7" i="3"/>
  <c r="D14" i="3"/>
  <c r="D5" i="3"/>
  <c r="D17" i="3"/>
  <c r="D9" i="3"/>
  <c r="D16" i="3"/>
  <c r="D11" i="3"/>
  <c r="T3" i="5"/>
  <c r="U11" i="5" s="1"/>
  <c r="V11" i="5" s="1"/>
  <c r="B10" i="1"/>
  <c r="B12" i="1"/>
  <c r="B11" i="1"/>
  <c r="U12" i="5" l="1"/>
  <c r="V12" i="5" s="1"/>
  <c r="V10" i="5"/>
</calcChain>
</file>

<file path=xl/sharedStrings.xml><?xml version="1.0" encoding="utf-8"?>
<sst xmlns="http://schemas.openxmlformats.org/spreadsheetml/2006/main" count="140" uniqueCount="83">
  <si>
    <t>Squat</t>
  </si>
  <si>
    <t>Bench</t>
  </si>
  <si>
    <t>Deadlift</t>
  </si>
  <si>
    <t>Actual</t>
  </si>
  <si>
    <t>Elite</t>
  </si>
  <si>
    <t>SuperElite</t>
  </si>
  <si>
    <t>Reps</t>
  </si>
  <si>
    <t>PR</t>
  </si>
  <si>
    <t>Weight</t>
  </si>
  <si>
    <t>Factor</t>
  </si>
  <si>
    <t>Percentage</t>
  </si>
  <si>
    <t>protein</t>
  </si>
  <si>
    <t>factor protein</t>
  </si>
  <si>
    <t>Activy Factor</t>
  </si>
  <si>
    <t>Activity</t>
  </si>
  <si>
    <t>Sedentary  + 3 to 6 workouts per week</t>
  </si>
  <si>
    <t>slightly active + 3 to 6 workouts per week</t>
  </si>
  <si>
    <t>highly active + 3 to 6 workouts per week</t>
  </si>
  <si>
    <t>average active + 3 to 6 workouts per week</t>
  </si>
  <si>
    <t>Calories</t>
  </si>
  <si>
    <t>Maintain weight</t>
  </si>
  <si>
    <t>Weight (kg)</t>
  </si>
  <si>
    <t>Weight loss (-500 cal)</t>
  </si>
  <si>
    <t>Weight win (+300 cal)</t>
  </si>
  <si>
    <t>Protein</t>
  </si>
  <si>
    <t>Protein calories</t>
  </si>
  <si>
    <t>Protein factor</t>
  </si>
  <si>
    <t>Fats</t>
  </si>
  <si>
    <t>Fat calories</t>
  </si>
  <si>
    <t>Carbs</t>
  </si>
  <si>
    <t>Carbs calories</t>
  </si>
  <si>
    <t>Chose an AF (IC average previous table)</t>
  </si>
  <si>
    <t>Plate</t>
  </si>
  <si>
    <t>Barbell (lbs)</t>
  </si>
  <si>
    <t>First (lbs)</t>
  </si>
  <si>
    <t>Second (lbs)</t>
  </si>
  <si>
    <t>Third (lbs)</t>
  </si>
  <si>
    <t>Total (kg)</t>
  </si>
  <si>
    <t>Additional Weight</t>
  </si>
  <si>
    <t>Corporal Weight</t>
  </si>
  <si>
    <t>Total</t>
  </si>
  <si>
    <t>Dips Reps</t>
  </si>
  <si>
    <t>Objective</t>
  </si>
  <si>
    <t xml:space="preserve">Objective </t>
  </si>
  <si>
    <t>Warm Up</t>
  </si>
  <si>
    <t>Goal Weight</t>
  </si>
  <si>
    <t>Pork100</t>
  </si>
  <si>
    <t>Food</t>
  </si>
  <si>
    <t>1 egg</t>
  </si>
  <si>
    <t>Lean beef</t>
  </si>
  <si>
    <t>Lean beef 100</t>
  </si>
  <si>
    <t>2eggs</t>
  </si>
  <si>
    <t xml:space="preserve">Poultry breast </t>
  </si>
  <si>
    <t>Pork</t>
  </si>
  <si>
    <t>21*</t>
  </si>
  <si>
    <t>frijol</t>
  </si>
  <si>
    <t>cheese</t>
  </si>
  <si>
    <t>breast</t>
  </si>
  <si>
    <t xml:space="preserve">Chicken breast </t>
  </si>
  <si>
    <t>Chicken breast100</t>
  </si>
  <si>
    <t xml:space="preserve">tortilla </t>
  </si>
  <si>
    <t>4eggs</t>
  </si>
  <si>
    <t>`</t>
  </si>
  <si>
    <t>https://strengthlevel.com/powerlifting-calculator#powerliftingResults</t>
  </si>
  <si>
    <t>Set the objective weight of your efective series  and the weight to warm up will be show at the left table.</t>
  </si>
  <si>
    <t>Use the Warm up table to set the weight percentage according the left table.</t>
  </si>
  <si>
    <t>Forth (lbs)</t>
  </si>
  <si>
    <t>Set the weight of that you lift modifing the plates that you use and set the number of reps that you did to estimate your personal record (PR)</t>
  </si>
  <si>
    <t>Beginner</t>
  </si>
  <si>
    <t>Intermediate</t>
  </si>
  <si>
    <t>Avanced</t>
  </si>
  <si>
    <t>Reference</t>
  </si>
  <si>
    <t>New Weight</t>
  </si>
  <si>
    <t>Body weight</t>
  </si>
  <si>
    <t xml:space="preserve">Set your one-rep max (real or estimated) for each exercise and your body weight. Then  the table will hightlight the level of your weights </t>
  </si>
  <si>
    <t>Set your weight</t>
  </si>
  <si>
    <t xml:space="preserve">Select your calories according to your objective </t>
  </si>
  <si>
    <t>Select the factor protein</t>
  </si>
  <si>
    <t>Protein (g)</t>
  </si>
  <si>
    <t>Fat (g)</t>
  </si>
  <si>
    <t>Carbs (g)</t>
  </si>
  <si>
    <t>Select your Activity factor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</si>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</sst>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6" fillId="6" borderId="1" applyNumberFormat="0" applyAlignment="0" applyProtection="0"/>
  </cellStyleXfs>
  <cellXfs count="40">
    <xf numFmtId="0" fontId="0" fillId="0" borderId="0" xfId="0"/>
    <xf numFmtId="0" fontId="0" fillId="0" borderId="2" xfId="0" applyBorder="1"/>
    <xf numFmtId="0" fontId="4" fillId="4" borderId="2" xfId="4" applyBorder="1"/>
    <xf numFmtId="0" fontId="2" fillId="2" borderId="2" xfId="2" applyBorder="1"/>
    <xf numFmtId="0" fontId="3" fillId="3" borderId="2" xfId="3" applyBorder="1"/>
    <xf numFmtId="0" fontId="5" fillId="0" borderId="2" xfId="0" applyFont="1" applyBorder="1"/>
    <xf numFmtId="0" fontId="5" fillId="0" borderId="0" xfId="0" applyFont="1"/>
    <xf numFmtId="9" fontId="0" fillId="0" borderId="2" xfId="1" applyFont="1" applyBorder="1"/>
    <xf numFmtId="2" fontId="0" fillId="0" borderId="2" xfId="0" applyNumberFormat="1" applyBorder="1"/>
    <xf numFmtId="0" fontId="5" fillId="0" borderId="2" xfId="0" applyFont="1" applyBorder="1" applyAlignment="1">
      <alignment horizontal="center"/>
    </xf>
    <xf numFmtId="2" fontId="0" fillId="0" borderId="2" xfId="0" applyNumberForma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64" fontId="0" fillId="0" borderId="2" xfId="0" applyNumberFormat="1" applyBorder="1"/>
    <xf numFmtId="9" fontId="0" fillId="0" borderId="2" xfId="0" applyNumberFormat="1" applyBorder="1"/>
    <xf numFmtId="1" fontId="0" fillId="0" borderId="2" xfId="0" applyNumberFormat="1" applyBorder="1"/>
    <xf numFmtId="0" fontId="0" fillId="5" borderId="0" xfId="0" applyFill="1"/>
    <xf numFmtId="0" fontId="0" fillId="7" borderId="2" xfId="0" applyFill="1" applyBorder="1"/>
    <xf numFmtId="0" fontId="0" fillId="0" borderId="5" xfId="0" applyBorder="1"/>
    <xf numFmtId="0" fontId="6" fillId="6" borderId="1" xfId="5"/>
    <xf numFmtId="14" fontId="0" fillId="0" borderId="0" xfId="0" applyNumberFormat="1"/>
    <xf numFmtId="14" fontId="0" fillId="0" borderId="2" xfId="0" applyNumberFormat="1" applyBorder="1"/>
    <xf numFmtId="0" fontId="0" fillId="5" borderId="0" xfId="0" applyFill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5" borderId="0" xfId="0" applyFill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0" xfId="0" applyFill="1" applyAlignment="1">
      <alignment horizontal="center"/>
    </xf>
  </cellXfs>
  <cellStyles count="6">
    <cellStyle name="Bad" xfId="3" builtinId="27"/>
    <cellStyle name="Calculation" xfId="5" builtinId="22"/>
    <cellStyle name="Good" xfId="2" builtinId="26"/>
    <cellStyle name="Input" xfId="4" builtinId="20"/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lifts'!$E$2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lifts'!$A$3:$A$44</c:f>
              <c:numCache>
                <c:formatCode>m/d/yyyy</c:formatCode>
                <c:ptCount val="42"/>
                <c:pt idx="0">
                  <c:v>45068</c:v>
                </c:pt>
                <c:pt idx="1">
                  <c:v>45075</c:v>
                </c:pt>
                <c:pt idx="2">
                  <c:v>45082</c:v>
                </c:pt>
                <c:pt idx="3">
                  <c:v>45089</c:v>
                </c:pt>
                <c:pt idx="4">
                  <c:v>45096</c:v>
                </c:pt>
                <c:pt idx="5">
                  <c:v>45103</c:v>
                </c:pt>
                <c:pt idx="6">
                  <c:v>45110</c:v>
                </c:pt>
                <c:pt idx="7">
                  <c:v>45117</c:v>
                </c:pt>
                <c:pt idx="8">
                  <c:v>45124</c:v>
                </c:pt>
                <c:pt idx="9">
                  <c:v>45131</c:v>
                </c:pt>
                <c:pt idx="10">
                  <c:v>45138</c:v>
                </c:pt>
                <c:pt idx="11">
                  <c:v>45145</c:v>
                </c:pt>
                <c:pt idx="12">
                  <c:v>45152</c:v>
                </c:pt>
                <c:pt idx="13">
                  <c:v>45159</c:v>
                </c:pt>
                <c:pt idx="14">
                  <c:v>45166</c:v>
                </c:pt>
                <c:pt idx="15">
                  <c:v>45173</c:v>
                </c:pt>
                <c:pt idx="16">
                  <c:v>45180</c:v>
                </c:pt>
                <c:pt idx="17">
                  <c:v>45187</c:v>
                </c:pt>
                <c:pt idx="18">
                  <c:v>45194</c:v>
                </c:pt>
                <c:pt idx="19">
                  <c:v>45201</c:v>
                </c:pt>
                <c:pt idx="20">
                  <c:v>45208</c:v>
                </c:pt>
                <c:pt idx="21">
                  <c:v>45215</c:v>
                </c:pt>
                <c:pt idx="22">
                  <c:v>45222</c:v>
                </c:pt>
                <c:pt idx="23">
                  <c:v>45229</c:v>
                </c:pt>
                <c:pt idx="24">
                  <c:v>45236</c:v>
                </c:pt>
                <c:pt idx="25">
                  <c:v>45243</c:v>
                </c:pt>
                <c:pt idx="26">
                  <c:v>45250</c:v>
                </c:pt>
                <c:pt idx="27">
                  <c:v>45257</c:v>
                </c:pt>
                <c:pt idx="28">
                  <c:v>45264</c:v>
                </c:pt>
                <c:pt idx="29">
                  <c:v>45271</c:v>
                </c:pt>
                <c:pt idx="30">
                  <c:v>45278</c:v>
                </c:pt>
                <c:pt idx="31">
                  <c:v>45285</c:v>
                </c:pt>
                <c:pt idx="32">
                  <c:v>45292</c:v>
                </c:pt>
                <c:pt idx="33">
                  <c:v>45299</c:v>
                </c:pt>
                <c:pt idx="34">
                  <c:v>45306</c:v>
                </c:pt>
                <c:pt idx="35">
                  <c:v>45313</c:v>
                </c:pt>
                <c:pt idx="36">
                  <c:v>45320</c:v>
                </c:pt>
                <c:pt idx="37">
                  <c:v>45327</c:v>
                </c:pt>
                <c:pt idx="38">
                  <c:v>45334</c:v>
                </c:pt>
                <c:pt idx="39">
                  <c:v>45341</c:v>
                </c:pt>
                <c:pt idx="40">
                  <c:v>45348</c:v>
                </c:pt>
                <c:pt idx="41">
                  <c:v>45355</c:v>
                </c:pt>
              </c:numCache>
            </c:numRef>
          </c:cat>
          <c:val>
            <c:numRef>
              <c:f>'Historical lifts'!$E$3:$E$44</c:f>
              <c:numCache>
                <c:formatCode>General</c:formatCode>
                <c:ptCount val="42"/>
                <c:pt idx="0">
                  <c:v>68</c:v>
                </c:pt>
                <c:pt idx="1">
                  <c:v>75.194616896369155</c:v>
                </c:pt>
                <c:pt idx="2">
                  <c:v>79.403197987799928</c:v>
                </c:pt>
                <c:pt idx="3">
                  <c:v>82.389233792738295</c:v>
                </c:pt>
                <c:pt idx="4">
                  <c:v>84.705383103630851</c:v>
                </c:pt>
                <c:pt idx="5">
                  <c:v>86.597814884169082</c:v>
                </c:pt>
                <c:pt idx="6">
                  <c:v>88.197843156340738</c:v>
                </c:pt>
                <c:pt idx="7">
                  <c:v>89.58385068910745</c:v>
                </c:pt>
                <c:pt idx="8">
                  <c:v>90.806395975599855</c:v>
                </c:pt>
                <c:pt idx="9">
                  <c:v>91.9</c:v>
                </c:pt>
                <c:pt idx="10">
                  <c:v>92.889285175281572</c:v>
                </c:pt>
                <c:pt idx="11">
                  <c:v>93.792431780538237</c:v>
                </c:pt>
                <c:pt idx="12">
                  <c:v>94.623246120133388</c:v>
                </c:pt>
                <c:pt idx="13">
                  <c:v>95.392460052709879</c:v>
                </c:pt>
                <c:pt idx="14">
                  <c:v>96.108581091430779</c:v>
                </c:pt>
                <c:pt idx="15">
                  <c:v>96.778467585476605</c:v>
                </c:pt>
                <c:pt idx="16">
                  <c:v>97.407729220940752</c:v>
                </c:pt>
                <c:pt idx="17">
                  <c:v>98.00101287196901</c:v>
                </c:pt>
                <c:pt idx="18">
                  <c:v>98.562211062772604</c:v>
                </c:pt>
                <c:pt idx="19">
                  <c:v>99.094616896369146</c:v>
                </c:pt>
                <c:pt idx="20">
                  <c:v>99.601041144140666</c:v>
                </c:pt>
                <c:pt idx="21">
                  <c:v>100.08390207165073</c:v>
                </c:pt>
                <c:pt idx="22">
                  <c:v>100.54529528082047</c:v>
                </c:pt>
                <c:pt idx="23">
                  <c:v>100.98704867690738</c:v>
                </c:pt>
                <c:pt idx="24">
                  <c:v>101.4107662072617</c:v>
                </c:pt>
                <c:pt idx="25">
                  <c:v>101.81786301650254</c:v>
                </c:pt>
                <c:pt idx="26">
                  <c:v>102.2095939633998</c:v>
                </c:pt>
                <c:pt idx="27">
                  <c:v>102.58707694907903</c:v>
                </c:pt>
                <c:pt idx="28">
                  <c:v>102.95131214978505</c:v>
                </c:pt>
                <c:pt idx="29">
                  <c:v>103.30319798779993</c:v>
                </c:pt>
                <c:pt idx="30">
                  <c:v>103.64354448263911</c:v>
                </c:pt>
                <c:pt idx="31">
                  <c:v>103.97308448184575</c:v>
                </c:pt>
                <c:pt idx="32">
                  <c:v>104.2924831630815</c:v>
                </c:pt>
                <c:pt idx="33">
                  <c:v>104.60234611730989</c:v>
                </c:pt>
                <c:pt idx="34">
                  <c:v>104.90322625997159</c:v>
                </c:pt>
                <c:pt idx="35">
                  <c:v>105.19562976833816</c:v>
                </c:pt>
                <c:pt idx="36">
                  <c:v>105.48002120520118</c:v>
                </c:pt>
                <c:pt idx="37">
                  <c:v>105.75682795914176</c:v>
                </c:pt>
                <c:pt idx="38">
                  <c:v>106.02644410793333</c:v>
                </c:pt>
                <c:pt idx="39">
                  <c:v>106.28923379273829</c:v>
                </c:pt>
                <c:pt idx="40">
                  <c:v>106.54553417560167</c:v>
                </c:pt>
                <c:pt idx="41">
                  <c:v>107.05537792697348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86E-A65D-54028FA4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70624"/>
        <c:axId val="1525483584"/>
      </c:lineChart>
      <c:dateAx>
        <c:axId val="1525470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83584"/>
        <c:crosses val="autoZero"/>
        <c:auto val="1"/>
        <c:lblOffset val="100"/>
        <c:baseTimeUnit val="days"/>
      </c:dateAx>
      <c:valAx>
        <c:axId val="1525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9</xdr:row>
      <xdr:rowOff>100011</xdr:rowOff>
    </xdr:from>
    <xdr:to>
      <xdr:col>17</xdr:col>
      <xdr:colOff>400049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07BDB-7F4C-578A-1670-DDA36172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8D7C-E456-477C-8264-32D4E6D9AA79}">
  <dimension ref="A1:K14"/>
  <sheetViews>
    <sheetView workbookViewId="0">
      <selection activeCell="D31" sqref="D31"/>
    </sheetView>
  </sheetViews>
  <sheetFormatPr defaultRowHeight="15" x14ac:dyDescent="0.25"/>
  <cols>
    <col min="1" max="1" width="9" customWidth="1"/>
    <col min="2" max="2" width="6.5703125" customWidth="1"/>
    <col min="4" max="4" width="11.42578125" customWidth="1"/>
    <col min="7" max="7" width="11.85546875" bestFit="1" customWidth="1"/>
  </cols>
  <sheetData>
    <row r="1" spans="1:11" ht="14.25" customHeight="1" x14ac:dyDescent="0.25">
      <c r="A1" s="5" t="s">
        <v>8</v>
      </c>
      <c r="B1" s="5" t="s">
        <v>10</v>
      </c>
      <c r="C1" s="5" t="s">
        <v>6</v>
      </c>
      <c r="E1" s="25" t="s">
        <v>42</v>
      </c>
      <c r="F1" s="25"/>
      <c r="G1" s="25"/>
      <c r="H1" s="25"/>
      <c r="I1" s="25"/>
      <c r="K1" s="5" t="s">
        <v>43</v>
      </c>
    </row>
    <row r="2" spans="1:11" ht="14.25" customHeight="1" x14ac:dyDescent="0.25">
      <c r="A2" s="13">
        <f>$K$2*B2</f>
        <v>40.860000000000007</v>
      </c>
      <c r="B2" s="14">
        <v>0.4</v>
      </c>
      <c r="C2" s="1">
        <v>15</v>
      </c>
      <c r="E2" s="23" t="s">
        <v>33</v>
      </c>
      <c r="F2" s="26" t="s">
        <v>32</v>
      </c>
      <c r="G2" s="27"/>
      <c r="H2" s="28"/>
      <c r="I2" s="12" t="s">
        <v>37</v>
      </c>
      <c r="K2" s="1">
        <f>I4</f>
        <v>102.15</v>
      </c>
    </row>
    <row r="3" spans="1:11" x14ac:dyDescent="0.25">
      <c r="A3" s="13">
        <f>$K$2*B3</f>
        <v>61.29</v>
      </c>
      <c r="B3" s="14">
        <v>0.6</v>
      </c>
      <c r="C3" s="1">
        <v>10</v>
      </c>
      <c r="E3" s="24"/>
      <c r="F3" s="5" t="s">
        <v>34</v>
      </c>
      <c r="G3" s="5" t="s">
        <v>35</v>
      </c>
      <c r="H3" s="5" t="s">
        <v>36</v>
      </c>
      <c r="I3" s="12"/>
    </row>
    <row r="4" spans="1:11" ht="14.25" customHeight="1" x14ac:dyDescent="0.25">
      <c r="A4" s="13">
        <f>$K$2*B4</f>
        <v>81.720000000000013</v>
      </c>
      <c r="B4" s="14">
        <v>0.8</v>
      </c>
      <c r="C4" s="1">
        <v>8</v>
      </c>
      <c r="E4" s="10">
        <v>45</v>
      </c>
      <c r="F4" s="2">
        <v>45</v>
      </c>
      <c r="G4" s="2">
        <v>45</v>
      </c>
      <c r="H4" s="2">
        <v>0</v>
      </c>
      <c r="I4" s="1">
        <f>(E4+2*(F4+G4+H4))*0.454</f>
        <v>102.15</v>
      </c>
    </row>
    <row r="5" spans="1:11" ht="14.25" customHeight="1" x14ac:dyDescent="0.25">
      <c r="A5" s="13">
        <f>$K$2*B5</f>
        <v>102.15</v>
      </c>
      <c r="B5" s="14">
        <v>1</v>
      </c>
      <c r="C5" s="1">
        <v>6</v>
      </c>
    </row>
    <row r="6" spans="1:11" x14ac:dyDescent="0.25">
      <c r="E6" s="25" t="s">
        <v>44</v>
      </c>
      <c r="F6" s="25"/>
      <c r="G6" s="25"/>
      <c r="H6" s="25"/>
      <c r="I6" s="25"/>
    </row>
    <row r="7" spans="1:11" ht="14.25" customHeight="1" x14ac:dyDescent="0.25">
      <c r="E7" s="11" t="s">
        <v>33</v>
      </c>
      <c r="F7" s="26" t="s">
        <v>32</v>
      </c>
      <c r="G7" s="27"/>
      <c r="H7" s="28"/>
      <c r="I7" s="12" t="s">
        <v>37</v>
      </c>
    </row>
    <row r="8" spans="1:11" x14ac:dyDescent="0.25">
      <c r="E8" s="11"/>
      <c r="F8" s="5" t="s">
        <v>34</v>
      </c>
      <c r="G8" s="5" t="s">
        <v>35</v>
      </c>
      <c r="H8" s="5" t="s">
        <v>36</v>
      </c>
      <c r="I8" s="12"/>
    </row>
    <row r="9" spans="1:11" x14ac:dyDescent="0.25">
      <c r="E9" s="10">
        <v>45</v>
      </c>
      <c r="F9" s="2">
        <v>5</v>
      </c>
      <c r="G9" s="2">
        <v>0</v>
      </c>
      <c r="H9" s="2">
        <v>0</v>
      </c>
      <c r="I9" s="1">
        <f>(E9+2*(F9+G9+H9))*0.454</f>
        <v>24.970000000000002</v>
      </c>
    </row>
    <row r="11" spans="1:11" ht="13.9" customHeight="1" x14ac:dyDescent="0.25"/>
    <row r="13" spans="1:11" x14ac:dyDescent="0.25">
      <c r="A13" s="22" t="s">
        <v>64</v>
      </c>
      <c r="B13" s="22"/>
      <c r="C13" s="22"/>
      <c r="D13" s="22"/>
      <c r="E13" s="22"/>
      <c r="F13" s="22"/>
      <c r="G13" s="22"/>
      <c r="H13" s="22"/>
      <c r="I13" s="22"/>
      <c r="J13" s="22"/>
    </row>
    <row r="14" spans="1:11" x14ac:dyDescent="0.25">
      <c r="A14" s="22" t="s">
        <v>65</v>
      </c>
      <c r="B14" s="22"/>
      <c r="C14" s="22"/>
      <c r="D14" s="22"/>
      <c r="E14" s="22"/>
      <c r="F14" s="22"/>
      <c r="G14" s="22"/>
      <c r="H14" s="22"/>
      <c r="I14" s="22"/>
      <c r="J14" s="22"/>
    </row>
  </sheetData>
  <mergeCells count="7">
    <mergeCell ref="A13:J13"/>
    <mergeCell ref="A14:J14"/>
    <mergeCell ref="E2:E3"/>
    <mergeCell ref="E1:I1"/>
    <mergeCell ref="E6:I6"/>
    <mergeCell ref="F2:H2"/>
    <mergeCell ref="F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4AAF-AEFA-4B8E-806A-6E9E2D2A61EF}">
  <dimension ref="A1:U21"/>
  <sheetViews>
    <sheetView workbookViewId="0">
      <selection activeCell="G13" sqref="G13"/>
    </sheetView>
  </sheetViews>
  <sheetFormatPr defaultRowHeight="15" x14ac:dyDescent="0.25"/>
  <cols>
    <col min="2" max="2" width="9.5703125" bestFit="1" customWidth="1"/>
    <col min="3" max="3" width="8.7109375" customWidth="1"/>
    <col min="6" max="6" width="10.28515625" customWidth="1"/>
    <col min="7" max="8" width="12.85546875" customWidth="1"/>
    <col min="9" max="9" width="12.42578125" customWidth="1"/>
    <col min="10" max="10" width="12" customWidth="1"/>
    <col min="11" max="11" width="11.42578125" customWidth="1"/>
    <col min="12" max="12" width="12" bestFit="1" customWidth="1"/>
    <col min="19" max="19" width="17.140625" customWidth="1"/>
    <col min="20" max="20" width="17.5703125" customWidth="1"/>
  </cols>
  <sheetData>
    <row r="1" spans="1:21" x14ac:dyDescent="0.25">
      <c r="A1" s="5" t="s">
        <v>8</v>
      </c>
      <c r="B1" s="5" t="s">
        <v>6</v>
      </c>
      <c r="C1" s="5" t="s">
        <v>7</v>
      </c>
      <c r="F1" s="30" t="s">
        <v>33</v>
      </c>
      <c r="G1" s="33" t="s">
        <v>32</v>
      </c>
      <c r="H1" s="34"/>
      <c r="I1" s="34"/>
      <c r="J1" s="35"/>
      <c r="K1" s="31" t="s">
        <v>37</v>
      </c>
      <c r="N1" s="5" t="s">
        <v>8</v>
      </c>
      <c r="O1" s="5" t="s">
        <v>6</v>
      </c>
      <c r="P1" s="5" t="s">
        <v>7</v>
      </c>
      <c r="S1" s="32" t="s">
        <v>41</v>
      </c>
      <c r="T1" s="32"/>
      <c r="U1" s="32"/>
    </row>
    <row r="2" spans="1:21" x14ac:dyDescent="0.25">
      <c r="A2" s="8">
        <f>K3</f>
        <v>61.29</v>
      </c>
      <c r="B2" s="2">
        <v>4</v>
      </c>
      <c r="C2" s="8">
        <f>(_xlfn.XLOOKUP(B2,A5:A17,C5:C17))*A2</f>
        <v>68.100000000000009</v>
      </c>
      <c r="F2" s="30"/>
      <c r="G2" s="5" t="s">
        <v>34</v>
      </c>
      <c r="H2" s="5" t="s">
        <v>35</v>
      </c>
      <c r="I2" s="5" t="s">
        <v>36</v>
      </c>
      <c r="J2" s="5" t="s">
        <v>66</v>
      </c>
      <c r="K2" s="31"/>
      <c r="N2" s="8">
        <f>U3</f>
        <v>114.86</v>
      </c>
      <c r="O2" s="2">
        <v>6</v>
      </c>
      <c r="P2" s="8">
        <f>(_xlfn.XLOOKUP(O2,N5:N17,P5:P17))*N2</f>
        <v>135.12941176470588</v>
      </c>
      <c r="S2" s="9" t="s">
        <v>39</v>
      </c>
      <c r="T2" s="5" t="s">
        <v>38</v>
      </c>
      <c r="U2" s="9" t="s">
        <v>40</v>
      </c>
    </row>
    <row r="3" spans="1:21" x14ac:dyDescent="0.25">
      <c r="F3" s="10">
        <v>45</v>
      </c>
      <c r="G3" s="2">
        <v>45</v>
      </c>
      <c r="H3" s="2"/>
      <c r="I3" s="2"/>
      <c r="J3" s="2"/>
      <c r="K3" s="1">
        <f>(F3+2*(G3+H3+I3))*0.454</f>
        <v>61.29</v>
      </c>
      <c r="L3" s="1" t="s">
        <v>71</v>
      </c>
      <c r="S3" s="2">
        <f>Calories!A2</f>
        <v>74</v>
      </c>
      <c r="T3" s="2">
        <f>45*2*0.454</f>
        <v>40.86</v>
      </c>
      <c r="U3" s="1">
        <f>S3+T3</f>
        <v>114.86</v>
      </c>
    </row>
    <row r="4" spans="1:21" x14ac:dyDescent="0.25">
      <c r="A4" s="5" t="s">
        <v>6</v>
      </c>
      <c r="B4" s="5" t="s">
        <v>10</v>
      </c>
      <c r="C4" s="5" t="s">
        <v>9</v>
      </c>
      <c r="D4" s="5" t="s">
        <v>8</v>
      </c>
      <c r="F4" s="1">
        <v>45</v>
      </c>
      <c r="G4" s="2">
        <v>45</v>
      </c>
      <c r="H4" s="2">
        <v>45</v>
      </c>
      <c r="I4" s="2"/>
      <c r="J4" s="2"/>
      <c r="K4" s="1">
        <f>(F4+2*(G4+H4+I4+J4))*0.454</f>
        <v>102.15</v>
      </c>
      <c r="L4" s="1" t="s">
        <v>72</v>
      </c>
      <c r="N4" s="5" t="s">
        <v>6</v>
      </c>
      <c r="O4" s="5" t="s">
        <v>10</v>
      </c>
      <c r="P4" s="5" t="s">
        <v>9</v>
      </c>
      <c r="Q4" s="5" t="s">
        <v>8</v>
      </c>
    </row>
    <row r="5" spans="1:21" x14ac:dyDescent="0.25">
      <c r="A5" s="1">
        <v>15</v>
      </c>
      <c r="B5" s="7">
        <v>0.65</v>
      </c>
      <c r="C5" s="8">
        <f t="shared" ref="C5:C16" si="0">1/B5</f>
        <v>1.5384615384615383</v>
      </c>
      <c r="D5" s="1">
        <f>$C$2*B5</f>
        <v>44.265000000000008</v>
      </c>
      <c r="N5" s="1">
        <v>15</v>
      </c>
      <c r="O5" s="7">
        <v>0.65</v>
      </c>
      <c r="P5" s="8">
        <f t="shared" ref="P5:P16" si="1">1/O5</f>
        <v>1.5384615384615383</v>
      </c>
      <c r="Q5" s="1">
        <f>$C$2*O5</f>
        <v>44.265000000000008</v>
      </c>
    </row>
    <row r="6" spans="1:21" x14ac:dyDescent="0.25">
      <c r="A6" s="1">
        <v>12</v>
      </c>
      <c r="B6" s="7">
        <v>0.67</v>
      </c>
      <c r="C6" s="8">
        <f t="shared" si="0"/>
        <v>1.4925373134328357</v>
      </c>
      <c r="D6" s="1">
        <f t="shared" ref="D6:D17" si="2">$C$2*B6</f>
        <v>45.62700000000001</v>
      </c>
      <c r="F6" s="29" t="s">
        <v>63</v>
      </c>
      <c r="G6" s="29"/>
      <c r="H6" s="29"/>
      <c r="I6" s="29"/>
      <c r="J6" s="29"/>
      <c r="K6" s="29"/>
      <c r="N6" s="1">
        <v>12</v>
      </c>
      <c r="O6" s="7">
        <v>0.67</v>
      </c>
      <c r="P6" s="8">
        <f t="shared" si="1"/>
        <v>1.4925373134328357</v>
      </c>
      <c r="Q6" s="1">
        <f t="shared" ref="Q6:Q17" si="3">$C$2*O6</f>
        <v>45.62700000000001</v>
      </c>
    </row>
    <row r="7" spans="1:21" x14ac:dyDescent="0.25">
      <c r="A7" s="1">
        <v>11</v>
      </c>
      <c r="B7" s="7">
        <v>0.7</v>
      </c>
      <c r="C7" s="8">
        <f t="shared" si="0"/>
        <v>1.4285714285714286</v>
      </c>
      <c r="D7" s="1">
        <f t="shared" si="2"/>
        <v>47.67</v>
      </c>
      <c r="N7" s="1">
        <v>11</v>
      </c>
      <c r="O7" s="7">
        <v>0.7</v>
      </c>
      <c r="P7" s="8">
        <f t="shared" si="1"/>
        <v>1.4285714285714286</v>
      </c>
      <c r="Q7" s="1">
        <f t="shared" si="3"/>
        <v>47.67</v>
      </c>
    </row>
    <row r="8" spans="1:21" x14ac:dyDescent="0.25">
      <c r="A8" s="1">
        <v>10</v>
      </c>
      <c r="B8" s="7">
        <v>0.75</v>
      </c>
      <c r="C8" s="8">
        <f t="shared" si="0"/>
        <v>1.3333333333333333</v>
      </c>
      <c r="D8" s="1">
        <f t="shared" si="2"/>
        <v>51.075000000000003</v>
      </c>
      <c r="N8" s="1">
        <v>10</v>
      </c>
      <c r="O8" s="7">
        <v>0.75</v>
      </c>
      <c r="P8" s="8">
        <f t="shared" si="1"/>
        <v>1.3333333333333333</v>
      </c>
      <c r="Q8" s="1">
        <f t="shared" si="3"/>
        <v>51.075000000000003</v>
      </c>
    </row>
    <row r="9" spans="1:21" x14ac:dyDescent="0.25">
      <c r="A9" s="1">
        <v>9</v>
      </c>
      <c r="B9" s="7">
        <v>0.77</v>
      </c>
      <c r="C9" s="8">
        <f t="shared" si="0"/>
        <v>1.2987012987012987</v>
      </c>
      <c r="D9" s="1">
        <f t="shared" si="2"/>
        <v>52.437000000000005</v>
      </c>
      <c r="N9" s="1">
        <v>9</v>
      </c>
      <c r="O9" s="7">
        <v>0.77</v>
      </c>
      <c r="P9" s="8">
        <f t="shared" si="1"/>
        <v>1.2987012987012987</v>
      </c>
      <c r="Q9" s="1">
        <f t="shared" si="3"/>
        <v>52.437000000000005</v>
      </c>
    </row>
    <row r="10" spans="1:21" x14ac:dyDescent="0.25">
      <c r="A10" s="1">
        <v>8</v>
      </c>
      <c r="B10" s="7">
        <v>0.8</v>
      </c>
      <c r="C10" s="8">
        <f t="shared" si="0"/>
        <v>1.25</v>
      </c>
      <c r="D10" s="1">
        <f t="shared" si="2"/>
        <v>54.480000000000011</v>
      </c>
      <c r="N10" s="1">
        <v>8</v>
      </c>
      <c r="O10" s="7">
        <v>0.8</v>
      </c>
      <c r="P10" s="8">
        <f t="shared" si="1"/>
        <v>1.25</v>
      </c>
      <c r="Q10" s="1">
        <f t="shared" si="3"/>
        <v>54.480000000000011</v>
      </c>
    </row>
    <row r="11" spans="1:21" x14ac:dyDescent="0.25">
      <c r="A11" s="1">
        <v>7</v>
      </c>
      <c r="B11" s="7">
        <v>0.83</v>
      </c>
      <c r="C11" s="8">
        <f t="shared" si="0"/>
        <v>1.2048192771084338</v>
      </c>
      <c r="D11" s="1">
        <f t="shared" si="2"/>
        <v>56.523000000000003</v>
      </c>
      <c r="N11" s="1">
        <v>7</v>
      </c>
      <c r="O11" s="7">
        <v>0.83</v>
      </c>
      <c r="P11" s="8">
        <f t="shared" si="1"/>
        <v>1.2048192771084338</v>
      </c>
      <c r="Q11" s="1">
        <f t="shared" si="3"/>
        <v>56.523000000000003</v>
      </c>
    </row>
    <row r="12" spans="1:21" x14ac:dyDescent="0.25">
      <c r="A12" s="1">
        <v>6</v>
      </c>
      <c r="B12" s="7">
        <v>0.85</v>
      </c>
      <c r="C12" s="8">
        <f t="shared" si="0"/>
        <v>1.1764705882352942</v>
      </c>
      <c r="D12" s="1">
        <f t="shared" si="2"/>
        <v>57.885000000000005</v>
      </c>
      <c r="N12" s="1">
        <v>6</v>
      </c>
      <c r="O12" s="7">
        <v>0.85</v>
      </c>
      <c r="P12" s="8">
        <f t="shared" si="1"/>
        <v>1.1764705882352942</v>
      </c>
      <c r="Q12" s="1">
        <f t="shared" si="3"/>
        <v>57.885000000000005</v>
      </c>
    </row>
    <row r="13" spans="1:21" x14ac:dyDescent="0.25">
      <c r="A13" s="1">
        <v>5</v>
      </c>
      <c r="B13" s="7">
        <v>0.87</v>
      </c>
      <c r="C13" s="8">
        <f t="shared" si="0"/>
        <v>1.1494252873563218</v>
      </c>
      <c r="D13" s="1">
        <f t="shared" si="2"/>
        <v>59.247000000000007</v>
      </c>
      <c r="N13" s="1">
        <v>5</v>
      </c>
      <c r="O13" s="7">
        <v>0.87</v>
      </c>
      <c r="P13" s="8">
        <f t="shared" si="1"/>
        <v>1.1494252873563218</v>
      </c>
      <c r="Q13" s="1">
        <f t="shared" si="3"/>
        <v>59.247000000000007</v>
      </c>
    </row>
    <row r="14" spans="1:21" x14ac:dyDescent="0.25">
      <c r="A14" s="1">
        <v>4</v>
      </c>
      <c r="B14" s="7">
        <v>0.9</v>
      </c>
      <c r="C14" s="8">
        <f t="shared" si="0"/>
        <v>1.1111111111111112</v>
      </c>
      <c r="D14" s="1">
        <f t="shared" si="2"/>
        <v>61.290000000000006</v>
      </c>
      <c r="N14" s="1">
        <v>4</v>
      </c>
      <c r="O14" s="7">
        <v>0.9</v>
      </c>
      <c r="P14" s="8">
        <f t="shared" si="1"/>
        <v>1.1111111111111112</v>
      </c>
      <c r="Q14" s="1">
        <f t="shared" si="3"/>
        <v>61.290000000000006</v>
      </c>
    </row>
    <row r="15" spans="1:21" x14ac:dyDescent="0.25">
      <c r="A15" s="1">
        <v>3</v>
      </c>
      <c r="B15" s="7">
        <v>0.93</v>
      </c>
      <c r="C15" s="8">
        <f t="shared" si="0"/>
        <v>1.075268817204301</v>
      </c>
      <c r="D15" s="1">
        <f t="shared" si="2"/>
        <v>63.333000000000013</v>
      </c>
      <c r="N15" s="1">
        <v>3</v>
      </c>
      <c r="O15" s="7">
        <v>0.93</v>
      </c>
      <c r="P15" s="8">
        <f t="shared" si="1"/>
        <v>1.075268817204301</v>
      </c>
      <c r="Q15" s="1">
        <f t="shared" si="3"/>
        <v>63.333000000000013</v>
      </c>
    </row>
    <row r="16" spans="1:21" x14ac:dyDescent="0.25">
      <c r="A16" s="1">
        <v>2</v>
      </c>
      <c r="B16" s="7">
        <v>0.95</v>
      </c>
      <c r="C16" s="8">
        <f t="shared" si="0"/>
        <v>1.0526315789473684</v>
      </c>
      <c r="D16" s="1">
        <f t="shared" si="2"/>
        <v>64.695000000000007</v>
      </c>
      <c r="N16" s="1">
        <v>2</v>
      </c>
      <c r="O16" s="7">
        <v>0.95</v>
      </c>
      <c r="P16" s="8">
        <f t="shared" si="1"/>
        <v>1.0526315789473684</v>
      </c>
      <c r="Q16" s="1">
        <f t="shared" si="3"/>
        <v>64.695000000000007</v>
      </c>
    </row>
    <row r="17" spans="1:17" x14ac:dyDescent="0.25">
      <c r="A17" s="1">
        <v>1</v>
      </c>
      <c r="B17" s="7">
        <v>1</v>
      </c>
      <c r="C17" s="8">
        <f>1/B17</f>
        <v>1</v>
      </c>
      <c r="D17" s="1">
        <f t="shared" si="2"/>
        <v>68.100000000000009</v>
      </c>
      <c r="N17" s="1">
        <v>1</v>
      </c>
      <c r="O17" s="7">
        <v>1</v>
      </c>
      <c r="P17" s="8">
        <f>1/O17</f>
        <v>1</v>
      </c>
      <c r="Q17" s="1">
        <f t="shared" si="3"/>
        <v>68.100000000000009</v>
      </c>
    </row>
    <row r="21" spans="1:17" x14ac:dyDescent="0.25">
      <c r="A21" s="22" t="s">
        <v>67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</sheetData>
  <mergeCells count="6">
    <mergeCell ref="A21:L21"/>
    <mergeCell ref="F6:K6"/>
    <mergeCell ref="F1:F2"/>
    <mergeCell ref="K1:K2"/>
    <mergeCell ref="S1:U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5D30-0B5E-4853-A93F-F4B39181CD29}">
  <dimension ref="A1:G16"/>
  <sheetViews>
    <sheetView workbookViewId="0">
      <selection activeCell="K25" sqref="K25"/>
    </sheetView>
  </sheetViews>
  <sheetFormatPr defaultRowHeight="15" x14ac:dyDescent="0.25"/>
  <cols>
    <col min="1" max="1" width="12.7109375" bestFit="1" customWidth="1"/>
    <col min="2" max="2" width="7" bestFit="1" customWidth="1"/>
    <col min="3" max="3" width="9.140625" bestFit="1" customWidth="1"/>
    <col min="6" max="6" width="12" bestFit="1" customWidth="1"/>
    <col min="7" max="7" width="13.140625" customWidth="1"/>
  </cols>
  <sheetData>
    <row r="1" spans="1:7" x14ac:dyDescent="0.25">
      <c r="A1" s="1"/>
      <c r="B1" s="5" t="s">
        <v>0</v>
      </c>
      <c r="C1" s="5" t="s">
        <v>1</v>
      </c>
      <c r="D1" s="5" t="s">
        <v>2</v>
      </c>
      <c r="E1" s="6"/>
      <c r="F1" s="5" t="s">
        <v>73</v>
      </c>
    </row>
    <row r="2" spans="1:7" x14ac:dyDescent="0.25">
      <c r="A2" s="1" t="s">
        <v>3</v>
      </c>
      <c r="B2" s="2">
        <v>141</v>
      </c>
      <c r="C2" s="2">
        <v>107.52631578947368</v>
      </c>
      <c r="D2" s="2">
        <f>0.454*((45*5))</f>
        <v>102.15</v>
      </c>
      <c r="F2" s="2">
        <v>79</v>
      </c>
    </row>
    <row r="3" spans="1:7" x14ac:dyDescent="0.25">
      <c r="A3" s="1" t="s">
        <v>68</v>
      </c>
      <c r="B3" s="1">
        <v>1.25</v>
      </c>
      <c r="C3" s="1">
        <v>1</v>
      </c>
      <c r="D3" s="1">
        <v>1.5</v>
      </c>
    </row>
    <row r="4" spans="1:7" x14ac:dyDescent="0.25">
      <c r="A4" s="1"/>
      <c r="B4" s="1">
        <f>B3*$F$2</f>
        <v>98.75</v>
      </c>
      <c r="C4" s="1">
        <f>C3*$F$2</f>
        <v>79</v>
      </c>
      <c r="D4" s="1">
        <f>D3*$F$2</f>
        <v>118.5</v>
      </c>
    </row>
    <row r="5" spans="1:7" x14ac:dyDescent="0.25">
      <c r="A5" s="1" t="s">
        <v>69</v>
      </c>
      <c r="B5" s="1">
        <f>(B7+B3)/2</f>
        <v>1.5</v>
      </c>
      <c r="C5" s="1">
        <f t="shared" ref="C5:D5" si="0">(C7+C3)/2</f>
        <v>1.25</v>
      </c>
      <c r="D5" s="1">
        <f t="shared" si="0"/>
        <v>1.875</v>
      </c>
    </row>
    <row r="6" spans="1:7" x14ac:dyDescent="0.25">
      <c r="A6" s="1"/>
      <c r="B6" s="1">
        <f>$F$2*B5</f>
        <v>118.5</v>
      </c>
      <c r="C6" s="1">
        <f>$F$2*C5</f>
        <v>98.75</v>
      </c>
      <c r="D6" s="1">
        <f>$F$2*D5</f>
        <v>148.125</v>
      </c>
    </row>
    <row r="7" spans="1:7" x14ac:dyDescent="0.25">
      <c r="A7" s="1" t="s">
        <v>70</v>
      </c>
      <c r="B7" s="1">
        <v>1.75</v>
      </c>
      <c r="C7" s="1">
        <v>1.5</v>
      </c>
      <c r="D7" s="1">
        <v>2.25</v>
      </c>
    </row>
    <row r="8" spans="1:7" x14ac:dyDescent="0.25">
      <c r="A8" s="1"/>
      <c r="B8" s="1">
        <f>$F$2*B7</f>
        <v>138.25</v>
      </c>
      <c r="C8" s="1">
        <f>$F$2*C7</f>
        <v>118.5</v>
      </c>
      <c r="D8" s="1">
        <f>$F$2*D7</f>
        <v>177.75</v>
      </c>
    </row>
    <row r="9" spans="1:7" x14ac:dyDescent="0.25">
      <c r="A9" s="1" t="s">
        <v>4</v>
      </c>
      <c r="B9" s="1">
        <v>2.5</v>
      </c>
      <c r="C9" s="1">
        <v>2</v>
      </c>
      <c r="D9" s="1">
        <v>3</v>
      </c>
    </row>
    <row r="10" spans="1:7" x14ac:dyDescent="0.25">
      <c r="A10" s="1"/>
      <c r="B10" s="1">
        <f>$F$2*B9</f>
        <v>197.5</v>
      </c>
      <c r="C10" s="1">
        <f>$F$2*C9</f>
        <v>158</v>
      </c>
      <c r="D10" s="1">
        <f>$F$2*D9</f>
        <v>237</v>
      </c>
    </row>
    <row r="11" spans="1:7" x14ac:dyDescent="0.25">
      <c r="A11" s="1" t="s">
        <v>5</v>
      </c>
      <c r="B11" s="1">
        <v>3</v>
      </c>
      <c r="C11" s="1">
        <v>2.25</v>
      </c>
      <c r="D11" s="1">
        <v>3.5</v>
      </c>
    </row>
    <row r="12" spans="1:7" x14ac:dyDescent="0.25">
      <c r="A12" s="1"/>
      <c r="B12" s="1">
        <f>$F$2*B11</f>
        <v>237</v>
      </c>
      <c r="C12" s="1">
        <f>$F$2*C11</f>
        <v>177.75</v>
      </c>
      <c r="D12" s="1">
        <f>$F$2*D11</f>
        <v>276.5</v>
      </c>
    </row>
    <row r="16" spans="1:7" ht="30.75" customHeight="1" x14ac:dyDescent="0.25">
      <c r="A16" s="36" t="s">
        <v>74</v>
      </c>
      <c r="B16" s="36"/>
      <c r="C16" s="36"/>
      <c r="D16" s="36"/>
      <c r="E16" s="36"/>
      <c r="F16" s="36"/>
      <c r="G16" s="36"/>
    </row>
  </sheetData>
  <mergeCells count="1">
    <mergeCell ref="A16:G16"/>
  </mergeCells>
  <conditionalFormatting sqref="B4">
    <cfRule type="cellIs" dxfId="12" priority="12" operator="lessThan">
      <formula>$B$2</formula>
    </cfRule>
    <cfRule type="cellIs" dxfId="11" priority="13" operator="greaterThan">
      <formula>$B$2</formula>
    </cfRule>
  </conditionalFormatting>
  <conditionalFormatting sqref="B6">
    <cfRule type="cellIs" dxfId="10" priority="9" operator="lessThan">
      <formula>$B$2</formula>
    </cfRule>
  </conditionalFormatting>
  <conditionalFormatting sqref="B8">
    <cfRule type="cellIs" dxfId="9" priority="6" operator="lessThan">
      <formula>$B$2</formula>
    </cfRule>
  </conditionalFormatting>
  <conditionalFormatting sqref="B10">
    <cfRule type="cellIs" dxfId="8" priority="3" operator="lessThan">
      <formula>$B$2</formula>
    </cfRule>
  </conditionalFormatting>
  <conditionalFormatting sqref="C4">
    <cfRule type="cellIs" dxfId="7" priority="11" operator="lessThan">
      <formula>$C$2</formula>
    </cfRule>
  </conditionalFormatting>
  <conditionalFormatting sqref="C6">
    <cfRule type="cellIs" dxfId="6" priority="8" operator="lessThan">
      <formula>$C$2</formula>
    </cfRule>
  </conditionalFormatting>
  <conditionalFormatting sqref="C8">
    <cfRule type="cellIs" dxfId="5" priority="5" operator="lessThan">
      <formula>$C$2</formula>
    </cfRule>
  </conditionalFormatting>
  <conditionalFormatting sqref="C10">
    <cfRule type="cellIs" dxfId="4" priority="2" operator="lessThan">
      <formula>$C$2</formula>
    </cfRule>
  </conditionalFormatting>
  <conditionalFormatting sqref="D4">
    <cfRule type="cellIs" dxfId="3" priority="10" operator="lessThan">
      <formula>$D$2</formula>
    </cfRule>
  </conditionalFormatting>
  <conditionalFormatting sqref="D6">
    <cfRule type="cellIs" dxfId="2" priority="7" operator="lessThan">
      <formula>$D$2</formula>
    </cfRule>
  </conditionalFormatting>
  <conditionalFormatting sqref="D8">
    <cfRule type="cellIs" dxfId="1" priority="4" operator="lessThan">
      <formula>$D$2</formula>
    </cfRule>
  </conditionalFormatting>
  <conditionalFormatting sqref="D10">
    <cfRule type="cellIs" dxfId="0" priority="1" operator="lessThan">
      <formula>$D$2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158F-7BC1-4256-92A5-DF83CB30A07E}">
  <dimension ref="A1:AB128"/>
  <sheetViews>
    <sheetView tabSelected="1"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12" bestFit="1" customWidth="1"/>
    <col min="7" max="7" width="10.42578125" bestFit="1" customWidth="1"/>
    <col min="12" max="12" width="10.42578125" bestFit="1" customWidth="1"/>
    <col min="16" max="16" width="10.42578125" bestFit="1" customWidth="1"/>
    <col min="21" max="21" width="10.42578125" bestFit="1" customWidth="1"/>
    <col min="23" max="23" width="10.42578125" bestFit="1" customWidth="1"/>
    <col min="25" max="25" width="10.42578125" bestFit="1" customWidth="1"/>
    <col min="28" max="28" width="10.42578125" bestFit="1" customWidth="1"/>
  </cols>
  <sheetData>
    <row r="1" spans="1:28" x14ac:dyDescent="0.25">
      <c r="A1" s="32" t="s">
        <v>1</v>
      </c>
      <c r="B1" s="32"/>
      <c r="C1" s="32"/>
      <c r="G1" s="32" t="s">
        <v>1</v>
      </c>
      <c r="H1" s="32"/>
      <c r="I1" s="32"/>
      <c r="L1" s="32" t="s">
        <v>0</v>
      </c>
      <c r="M1" s="32"/>
      <c r="N1" s="32"/>
      <c r="P1" s="32" t="s">
        <v>0</v>
      </c>
      <c r="Q1" s="32"/>
      <c r="R1" s="32"/>
      <c r="U1" s="32">
        <v>102.15</v>
      </c>
      <c r="V1" s="32"/>
      <c r="W1" s="32"/>
      <c r="Y1" s="32">
        <v>102.15</v>
      </c>
      <c r="Z1" s="32"/>
      <c r="AA1" s="32"/>
    </row>
    <row r="2" spans="1:28" x14ac:dyDescent="0.25">
      <c r="A2" s="1" t="s">
        <v>82</v>
      </c>
      <c r="B2" s="1" t="s">
        <v>82</v>
      </c>
      <c r="C2" s="1" t="s">
        <v>21</v>
      </c>
      <c r="E2" t="s">
        <v>8</v>
      </c>
      <c r="G2" s="1" t="s">
        <v>82</v>
      </c>
      <c r="H2" s="1" t="s">
        <v>8</v>
      </c>
      <c r="I2" s="1" t="s">
        <v>6</v>
      </c>
      <c r="L2" s="1" t="s">
        <v>82</v>
      </c>
      <c r="M2" s="1" t="s">
        <v>82</v>
      </c>
      <c r="N2" s="1" t="s">
        <v>21</v>
      </c>
      <c r="P2" s="1" t="s">
        <v>82</v>
      </c>
      <c r="Q2" s="1" t="s">
        <v>8</v>
      </c>
      <c r="R2" s="1" t="s">
        <v>6</v>
      </c>
      <c r="U2" s="1" t="s">
        <v>82</v>
      </c>
      <c r="V2" s="1" t="s">
        <v>82</v>
      </c>
      <c r="W2" s="1" t="s">
        <v>21</v>
      </c>
      <c r="Y2" s="1" t="s">
        <v>82</v>
      </c>
      <c r="Z2" s="1" t="s">
        <v>8</v>
      </c>
      <c r="AA2" s="1" t="s">
        <v>6</v>
      </c>
    </row>
    <row r="3" spans="1:28" x14ac:dyDescent="0.25">
      <c r="A3" s="21">
        <v>45068</v>
      </c>
      <c r="B3" s="1"/>
      <c r="C3" s="1">
        <v>68.100000000000009</v>
      </c>
      <c r="D3">
        <f>1</f>
        <v>1</v>
      </c>
      <c r="E3">
        <f>24.06*LOG10(D3) + 68</f>
        <v>68</v>
      </c>
      <c r="G3" s="21">
        <f ca="1">TODAY()</f>
        <v>45363</v>
      </c>
      <c r="H3" s="1"/>
      <c r="I3" s="1"/>
      <c r="L3" s="21">
        <v>45068</v>
      </c>
      <c r="M3" s="1"/>
      <c r="N3" s="1">
        <v>102</v>
      </c>
      <c r="P3" s="21">
        <f ca="1">TODAY()</f>
        <v>45363</v>
      </c>
      <c r="Q3" s="1"/>
      <c r="R3" s="1"/>
      <c r="U3" s="21">
        <v>45068</v>
      </c>
      <c r="V3" s="1"/>
      <c r="W3" s="1">
        <v>102</v>
      </c>
      <c r="Y3" s="21">
        <f ca="1">TODAY()</f>
        <v>45363</v>
      </c>
      <c r="Z3" s="1"/>
      <c r="AA3" s="1"/>
      <c r="AB3" s="20"/>
    </row>
    <row r="4" spans="1:28" x14ac:dyDescent="0.25">
      <c r="A4" s="21">
        <f t="shared" ref="A4:A44" si="0">A3+7</f>
        <v>45075</v>
      </c>
      <c r="B4" s="1"/>
      <c r="C4" s="1">
        <f>C3+0.95</f>
        <v>69.050000000000011</v>
      </c>
      <c r="D4">
        <f>D3+1</f>
        <v>2</v>
      </c>
      <c r="E4">
        <f t="shared" ref="E4:E44" si="1">23.9*LOG10(D4) + 68</f>
        <v>75.194616896369155</v>
      </c>
      <c r="L4" s="21">
        <f t="shared" ref="L4:L44" si="2">L3+7</f>
        <v>45075</v>
      </c>
      <c r="M4" s="1"/>
      <c r="N4" s="1"/>
      <c r="U4" s="21">
        <f t="shared" ref="U4:U44" si="3">U3+7</f>
        <v>45075</v>
      </c>
      <c r="V4" s="1"/>
      <c r="W4" s="1"/>
    </row>
    <row r="5" spans="1:28" x14ac:dyDescent="0.25">
      <c r="A5" s="21">
        <f t="shared" si="0"/>
        <v>45082</v>
      </c>
      <c r="B5" s="1"/>
      <c r="C5" s="1">
        <f t="shared" ref="C5:C44" si="4">C4+0.95</f>
        <v>70.000000000000014</v>
      </c>
      <c r="D5">
        <f t="shared" ref="D5:D44" si="5">D4+1</f>
        <v>3</v>
      </c>
      <c r="E5">
        <f t="shared" si="1"/>
        <v>79.403197987799928</v>
      </c>
      <c r="L5" s="21">
        <f t="shared" si="2"/>
        <v>45082</v>
      </c>
      <c r="M5" s="1"/>
      <c r="N5" s="1"/>
      <c r="U5" s="21">
        <f t="shared" si="3"/>
        <v>45082</v>
      </c>
      <c r="V5" s="1"/>
      <c r="W5" s="1"/>
    </row>
    <row r="6" spans="1:28" x14ac:dyDescent="0.25">
      <c r="A6" s="21">
        <f t="shared" si="0"/>
        <v>45089</v>
      </c>
      <c r="B6" s="1"/>
      <c r="C6" s="1">
        <f t="shared" si="4"/>
        <v>70.950000000000017</v>
      </c>
      <c r="D6">
        <f t="shared" si="5"/>
        <v>4</v>
      </c>
      <c r="E6">
        <f t="shared" si="1"/>
        <v>82.389233792738295</v>
      </c>
      <c r="L6" s="21">
        <f t="shared" si="2"/>
        <v>45089</v>
      </c>
      <c r="M6" s="1"/>
      <c r="N6" s="1"/>
      <c r="U6" s="21">
        <f t="shared" si="3"/>
        <v>45089</v>
      </c>
      <c r="V6" s="1"/>
      <c r="W6" s="1"/>
    </row>
    <row r="7" spans="1:28" x14ac:dyDescent="0.25">
      <c r="A7" s="21">
        <f t="shared" si="0"/>
        <v>45096</v>
      </c>
      <c r="B7" s="1"/>
      <c r="C7" s="1">
        <f t="shared" si="4"/>
        <v>71.90000000000002</v>
      </c>
      <c r="D7">
        <f t="shared" si="5"/>
        <v>5</v>
      </c>
      <c r="E7">
        <f t="shared" si="1"/>
        <v>84.705383103630851</v>
      </c>
      <c r="L7" s="21">
        <f t="shared" si="2"/>
        <v>45096</v>
      </c>
      <c r="M7" s="1"/>
      <c r="N7" s="1"/>
      <c r="U7" s="21">
        <f t="shared" si="3"/>
        <v>45096</v>
      </c>
      <c r="V7" s="1"/>
      <c r="W7" s="1"/>
    </row>
    <row r="8" spans="1:28" x14ac:dyDescent="0.25">
      <c r="A8" s="21">
        <f t="shared" si="0"/>
        <v>45103</v>
      </c>
      <c r="B8" s="1"/>
      <c r="C8" s="1">
        <f t="shared" si="4"/>
        <v>72.850000000000023</v>
      </c>
      <c r="D8">
        <f t="shared" si="5"/>
        <v>6</v>
      </c>
      <c r="E8">
        <f t="shared" si="1"/>
        <v>86.597814884169082</v>
      </c>
      <c r="L8" s="21">
        <f t="shared" si="2"/>
        <v>45103</v>
      </c>
      <c r="M8" s="1"/>
      <c r="N8" s="1"/>
      <c r="U8" s="21">
        <f t="shared" si="3"/>
        <v>45103</v>
      </c>
      <c r="V8" s="1"/>
      <c r="W8" s="1"/>
    </row>
    <row r="9" spans="1:28" x14ac:dyDescent="0.25">
      <c r="A9" s="21">
        <f t="shared" si="0"/>
        <v>45110</v>
      </c>
      <c r="B9" s="1"/>
      <c r="C9" s="1">
        <f t="shared" si="4"/>
        <v>73.800000000000026</v>
      </c>
      <c r="D9">
        <f t="shared" si="5"/>
        <v>7</v>
      </c>
      <c r="E9">
        <f t="shared" si="1"/>
        <v>88.197843156340738</v>
      </c>
      <c r="L9" s="21">
        <f t="shared" si="2"/>
        <v>45110</v>
      </c>
      <c r="M9" s="1"/>
      <c r="N9" s="1"/>
      <c r="U9" s="21">
        <f t="shared" si="3"/>
        <v>45110</v>
      </c>
      <c r="V9" s="1"/>
      <c r="W9" s="1"/>
    </row>
    <row r="10" spans="1:28" x14ac:dyDescent="0.25">
      <c r="A10" s="21">
        <f t="shared" si="0"/>
        <v>45117</v>
      </c>
      <c r="B10" s="1"/>
      <c r="C10" s="1">
        <f t="shared" si="4"/>
        <v>74.750000000000028</v>
      </c>
      <c r="D10">
        <f t="shared" si="5"/>
        <v>8</v>
      </c>
      <c r="E10">
        <f t="shared" si="1"/>
        <v>89.58385068910745</v>
      </c>
      <c r="L10" s="21">
        <f t="shared" si="2"/>
        <v>45117</v>
      </c>
      <c r="M10" s="1"/>
      <c r="N10" s="1"/>
      <c r="U10" s="21">
        <f t="shared" si="3"/>
        <v>45117</v>
      </c>
      <c r="V10" s="1"/>
      <c r="W10" s="1"/>
    </row>
    <row r="11" spans="1:28" x14ac:dyDescent="0.25">
      <c r="A11" s="21">
        <f t="shared" si="0"/>
        <v>45124</v>
      </c>
      <c r="B11" s="1"/>
      <c r="C11" s="1">
        <f t="shared" si="4"/>
        <v>75.700000000000031</v>
      </c>
      <c r="D11">
        <f t="shared" si="5"/>
        <v>9</v>
      </c>
      <c r="E11">
        <f t="shared" si="1"/>
        <v>90.806395975599855</v>
      </c>
      <c r="L11" s="21">
        <f t="shared" si="2"/>
        <v>45124</v>
      </c>
      <c r="M11" s="1"/>
      <c r="N11" s="1"/>
      <c r="U11" s="21">
        <f t="shared" si="3"/>
        <v>45124</v>
      </c>
      <c r="V11" s="1"/>
      <c r="W11" s="1"/>
    </row>
    <row r="12" spans="1:28" x14ac:dyDescent="0.25">
      <c r="A12" s="21">
        <f t="shared" si="0"/>
        <v>45131</v>
      </c>
      <c r="B12" s="1"/>
      <c r="C12" s="1">
        <f t="shared" si="4"/>
        <v>76.650000000000034</v>
      </c>
      <c r="D12">
        <f t="shared" si="5"/>
        <v>10</v>
      </c>
      <c r="E12">
        <f t="shared" si="1"/>
        <v>91.9</v>
      </c>
      <c r="L12" s="21">
        <f t="shared" si="2"/>
        <v>45131</v>
      </c>
      <c r="M12" s="1"/>
      <c r="N12" s="1"/>
      <c r="U12" s="21">
        <f t="shared" si="3"/>
        <v>45131</v>
      </c>
      <c r="V12" s="1"/>
      <c r="W12" s="1"/>
    </row>
    <row r="13" spans="1:28" x14ac:dyDescent="0.25">
      <c r="A13" s="21">
        <f t="shared" si="0"/>
        <v>45138</v>
      </c>
      <c r="B13" s="1"/>
      <c r="C13" s="1">
        <f t="shared" si="4"/>
        <v>77.600000000000037</v>
      </c>
      <c r="D13">
        <f t="shared" si="5"/>
        <v>11</v>
      </c>
      <c r="E13">
        <f t="shared" si="1"/>
        <v>92.889285175281572</v>
      </c>
      <c r="L13" s="21">
        <f t="shared" si="2"/>
        <v>45138</v>
      </c>
      <c r="M13" s="1"/>
      <c r="N13" s="1"/>
      <c r="U13" s="21">
        <f t="shared" si="3"/>
        <v>45138</v>
      </c>
      <c r="V13" s="1"/>
      <c r="W13" s="1"/>
    </row>
    <row r="14" spans="1:28" x14ac:dyDescent="0.25">
      <c r="A14" s="21">
        <f t="shared" si="0"/>
        <v>45145</v>
      </c>
      <c r="B14" s="1"/>
      <c r="C14" s="1">
        <f t="shared" si="4"/>
        <v>78.55000000000004</v>
      </c>
      <c r="D14">
        <f t="shared" si="5"/>
        <v>12</v>
      </c>
      <c r="E14">
        <f t="shared" si="1"/>
        <v>93.792431780538237</v>
      </c>
      <c r="L14" s="21">
        <f t="shared" si="2"/>
        <v>45145</v>
      </c>
      <c r="M14" s="1"/>
      <c r="N14" s="1"/>
      <c r="U14" s="21">
        <f t="shared" si="3"/>
        <v>45145</v>
      </c>
      <c r="V14" s="1"/>
      <c r="W14" s="1"/>
    </row>
    <row r="15" spans="1:28" x14ac:dyDescent="0.25">
      <c r="A15" s="21">
        <f t="shared" si="0"/>
        <v>45152</v>
      </c>
      <c r="B15" s="1"/>
      <c r="C15" s="1">
        <f t="shared" si="4"/>
        <v>79.500000000000043</v>
      </c>
      <c r="D15">
        <f t="shared" si="5"/>
        <v>13</v>
      </c>
      <c r="E15">
        <f t="shared" si="1"/>
        <v>94.623246120133388</v>
      </c>
      <c r="L15" s="21">
        <f t="shared" si="2"/>
        <v>45152</v>
      </c>
      <c r="M15" s="1"/>
      <c r="N15" s="1"/>
      <c r="U15" s="21">
        <f t="shared" si="3"/>
        <v>45152</v>
      </c>
      <c r="V15" s="1"/>
      <c r="W15" s="1"/>
    </row>
    <row r="16" spans="1:28" x14ac:dyDescent="0.25">
      <c r="A16" s="21">
        <f t="shared" si="0"/>
        <v>45159</v>
      </c>
      <c r="B16" s="1"/>
      <c r="C16" s="1">
        <f t="shared" si="4"/>
        <v>80.450000000000045</v>
      </c>
      <c r="D16">
        <f t="shared" si="5"/>
        <v>14</v>
      </c>
      <c r="E16">
        <f t="shared" si="1"/>
        <v>95.392460052709879</v>
      </c>
      <c r="L16" s="21">
        <f t="shared" si="2"/>
        <v>45159</v>
      </c>
      <c r="M16" s="1"/>
      <c r="N16" s="1"/>
      <c r="U16" s="21">
        <f t="shared" si="3"/>
        <v>45159</v>
      </c>
      <c r="V16" s="1"/>
      <c r="W16" s="1"/>
    </row>
    <row r="17" spans="1:23" x14ac:dyDescent="0.25">
      <c r="A17" s="21">
        <f t="shared" si="0"/>
        <v>45166</v>
      </c>
      <c r="B17" s="1"/>
      <c r="C17" s="1">
        <f t="shared" si="4"/>
        <v>81.400000000000048</v>
      </c>
      <c r="D17">
        <f t="shared" si="5"/>
        <v>15</v>
      </c>
      <c r="E17">
        <f t="shared" si="1"/>
        <v>96.108581091430779</v>
      </c>
      <c r="L17" s="21">
        <f t="shared" si="2"/>
        <v>45166</v>
      </c>
      <c r="M17" s="1"/>
      <c r="N17" s="1"/>
      <c r="U17" s="21">
        <f t="shared" si="3"/>
        <v>45166</v>
      </c>
      <c r="V17" s="1"/>
      <c r="W17" s="1"/>
    </row>
    <row r="18" spans="1:23" x14ac:dyDescent="0.25">
      <c r="A18" s="21">
        <f t="shared" si="0"/>
        <v>45173</v>
      </c>
      <c r="B18" s="1"/>
      <c r="C18" s="1">
        <f t="shared" si="4"/>
        <v>82.350000000000051</v>
      </c>
      <c r="D18">
        <f t="shared" si="5"/>
        <v>16</v>
      </c>
      <c r="E18">
        <f t="shared" si="1"/>
        <v>96.778467585476605</v>
      </c>
      <c r="L18" s="21">
        <f t="shared" si="2"/>
        <v>45173</v>
      </c>
      <c r="M18" s="1"/>
      <c r="N18" s="1"/>
      <c r="U18" s="21">
        <f t="shared" si="3"/>
        <v>45173</v>
      </c>
      <c r="V18" s="1"/>
      <c r="W18" s="1"/>
    </row>
    <row r="19" spans="1:23" x14ac:dyDescent="0.25">
      <c r="A19" s="21">
        <f t="shared" si="0"/>
        <v>45180</v>
      </c>
      <c r="B19" s="1"/>
      <c r="C19" s="1">
        <f t="shared" si="4"/>
        <v>83.300000000000054</v>
      </c>
      <c r="D19">
        <f t="shared" si="5"/>
        <v>17</v>
      </c>
      <c r="E19">
        <f t="shared" si="1"/>
        <v>97.407729220940752</v>
      </c>
      <c r="L19" s="21">
        <f t="shared" si="2"/>
        <v>45180</v>
      </c>
      <c r="M19" s="1"/>
      <c r="N19" s="1"/>
      <c r="U19" s="21">
        <f t="shared" si="3"/>
        <v>45180</v>
      </c>
      <c r="V19" s="1"/>
      <c r="W19" s="1"/>
    </row>
    <row r="20" spans="1:23" x14ac:dyDescent="0.25">
      <c r="A20" s="21">
        <f t="shared" si="0"/>
        <v>45187</v>
      </c>
      <c r="B20" s="1"/>
      <c r="C20" s="1">
        <f t="shared" si="4"/>
        <v>84.250000000000057</v>
      </c>
      <c r="D20">
        <f t="shared" si="5"/>
        <v>18</v>
      </c>
      <c r="E20">
        <f t="shared" si="1"/>
        <v>98.00101287196901</v>
      </c>
      <c r="L20" s="21">
        <f t="shared" si="2"/>
        <v>45187</v>
      </c>
      <c r="M20" s="1"/>
      <c r="N20" s="1"/>
      <c r="U20" s="21">
        <f t="shared" si="3"/>
        <v>45187</v>
      </c>
      <c r="V20" s="1"/>
      <c r="W20" s="1"/>
    </row>
    <row r="21" spans="1:23" x14ac:dyDescent="0.25">
      <c r="A21" s="21">
        <f t="shared" si="0"/>
        <v>45194</v>
      </c>
      <c r="B21" s="1"/>
      <c r="C21" s="1">
        <f t="shared" si="4"/>
        <v>85.20000000000006</v>
      </c>
      <c r="D21">
        <f t="shared" si="5"/>
        <v>19</v>
      </c>
      <c r="E21">
        <f t="shared" si="1"/>
        <v>98.562211062772604</v>
      </c>
      <c r="L21" s="21">
        <f t="shared" si="2"/>
        <v>45194</v>
      </c>
      <c r="M21" s="1"/>
      <c r="N21" s="1"/>
      <c r="U21" s="21">
        <f t="shared" si="3"/>
        <v>45194</v>
      </c>
      <c r="V21" s="1"/>
      <c r="W21" s="1"/>
    </row>
    <row r="22" spans="1:23" x14ac:dyDescent="0.25">
      <c r="A22" s="21">
        <f t="shared" si="0"/>
        <v>45201</v>
      </c>
      <c r="B22" s="1"/>
      <c r="C22" s="1">
        <f t="shared" si="4"/>
        <v>86.150000000000063</v>
      </c>
      <c r="D22">
        <f t="shared" si="5"/>
        <v>20</v>
      </c>
      <c r="E22">
        <f t="shared" si="1"/>
        <v>99.094616896369146</v>
      </c>
      <c r="L22" s="21">
        <f t="shared" si="2"/>
        <v>45201</v>
      </c>
      <c r="M22" s="1"/>
      <c r="N22" s="1"/>
      <c r="U22" s="21">
        <f t="shared" si="3"/>
        <v>45201</v>
      </c>
      <c r="V22" s="1"/>
      <c r="W22" s="1"/>
    </row>
    <row r="23" spans="1:23" x14ac:dyDescent="0.25">
      <c r="A23" s="21">
        <f t="shared" si="0"/>
        <v>45208</v>
      </c>
      <c r="B23" s="1"/>
      <c r="C23" s="1">
        <f t="shared" si="4"/>
        <v>87.100000000000065</v>
      </c>
      <c r="D23">
        <f t="shared" si="5"/>
        <v>21</v>
      </c>
      <c r="E23">
        <f t="shared" si="1"/>
        <v>99.601041144140666</v>
      </c>
      <c r="L23" s="21">
        <f t="shared" si="2"/>
        <v>45208</v>
      </c>
      <c r="M23" s="1"/>
      <c r="N23" s="1"/>
      <c r="U23" s="21">
        <f t="shared" si="3"/>
        <v>45208</v>
      </c>
      <c r="V23" s="1"/>
      <c r="W23" s="1"/>
    </row>
    <row r="24" spans="1:23" x14ac:dyDescent="0.25">
      <c r="A24" s="21">
        <f t="shared" si="0"/>
        <v>45215</v>
      </c>
      <c r="B24" s="1"/>
      <c r="C24" s="1">
        <f t="shared" si="4"/>
        <v>88.050000000000068</v>
      </c>
      <c r="D24">
        <f t="shared" si="5"/>
        <v>22</v>
      </c>
      <c r="E24">
        <f t="shared" si="1"/>
        <v>100.08390207165073</v>
      </c>
      <c r="L24" s="21">
        <f t="shared" si="2"/>
        <v>45215</v>
      </c>
      <c r="M24" s="1"/>
      <c r="N24" s="1"/>
      <c r="U24" s="21">
        <f t="shared" si="3"/>
        <v>45215</v>
      </c>
      <c r="V24" s="1"/>
      <c r="W24" s="1"/>
    </row>
    <row r="25" spans="1:23" x14ac:dyDescent="0.25">
      <c r="A25" s="21">
        <f t="shared" si="0"/>
        <v>45222</v>
      </c>
      <c r="B25" s="1"/>
      <c r="C25" s="1">
        <f t="shared" si="4"/>
        <v>89.000000000000071</v>
      </c>
      <c r="D25">
        <f t="shared" si="5"/>
        <v>23</v>
      </c>
      <c r="E25">
        <f t="shared" si="1"/>
        <v>100.54529528082047</v>
      </c>
      <c r="L25" s="21">
        <f t="shared" si="2"/>
        <v>45222</v>
      </c>
      <c r="M25" s="1"/>
      <c r="N25" s="1"/>
      <c r="U25" s="21">
        <f t="shared" si="3"/>
        <v>45222</v>
      </c>
      <c r="V25" s="1"/>
      <c r="W25" s="1"/>
    </row>
    <row r="26" spans="1:23" x14ac:dyDescent="0.25">
      <c r="A26" s="21">
        <f t="shared" si="0"/>
        <v>45229</v>
      </c>
      <c r="B26" s="1"/>
      <c r="C26" s="1">
        <f t="shared" si="4"/>
        <v>89.950000000000074</v>
      </c>
      <c r="D26">
        <f t="shared" si="5"/>
        <v>24</v>
      </c>
      <c r="E26">
        <f t="shared" si="1"/>
        <v>100.98704867690738</v>
      </c>
      <c r="L26" s="21">
        <f t="shared" si="2"/>
        <v>45229</v>
      </c>
      <c r="M26" s="1"/>
      <c r="N26" s="1"/>
      <c r="U26" s="21">
        <f t="shared" si="3"/>
        <v>45229</v>
      </c>
      <c r="V26" s="1"/>
      <c r="W26" s="1"/>
    </row>
    <row r="27" spans="1:23" x14ac:dyDescent="0.25">
      <c r="A27" s="21">
        <f t="shared" si="0"/>
        <v>45236</v>
      </c>
      <c r="B27" s="1"/>
      <c r="C27" s="1">
        <f t="shared" si="4"/>
        <v>90.900000000000077</v>
      </c>
      <c r="D27">
        <f t="shared" si="5"/>
        <v>25</v>
      </c>
      <c r="E27">
        <f t="shared" si="1"/>
        <v>101.4107662072617</v>
      </c>
      <c r="L27" s="21">
        <f t="shared" si="2"/>
        <v>45236</v>
      </c>
      <c r="M27" s="1"/>
      <c r="N27" s="1"/>
      <c r="U27" s="21">
        <f t="shared" si="3"/>
        <v>45236</v>
      </c>
      <c r="V27" s="1"/>
      <c r="W27" s="1"/>
    </row>
    <row r="28" spans="1:23" x14ac:dyDescent="0.25">
      <c r="A28" s="21">
        <f t="shared" si="0"/>
        <v>45243</v>
      </c>
      <c r="B28" s="1"/>
      <c r="C28" s="1">
        <f t="shared" si="4"/>
        <v>91.85000000000008</v>
      </c>
      <c r="D28">
        <f t="shared" si="5"/>
        <v>26</v>
      </c>
      <c r="E28">
        <f t="shared" si="1"/>
        <v>101.81786301650254</v>
      </c>
      <c r="L28" s="21">
        <f t="shared" si="2"/>
        <v>45243</v>
      </c>
      <c r="M28" s="1"/>
      <c r="N28" s="1"/>
      <c r="U28" s="21">
        <f t="shared" si="3"/>
        <v>45243</v>
      </c>
      <c r="V28" s="1"/>
      <c r="W28" s="1"/>
    </row>
    <row r="29" spans="1:23" x14ac:dyDescent="0.25">
      <c r="A29" s="21">
        <f t="shared" si="0"/>
        <v>45250</v>
      </c>
      <c r="B29" s="1"/>
      <c r="C29" s="1">
        <f t="shared" si="4"/>
        <v>92.800000000000082</v>
      </c>
      <c r="D29">
        <f t="shared" si="5"/>
        <v>27</v>
      </c>
      <c r="E29">
        <f t="shared" si="1"/>
        <v>102.2095939633998</v>
      </c>
      <c r="L29" s="21">
        <f t="shared" si="2"/>
        <v>45250</v>
      </c>
      <c r="M29" s="1"/>
      <c r="N29" s="1"/>
      <c r="U29" s="21">
        <f t="shared" si="3"/>
        <v>45250</v>
      </c>
      <c r="V29" s="1"/>
      <c r="W29" s="1"/>
    </row>
    <row r="30" spans="1:23" x14ac:dyDescent="0.25">
      <c r="A30" s="21">
        <f t="shared" si="0"/>
        <v>45257</v>
      </c>
      <c r="B30" s="1"/>
      <c r="C30" s="1">
        <f t="shared" si="4"/>
        <v>93.750000000000085</v>
      </c>
      <c r="D30">
        <f t="shared" si="5"/>
        <v>28</v>
      </c>
      <c r="E30">
        <f t="shared" si="1"/>
        <v>102.58707694907903</v>
      </c>
      <c r="L30" s="21">
        <f t="shared" si="2"/>
        <v>45257</v>
      </c>
      <c r="M30" s="1"/>
      <c r="N30" s="1"/>
      <c r="U30" s="21">
        <f t="shared" si="3"/>
        <v>45257</v>
      </c>
      <c r="V30" s="1"/>
      <c r="W30" s="1"/>
    </row>
    <row r="31" spans="1:23" x14ac:dyDescent="0.25">
      <c r="A31" s="21">
        <f t="shared" si="0"/>
        <v>45264</v>
      </c>
      <c r="B31" s="1"/>
      <c r="C31" s="1">
        <f t="shared" si="4"/>
        <v>94.700000000000088</v>
      </c>
      <c r="D31">
        <f t="shared" si="5"/>
        <v>29</v>
      </c>
      <c r="E31">
        <f t="shared" si="1"/>
        <v>102.95131214978505</v>
      </c>
      <c r="L31" s="21">
        <f t="shared" si="2"/>
        <v>45264</v>
      </c>
      <c r="M31" s="1"/>
      <c r="N31" s="1"/>
      <c r="U31" s="21">
        <f t="shared" si="3"/>
        <v>45264</v>
      </c>
      <c r="V31" s="1"/>
      <c r="W31" s="1"/>
    </row>
    <row r="32" spans="1:23" x14ac:dyDescent="0.25">
      <c r="A32" s="21">
        <f t="shared" si="0"/>
        <v>45271</v>
      </c>
      <c r="B32" s="1"/>
      <c r="C32" s="1">
        <f t="shared" si="4"/>
        <v>95.650000000000091</v>
      </c>
      <c r="D32">
        <f t="shared" si="5"/>
        <v>30</v>
      </c>
      <c r="E32">
        <f t="shared" si="1"/>
        <v>103.30319798779993</v>
      </c>
      <c r="L32" s="21">
        <f t="shared" si="2"/>
        <v>45271</v>
      </c>
      <c r="M32" s="1"/>
      <c r="N32" s="1"/>
      <c r="U32" s="21">
        <f t="shared" si="3"/>
        <v>45271</v>
      </c>
      <c r="V32" s="1"/>
      <c r="W32" s="1"/>
    </row>
    <row r="33" spans="1:23" x14ac:dyDescent="0.25">
      <c r="A33" s="21">
        <f t="shared" si="0"/>
        <v>45278</v>
      </c>
      <c r="B33" s="1"/>
      <c r="C33" s="1">
        <f t="shared" si="4"/>
        <v>96.600000000000094</v>
      </c>
      <c r="D33">
        <f t="shared" si="5"/>
        <v>31</v>
      </c>
      <c r="E33">
        <f t="shared" si="1"/>
        <v>103.64354448263911</v>
      </c>
      <c r="L33" s="21">
        <f t="shared" si="2"/>
        <v>45278</v>
      </c>
      <c r="M33" s="1"/>
      <c r="N33" s="1"/>
      <c r="U33" s="21">
        <f t="shared" si="3"/>
        <v>45278</v>
      </c>
      <c r="V33" s="1"/>
      <c r="W33" s="1"/>
    </row>
    <row r="34" spans="1:23" x14ac:dyDescent="0.25">
      <c r="A34" s="21">
        <f t="shared" si="0"/>
        <v>45285</v>
      </c>
      <c r="B34" s="1"/>
      <c r="C34" s="1">
        <f t="shared" si="4"/>
        <v>97.550000000000097</v>
      </c>
      <c r="D34">
        <f t="shared" si="5"/>
        <v>32</v>
      </c>
      <c r="E34">
        <f t="shared" si="1"/>
        <v>103.97308448184575</v>
      </c>
      <c r="L34" s="21">
        <f t="shared" si="2"/>
        <v>45285</v>
      </c>
      <c r="M34" s="1"/>
      <c r="N34" s="1"/>
      <c r="U34" s="21">
        <f t="shared" si="3"/>
        <v>45285</v>
      </c>
      <c r="V34" s="1"/>
      <c r="W34" s="1"/>
    </row>
    <row r="35" spans="1:23" x14ac:dyDescent="0.25">
      <c r="A35" s="21">
        <f t="shared" si="0"/>
        <v>45292</v>
      </c>
      <c r="B35" s="1"/>
      <c r="C35" s="1">
        <f t="shared" si="4"/>
        <v>98.500000000000099</v>
      </c>
      <c r="D35">
        <f t="shared" si="5"/>
        <v>33</v>
      </c>
      <c r="E35">
        <f t="shared" si="1"/>
        <v>104.2924831630815</v>
      </c>
      <c r="L35" s="21">
        <f t="shared" si="2"/>
        <v>45292</v>
      </c>
      <c r="M35" s="1"/>
      <c r="N35" s="1"/>
      <c r="U35" s="21">
        <f t="shared" si="3"/>
        <v>45292</v>
      </c>
      <c r="V35" s="1"/>
      <c r="W35" s="1"/>
    </row>
    <row r="36" spans="1:23" x14ac:dyDescent="0.25">
      <c r="A36" s="21">
        <f t="shared" si="0"/>
        <v>45299</v>
      </c>
      <c r="B36" s="1"/>
      <c r="C36" s="1">
        <f t="shared" si="4"/>
        <v>99.450000000000102</v>
      </c>
      <c r="D36">
        <f t="shared" si="5"/>
        <v>34</v>
      </c>
      <c r="E36">
        <f t="shared" si="1"/>
        <v>104.60234611730989</v>
      </c>
      <c r="L36" s="21">
        <f t="shared" si="2"/>
        <v>45299</v>
      </c>
      <c r="M36" s="1"/>
      <c r="N36" s="1"/>
      <c r="U36" s="21">
        <f t="shared" si="3"/>
        <v>45299</v>
      </c>
      <c r="V36" s="1"/>
      <c r="W36" s="1"/>
    </row>
    <row r="37" spans="1:23" x14ac:dyDescent="0.25">
      <c r="A37" s="21">
        <f t="shared" si="0"/>
        <v>45306</v>
      </c>
      <c r="B37" s="1"/>
      <c r="C37" s="1">
        <f t="shared" si="4"/>
        <v>100.40000000000011</v>
      </c>
      <c r="D37">
        <f t="shared" si="5"/>
        <v>35</v>
      </c>
      <c r="E37">
        <f t="shared" si="1"/>
        <v>104.90322625997159</v>
      </c>
      <c r="L37" s="21">
        <f t="shared" si="2"/>
        <v>45306</v>
      </c>
      <c r="M37" s="1"/>
      <c r="N37" s="1"/>
      <c r="U37" s="21">
        <f t="shared" si="3"/>
        <v>45306</v>
      </c>
      <c r="V37" s="1"/>
      <c r="W37" s="1"/>
    </row>
    <row r="38" spans="1:23" x14ac:dyDescent="0.25">
      <c r="A38" s="21">
        <f t="shared" si="0"/>
        <v>45313</v>
      </c>
      <c r="B38" s="1"/>
      <c r="C38" s="1">
        <f t="shared" si="4"/>
        <v>101.35000000000011</v>
      </c>
      <c r="D38">
        <f t="shared" si="5"/>
        <v>36</v>
      </c>
      <c r="E38">
        <f t="shared" si="1"/>
        <v>105.19562976833816</v>
      </c>
      <c r="L38" s="21">
        <f t="shared" si="2"/>
        <v>45313</v>
      </c>
      <c r="M38" s="1"/>
      <c r="N38" s="1"/>
      <c r="U38" s="21">
        <f t="shared" si="3"/>
        <v>45313</v>
      </c>
      <c r="V38" s="1"/>
      <c r="W38" s="1"/>
    </row>
    <row r="39" spans="1:23" x14ac:dyDescent="0.25">
      <c r="A39" s="21">
        <f t="shared" si="0"/>
        <v>45320</v>
      </c>
      <c r="B39" s="1"/>
      <c r="C39" s="1">
        <f t="shared" si="4"/>
        <v>102.30000000000011</v>
      </c>
      <c r="D39">
        <f t="shared" si="5"/>
        <v>37</v>
      </c>
      <c r="E39">
        <f t="shared" si="1"/>
        <v>105.48002120520118</v>
      </c>
      <c r="L39" s="21">
        <f t="shared" si="2"/>
        <v>45320</v>
      </c>
      <c r="M39" s="1"/>
      <c r="N39" s="1"/>
      <c r="U39" s="21">
        <f t="shared" si="3"/>
        <v>45320</v>
      </c>
      <c r="V39" s="1"/>
      <c r="W39" s="1"/>
    </row>
    <row r="40" spans="1:23" x14ac:dyDescent="0.25">
      <c r="A40" s="21">
        <f t="shared" si="0"/>
        <v>45327</v>
      </c>
      <c r="B40" s="1"/>
      <c r="C40" s="1">
        <f t="shared" si="4"/>
        <v>103.25000000000011</v>
      </c>
      <c r="D40">
        <f t="shared" si="5"/>
        <v>38</v>
      </c>
      <c r="E40">
        <f t="shared" si="1"/>
        <v>105.75682795914176</v>
      </c>
      <c r="L40" s="21">
        <f t="shared" si="2"/>
        <v>45327</v>
      </c>
      <c r="M40" s="1"/>
      <c r="N40" s="1"/>
      <c r="U40" s="21">
        <f t="shared" si="3"/>
        <v>45327</v>
      </c>
      <c r="V40" s="1"/>
      <c r="W40" s="1"/>
    </row>
    <row r="41" spans="1:23" x14ac:dyDescent="0.25">
      <c r="A41" s="21">
        <f t="shared" si="0"/>
        <v>45334</v>
      </c>
      <c r="B41" s="1"/>
      <c r="C41" s="1">
        <f t="shared" si="4"/>
        <v>104.20000000000012</v>
      </c>
      <c r="D41">
        <f t="shared" si="5"/>
        <v>39</v>
      </c>
      <c r="E41">
        <f t="shared" si="1"/>
        <v>106.02644410793333</v>
      </c>
      <c r="L41" s="21">
        <f t="shared" si="2"/>
        <v>45334</v>
      </c>
      <c r="M41" s="1"/>
      <c r="N41" s="1"/>
      <c r="U41" s="21">
        <f t="shared" si="3"/>
        <v>45334</v>
      </c>
      <c r="V41" s="1"/>
      <c r="W41" s="1"/>
    </row>
    <row r="42" spans="1:23" x14ac:dyDescent="0.25">
      <c r="A42" s="21">
        <f t="shared" si="0"/>
        <v>45341</v>
      </c>
      <c r="B42" s="1"/>
      <c r="C42" s="1">
        <f t="shared" si="4"/>
        <v>105.15000000000012</v>
      </c>
      <c r="D42">
        <f t="shared" si="5"/>
        <v>40</v>
      </c>
      <c r="E42">
        <f t="shared" si="1"/>
        <v>106.28923379273829</v>
      </c>
      <c r="L42" s="21">
        <f t="shared" si="2"/>
        <v>45341</v>
      </c>
      <c r="M42" s="1"/>
      <c r="N42" s="1"/>
      <c r="U42" s="21">
        <f t="shared" si="3"/>
        <v>45341</v>
      </c>
      <c r="V42" s="1"/>
      <c r="W42" s="1"/>
    </row>
    <row r="43" spans="1:23" x14ac:dyDescent="0.25">
      <c r="A43" s="21">
        <f t="shared" si="0"/>
        <v>45348</v>
      </c>
      <c r="B43" s="1"/>
      <c r="C43" s="1">
        <f t="shared" si="4"/>
        <v>106.10000000000012</v>
      </c>
      <c r="D43">
        <f t="shared" si="5"/>
        <v>41</v>
      </c>
      <c r="E43">
        <f t="shared" si="1"/>
        <v>106.54553417560167</v>
      </c>
      <c r="L43" s="21">
        <f t="shared" si="2"/>
        <v>45348</v>
      </c>
      <c r="M43" s="1"/>
      <c r="N43" s="1"/>
      <c r="U43" s="21">
        <f t="shared" si="3"/>
        <v>45348</v>
      </c>
      <c r="V43" s="1"/>
      <c r="W43" s="1"/>
    </row>
    <row r="44" spans="1:23" x14ac:dyDescent="0.25">
      <c r="A44" s="21">
        <f t="shared" si="0"/>
        <v>45355</v>
      </c>
      <c r="B44" s="1"/>
      <c r="C44" s="1">
        <f t="shared" si="4"/>
        <v>107.05000000000013</v>
      </c>
      <c r="D44">
        <f t="shared" si="5"/>
        <v>42</v>
      </c>
      <c r="E44">
        <f>24.06*LOG10(D44) + 68</f>
        <v>107.05537792697348</v>
      </c>
      <c r="L44" s="21">
        <f t="shared" si="2"/>
        <v>45355</v>
      </c>
      <c r="M44" s="1"/>
      <c r="N44" s="1"/>
      <c r="U44" s="21">
        <f t="shared" si="3"/>
        <v>45355</v>
      </c>
      <c r="V44" s="1"/>
      <c r="W44" s="1"/>
    </row>
    <row r="45" spans="1:23" x14ac:dyDescent="0.25">
      <c r="A45" s="20"/>
    </row>
    <row r="46" spans="1:23" x14ac:dyDescent="0.25">
      <c r="A46" s="20"/>
    </row>
    <row r="47" spans="1:23" x14ac:dyDescent="0.25">
      <c r="A47" s="20"/>
    </row>
    <row r="48" spans="1:23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7" spans="1:1" x14ac:dyDescent="0.25">
      <c r="A117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4" spans="1:1" x14ac:dyDescent="0.25">
      <c r="A124" s="20"/>
    </row>
    <row r="125" spans="1:1" x14ac:dyDescent="0.25">
      <c r="A125" s="20"/>
    </row>
    <row r="126" spans="1:1" x14ac:dyDescent="0.25">
      <c r="A126" s="20"/>
    </row>
    <row r="127" spans="1:1" x14ac:dyDescent="0.25">
      <c r="A127" s="20"/>
    </row>
    <row r="128" spans="1:1" x14ac:dyDescent="0.25">
      <c r="A128" s="20"/>
    </row>
  </sheetData>
  <mergeCells count="6">
    <mergeCell ref="Y1:AA1"/>
    <mergeCell ref="A1:C1"/>
    <mergeCell ref="L1:N1"/>
    <mergeCell ref="U1:W1"/>
    <mergeCell ref="G1:I1"/>
    <mergeCell ref="P1: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3F1D-BB60-40DA-95C0-899F5721F44F}">
  <dimension ref="A1"/>
  <sheetViews>
    <sheetView workbookViewId="0">
      <selection activeCell="H31" sqref="H3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A6D4-44EF-48F0-A090-D865C6A22409}">
  <dimension ref="A1:V15"/>
  <sheetViews>
    <sheetView zoomScaleNormal="100" workbookViewId="0">
      <selection activeCell="S22" sqref="S22"/>
    </sheetView>
  </sheetViews>
  <sheetFormatPr defaultRowHeight="15" x14ac:dyDescent="0.25"/>
  <cols>
    <col min="1" max="1" width="16.140625" customWidth="1"/>
    <col min="2" max="2" width="5" customWidth="1"/>
    <col min="3" max="3" width="12.28515625" bestFit="1" customWidth="1"/>
    <col min="4" max="4" width="13.85546875" customWidth="1"/>
    <col min="5" max="5" width="38.7109375" bestFit="1" customWidth="1"/>
    <col min="6" max="6" width="9.7109375" customWidth="1"/>
    <col min="7" max="7" width="20.5703125" customWidth="1"/>
    <col min="8" max="8" width="15.5703125" bestFit="1" customWidth="1"/>
    <col min="9" max="9" width="20" bestFit="1" customWidth="1"/>
    <col min="10" max="10" width="20.140625" bestFit="1" customWidth="1"/>
    <col min="12" max="12" width="13.28515625" bestFit="1" customWidth="1"/>
    <col min="13" max="14" width="15" bestFit="1" customWidth="1"/>
    <col min="16" max="16" width="6.42578125" customWidth="1"/>
    <col min="17" max="18" width="11" bestFit="1" customWidth="1"/>
    <col min="19" max="19" width="13.28515625" bestFit="1" customWidth="1"/>
    <col min="20" max="20" width="11.5703125" bestFit="1" customWidth="1"/>
    <col min="21" max="21" width="13.28515625" bestFit="1" customWidth="1"/>
    <col min="22" max="22" width="11.5703125" bestFit="1" customWidth="1"/>
  </cols>
  <sheetData>
    <row r="1" spans="1:22" x14ac:dyDescent="0.25">
      <c r="A1" s="1" t="s">
        <v>21</v>
      </c>
      <c r="C1" s="1" t="s">
        <v>13</v>
      </c>
      <c r="D1" s="1"/>
      <c r="E1" s="1"/>
      <c r="G1" s="37" t="s">
        <v>31</v>
      </c>
      <c r="H1" s="1" t="s">
        <v>19</v>
      </c>
      <c r="I1" s="2">
        <v>250</v>
      </c>
      <c r="J1" s="2">
        <v>300</v>
      </c>
      <c r="L1" s="1" t="s">
        <v>24</v>
      </c>
      <c r="M1" s="1"/>
      <c r="N1" s="1"/>
      <c r="P1" s="1" t="s">
        <v>27</v>
      </c>
      <c r="Q1" s="1"/>
      <c r="S1" s="1" t="s">
        <v>29</v>
      </c>
      <c r="T1" s="1"/>
      <c r="U1" s="1"/>
      <c r="V1" s="1"/>
    </row>
    <row r="2" spans="1:22" x14ac:dyDescent="0.25">
      <c r="A2" s="2">
        <v>74</v>
      </c>
      <c r="C2" s="1" t="s">
        <v>9</v>
      </c>
      <c r="D2" s="1"/>
      <c r="E2" s="1" t="s">
        <v>14</v>
      </c>
      <c r="G2" s="38"/>
      <c r="H2" s="3" t="s">
        <v>20</v>
      </c>
      <c r="I2" s="3" t="s">
        <v>22</v>
      </c>
      <c r="J2" s="4" t="s">
        <v>23</v>
      </c>
      <c r="L2" s="1" t="s">
        <v>26</v>
      </c>
      <c r="M2" s="1" t="s">
        <v>78</v>
      </c>
      <c r="N2" s="1" t="s">
        <v>25</v>
      </c>
      <c r="P2" s="1" t="s">
        <v>79</v>
      </c>
      <c r="Q2" s="1" t="s">
        <v>28</v>
      </c>
      <c r="S2" s="3" t="s">
        <v>30</v>
      </c>
      <c r="T2" s="3" t="s">
        <v>80</v>
      </c>
    </row>
    <row r="3" spans="1:22" x14ac:dyDescent="0.25">
      <c r="C3" s="1">
        <v>1.2</v>
      </c>
      <c r="D3" s="1">
        <v>1.5</v>
      </c>
      <c r="E3" s="1" t="s">
        <v>15</v>
      </c>
      <c r="F3" s="1">
        <f>AVERAGE(C3:D3)</f>
        <v>1.35</v>
      </c>
      <c r="G3" s="1">
        <v>1.55</v>
      </c>
      <c r="H3" s="1">
        <f>$A$2*G3*22</f>
        <v>2523.4</v>
      </c>
      <c r="I3" s="1">
        <f>H3-$I$1</f>
        <v>2273.4</v>
      </c>
      <c r="J3" s="1">
        <f>H3+$J$1</f>
        <v>2823.4</v>
      </c>
      <c r="L3" s="1">
        <v>1.75</v>
      </c>
      <c r="M3" s="17">
        <f>L3*$A$2</f>
        <v>129.5</v>
      </c>
      <c r="N3" s="19">
        <f>M3*4</f>
        <v>518</v>
      </c>
      <c r="P3" s="17">
        <f>$A$2*0.8</f>
        <v>59.2</v>
      </c>
      <c r="Q3" s="19">
        <f>P3*9</f>
        <v>532.80000000000007</v>
      </c>
      <c r="S3" s="19">
        <f>H3-N3-Q3</f>
        <v>1472.6</v>
      </c>
      <c r="T3" s="17">
        <f>S3/4</f>
        <v>368.15</v>
      </c>
    </row>
    <row r="4" spans="1:22" x14ac:dyDescent="0.25">
      <c r="C4" s="1">
        <v>1.6</v>
      </c>
      <c r="D4" s="1">
        <v>1.8</v>
      </c>
      <c r="E4" s="1" t="s">
        <v>16</v>
      </c>
      <c r="G4" s="1">
        <f t="shared" ref="G4:G6" si="0">AVERAGE(C4:D4)</f>
        <v>1.7000000000000002</v>
      </c>
      <c r="H4" s="1">
        <f t="shared" ref="H4:H6" si="1">$A$2*G4*22</f>
        <v>2767.6000000000004</v>
      </c>
      <c r="I4" s="1">
        <f>H4-$I$1</f>
        <v>2517.6000000000004</v>
      </c>
      <c r="J4" s="1">
        <f t="shared" ref="J4:J6" si="2">H4+$J$1</f>
        <v>3067.6000000000004</v>
      </c>
      <c r="L4" s="1">
        <v>1.8</v>
      </c>
      <c r="M4" s="1">
        <f t="shared" ref="M4:M6" si="3">L4*$A$2</f>
        <v>133.20000000000002</v>
      </c>
      <c r="N4" s="1">
        <f t="shared" ref="N4:N6" si="4">M4*4</f>
        <v>532.80000000000007</v>
      </c>
      <c r="S4" s="1">
        <f t="shared" ref="S4:S6" si="5">I4-N4-Q4</f>
        <v>1984.8000000000002</v>
      </c>
      <c r="T4" s="1">
        <f t="shared" ref="T4:T6" si="6">S4/4</f>
        <v>496.20000000000005</v>
      </c>
    </row>
    <row r="5" spans="1:22" x14ac:dyDescent="0.25">
      <c r="C5" s="1">
        <v>1.9</v>
      </c>
      <c r="D5" s="1">
        <v>2</v>
      </c>
      <c r="E5" s="1" t="s">
        <v>17</v>
      </c>
      <c r="G5" s="1">
        <f t="shared" si="0"/>
        <v>1.95</v>
      </c>
      <c r="H5" s="1">
        <f t="shared" si="1"/>
        <v>3174.5999999999995</v>
      </c>
      <c r="I5" s="1">
        <f>H5-$I$1</f>
        <v>2924.5999999999995</v>
      </c>
      <c r="J5" s="1">
        <f t="shared" si="2"/>
        <v>3474.5999999999995</v>
      </c>
      <c r="L5" s="1">
        <v>2</v>
      </c>
      <c r="M5" s="1">
        <f t="shared" si="3"/>
        <v>148</v>
      </c>
      <c r="N5" s="1">
        <f t="shared" si="4"/>
        <v>592</v>
      </c>
      <c r="S5" s="1">
        <f t="shared" si="5"/>
        <v>2332.5999999999995</v>
      </c>
      <c r="T5" s="1">
        <f t="shared" si="6"/>
        <v>583.14999999999986</v>
      </c>
    </row>
    <row r="6" spans="1:22" x14ac:dyDescent="0.25">
      <c r="C6" s="1">
        <v>2.1</v>
      </c>
      <c r="D6" s="1">
        <v>2.2000000000000002</v>
      </c>
      <c r="E6" s="1" t="s">
        <v>18</v>
      </c>
      <c r="G6" s="1">
        <f t="shared" si="0"/>
        <v>2.1500000000000004</v>
      </c>
      <c r="H6" s="1">
        <f t="shared" si="1"/>
        <v>3500.2000000000007</v>
      </c>
      <c r="I6" s="1">
        <f>H6-$I$1</f>
        <v>3250.2000000000007</v>
      </c>
      <c r="J6" s="1">
        <f t="shared" si="2"/>
        <v>3800.2000000000007</v>
      </c>
      <c r="L6" s="1">
        <v>2.2000000000000002</v>
      </c>
      <c r="M6" s="1">
        <f t="shared" si="3"/>
        <v>162.80000000000001</v>
      </c>
      <c r="N6" s="1">
        <f t="shared" si="4"/>
        <v>651.20000000000005</v>
      </c>
      <c r="S6" s="1">
        <f t="shared" si="5"/>
        <v>2599.0000000000009</v>
      </c>
      <c r="T6" s="1">
        <f t="shared" si="6"/>
        <v>649.75000000000023</v>
      </c>
    </row>
    <row r="9" spans="1:22" x14ac:dyDescent="0.25">
      <c r="S9" s="1" t="s">
        <v>24</v>
      </c>
      <c r="T9" s="1" t="s">
        <v>27</v>
      </c>
      <c r="U9" s="1" t="s">
        <v>29</v>
      </c>
      <c r="V9" s="1" t="s">
        <v>40</v>
      </c>
    </row>
    <row r="10" spans="1:22" x14ac:dyDescent="0.25">
      <c r="R10" s="1" t="s">
        <v>19</v>
      </c>
      <c r="S10" s="19">
        <f>N3</f>
        <v>518</v>
      </c>
      <c r="T10" s="19">
        <f>Q3</f>
        <v>532.80000000000007</v>
      </c>
      <c r="U10" s="19">
        <v>1472.6</v>
      </c>
      <c r="V10" s="1">
        <f>N3+Q3+S3</f>
        <v>2523.4</v>
      </c>
    </row>
    <row r="11" spans="1:22" x14ac:dyDescent="0.25">
      <c r="A11" s="16" t="s">
        <v>75</v>
      </c>
      <c r="C11" s="39" t="s">
        <v>81</v>
      </c>
      <c r="D11" s="39"/>
      <c r="G11" s="16" t="s">
        <v>76</v>
      </c>
      <c r="H11" s="16"/>
      <c r="I11" s="16"/>
      <c r="L11" s="16" t="s">
        <v>77</v>
      </c>
      <c r="M11" s="16"/>
      <c r="R11" s="1" t="s">
        <v>8</v>
      </c>
      <c r="S11" s="19">
        <f>M3</f>
        <v>129.5</v>
      </c>
      <c r="T11" s="19">
        <f>P3</f>
        <v>59.2</v>
      </c>
      <c r="U11" s="19">
        <f>T3</f>
        <v>368.15</v>
      </c>
      <c r="V11" s="1">
        <f>SUM(S11:U11)</f>
        <v>556.84999999999991</v>
      </c>
    </row>
    <row r="12" spans="1:22" x14ac:dyDescent="0.25">
      <c r="R12" s="18" t="s">
        <v>10</v>
      </c>
      <c r="S12" s="19">
        <f>100*N3/$H$3</f>
        <v>20.527859237536656</v>
      </c>
      <c r="T12" s="19">
        <f>100*Q3/$H$3</f>
        <v>21.114369501466278</v>
      </c>
      <c r="U12" s="19">
        <f>100*S3/$H$3</f>
        <v>58.357771260997062</v>
      </c>
      <c r="V12" s="1">
        <f>SUM(S12:U12)</f>
        <v>100</v>
      </c>
    </row>
    <row r="15" spans="1:22" x14ac:dyDescent="0.25">
      <c r="M15" t="s">
        <v>62</v>
      </c>
    </row>
  </sheetData>
  <mergeCells count="2">
    <mergeCell ref="G1:G2"/>
    <mergeCell ref="C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7BEB-4E69-4001-A708-F71DA4598718}">
  <dimension ref="A1:I20"/>
  <sheetViews>
    <sheetView workbookViewId="0">
      <selection activeCell="F15" sqref="F15"/>
    </sheetView>
  </sheetViews>
  <sheetFormatPr defaultRowHeight="15" x14ac:dyDescent="0.25"/>
  <cols>
    <col min="1" max="1" width="16.5703125" bestFit="1" customWidth="1"/>
    <col min="2" max="2" width="8" customWidth="1"/>
    <col min="3" max="3" width="12" bestFit="1" customWidth="1"/>
    <col min="4" max="4" width="6" bestFit="1" customWidth="1"/>
    <col min="5" max="5" width="13.28515625" bestFit="1" customWidth="1"/>
    <col min="6" max="6" width="6.28515625" customWidth="1"/>
    <col min="7" max="7" width="10.5703125" bestFit="1" customWidth="1"/>
    <col min="8" max="8" width="11.85546875" bestFit="1" customWidth="1"/>
    <col min="10" max="10" width="57.28515625" bestFit="1" customWidth="1"/>
  </cols>
  <sheetData>
    <row r="1" spans="1:9" x14ac:dyDescent="0.25">
      <c r="E1" s="1" t="s">
        <v>12</v>
      </c>
      <c r="F1" s="1">
        <v>1.6</v>
      </c>
      <c r="H1" s="1" t="s">
        <v>45</v>
      </c>
      <c r="I1" s="1">
        <v>74</v>
      </c>
    </row>
    <row r="2" spans="1:9" x14ac:dyDescent="0.25">
      <c r="A2" s="1" t="s">
        <v>47</v>
      </c>
      <c r="B2" s="1" t="s">
        <v>24</v>
      </c>
      <c r="E2" s="1" t="s">
        <v>11</v>
      </c>
      <c r="F2" s="1">
        <f>F1*I1</f>
        <v>118.4</v>
      </c>
    </row>
    <row r="3" spans="1:9" x14ac:dyDescent="0.25">
      <c r="A3" s="1" t="s">
        <v>48</v>
      </c>
      <c r="B3" s="1">
        <v>7</v>
      </c>
    </row>
    <row r="4" spans="1:9" x14ac:dyDescent="0.25">
      <c r="A4" s="1" t="s">
        <v>46</v>
      </c>
      <c r="B4" s="1">
        <v>17</v>
      </c>
      <c r="C4" t="s">
        <v>54</v>
      </c>
    </row>
    <row r="5" spans="1:9" x14ac:dyDescent="0.25">
      <c r="A5" s="1" t="s">
        <v>59</v>
      </c>
      <c r="B5" s="1">
        <v>22.5</v>
      </c>
    </row>
    <row r="6" spans="1:9" x14ac:dyDescent="0.25">
      <c r="A6" s="1" t="s">
        <v>50</v>
      </c>
      <c r="B6" s="1">
        <v>19</v>
      </c>
    </row>
    <row r="8" spans="1:9" x14ac:dyDescent="0.25">
      <c r="A8" s="1" t="s">
        <v>51</v>
      </c>
      <c r="B8" s="1">
        <v>2</v>
      </c>
      <c r="C8" s="1">
        <f>B3*B8</f>
        <v>14</v>
      </c>
      <c r="D8" s="1">
        <f>F2-C8</f>
        <v>104.4</v>
      </c>
      <c r="F8" s="1" t="s">
        <v>61</v>
      </c>
      <c r="G8" s="1">
        <v>4</v>
      </c>
      <c r="H8" s="1">
        <f>G8*B3</f>
        <v>28</v>
      </c>
      <c r="I8" s="1">
        <f>F2-H8</f>
        <v>90.4</v>
      </c>
    </row>
    <row r="10" spans="1:9" x14ac:dyDescent="0.25">
      <c r="A10" s="1" t="s">
        <v>53</v>
      </c>
      <c r="B10" s="15">
        <f>100*D8/B4</f>
        <v>614.11764705882354</v>
      </c>
      <c r="F10" s="1" t="s">
        <v>53</v>
      </c>
      <c r="G10" s="15">
        <f>100*I8/B4</f>
        <v>531.76470588235293</v>
      </c>
    </row>
    <row r="11" spans="1:9" x14ac:dyDescent="0.25">
      <c r="A11" s="1" t="s">
        <v>58</v>
      </c>
      <c r="B11" s="15">
        <f>100*D8/B5</f>
        <v>464</v>
      </c>
      <c r="F11" s="1" t="s">
        <v>52</v>
      </c>
      <c r="G11" s="15">
        <f>100*I8/B5</f>
        <v>401.77777777777777</v>
      </c>
    </row>
    <row r="12" spans="1:9" x14ac:dyDescent="0.25">
      <c r="A12" t="s">
        <v>49</v>
      </c>
      <c r="B12" s="15">
        <f>100*D8/B6</f>
        <v>549.47368421052636</v>
      </c>
      <c r="F12" t="s">
        <v>49</v>
      </c>
      <c r="G12" s="15">
        <f>100*I8/B6</f>
        <v>475.78947368421052</v>
      </c>
    </row>
    <row r="16" spans="1:9" x14ac:dyDescent="0.25">
      <c r="A16" t="s">
        <v>55</v>
      </c>
      <c r="B16">
        <v>60</v>
      </c>
      <c r="C16">
        <v>6</v>
      </c>
    </row>
    <row r="17" spans="1:3" x14ac:dyDescent="0.25">
      <c r="A17" t="s">
        <v>56</v>
      </c>
      <c r="B17">
        <v>28</v>
      </c>
      <c r="C17">
        <v>7</v>
      </c>
    </row>
    <row r="18" spans="1:3" x14ac:dyDescent="0.25">
      <c r="A18" t="s">
        <v>57</v>
      </c>
      <c r="B18">
        <v>100</v>
      </c>
      <c r="C18">
        <v>22.5</v>
      </c>
    </row>
    <row r="19" spans="1:3" x14ac:dyDescent="0.25">
      <c r="A19" t="s">
        <v>60</v>
      </c>
      <c r="C19">
        <v>5</v>
      </c>
    </row>
    <row r="20" spans="1:3" x14ac:dyDescent="0.25">
      <c r="C20">
        <f>SUM(C16:C19)</f>
        <v>40.5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Warm up percentage</vt:lpstr>
      <vt:lpstr>Max-one Rep</vt:lpstr>
      <vt:lpstr>Personal Records</vt:lpstr>
      <vt:lpstr>Historical lifts</vt:lpstr>
      <vt:lpstr>Graphs</vt:lpstr>
      <vt:lpstr>Calories</vt:lpstr>
      <vt:lpstr>Basic Protein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Blanco Aponte</dc:creator>
  <cp:lastModifiedBy>David Blanco Aponte</cp:lastModifiedBy>
  <dcterms:created xsi:type="dcterms:W3CDTF">2022-06-15T01:09:03Z</dcterms:created>
  <dcterms:modified xsi:type="dcterms:W3CDTF">2024-03-12T21:44:52Z</dcterms:modified>
</cp:coreProperties>
</file>