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C3865581-5F64-4E53-89CB-AADB65B59B01}" xr6:coauthVersionLast="45" xr6:coauthVersionMax="45" xr10:uidLastSave="{00000000-0000-0000-0000-000000000000}"/>
  <bookViews>
    <workbookView xWindow="28680" yWindow="4575" windowWidth="24240" windowHeight="13140" activeTab="5" xr2:uid="{88E3E43C-40B4-4757-BCFC-199E9E229525}"/>
  </bookViews>
  <sheets>
    <sheet name="Scenario list" sheetId="6" r:id="rId1"/>
    <sheet name="BOS Scenarios" sheetId="4" r:id="rId2"/>
    <sheet name="Losses" sheetId="5" r:id="rId3"/>
    <sheet name="150w" sheetId="2" r:id="rId4"/>
    <sheet name="250w" sheetId="1" r:id="rId5"/>
    <sheet name="All" sheetId="3" r:id="rId6"/>
    <sheet name="BOS Cost Totals" sheetId="7" r:id="rId7"/>
  </sheets>
  <definedNames>
    <definedName name="_xlnm._FilterDatabase" localSheetId="3" hidden="1">'150w'!$A$1:$P$37</definedName>
    <definedName name="_xlnm._FilterDatabase" localSheetId="4" hidden="1">'250w'!$A$1:$P$37</definedName>
    <definedName name="_xlnm._FilterDatabase" localSheetId="5" hidden="1">All!$A$1:$T$37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  <c r="E32" i="5" l="1"/>
  <c r="D33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C6" i="7"/>
  <c r="C7" i="7"/>
  <c r="C8" i="7"/>
  <c r="C9" i="7"/>
  <c r="C10" i="7"/>
  <c r="C11" i="7"/>
  <c r="C12" i="7"/>
  <c r="C13" i="7"/>
  <c r="C14" i="7"/>
  <c r="C15" i="7"/>
  <c r="C16" i="7"/>
  <c r="C5" i="7"/>
  <c r="E30" i="7" s="1"/>
  <c r="D30" i="7"/>
  <c r="D31" i="7"/>
  <c r="E31" i="7" s="1"/>
  <c r="U6" i="3" s="1"/>
  <c r="V6" i="3" s="1"/>
  <c r="D32" i="7"/>
  <c r="E32" i="7" s="1"/>
  <c r="D34" i="7"/>
  <c r="D35" i="7"/>
  <c r="D36" i="7"/>
  <c r="D37" i="7"/>
  <c r="U10" i="3" l="1"/>
  <c r="U2" i="3"/>
  <c r="E40" i="7"/>
  <c r="U33" i="3" s="1"/>
  <c r="U9" i="3"/>
  <c r="U5" i="3"/>
  <c r="Z6" i="3" s="1"/>
  <c r="U30" i="3"/>
  <c r="E35" i="7"/>
  <c r="U17" i="3" s="1"/>
  <c r="E38" i="7"/>
  <c r="U8" i="3"/>
  <c r="U4" i="3"/>
  <c r="E39" i="7"/>
  <c r="E34" i="7"/>
  <c r="U12" i="3" s="1"/>
  <c r="E41" i="7"/>
  <c r="U7" i="3"/>
  <c r="U3" i="3"/>
  <c r="E36" i="7"/>
  <c r="E37" i="7"/>
  <c r="E33" i="7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2" i="3"/>
  <c r="Z9" i="3" l="1"/>
  <c r="W9" i="3"/>
  <c r="Z3" i="3"/>
  <c r="W3" i="3"/>
  <c r="W7" i="3"/>
  <c r="Z7" i="3"/>
  <c r="V4" i="3"/>
  <c r="Z4" i="3"/>
  <c r="W4" i="3"/>
  <c r="Z10" i="3"/>
  <c r="W10" i="3"/>
  <c r="W6" i="3"/>
  <c r="U36" i="3"/>
  <c r="V36" i="3" s="1"/>
  <c r="U14" i="3"/>
  <c r="V14" i="3" s="1"/>
  <c r="U15" i="3"/>
  <c r="V7" i="3"/>
  <c r="V10" i="3"/>
  <c r="V2" i="3"/>
  <c r="V3" i="3"/>
  <c r="V17" i="3"/>
  <c r="V5" i="3"/>
  <c r="V8" i="3"/>
  <c r="V33" i="3"/>
  <c r="V9" i="3"/>
  <c r="V12" i="3"/>
  <c r="V30" i="3"/>
  <c r="U11" i="3"/>
  <c r="Z12" i="3" s="1"/>
  <c r="U18" i="3"/>
  <c r="U34" i="3"/>
  <c r="U31" i="3"/>
  <c r="U37" i="3"/>
  <c r="U27" i="3"/>
  <c r="U21" i="3"/>
  <c r="U24" i="3"/>
  <c r="U35" i="3"/>
  <c r="U29" i="3"/>
  <c r="Z30" i="3" s="1"/>
  <c r="U32" i="3"/>
  <c r="W33" i="3" s="1"/>
  <c r="U19" i="3"/>
  <c r="U13" i="3"/>
  <c r="U16" i="3"/>
  <c r="U22" i="3"/>
  <c r="U28" i="3"/>
  <c r="U25" i="3"/>
  <c r="U26" i="3"/>
  <c r="U23" i="3"/>
  <c r="U20" i="3"/>
  <c r="Z31" i="3" l="1"/>
  <c r="W31" i="3"/>
  <c r="Z34" i="3"/>
  <c r="W34" i="3"/>
  <c r="Z33" i="3"/>
  <c r="Z15" i="3"/>
  <c r="W15" i="3"/>
  <c r="V37" i="3"/>
  <c r="Z37" i="3"/>
  <c r="W37" i="3"/>
  <c r="Z19" i="3"/>
  <c r="W19" i="3"/>
  <c r="V25" i="3"/>
  <c r="Z25" i="3"/>
  <c r="W25" i="3"/>
  <c r="W30" i="3"/>
  <c r="V28" i="3"/>
  <c r="Z28" i="3"/>
  <c r="W28" i="3"/>
  <c r="W24" i="3"/>
  <c r="Z24" i="3"/>
  <c r="V15" i="3"/>
  <c r="Z36" i="3"/>
  <c r="W36" i="3"/>
  <c r="W12" i="3"/>
  <c r="V13" i="3"/>
  <c r="W13" i="3"/>
  <c r="Z13" i="3"/>
  <c r="Z18" i="3"/>
  <c r="W18" i="3"/>
  <c r="Z22" i="3"/>
  <c r="W22" i="3"/>
  <c r="Z21" i="3"/>
  <c r="W21" i="3"/>
  <c r="V16" i="3"/>
  <c r="Z16" i="3"/>
  <c r="W16" i="3"/>
  <c r="Z27" i="3"/>
  <c r="W27" i="3"/>
  <c r="V22" i="3"/>
  <c r="V34" i="3"/>
  <c r="V19" i="3"/>
  <c r="V31" i="3"/>
  <c r="V23" i="3"/>
  <c r="V26" i="3"/>
  <c r="V29" i="3"/>
  <c r="V27" i="3"/>
  <c r="V18" i="3"/>
  <c r="V21" i="3"/>
  <c r="V35" i="3"/>
  <c r="V11" i="3"/>
  <c r="V32" i="3"/>
  <c r="V20" i="3"/>
  <c r="V24" i="3"/>
  <c r="N16" i="4" l="1"/>
  <c r="N17" i="4"/>
  <c r="N20" i="4"/>
  <c r="N21" i="4"/>
  <c r="N8" i="4"/>
  <c r="N9" i="4"/>
  <c r="N12" i="4"/>
  <c r="N13" i="4"/>
  <c r="E34" i="5"/>
  <c r="AA3" i="3" l="1"/>
  <c r="AA7" i="3"/>
  <c r="AA11" i="3"/>
  <c r="AA15" i="3"/>
  <c r="AA19" i="3"/>
  <c r="AA23" i="3"/>
  <c r="AA27" i="3"/>
  <c r="AA31" i="3"/>
  <c r="AA35" i="3"/>
  <c r="AA32" i="3"/>
  <c r="AA5" i="3"/>
  <c r="AA13" i="3"/>
  <c r="AA21" i="3"/>
  <c r="AA29" i="3"/>
  <c r="AA10" i="3"/>
  <c r="AA14" i="3"/>
  <c r="AA22" i="3"/>
  <c r="AA30" i="3"/>
  <c r="AA4" i="3"/>
  <c r="AA8" i="3"/>
  <c r="AA12" i="3"/>
  <c r="AA16" i="3"/>
  <c r="AA20" i="3"/>
  <c r="AA24" i="3"/>
  <c r="AA28" i="3"/>
  <c r="AA36" i="3"/>
  <c r="AA9" i="3"/>
  <c r="AA17" i="3"/>
  <c r="AA25" i="3"/>
  <c r="AA33" i="3"/>
  <c r="AA37" i="3"/>
  <c r="AA6" i="3"/>
  <c r="AA18" i="3"/>
  <c r="AA26" i="3"/>
  <c r="AA34" i="3"/>
  <c r="AA2" i="3"/>
  <c r="N11" i="4"/>
  <c r="N23" i="4"/>
  <c r="N19" i="4"/>
  <c r="N15" i="4"/>
  <c r="N7" i="4"/>
  <c r="N10" i="4"/>
  <c r="N22" i="4"/>
  <c r="N18" i="4"/>
  <c r="N14" i="4"/>
  <c r="AC2" i="3" l="1"/>
  <c r="AB2" i="3"/>
  <c r="AC17" i="3"/>
  <c r="AB17" i="3"/>
  <c r="AB8" i="3"/>
  <c r="AC8" i="3"/>
  <c r="AC13" i="3"/>
  <c r="AB13" i="3"/>
  <c r="AC15" i="3"/>
  <c r="AB15" i="3"/>
  <c r="AC37" i="3"/>
  <c r="AB37" i="3"/>
  <c r="AB20" i="3"/>
  <c r="AC20" i="3"/>
  <c r="AC10" i="3"/>
  <c r="AB10" i="3"/>
  <c r="AC11" i="3"/>
  <c r="AB11" i="3"/>
  <c r="AC33" i="3"/>
  <c r="AB33" i="3"/>
  <c r="AC16" i="3"/>
  <c r="AB16" i="3"/>
  <c r="AC29" i="3"/>
  <c r="AB29" i="3"/>
  <c r="AC7" i="3"/>
  <c r="AB7" i="3"/>
  <c r="AC6" i="3"/>
  <c r="AB6" i="3"/>
  <c r="AC24" i="3"/>
  <c r="AB24" i="3"/>
  <c r="AC14" i="3"/>
  <c r="AB14" i="3"/>
  <c r="AC31" i="3"/>
  <c r="AB31" i="3"/>
  <c r="AC34" i="3"/>
  <c r="AB34" i="3"/>
  <c r="AC9" i="3"/>
  <c r="AB9" i="3"/>
  <c r="AC4" i="3"/>
  <c r="AB4" i="3"/>
  <c r="AC5" i="3"/>
  <c r="AB5" i="3"/>
  <c r="AC27" i="3"/>
  <c r="AB27" i="3"/>
  <c r="AC26" i="3"/>
  <c r="AB26" i="3"/>
  <c r="AB36" i="3"/>
  <c r="AC36" i="3"/>
  <c r="AC30" i="3"/>
  <c r="AB30" i="3"/>
  <c r="AC32" i="3"/>
  <c r="AB32" i="3"/>
  <c r="AC23" i="3"/>
  <c r="AB23" i="3"/>
  <c r="AC18" i="3"/>
  <c r="AB18" i="3"/>
  <c r="AC25" i="3"/>
  <c r="AB25" i="3"/>
  <c r="AB28" i="3"/>
  <c r="AC28" i="3"/>
  <c r="AB12" i="3"/>
  <c r="AC12" i="3"/>
  <c r="AC22" i="3"/>
  <c r="AB22" i="3"/>
  <c r="AC21" i="3"/>
  <c r="AB21" i="3"/>
  <c r="AC35" i="3"/>
  <c r="AB35" i="3"/>
  <c r="AC19" i="3"/>
  <c r="AB19" i="3"/>
  <c r="AC3" i="3"/>
  <c r="AB3" i="3"/>
  <c r="AD35" i="3" l="1"/>
  <c r="AG35" i="3"/>
  <c r="AE28" i="3"/>
  <c r="AH28" i="3"/>
  <c r="AD32" i="3"/>
  <c r="AG32" i="3"/>
  <c r="AD27" i="3"/>
  <c r="AG27" i="3"/>
  <c r="AD4" i="3"/>
  <c r="AG4" i="3"/>
  <c r="AD14" i="3"/>
  <c r="AG14" i="3"/>
  <c r="AD29" i="3"/>
  <c r="AG29" i="3"/>
  <c r="AD10" i="3"/>
  <c r="AG10" i="3"/>
  <c r="AD17" i="3"/>
  <c r="AG17" i="3"/>
  <c r="AE3" i="3"/>
  <c r="AH3" i="3"/>
  <c r="AE22" i="3"/>
  <c r="AH22" i="3"/>
  <c r="AE18" i="3"/>
  <c r="AH18" i="3"/>
  <c r="AI18" i="3" s="1"/>
  <c r="AD36" i="3"/>
  <c r="AG36" i="3"/>
  <c r="AE4" i="3"/>
  <c r="AH4" i="3"/>
  <c r="AI4" i="3" s="1"/>
  <c r="AE14" i="3"/>
  <c r="AH14" i="3"/>
  <c r="AE29" i="3"/>
  <c r="AH29" i="3"/>
  <c r="AI29" i="3" s="1"/>
  <c r="AE37" i="3"/>
  <c r="AH37" i="3"/>
  <c r="AE17" i="3"/>
  <c r="AH17" i="3"/>
  <c r="AI17" i="3" s="1"/>
  <c r="AD19" i="3"/>
  <c r="AG19" i="3"/>
  <c r="AD21" i="3"/>
  <c r="AG21" i="3"/>
  <c r="AE12" i="3"/>
  <c r="AH12" i="3"/>
  <c r="AD25" i="3"/>
  <c r="AG25" i="3"/>
  <c r="AD23" i="3"/>
  <c r="AG23" i="3"/>
  <c r="AD30" i="3"/>
  <c r="AG30" i="3"/>
  <c r="AD26" i="3"/>
  <c r="AG26" i="3"/>
  <c r="AD5" i="3"/>
  <c r="AG5" i="3"/>
  <c r="AD9" i="3"/>
  <c r="AG9" i="3"/>
  <c r="AD31" i="3"/>
  <c r="AG31" i="3"/>
  <c r="AD24" i="3"/>
  <c r="AG24" i="3"/>
  <c r="AD7" i="3"/>
  <c r="AG7" i="3"/>
  <c r="AD16" i="3"/>
  <c r="AG16" i="3"/>
  <c r="AD11" i="3"/>
  <c r="AG11" i="3"/>
  <c r="AE20" i="3"/>
  <c r="AH20" i="3"/>
  <c r="AD15" i="3"/>
  <c r="AG15" i="3"/>
  <c r="AE8" i="3"/>
  <c r="AH8" i="3"/>
  <c r="AD2" i="3"/>
  <c r="AG2" i="3"/>
  <c r="AD3" i="3"/>
  <c r="AG3" i="3"/>
  <c r="AD22" i="3"/>
  <c r="AG22" i="3"/>
  <c r="AD18" i="3"/>
  <c r="AG18" i="3"/>
  <c r="AE36" i="3"/>
  <c r="AF36" i="3" s="1"/>
  <c r="AH36" i="3"/>
  <c r="AD34" i="3"/>
  <c r="AG34" i="3"/>
  <c r="AD6" i="3"/>
  <c r="AG6" i="3"/>
  <c r="AD33" i="3"/>
  <c r="AG33" i="3"/>
  <c r="AD37" i="3"/>
  <c r="AF37" i="3" s="1"/>
  <c r="AG37" i="3"/>
  <c r="AD13" i="3"/>
  <c r="AG13" i="3"/>
  <c r="AE35" i="3"/>
  <c r="AH35" i="3"/>
  <c r="AI35" i="3" s="1"/>
  <c r="AD28" i="3"/>
  <c r="AG28" i="3"/>
  <c r="AE32" i="3"/>
  <c r="AH32" i="3"/>
  <c r="AI32" i="3" s="1"/>
  <c r="AE27" i="3"/>
  <c r="AH27" i="3"/>
  <c r="AE34" i="3"/>
  <c r="AH34" i="3"/>
  <c r="AI34" i="3" s="1"/>
  <c r="AE6" i="3"/>
  <c r="AH6" i="3"/>
  <c r="AE33" i="3"/>
  <c r="AH33" i="3"/>
  <c r="AI33" i="3" s="1"/>
  <c r="AE10" i="3"/>
  <c r="AH10" i="3"/>
  <c r="AE13" i="3"/>
  <c r="AH13" i="3"/>
  <c r="AI13" i="3" s="1"/>
  <c r="AE19" i="3"/>
  <c r="AH19" i="3"/>
  <c r="AI19" i="3" s="1"/>
  <c r="AE21" i="3"/>
  <c r="AH21" i="3"/>
  <c r="AI21" i="3" s="1"/>
  <c r="AD12" i="3"/>
  <c r="AG12" i="3"/>
  <c r="AE25" i="3"/>
  <c r="AH25" i="3"/>
  <c r="AI25" i="3" s="1"/>
  <c r="AE23" i="3"/>
  <c r="AH23" i="3"/>
  <c r="AI23" i="3" s="1"/>
  <c r="AE30" i="3"/>
  <c r="AH30" i="3"/>
  <c r="AI30" i="3" s="1"/>
  <c r="AE26" i="3"/>
  <c r="AH26" i="3"/>
  <c r="AI26" i="3" s="1"/>
  <c r="AE5" i="3"/>
  <c r="AH5" i="3"/>
  <c r="AI5" i="3" s="1"/>
  <c r="AE9" i="3"/>
  <c r="AH9" i="3"/>
  <c r="AI9" i="3" s="1"/>
  <c r="AE31" i="3"/>
  <c r="AH31" i="3"/>
  <c r="AE24" i="3"/>
  <c r="AH24" i="3"/>
  <c r="AI24" i="3" s="1"/>
  <c r="AE7" i="3"/>
  <c r="AH7" i="3"/>
  <c r="AI7" i="3" s="1"/>
  <c r="AE16" i="3"/>
  <c r="AH16" i="3"/>
  <c r="AE11" i="3"/>
  <c r="AH11" i="3"/>
  <c r="AI11" i="3" s="1"/>
  <c r="AD20" i="3"/>
  <c r="AG20" i="3"/>
  <c r="AE15" i="3"/>
  <c r="AH15" i="3"/>
  <c r="AI15" i="3" s="1"/>
  <c r="AD8" i="3"/>
  <c r="AG8" i="3"/>
  <c r="AE2" i="3"/>
  <c r="AH2" i="3"/>
  <c r="AI2" i="3" s="1"/>
  <c r="AF22" i="3" l="1"/>
  <c r="AI3" i="3"/>
  <c r="AI31" i="3"/>
  <c r="AF14" i="3"/>
  <c r="AI28" i="3"/>
  <c r="AF6" i="3"/>
  <c r="AI16" i="3"/>
  <c r="AF10" i="3"/>
  <c r="AF27" i="3"/>
  <c r="AF28" i="3"/>
  <c r="AF15" i="3"/>
  <c r="AF31" i="3"/>
  <c r="AF30" i="3"/>
  <c r="AF21" i="3"/>
  <c r="AI10" i="3"/>
  <c r="AI6" i="3"/>
  <c r="AI27" i="3"/>
  <c r="AI8" i="3"/>
  <c r="AI20" i="3"/>
  <c r="AI12" i="3"/>
  <c r="AI37" i="3"/>
  <c r="AI14" i="3"/>
  <c r="AI36" i="3"/>
  <c r="AI22" i="3"/>
  <c r="AF2" i="3"/>
  <c r="AF11" i="3"/>
  <c r="AF7" i="3"/>
  <c r="AF5" i="3"/>
  <c r="AF25" i="3"/>
  <c r="AF13" i="3"/>
  <c r="AF33" i="3"/>
  <c r="AF34" i="3"/>
  <c r="AF18" i="3"/>
  <c r="AF3" i="3"/>
  <c r="AF8" i="3"/>
  <c r="AF20" i="3"/>
  <c r="AF16" i="3"/>
  <c r="AF24" i="3"/>
  <c r="AF9" i="3"/>
  <c r="AF26" i="3"/>
  <c r="AF23" i="3"/>
  <c r="AF12" i="3"/>
  <c r="AF19" i="3"/>
  <c r="AF17" i="3"/>
  <c r="AF29" i="3"/>
  <c r="AF4" i="3"/>
  <c r="AF32" i="3"/>
  <c r="AF35" i="3"/>
</calcChain>
</file>

<file path=xl/sharedStrings.xml><?xml version="1.0" encoding="utf-8"?>
<sst xmlns="http://schemas.openxmlformats.org/spreadsheetml/2006/main" count="441" uniqueCount="139">
  <si>
    <t>Farm Name</t>
  </si>
  <si>
    <t>Rated_Power</t>
  </si>
  <si>
    <t>Specific_Power</t>
  </si>
  <si>
    <t>#Turbine</t>
  </si>
  <si>
    <t>Turbine_D</t>
  </si>
  <si>
    <t>Turb_spc_rel</t>
  </si>
  <si>
    <t>Avg_ws</t>
  </si>
  <si>
    <t>AEP_No_Wake</t>
  </si>
  <si>
    <t>AEP_Baseline</t>
  </si>
  <si>
    <t>AEP_Opt</t>
  </si>
  <si>
    <t>%_Baseline</t>
  </si>
  <si>
    <t>%_Opt</t>
  </si>
  <si>
    <t>Wk_Loss_Baseline</t>
  </si>
  <si>
    <t>Wk_Loss_Opt</t>
  </si>
  <si>
    <t>AEP_Gain_Opt</t>
  </si>
  <si>
    <t>Loss_Red_Opt</t>
  </si>
  <si>
    <t>Rel_spc=10_D=160_avg_ws=6.0_SP=150</t>
  </si>
  <si>
    <t>Rel_spc=10_D=160_avg_ws=6.0_SP=200</t>
  </si>
  <si>
    <t>Rel_spc=10_D=160_avg_ws=6.0_SP=250</t>
  </si>
  <si>
    <t>Rel_spc=10_D=160_avg_ws=6.0_SP=300</t>
  </si>
  <si>
    <t>Rel_spc=10_D=160_avg_ws=7.5_SP=150</t>
  </si>
  <si>
    <t>Rel_spc=10_D=160_avg_ws=7.5_SP=200</t>
  </si>
  <si>
    <t>Rel_spc=10_D=160_avg_ws=7.5_SP=250</t>
  </si>
  <si>
    <t>Rel_spc=10_D=160_avg_ws=7.5_SP=300</t>
  </si>
  <si>
    <t>Rel_spc=10_D=160_avg_ws=9.0_SP=150</t>
  </si>
  <si>
    <t>Rel_spc=10_D=160_avg_ws=9.0_SP=200</t>
  </si>
  <si>
    <t>Rel_spc=10_D=160_avg_ws=9.0_SP=250</t>
  </si>
  <si>
    <t>Rel_spc=10_D=160_avg_ws=9.0_SP=300</t>
  </si>
  <si>
    <t>Rel_spc=4_D=160_avg_ws=6.0_SP=150</t>
  </si>
  <si>
    <t>Rel_spc=4_D=160_avg_ws=6.0_SP=200</t>
  </si>
  <si>
    <t>Rel_spc=4_D=160_avg_ws=6.0_SP=250</t>
  </si>
  <si>
    <t>Rel_spc=4_D=160_avg_ws=6.0_SP=300</t>
  </si>
  <si>
    <t>Rel_spc=4_D=160_avg_ws=7.5_SP=150</t>
  </si>
  <si>
    <t>Rel_spc=4_D=160_avg_ws=7.5_SP=200</t>
  </si>
  <si>
    <t>Rel_spc=4_D=160_avg_ws=7.5_SP=250</t>
  </si>
  <si>
    <t>Rel_spc=4_D=160_avg_ws=7.5_SP=300</t>
  </si>
  <si>
    <t>Rel_spc=4_D=160_avg_ws=9.0_SP=150</t>
  </si>
  <si>
    <t>Rel_spc=4_D=160_avg_ws=9.0_SP=200</t>
  </si>
  <si>
    <t>Rel_spc=4_D=160_avg_ws=9.0_SP=250</t>
  </si>
  <si>
    <t>Rel_spc=4_D=160_avg_ws=9.0_SP=300</t>
  </si>
  <si>
    <t>Rel_spc=7_D=160_avg_ws=6.0_SP=150</t>
  </si>
  <si>
    <t>Rel_spc=7_D=160_avg_ws=6.0_SP=200</t>
  </si>
  <si>
    <t>Rel_spc=7_D=160_avg_ws=6.0_SP=250</t>
  </si>
  <si>
    <t>Rel_spc=7_D=160_avg_ws=6.0_SP=300</t>
  </si>
  <si>
    <t>Rel_spc=7_D=160_avg_ws=7.5_SP=150</t>
  </si>
  <si>
    <t>Rel_spc=7_D=160_avg_ws=7.5_SP=200</t>
  </si>
  <si>
    <t>Rel_spc=7_D=160_avg_ws=7.5_SP=250</t>
  </si>
  <si>
    <t>Rel_spc=7_D=160_avg_ws=7.5_SP=300</t>
  </si>
  <si>
    <t>Rel_spc=7_D=160_avg_ws=9.0_SP=150</t>
  </si>
  <si>
    <t>Rel_spc=7_D=160_avg_ws=9.0_SP=200</t>
  </si>
  <si>
    <t>Rel_spc=7_D=160_avg_ws=9.0_SP=250</t>
  </si>
  <si>
    <t>Rel_spc=7_D=160_avg_ws=9.0_SP=300</t>
  </si>
  <si>
    <t>rating</t>
  </si>
  <si>
    <t>spacing</t>
  </si>
  <si>
    <t>rd</t>
  </si>
  <si>
    <t># turb</t>
  </si>
  <si>
    <t>bos cost</t>
  </si>
  <si>
    <t>turbine cost (constant / mw)</t>
  </si>
  <si>
    <t>turbine cost (scaling study???)</t>
  </si>
  <si>
    <t>Gross aep</t>
  </si>
  <si>
    <t>assuemd losses excluting wakes</t>
  </si>
  <si>
    <t>curtailment</t>
  </si>
  <si>
    <t>electrical</t>
  </si>
  <si>
    <t>env</t>
  </si>
  <si>
    <t>turbine</t>
  </si>
  <si>
    <t>availability</t>
  </si>
  <si>
    <t>wake</t>
  </si>
  <si>
    <t>total</t>
  </si>
  <si>
    <t>total minus wake</t>
  </si>
  <si>
    <t>Baseline wake loses</t>
  </si>
  <si>
    <t>with wake steering</t>
  </si>
  <si>
    <t>change in LCOE</t>
  </si>
  <si>
    <t>Baseline PRUF losses</t>
  </si>
  <si>
    <t>change in bos cost and lcoe by changing relative spacing baseline losses</t>
  </si>
  <si>
    <t>change in bos cost and lcoe by changing relative spacing wake steering</t>
  </si>
  <si>
    <t>Project ID</t>
  </si>
  <si>
    <t>Rated Power</t>
  </si>
  <si>
    <t>Turb spc rel</t>
  </si>
  <si>
    <t>BOS Cost USD/kW per project</t>
  </si>
  <si>
    <t>Module</t>
  </si>
  <si>
    <t>USD/kW per project</t>
  </si>
  <si>
    <t>Wake 3.016MW 4D</t>
  </si>
  <si>
    <t>CollectionCost</t>
  </si>
  <si>
    <t>Wake 6.032MW 10D</t>
  </si>
  <si>
    <t>Wake 3.016MW 7D</t>
  </si>
  <si>
    <t>Wake 6.032MW 7D</t>
  </si>
  <si>
    <t>Wake 3.016MW 10D</t>
  </si>
  <si>
    <t>Wake 6.032MW 4D</t>
  </si>
  <si>
    <t>Wake 4.021MW 4D</t>
  </si>
  <si>
    <t>Wake 5.027MW 10D</t>
  </si>
  <si>
    <t>Wake 4.021MW 7D</t>
  </si>
  <si>
    <t>Wake 5.027MW 7D</t>
  </si>
  <si>
    <t>Wake 4.021MW 10D</t>
  </si>
  <si>
    <t>Wake 5.027MW 4D</t>
  </si>
  <si>
    <t>DevelopmentCost</t>
  </si>
  <si>
    <t>ErectionCost</t>
  </si>
  <si>
    <t>FoundationCost</t>
  </si>
  <si>
    <t>GridConnectionCost</t>
  </si>
  <si>
    <t>ManagementCost</t>
  </si>
  <si>
    <t>SitePreparationCost</t>
  </si>
  <si>
    <t>SubstationCost</t>
  </si>
  <si>
    <t>BOS Cost ($/kW)</t>
  </si>
  <si>
    <t>opex ($/kw/yr)</t>
  </si>
  <si>
    <t>FCR (%)</t>
  </si>
  <si>
    <t>Losses excluding wake</t>
  </si>
  <si>
    <t>merge bos data with wake data</t>
  </si>
  <si>
    <t>assume turbien cost scenarios</t>
  </si>
  <si>
    <t>calculate LCOE with turbine cost scenarios baseline and wake steering</t>
  </si>
  <si>
    <t>assume losses pruf</t>
  </si>
  <si>
    <t>change in power density for equivelent LCOE</t>
  </si>
  <si>
    <t>relationship of SP and spacing and wind resource for SOCO</t>
  </si>
  <si>
    <t>inflection point for min lcoe (previous work? Might not find? Maybe 20d?)</t>
  </si>
  <si>
    <t>Total wake losses baseline</t>
  </si>
  <si>
    <t>total wake losses steering</t>
  </si>
  <si>
    <t>AEP_No_Wake GWH/yr</t>
  </si>
  <si>
    <t>AEP_Baseline gwh/yr</t>
  </si>
  <si>
    <t>AEP_Opt GWh/yr</t>
  </si>
  <si>
    <t>AEP_Baseline MWh/MW/yr</t>
  </si>
  <si>
    <t>AEP_Opt MWh/MW/yr</t>
  </si>
  <si>
    <t>502710</t>
  </si>
  <si>
    <t>60324</t>
  </si>
  <si>
    <t>60327</t>
  </si>
  <si>
    <t>603210</t>
  </si>
  <si>
    <t>Concatenate</t>
  </si>
  <si>
    <t>conversion (drivetrain, generator, power conversion)</t>
  </si>
  <si>
    <t>Low Turbine Cost ($/kW)</t>
  </si>
  <si>
    <t>2018 Turbine Cost Fraction of Total Cost from BOS (%)</t>
  </si>
  <si>
    <t>2018 Turbine Cost Turbine cost ($/kW)</t>
  </si>
  <si>
    <t>2018 Turbine Baseline Cost LCOE baseline ($/MWh)</t>
  </si>
  <si>
    <t>2018 turbine LCOE Wake Steering ($/MWh)</t>
  </si>
  <si>
    <t>Low Turbine Cost LCOE baseline ($/MWh)</t>
  </si>
  <si>
    <t>Low Turbine Cost LCOE Wake Steering ($/MWh)</t>
  </si>
  <si>
    <t>Low Turbine Cost Change LCOE with wake steering</t>
  </si>
  <si>
    <t>2018 Delta BOS Cost vs 10d (% total cost)</t>
  </si>
  <si>
    <t>Low Turbine Cost Delta BOS Cost vs 10d (% total cost)</t>
  </si>
  <si>
    <t>2018 turbine Change LCOE with wake steering (% LCOE)</t>
  </si>
  <si>
    <t>Losses (PRUF and CSM)</t>
  </si>
  <si>
    <t>BOS Costs by Scenario</t>
  </si>
  <si>
    <t>AEP_Gain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</si>
</sst>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1" fontId="0" fillId="0" borderId="0" xfId="0" applyNumberFormat="1"/>
    <xf numFmtId="9" fontId="0" fillId="0" borderId="0" xfId="2" applyFont="1"/>
    <xf numFmtId="165" fontId="0" fillId="0" borderId="0" xfId="2" applyNumberFormat="1" applyFont="1"/>
    <xf numFmtId="0" fontId="0" fillId="0" borderId="0" xfId="0" applyAlignment="1">
      <alignment wrapText="1"/>
    </xf>
    <xf numFmtId="10" fontId="0" fillId="0" borderId="0" xfId="2" applyNumberFormat="1" applyFont="1"/>
    <xf numFmtId="0" fontId="0" fillId="0" borderId="0" xfId="0" applyNumberFormat="1"/>
    <xf numFmtId="10" fontId="0" fillId="0" borderId="0" xfId="2" applyNumberFormat="1" applyFont="1" applyAlignment="1">
      <alignment wrapText="1"/>
    </xf>
    <xf numFmtId="0" fontId="0" fillId="0" borderId="1" xfId="0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0" xfId="1" applyNumberFormat="1" applyFont="1"/>
    <xf numFmtId="0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'150w'!$F$2:$F$12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xVal>
          <c:yVal>
            <c:numRef>
              <c:f>'150w'!$M$2:$M$12</c:f>
              <c:numCache>
                <c:formatCode>0.0</c:formatCode>
                <c:ptCount val="3"/>
                <c:pt idx="0">
                  <c:v>3.9720284760890898</c:v>
                </c:pt>
                <c:pt idx="1">
                  <c:v>2.48361656761743</c:v>
                </c:pt>
                <c:pt idx="2">
                  <c:v>1.65152013885649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9-40E1-866A-C6F7521836D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'150w'!$F$14:$F$24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xVal>
          <c:yVal>
            <c:numRef>
              <c:f>'150w'!$M$14:$M$24</c:f>
              <c:numCache>
                <c:formatCode>0.0</c:formatCode>
                <c:ptCount val="3"/>
                <c:pt idx="0">
                  <c:v>17.1517609149946</c:v>
                </c:pt>
                <c:pt idx="1">
                  <c:v>11.409627763481</c:v>
                </c:pt>
                <c:pt idx="2">
                  <c:v>7.6525289838397903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9-40E1-866A-C6F7521836D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'150w'!$F$26:$F$36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xVal>
          <c:yVal>
            <c:numRef>
              <c:f>'150w'!$M$26:$M$36</c:f>
              <c:numCache>
                <c:formatCode>0.0</c:formatCode>
                <c:ptCount val="3"/>
                <c:pt idx="0">
                  <c:v>7.2391575664103698</c:v>
                </c:pt>
                <c:pt idx="1">
                  <c:v>4.6069019528814898</c:v>
                </c:pt>
                <c:pt idx="2">
                  <c:v>3.0401050220060899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9-40E1-866A-C6F75218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'250w'!$M$4:$M$12</c:f>
              <c:numCache>
                <c:formatCode>0.0</c:formatCode>
                <c:ptCount val="3"/>
                <c:pt idx="0">
                  <c:v>5.3625690043441496</c:v>
                </c:pt>
                <c:pt idx="1">
                  <c:v>21.497130407404299</c:v>
                </c:pt>
                <c:pt idx="2">
                  <c:v>9.5184792440325907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0-4CF9-AEEA-2DF3DEB1F6A9}"/>
            </c:ext>
          </c:extLst>
        </c:ser>
        <c:ser>
          <c:idx val="0"/>
          <c:order val="1"/>
          <c:tx>
            <c:v>7.5m/s 250w/m2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'250w'!$M$16:$M$24</c:f>
              <c:numCache>
                <c:formatCode>0.0</c:formatCode>
                <c:ptCount val="3"/>
                <c:pt idx="0">
                  <c:v>3.6063790366606301</c:v>
                </c:pt>
                <c:pt idx="1">
                  <c:v>15.7409323715758</c:v>
                </c:pt>
                <c:pt idx="2">
                  <c:v>6.5767771481913497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0-4CF9-AEEA-2DF3DEB1F6A9}"/>
            </c:ext>
          </c:extLst>
        </c:ser>
        <c:ser>
          <c:idx val="2"/>
          <c:order val="2"/>
          <c:tx>
            <c:v>9m/s 250w/m2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'250w'!$M$28:$M$36</c:f>
              <c:numCache>
                <c:formatCode>0.0</c:formatCode>
                <c:ptCount val="3"/>
                <c:pt idx="0">
                  <c:v>2.3035346613132099</c:v>
                </c:pt>
                <c:pt idx="1">
                  <c:v>11.024669741268999</c:v>
                </c:pt>
                <c:pt idx="2">
                  <c:v>4.32662141579313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0-4CF9-AEEA-2DF3DEB1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'250w'!$F$4:$F$12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'250w'!$O$4:$O$12</c:f>
              <c:numCache>
                <c:formatCode>0.0</c:formatCode>
                <c:ptCount val="3"/>
                <c:pt idx="0">
                  <c:v>0.70262344418531397</c:v>
                </c:pt>
                <c:pt idx="1">
                  <c:v>7.9881524430769799</c:v>
                </c:pt>
                <c:pt idx="2">
                  <c:v>2.1638430374207198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F-4749-81C6-4BBD7CBDE6E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'250w'!$F$16:$F$24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'250w'!$O$16:$O$24</c:f>
              <c:numCache>
                <c:formatCode>0.0</c:formatCode>
                <c:ptCount val="3"/>
                <c:pt idx="0">
                  <c:v>0.50605477767383</c:v>
                </c:pt>
                <c:pt idx="1">
                  <c:v>6.0472536272298196</c:v>
                </c:pt>
                <c:pt idx="2">
                  <c:v>1.5393595015419199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F-4749-81C6-4BBD7CBDE6E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'250w'!$F$28:$F$36</c:f>
              <c:numCache>
                <c:formatCode>General</c:formatCode>
                <c:ptCount val="3"/>
                <c:pt idx="0">
                  <c:v>10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'250w'!$O$28:$O$36</c:f>
              <c:numCache>
                <c:formatCode>0.0</c:formatCode>
                <c:ptCount val="3"/>
                <c:pt idx="0">
                  <c:v>0.35515606403850197</c:v>
                </c:pt>
                <c:pt idx="1">
                  <c:v>4.30192366485457</c:v>
                </c:pt>
                <c:pt idx="2">
                  <c:v>1.1122854395845401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F-4749-81C6-4BBD7CBDE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157864"/>
        <c:axId val="1197157536"/>
      </c:scatterChart>
      <c:valAx>
        <c:axId val="1197157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spacing "D"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536"/>
        <c:crosses val="autoZero"/>
        <c:crossBetween val="midCat"/>
      </c:valAx>
      <c:valAx>
        <c:axId val="119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Baseline wake losses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57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All!$D$2:$D$5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xVal>
          <c:yVal>
            <c:numRef>
              <c:f>All!$Q$2:$Q$5</c:f>
              <c:numCache>
                <c:formatCode>0.0</c:formatCode>
                <c:ptCount val="4"/>
                <c:pt idx="0">
                  <c:v>3.9720284760890898</c:v>
                </c:pt>
                <c:pt idx="1">
                  <c:v>7.2391575664103698</c:v>
                </c:pt>
                <c:pt idx="2">
                  <c:v>17.1517609149946</c:v>
                </c:pt>
                <c:pt idx="3">
                  <c:v>2.48361656761743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C-428E-8408-A010AE427D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All!$D$6:$D$9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xVal>
          <c:yVal>
            <c:numRef>
              <c:f>All!$Q$6:$Q$9</c:f>
              <c:numCache>
                <c:formatCode>0.0</c:formatCode>
                <c:ptCount val="4"/>
                <c:pt idx="0">
                  <c:v>4.6069019528814898</c:v>
                </c:pt>
                <c:pt idx="1">
                  <c:v>11.409627763481</c:v>
                </c:pt>
                <c:pt idx="2">
                  <c:v>1.65152013885649</c:v>
                </c:pt>
                <c:pt idx="3">
                  <c:v>3.0401050220060899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C-428E-8408-A010AE427DE2}"/>
            </c:ext>
          </c:extLst>
        </c:ser>
        <c:ser>
          <c:idx val="2"/>
          <c:order val="2"/>
          <c:tx>
            <c:v>4 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All!$D$10:$D$13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xVal>
          <c:yVal>
            <c:numRef>
              <c:f>All!$Q$10:$Q$13</c:f>
              <c:numCache>
                <c:formatCode>0.0</c:formatCode>
                <c:ptCount val="4"/>
                <c:pt idx="0">
                  <c:v>7.6525289838397903</c:v>
                </c:pt>
                <c:pt idx="1">
                  <c:v>4.7220215315432101</c:v>
                </c:pt>
                <c:pt idx="2">
                  <c:v>8.4884327337147596</c:v>
                </c:pt>
                <c:pt idx="3">
                  <c:v>19.6536618053293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C-428E-8408-A010AE42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822792"/>
        <c:axId val="1015828040"/>
      </c:scatterChart>
      <c:valAx>
        <c:axId val="101582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28040"/>
        <c:crosses val="autoZero"/>
        <c:crossBetween val="midCat"/>
      </c:valAx>
      <c:valAx>
        <c:axId val="101582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2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1123950</xdr:colOff>
      <xdr:row>1</xdr:row>
      <xdr:rowOff>152400</xdr:rowOff>
    </xdr:from>
    <xdr:to>
      <xdr:col>10</xdr:col>
      <xdr:colOff>122555</xdr:colOff>
      <xdr:row>19</xdr:row>
      <xdr:rowOff>161290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59DBB-5B36-4B30-8541-76EE2CC58E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342900"/>
          <a:ext cx="5932805" cy="34378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43</xdr:row>
      <xdr:rowOff>157161</xdr:rowOff>
    </xdr:from>
    <xdr:to>
      <xdr:col>6</xdr:col>
      <xdr:colOff>180975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1F866-1F13-43BC-8470-2BDCD8F4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38</xdr:row>
      <xdr:rowOff>4761</xdr:rowOff>
    </xdr:from>
    <xdr:to>
      <xdr:col>6</xdr:col>
      <xdr:colOff>171450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F9E4F-FB78-47B0-900D-D42C01201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14</xdr:col>
      <xdr:colOff>771526</xdr:colOff>
      <xdr:row>59</xdr:row>
      <xdr:rowOff>71439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41FE5-B40F-4C6C-9E0F-14DDAC4D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38</xdr:row>
      <xdr:rowOff>80962</xdr:rowOff>
    </xdr:from>
    <xdr:to>
      <xdr:col>14</xdr:col>
      <xdr:colOff>219075</xdr:colOff>
      <xdr:row>52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97A9D-7531-4FE8-A85A-2CBCD1D52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9F2B-7087-4934-A45C-FABA18F4C7A8}">
  <dimension ref="D5:D15"/>
  <sheetViews>
    <sheetView workbookViewId="0">
      <selection activeCell="D16" sqref="D16"/>
    </sheetView>
  </sheetViews>
  <sheetFormatPr defaultRowHeight="15" x14ac:dyDescent="0.25"/>
  <sheetData>
    <row r="5" spans="4:4" x14ac:dyDescent="0.25">
      <c r="D5" t="s">
        <v>105</v>
      </c>
    </row>
    <row r="6" spans="4:4" x14ac:dyDescent="0.25">
      <c r="D6" t="s">
        <v>106</v>
      </c>
    </row>
    <row r="7" spans="4:4" x14ac:dyDescent="0.25">
      <c r="D7" t="s">
        <v>108</v>
      </c>
    </row>
    <row r="8" spans="4:4" x14ac:dyDescent="0.25">
      <c r="D8" t="s">
        <v>107</v>
      </c>
    </row>
    <row r="11" spans="4:4" x14ac:dyDescent="0.25">
      <c r="D11" t="s">
        <v>73</v>
      </c>
    </row>
    <row r="12" spans="4:4" x14ac:dyDescent="0.25">
      <c r="D12" t="s">
        <v>74</v>
      </c>
    </row>
    <row r="13" spans="4:4" x14ac:dyDescent="0.25">
      <c r="D13" t="s">
        <v>109</v>
      </c>
    </row>
    <row r="14" spans="4:4" x14ac:dyDescent="0.25">
      <c r="D14" t="s">
        <v>111</v>
      </c>
    </row>
    <row r="15" spans="4:4" x14ac:dyDescent="0.25">
      <c r="D15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2092-C654-4DC7-A178-74A4ADAA7F66}">
  <dimension ref="D6:Q23"/>
  <sheetViews>
    <sheetView workbookViewId="0">
      <selection activeCell="G7" sqref="G7"/>
    </sheetView>
  </sheetViews>
  <sheetFormatPr defaultRowHeight="15" x14ac:dyDescent="0.25"/>
  <cols>
    <col min="10" max="17" width="14.140625" customWidth="1"/>
  </cols>
  <sheetData>
    <row r="6" spans="4:17" s="5" customFormat="1" ht="30" x14ac:dyDescent="0.25">
      <c r="D6" s="5" t="s">
        <v>52</v>
      </c>
      <c r="E6" s="5" t="s">
        <v>54</v>
      </c>
      <c r="F6" s="5" t="s">
        <v>55</v>
      </c>
      <c r="G6" s="5" t="s">
        <v>53</v>
      </c>
      <c r="I6" s="5" t="s">
        <v>56</v>
      </c>
      <c r="J6" s="5" t="s">
        <v>57</v>
      </c>
      <c r="K6" s="5" t="s">
        <v>58</v>
      </c>
      <c r="L6" s="5" t="s">
        <v>60</v>
      </c>
      <c r="M6" s="5" t="s">
        <v>59</v>
      </c>
      <c r="N6" s="5" t="s">
        <v>72</v>
      </c>
      <c r="O6" s="5" t="s">
        <v>69</v>
      </c>
      <c r="P6" s="5" t="s">
        <v>70</v>
      </c>
      <c r="Q6" s="5" t="s">
        <v>71</v>
      </c>
    </row>
    <row r="7" spans="4:17" x14ac:dyDescent="0.25">
      <c r="N7" s="3">
        <f>Losses!E$34</f>
        <v>0.22899999999999998</v>
      </c>
    </row>
    <row r="8" spans="4:17" x14ac:dyDescent="0.25">
      <c r="N8" s="3">
        <f>Losses!E$34</f>
        <v>0.22899999999999998</v>
      </c>
    </row>
    <row r="9" spans="4:17" x14ac:dyDescent="0.25">
      <c r="N9" s="3">
        <f>Losses!E$34</f>
        <v>0.22899999999999998</v>
      </c>
    </row>
    <row r="10" spans="4:17" x14ac:dyDescent="0.25">
      <c r="N10" s="3">
        <f>Losses!E$34</f>
        <v>0.22899999999999998</v>
      </c>
    </row>
    <row r="11" spans="4:17" x14ac:dyDescent="0.25">
      <c r="N11" s="3">
        <f>Losses!E$34</f>
        <v>0.22899999999999998</v>
      </c>
    </row>
    <row r="12" spans="4:17" x14ac:dyDescent="0.25">
      <c r="N12" s="3">
        <f>Losses!E$34</f>
        <v>0.22899999999999998</v>
      </c>
    </row>
    <row r="13" spans="4:17" x14ac:dyDescent="0.25">
      <c r="N13" s="3">
        <f>Losses!E$34</f>
        <v>0.22899999999999998</v>
      </c>
    </row>
    <row r="14" spans="4:17" x14ac:dyDescent="0.25">
      <c r="N14" s="3">
        <f>Losses!E$34</f>
        <v>0.22899999999999998</v>
      </c>
    </row>
    <row r="15" spans="4:17" x14ac:dyDescent="0.25">
      <c r="N15" s="3">
        <f>Losses!E$34</f>
        <v>0.22899999999999998</v>
      </c>
    </row>
    <row r="16" spans="4:17" x14ac:dyDescent="0.25">
      <c r="N16" s="3">
        <f>Losses!E$34</f>
        <v>0.22899999999999998</v>
      </c>
    </row>
    <row r="17" spans="14:14" x14ac:dyDescent="0.25">
      <c r="N17" s="3">
        <f>Losses!E$34</f>
        <v>0.22899999999999998</v>
      </c>
    </row>
    <row r="18" spans="14:14" x14ac:dyDescent="0.25">
      <c r="N18" s="3">
        <f>Losses!E$34</f>
        <v>0.22899999999999998</v>
      </c>
    </row>
    <row r="19" spans="14:14" x14ac:dyDescent="0.25">
      <c r="N19" s="3">
        <f>Losses!E$34</f>
        <v>0.22899999999999998</v>
      </c>
    </row>
    <row r="20" spans="14:14" x14ac:dyDescent="0.25">
      <c r="N20" s="3">
        <f>Losses!E$34</f>
        <v>0.22899999999999998</v>
      </c>
    </row>
    <row r="21" spans="14:14" x14ac:dyDescent="0.25">
      <c r="N21" s="3">
        <f>Losses!E$34</f>
        <v>0.22899999999999998</v>
      </c>
    </row>
    <row r="22" spans="14:14" x14ac:dyDescent="0.25">
      <c r="N22" s="3">
        <f>Losses!E$34</f>
        <v>0.22899999999999998</v>
      </c>
    </row>
    <row r="23" spans="14:14" x14ac:dyDescent="0.25">
      <c r="N23" s="3">
        <f>Losses!E$34</f>
        <v>0.22899999999999998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3D56-1B17-458D-8342-09AEA0D18338}">
  <dimension ref="D24:E34"/>
  <sheetViews>
    <sheetView workbookViewId="0">
      <selection activeCell="O17" sqref="O17"/>
    </sheetView>
  </sheetViews>
  <sheetFormatPr defaultRowHeight="15" x14ac:dyDescent="0.25"/>
  <cols>
    <col min="4" max="4" width="49.140625" bestFit="1" customWidth="1"/>
  </cols>
  <sheetData>
    <row r="24" spans="4:5" x14ac:dyDescent="0.25">
      <c r="D24" s="16" t="s">
        <v>136</v>
      </c>
      <c r="E24" s="16"/>
    </row>
    <row r="25" spans="4:5" x14ac:dyDescent="0.25">
      <c r="D25" s="9" t="s">
        <v>124</v>
      </c>
      <c r="E25" s="9">
        <v>9</v>
      </c>
    </row>
    <row r="26" spans="4:5" x14ac:dyDescent="0.25">
      <c r="D26" s="9" t="s">
        <v>61</v>
      </c>
      <c r="E26" s="9">
        <v>0</v>
      </c>
    </row>
    <row r="27" spans="4:5" x14ac:dyDescent="0.25">
      <c r="D27" s="9" t="s">
        <v>62</v>
      </c>
      <c r="E27" s="9">
        <v>2.7</v>
      </c>
    </row>
    <row r="28" spans="4:5" x14ac:dyDescent="0.25">
      <c r="D28" s="9" t="s">
        <v>63</v>
      </c>
      <c r="E28" s="9">
        <v>3</v>
      </c>
    </row>
    <row r="29" spans="4:5" x14ac:dyDescent="0.25">
      <c r="D29" s="9" t="s">
        <v>64</v>
      </c>
      <c r="E29" s="9">
        <v>3.3</v>
      </c>
    </row>
    <row r="30" spans="4:5" x14ac:dyDescent="0.25">
      <c r="D30" s="9" t="s">
        <v>65</v>
      </c>
      <c r="E30" s="9">
        <v>4.9000000000000004</v>
      </c>
    </row>
    <row r="31" spans="4:5" x14ac:dyDescent="0.25">
      <c r="D31" s="9" t="s">
        <v>66</v>
      </c>
      <c r="E31" s="9">
        <v>6.9</v>
      </c>
    </row>
    <row r="32" spans="4:5" x14ac:dyDescent="0.25">
      <c r="D32" s="9" t="s">
        <v>67</v>
      </c>
      <c r="E32" s="10">
        <f>SUM(E25:E31)/100</f>
        <v>0.29799999999999999</v>
      </c>
    </row>
    <row r="33" spans="4:5" x14ac:dyDescent="0.25">
      <c r="D33" s="9"/>
      <c r="E33" s="9"/>
    </row>
    <row r="34" spans="4:5" x14ac:dyDescent="0.25">
      <c r="D34" s="9" t="s">
        <v>68</v>
      </c>
      <c r="E34" s="11">
        <f>E32-(E31/100)</f>
        <v>0.22899999999999998</v>
      </c>
    </row>
  </sheetData>
  <mergeCells count="1">
    <mergeCell ref="D24:E24"/>
  </mergeCells>
  <pageMargins left="0.7" right="0.7" top="0.75" bottom="0.75" header="0.3" footer="0.3"/>
  <pageSetup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0818-2837-42A0-B3DA-C55F228F5499}">
  <sheetPr filterMode="1"/>
  <dimension ref="A1:P37"/>
  <sheetViews>
    <sheetView workbookViewId="0">
      <selection activeCell="J48" sqref="J47:J48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hidden="1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hidden="1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hidden="1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hidden="1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hidden="1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hidden="1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hidden="1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hidden="1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hidden="1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1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885A-6373-4264-B5FD-74941481BE06}">
  <sheetPr filterMode="1"/>
  <dimension ref="A1:P37"/>
  <sheetViews>
    <sheetView workbookViewId="0">
      <selection activeCell="I39" sqref="I39"/>
    </sheetView>
  </sheetViews>
  <sheetFormatPr defaultRowHeight="15" x14ac:dyDescent="0.25"/>
  <cols>
    <col min="1" max="1" width="36" bestFit="1" customWidth="1"/>
    <col min="2" max="2" width="12.85546875" bestFit="1" customWidth="1"/>
    <col min="3" max="3" width="14.7109375" bestFit="1" customWidth="1"/>
    <col min="4" max="4" width="8.85546875" bestFit="1" customWidth="1"/>
    <col min="5" max="5" width="10.140625" bestFit="1" customWidth="1"/>
    <col min="6" max="6" width="12.28515625" bestFit="1" customWidth="1"/>
    <col min="7" max="7" width="7.7109375" bestFit="1" customWidth="1"/>
    <col min="8" max="8" width="14.140625" bestFit="1" customWidth="1"/>
    <col min="9" max="9" width="13.140625" bestFit="1" customWidth="1"/>
    <col min="10" max="12" width="12" bestFit="1" customWidth="1"/>
    <col min="13" max="13" width="17.42578125" bestFit="1" customWidth="1"/>
    <col min="14" max="14" width="12.85546875" bestFit="1" customWidth="1"/>
    <col min="15" max="15" width="13.85546875" bestFit="1" customWidth="1"/>
    <col min="16" max="16" width="1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idden="1" x14ac:dyDescent="0.25">
      <c r="A2" t="s">
        <v>16</v>
      </c>
      <c r="B2" s="2">
        <v>3015.9289474461998</v>
      </c>
      <c r="C2">
        <v>150</v>
      </c>
      <c r="D2">
        <v>49</v>
      </c>
      <c r="E2">
        <v>160</v>
      </c>
      <c r="F2">
        <v>10</v>
      </c>
      <c r="G2">
        <v>6</v>
      </c>
      <c r="H2" s="1">
        <v>588.84147133986301</v>
      </c>
      <c r="I2" s="1">
        <v>565.45252041922095</v>
      </c>
      <c r="J2" s="1">
        <v>568.49401715634895</v>
      </c>
      <c r="K2" s="1">
        <v>96.027971523910907</v>
      </c>
      <c r="L2" s="1">
        <v>96.544493692467896</v>
      </c>
      <c r="M2" s="1">
        <v>3.9720284760890898</v>
      </c>
      <c r="N2" s="1">
        <v>3.45550630753208</v>
      </c>
      <c r="O2" s="1">
        <v>0.53788720136444301</v>
      </c>
      <c r="P2" s="1">
        <v>13.003989565190199</v>
      </c>
    </row>
    <row r="3" spans="1:16" hidden="1" x14ac:dyDescent="0.25">
      <c r="A3" t="s">
        <v>17</v>
      </c>
      <c r="B3" s="2">
        <v>4021.2385965949302</v>
      </c>
      <c r="C3">
        <v>200</v>
      </c>
      <c r="D3">
        <v>49</v>
      </c>
      <c r="E3">
        <v>160</v>
      </c>
      <c r="F3">
        <v>10</v>
      </c>
      <c r="G3">
        <v>6</v>
      </c>
      <c r="H3" s="1">
        <v>661.50439996498403</v>
      </c>
      <c r="I3" s="1">
        <v>630.26801976653201</v>
      </c>
      <c r="J3" s="1">
        <v>634.19766874057404</v>
      </c>
      <c r="K3" s="1">
        <v>95.277978468456695</v>
      </c>
      <c r="L3" s="1">
        <v>95.872025760394607</v>
      </c>
      <c r="M3" s="1">
        <v>4.7220215315432101</v>
      </c>
      <c r="N3" s="1">
        <v>4.1279742396053303</v>
      </c>
      <c r="O3" s="1">
        <v>0.62348855578894302</v>
      </c>
      <c r="P3" s="1">
        <v>12.5803596609975</v>
      </c>
    </row>
    <row r="4" spans="1:16" x14ac:dyDescent="0.25">
      <c r="A4" t="s">
        <v>18</v>
      </c>
      <c r="B4" s="2">
        <v>5026.5482457436601</v>
      </c>
      <c r="C4">
        <v>250</v>
      </c>
      <c r="D4">
        <v>49</v>
      </c>
      <c r="E4">
        <v>160</v>
      </c>
      <c r="F4">
        <v>10</v>
      </c>
      <c r="G4">
        <v>6</v>
      </c>
      <c r="H4" s="1">
        <v>708.97184897965599</v>
      </c>
      <c r="I4" s="1">
        <v>670.95274435674696</v>
      </c>
      <c r="J4" s="1">
        <v>675.667015638002</v>
      </c>
      <c r="K4" s="1">
        <v>94.637430995655805</v>
      </c>
      <c r="L4" s="1">
        <v>95.302375772806002</v>
      </c>
      <c r="M4" s="1">
        <v>5.3625690043441496</v>
      </c>
      <c r="N4" s="1">
        <v>4.6976242271939697</v>
      </c>
      <c r="O4" s="1">
        <v>0.70262344418531397</v>
      </c>
      <c r="P4" s="1">
        <v>12.3997430450128</v>
      </c>
    </row>
    <row r="5" spans="1:16" hidden="1" x14ac:dyDescent="0.25">
      <c r="A5" t="s">
        <v>19</v>
      </c>
      <c r="B5" s="2">
        <v>6031.8578948923996</v>
      </c>
      <c r="C5">
        <v>300</v>
      </c>
      <c r="D5">
        <v>49</v>
      </c>
      <c r="E5">
        <v>160</v>
      </c>
      <c r="F5">
        <v>10</v>
      </c>
      <c r="G5">
        <v>6</v>
      </c>
      <c r="H5" s="1">
        <v>739.48142832450003</v>
      </c>
      <c r="I5" s="1">
        <v>696.48693587378398</v>
      </c>
      <c r="J5" s="1">
        <v>701.69272969460405</v>
      </c>
      <c r="K5" s="1">
        <v>94.185859062325207</v>
      </c>
      <c r="L5" s="1">
        <v>94.889838042921895</v>
      </c>
      <c r="M5" s="1">
        <v>5.8141409376747202</v>
      </c>
      <c r="N5" s="1">
        <v>5.1101619570780601</v>
      </c>
      <c r="O5" s="1">
        <v>0.74743596077499297</v>
      </c>
      <c r="P5" s="1">
        <v>12.1080480872933</v>
      </c>
    </row>
    <row r="6" spans="1:16" hidden="1" x14ac:dyDescent="0.25">
      <c r="A6" t="s">
        <v>20</v>
      </c>
      <c r="B6" s="2">
        <v>3015.9289474461998</v>
      </c>
      <c r="C6">
        <v>150</v>
      </c>
      <c r="D6">
        <v>49</v>
      </c>
      <c r="E6">
        <v>160</v>
      </c>
      <c r="F6">
        <v>10</v>
      </c>
      <c r="G6">
        <v>7.5</v>
      </c>
      <c r="H6" s="1">
        <v>787.55559943513094</v>
      </c>
      <c r="I6" s="1">
        <v>767.99573808836101</v>
      </c>
      <c r="J6" s="1">
        <v>770.68465315364904</v>
      </c>
      <c r="K6" s="1">
        <v>97.516383432382497</v>
      </c>
      <c r="L6" s="1">
        <v>97.857808859008401</v>
      </c>
      <c r="M6" s="1">
        <v>2.48361656761743</v>
      </c>
      <c r="N6" s="1">
        <v>2.14219114099151</v>
      </c>
      <c r="O6" s="1">
        <v>0.35012109207542402</v>
      </c>
      <c r="P6" s="1">
        <v>13.7471069841289</v>
      </c>
    </row>
    <row r="7" spans="1:16" hidden="1" x14ac:dyDescent="0.25">
      <c r="A7" t="s">
        <v>21</v>
      </c>
      <c r="B7" s="2">
        <v>4021.2385965949302</v>
      </c>
      <c r="C7">
        <v>200</v>
      </c>
      <c r="D7">
        <v>49</v>
      </c>
      <c r="E7">
        <v>160</v>
      </c>
      <c r="F7">
        <v>10</v>
      </c>
      <c r="G7">
        <v>7.5</v>
      </c>
      <c r="H7" s="1">
        <v>943.19765269533605</v>
      </c>
      <c r="I7" s="1">
        <v>914.64554003854005</v>
      </c>
      <c r="J7" s="1">
        <v>918.47528376818502</v>
      </c>
      <c r="K7" s="1">
        <v>96.9728388768564</v>
      </c>
      <c r="L7" s="1">
        <v>97.3788771784468</v>
      </c>
      <c r="M7" s="1">
        <v>3.02716112314355</v>
      </c>
      <c r="N7" s="1">
        <v>2.6211228215531399</v>
      </c>
      <c r="O7" s="1">
        <v>0.41871343181571402</v>
      </c>
      <c r="P7" s="1">
        <v>13.4131711221487</v>
      </c>
    </row>
    <row r="8" spans="1:16" x14ac:dyDescent="0.25">
      <c r="A8" t="s">
        <v>30</v>
      </c>
      <c r="B8" s="2">
        <v>5026.5482457436601</v>
      </c>
      <c r="C8">
        <v>250</v>
      </c>
      <c r="D8">
        <v>49</v>
      </c>
      <c r="E8">
        <v>160</v>
      </c>
      <c r="F8">
        <v>4</v>
      </c>
      <c r="G8">
        <v>6</v>
      </c>
      <c r="H8" s="1">
        <v>708.97184897965599</v>
      </c>
      <c r="I8" s="1">
        <v>556.563246052713</v>
      </c>
      <c r="J8" s="1">
        <v>601.022366589542</v>
      </c>
      <c r="K8" s="1">
        <v>78.502869592595601</v>
      </c>
      <c r="L8" s="1">
        <v>84.7737984878421</v>
      </c>
      <c r="M8" s="1">
        <v>21.497130407404299</v>
      </c>
      <c r="N8" s="1">
        <v>15.2262015121578</v>
      </c>
      <c r="O8" s="1">
        <v>7.9881524430769799</v>
      </c>
      <c r="P8" s="1">
        <v>29.1710045778321</v>
      </c>
    </row>
    <row r="9" spans="1:16" hidden="1" x14ac:dyDescent="0.25">
      <c r="A9" t="s">
        <v>23</v>
      </c>
      <c r="B9" s="2">
        <v>6031.8578948923996</v>
      </c>
      <c r="C9">
        <v>300</v>
      </c>
      <c r="D9">
        <v>49</v>
      </c>
      <c r="E9">
        <v>160</v>
      </c>
      <c r="F9">
        <v>10</v>
      </c>
      <c r="G9">
        <v>7.5</v>
      </c>
      <c r="H9" s="1">
        <v>1167.5372750935801</v>
      </c>
      <c r="I9" s="1">
        <v>1121.17757873802</v>
      </c>
      <c r="J9" s="1">
        <v>1127.8620303349801</v>
      </c>
      <c r="K9" s="1">
        <v>96.029274838197594</v>
      </c>
      <c r="L9" s="1">
        <v>96.601800593011703</v>
      </c>
      <c r="M9" s="1">
        <v>3.97072516180235</v>
      </c>
      <c r="N9" s="1">
        <v>3.39819940698822</v>
      </c>
      <c r="O9" s="1">
        <v>0.59619918590326504</v>
      </c>
      <c r="P9" s="1">
        <v>14.4186699276426</v>
      </c>
    </row>
    <row r="10" spans="1:16" hidden="1" x14ac:dyDescent="0.25">
      <c r="A10" t="s">
        <v>24</v>
      </c>
      <c r="B10" s="2">
        <v>3015.9289474461998</v>
      </c>
      <c r="C10">
        <v>150</v>
      </c>
      <c r="D10">
        <v>49</v>
      </c>
      <c r="E10">
        <v>160</v>
      </c>
      <c r="F10">
        <v>10</v>
      </c>
      <c r="G10">
        <v>9</v>
      </c>
      <c r="H10" s="1">
        <v>911.54517986154599</v>
      </c>
      <c r="I10" s="1">
        <v>896.49082764135699</v>
      </c>
      <c r="J10" s="1">
        <v>898.31828429853601</v>
      </c>
      <c r="K10" s="1">
        <v>98.348479861143502</v>
      </c>
      <c r="L10" s="1">
        <v>98.548958860709504</v>
      </c>
      <c r="M10" s="1">
        <v>1.65152013885649</v>
      </c>
      <c r="N10" s="1">
        <v>1.4510411392904801</v>
      </c>
      <c r="O10" s="1">
        <v>0.203845549874342</v>
      </c>
      <c r="P10" s="1">
        <v>12.139058728331401</v>
      </c>
    </row>
    <row r="11" spans="1:16" hidden="1" x14ac:dyDescent="0.25">
      <c r="A11" t="s">
        <v>25</v>
      </c>
      <c r="B11" s="2">
        <v>4021.2385965949302</v>
      </c>
      <c r="C11">
        <v>200</v>
      </c>
      <c r="D11">
        <v>49</v>
      </c>
      <c r="E11">
        <v>160</v>
      </c>
      <c r="F11">
        <v>10</v>
      </c>
      <c r="G11">
        <v>9</v>
      </c>
      <c r="H11" s="1">
        <v>1137.7166366122899</v>
      </c>
      <c r="I11" s="1">
        <v>1112.1452050970699</v>
      </c>
      <c r="J11" s="1">
        <v>1115.4103357511301</v>
      </c>
      <c r="K11" s="1">
        <v>97.752390121378497</v>
      </c>
      <c r="L11" s="1">
        <v>98.039379917342004</v>
      </c>
      <c r="M11" s="1">
        <v>2.2476098786214198</v>
      </c>
      <c r="N11" s="1">
        <v>1.9606200826579001</v>
      </c>
      <c r="O11" s="1">
        <v>0.29358852055399798</v>
      </c>
      <c r="P11" s="1">
        <v>12.7686658923009</v>
      </c>
    </row>
    <row r="12" spans="1:16" x14ac:dyDescent="0.25">
      <c r="A12" t="s">
        <v>42</v>
      </c>
      <c r="B12" s="2">
        <v>5026.5482457436601</v>
      </c>
      <c r="C12">
        <v>250</v>
      </c>
      <c r="D12">
        <v>49</v>
      </c>
      <c r="E12">
        <v>160</v>
      </c>
      <c r="F12">
        <v>7</v>
      </c>
      <c r="G12">
        <v>6</v>
      </c>
      <c r="H12" s="1">
        <v>708.97184897965599</v>
      </c>
      <c r="I12" s="1">
        <v>641.48851068849297</v>
      </c>
      <c r="J12" s="1">
        <v>655.36931516287996</v>
      </c>
      <c r="K12" s="1">
        <v>90.481520755967395</v>
      </c>
      <c r="L12" s="1">
        <v>92.439398842997804</v>
      </c>
      <c r="M12" s="1">
        <v>9.5184792440325907</v>
      </c>
      <c r="N12" s="1">
        <v>7.5606011570021998</v>
      </c>
      <c r="O12" s="1">
        <v>2.1638430374207198</v>
      </c>
      <c r="P12" s="1">
        <v>20.569232088811201</v>
      </c>
    </row>
    <row r="13" spans="1:16" hidden="1" x14ac:dyDescent="0.25">
      <c r="A13" t="s">
        <v>27</v>
      </c>
      <c r="B13" s="2">
        <v>6031.8578948923996</v>
      </c>
      <c r="C13">
        <v>300</v>
      </c>
      <c r="D13">
        <v>49</v>
      </c>
      <c r="E13">
        <v>160</v>
      </c>
      <c r="F13">
        <v>10</v>
      </c>
      <c r="G13">
        <v>9</v>
      </c>
      <c r="H13" s="1">
        <v>1498.49127476684</v>
      </c>
      <c r="I13" s="1">
        <v>1455.1707942555699</v>
      </c>
      <c r="J13" s="1">
        <v>1460.7767731519</v>
      </c>
      <c r="K13" s="1">
        <v>97.109060210043097</v>
      </c>
      <c r="L13" s="1">
        <v>97.483168420796503</v>
      </c>
      <c r="M13" s="1">
        <v>2.8909397899568501</v>
      </c>
      <c r="N13" s="1">
        <v>2.5168315792034601</v>
      </c>
      <c r="O13" s="1">
        <v>0.38524542400494</v>
      </c>
      <c r="P13" s="1">
        <v>12.940712637912799</v>
      </c>
    </row>
    <row r="14" spans="1:16" hidden="1" x14ac:dyDescent="0.25">
      <c r="A14" t="s">
        <v>28</v>
      </c>
      <c r="B14" s="2">
        <v>3015.9289474461998</v>
      </c>
      <c r="C14">
        <v>150</v>
      </c>
      <c r="D14">
        <v>49</v>
      </c>
      <c r="E14">
        <v>160</v>
      </c>
      <c r="F14">
        <v>4</v>
      </c>
      <c r="G14">
        <v>6</v>
      </c>
      <c r="H14" s="1">
        <v>588.84147133986301</v>
      </c>
      <c r="I14" s="1">
        <v>487.84479000731301</v>
      </c>
      <c r="J14" s="1">
        <v>519.92764518617196</v>
      </c>
      <c r="K14" s="1">
        <v>82.848239085005304</v>
      </c>
      <c r="L14" s="1">
        <v>88.296709809368096</v>
      </c>
      <c r="M14" s="1">
        <v>17.1517609149946</v>
      </c>
      <c r="N14" s="1">
        <v>11.703290190631799</v>
      </c>
      <c r="O14" s="1">
        <v>6.5764472299434402</v>
      </c>
      <c r="P14" s="1">
        <v>31.7662469256991</v>
      </c>
    </row>
    <row r="15" spans="1:16" hidden="1" x14ac:dyDescent="0.25">
      <c r="A15" t="s">
        <v>29</v>
      </c>
      <c r="B15" s="2">
        <v>4021.2385965949302</v>
      </c>
      <c r="C15">
        <v>200</v>
      </c>
      <c r="D15">
        <v>49</v>
      </c>
      <c r="E15">
        <v>160</v>
      </c>
      <c r="F15">
        <v>4</v>
      </c>
      <c r="G15">
        <v>6</v>
      </c>
      <c r="H15" s="1">
        <v>661.50439996498403</v>
      </c>
      <c r="I15" s="1">
        <v>531.49456236849301</v>
      </c>
      <c r="J15" s="1">
        <v>571.27148989080695</v>
      </c>
      <c r="K15" s="1">
        <v>80.346338194670594</v>
      </c>
      <c r="L15" s="1">
        <v>86.359439169421506</v>
      </c>
      <c r="M15" s="1">
        <v>19.6536618053293</v>
      </c>
      <c r="N15" s="1">
        <v>13.6405608305784</v>
      </c>
      <c r="O15" s="1">
        <v>7.4839763825723402</v>
      </c>
      <c r="P15" s="1">
        <v>30.595321290815701</v>
      </c>
    </row>
    <row r="16" spans="1:16" x14ac:dyDescent="0.25">
      <c r="A16" t="s">
        <v>22</v>
      </c>
      <c r="B16" s="2">
        <v>5026.5482457436601</v>
      </c>
      <c r="C16">
        <v>250</v>
      </c>
      <c r="D16">
        <v>49</v>
      </c>
      <c r="E16">
        <v>160</v>
      </c>
      <c r="F16">
        <v>10</v>
      </c>
      <c r="G16">
        <v>7.5</v>
      </c>
      <c r="H16" s="1">
        <v>1068.1891342823899</v>
      </c>
      <c r="I16" s="1">
        <v>1029.66618527174</v>
      </c>
      <c r="J16" s="1">
        <v>1034.8768601964</v>
      </c>
      <c r="K16" s="1">
        <v>96.393620963339302</v>
      </c>
      <c r="L16" s="1">
        <v>96.881425487597099</v>
      </c>
      <c r="M16" s="1">
        <v>3.6063790366606301</v>
      </c>
      <c r="N16" s="1">
        <v>3.1185745124028399</v>
      </c>
      <c r="O16" s="1">
        <v>0.50605477767383</v>
      </c>
      <c r="P16" s="1">
        <v>13.5261579356747</v>
      </c>
    </row>
    <row r="17" spans="1:16" hidden="1" x14ac:dyDescent="0.25">
      <c r="A17" t="s">
        <v>31</v>
      </c>
      <c r="B17" s="2">
        <v>6031.8578948923996</v>
      </c>
      <c r="C17">
        <v>300</v>
      </c>
      <c r="D17">
        <v>49</v>
      </c>
      <c r="E17">
        <v>160</v>
      </c>
      <c r="F17">
        <v>4</v>
      </c>
      <c r="G17">
        <v>6</v>
      </c>
      <c r="H17" s="1">
        <v>739.48142832450003</v>
      </c>
      <c r="I17" s="1">
        <v>571.37988901107099</v>
      </c>
      <c r="J17" s="1">
        <v>619.64563685133101</v>
      </c>
      <c r="K17" s="1">
        <v>77.267645558819495</v>
      </c>
      <c r="L17" s="1">
        <v>83.794617838518207</v>
      </c>
      <c r="M17" s="1">
        <v>22.732354441180401</v>
      </c>
      <c r="N17" s="1">
        <v>16.205382161481701</v>
      </c>
      <c r="O17" s="1">
        <v>8.4472255269252603</v>
      </c>
      <c r="P17" s="1">
        <v>28.712258101496499</v>
      </c>
    </row>
    <row r="18" spans="1:16" hidden="1" x14ac:dyDescent="0.25">
      <c r="A18" t="s">
        <v>32</v>
      </c>
      <c r="B18" s="2">
        <v>3015.9289474461998</v>
      </c>
      <c r="C18">
        <v>150</v>
      </c>
      <c r="D18">
        <v>49</v>
      </c>
      <c r="E18">
        <v>160</v>
      </c>
      <c r="F18">
        <v>4</v>
      </c>
      <c r="G18">
        <v>7.5</v>
      </c>
      <c r="H18" s="1">
        <v>787.55559943513094</v>
      </c>
      <c r="I18" s="1">
        <v>697.69843710913096</v>
      </c>
      <c r="J18" s="1">
        <v>728.38380279114097</v>
      </c>
      <c r="K18" s="1">
        <v>88.590372236518903</v>
      </c>
      <c r="L18" s="1">
        <v>92.486651521945703</v>
      </c>
      <c r="M18" s="1">
        <v>11.409627763481</v>
      </c>
      <c r="N18" s="1">
        <v>7.5133484780542199</v>
      </c>
      <c r="O18" s="1">
        <v>4.39808433700279</v>
      </c>
      <c r="P18" s="1">
        <v>34.149048209072099</v>
      </c>
    </row>
    <row r="19" spans="1:16" hidden="1" x14ac:dyDescent="0.25">
      <c r="A19" t="s">
        <v>33</v>
      </c>
      <c r="B19" s="2">
        <v>4021.2385965949302</v>
      </c>
      <c r="C19">
        <v>200</v>
      </c>
      <c r="D19">
        <v>49</v>
      </c>
      <c r="E19">
        <v>160</v>
      </c>
      <c r="F19">
        <v>4</v>
      </c>
      <c r="G19">
        <v>7.5</v>
      </c>
      <c r="H19" s="1">
        <v>943.19765269533605</v>
      </c>
      <c r="I19" s="1">
        <v>814.62124488188601</v>
      </c>
      <c r="J19" s="1">
        <v>858.64363455135594</v>
      </c>
      <c r="K19" s="1">
        <v>86.368031404019803</v>
      </c>
      <c r="L19" s="1">
        <v>91.035387132023303</v>
      </c>
      <c r="M19" s="1">
        <v>13.6319685959801</v>
      </c>
      <c r="N19" s="1">
        <v>8.9646128679766104</v>
      </c>
      <c r="O19" s="1">
        <v>5.4040316215732496</v>
      </c>
      <c r="P19" s="1">
        <v>34.238310447545103</v>
      </c>
    </row>
    <row r="20" spans="1:16" x14ac:dyDescent="0.25">
      <c r="A20" t="s">
        <v>34</v>
      </c>
      <c r="B20" s="2">
        <v>5026.5482457436601</v>
      </c>
      <c r="C20">
        <v>250</v>
      </c>
      <c r="D20">
        <v>49</v>
      </c>
      <c r="E20">
        <v>160</v>
      </c>
      <c r="F20">
        <v>4</v>
      </c>
      <c r="G20">
        <v>7.5</v>
      </c>
      <c r="H20" s="1">
        <v>1068.1891342823899</v>
      </c>
      <c r="I20" s="1">
        <v>900.04620505447895</v>
      </c>
      <c r="J20" s="1">
        <v>954.47428183638101</v>
      </c>
      <c r="K20" s="1">
        <v>84.259067628424106</v>
      </c>
      <c r="L20" s="1">
        <v>89.354427151853997</v>
      </c>
      <c r="M20" s="1">
        <v>15.7409323715758</v>
      </c>
      <c r="N20" s="1">
        <v>10.6455728481459</v>
      </c>
      <c r="O20" s="1">
        <v>6.0472536272298196</v>
      </c>
      <c r="P20" s="1">
        <v>32.370125245127397</v>
      </c>
    </row>
    <row r="21" spans="1:16" hidden="1" x14ac:dyDescent="0.25">
      <c r="A21" t="s">
        <v>35</v>
      </c>
      <c r="B21" s="2">
        <v>6031.8578948923996</v>
      </c>
      <c r="C21">
        <v>300</v>
      </c>
      <c r="D21">
        <v>49</v>
      </c>
      <c r="E21">
        <v>160</v>
      </c>
      <c r="F21">
        <v>4</v>
      </c>
      <c r="G21">
        <v>7.5</v>
      </c>
      <c r="H21" s="1">
        <v>1167.5372750935801</v>
      </c>
      <c r="I21" s="1">
        <v>963.47005191899302</v>
      </c>
      <c r="J21" s="1">
        <v>1028.24402996808</v>
      </c>
      <c r="K21" s="1">
        <v>82.521566760407296</v>
      </c>
      <c r="L21" s="1">
        <v>88.069481968844798</v>
      </c>
      <c r="M21" s="1">
        <v>17.478433239592601</v>
      </c>
      <c r="N21" s="1">
        <v>11.930518031155099</v>
      </c>
      <c r="O21" s="1">
        <v>6.7229882153659002</v>
      </c>
      <c r="P21" s="1">
        <v>31.741490397836099</v>
      </c>
    </row>
    <row r="22" spans="1:16" hidden="1" x14ac:dyDescent="0.25">
      <c r="A22" t="s">
        <v>36</v>
      </c>
      <c r="B22" s="2">
        <v>3015.9289474461998</v>
      </c>
      <c r="C22">
        <v>150</v>
      </c>
      <c r="D22">
        <v>49</v>
      </c>
      <c r="E22">
        <v>160</v>
      </c>
      <c r="F22">
        <v>4</v>
      </c>
      <c r="G22">
        <v>9</v>
      </c>
      <c r="H22" s="1">
        <v>911.54517986154599</v>
      </c>
      <c r="I22" s="1">
        <v>841.78892077184696</v>
      </c>
      <c r="J22" s="1">
        <v>866.82820706903101</v>
      </c>
      <c r="K22" s="1">
        <v>92.347471016160199</v>
      </c>
      <c r="L22" s="1">
        <v>95.094376693505396</v>
      </c>
      <c r="M22" s="1">
        <v>7.6525289838397903</v>
      </c>
      <c r="N22" s="1">
        <v>4.9056233064945403</v>
      </c>
      <c r="O22" s="1">
        <v>2.97453265056338</v>
      </c>
      <c r="P22" s="1">
        <v>35.895397235946596</v>
      </c>
    </row>
    <row r="23" spans="1:16" hidden="1" x14ac:dyDescent="0.25">
      <c r="A23" t="s">
        <v>37</v>
      </c>
      <c r="B23" s="2">
        <v>4021.2385965949302</v>
      </c>
      <c r="C23">
        <v>200</v>
      </c>
      <c r="D23">
        <v>49</v>
      </c>
      <c r="E23">
        <v>160</v>
      </c>
      <c r="F23">
        <v>4</v>
      </c>
      <c r="G23">
        <v>9</v>
      </c>
      <c r="H23" s="1">
        <v>1137.7166366122899</v>
      </c>
      <c r="I23" s="1">
        <v>1026.9372584037101</v>
      </c>
      <c r="J23" s="1">
        <v>1063.0290213659</v>
      </c>
      <c r="K23" s="1">
        <v>90.263007971963802</v>
      </c>
      <c r="L23" s="1">
        <v>93.435306046962594</v>
      </c>
      <c r="M23" s="1">
        <v>9.7369920280361608</v>
      </c>
      <c r="N23" s="1">
        <v>6.5646939530373096</v>
      </c>
      <c r="O23" s="1">
        <v>3.514505162496</v>
      </c>
      <c r="P23" s="1">
        <v>32.579856960596302</v>
      </c>
    </row>
    <row r="24" spans="1:16" x14ac:dyDescent="0.25">
      <c r="A24" t="s">
        <v>46</v>
      </c>
      <c r="B24" s="2">
        <v>5026.5482457436601</v>
      </c>
      <c r="C24">
        <v>250</v>
      </c>
      <c r="D24">
        <v>49</v>
      </c>
      <c r="E24">
        <v>160</v>
      </c>
      <c r="F24">
        <v>7</v>
      </c>
      <c r="G24">
        <v>7.5</v>
      </c>
      <c r="H24" s="1">
        <v>1068.1891342823899</v>
      </c>
      <c r="I24" s="1">
        <v>997.93671539944501</v>
      </c>
      <c r="J24" s="1">
        <v>1013.29854904732</v>
      </c>
      <c r="K24" s="1">
        <v>93.423222851808603</v>
      </c>
      <c r="L24" s="1">
        <v>94.861342109424598</v>
      </c>
      <c r="M24" s="1">
        <v>6.5767771481913497</v>
      </c>
      <c r="N24" s="1">
        <v>5.1386578905753399</v>
      </c>
      <c r="O24" s="1">
        <v>1.5393595015419199</v>
      </c>
      <c r="P24" s="1">
        <v>21.866625935645299</v>
      </c>
    </row>
    <row r="25" spans="1:16" hidden="1" x14ac:dyDescent="0.25">
      <c r="A25" t="s">
        <v>39</v>
      </c>
      <c r="B25" s="2">
        <v>6031.8578948923996</v>
      </c>
      <c r="C25">
        <v>300</v>
      </c>
      <c r="D25">
        <v>49</v>
      </c>
      <c r="E25">
        <v>160</v>
      </c>
      <c r="F25">
        <v>4</v>
      </c>
      <c r="G25">
        <v>9</v>
      </c>
      <c r="H25" s="1">
        <v>1498.49127476684</v>
      </c>
      <c r="I25" s="1">
        <v>1310.0605815147801</v>
      </c>
      <c r="J25" s="1">
        <v>1371.8553194982701</v>
      </c>
      <c r="K25" s="1">
        <v>87.425305944382401</v>
      </c>
      <c r="L25" s="1">
        <v>91.549102927658495</v>
      </c>
      <c r="M25" s="1">
        <v>12.574694055617501</v>
      </c>
      <c r="N25" s="1">
        <v>8.4508970723414496</v>
      </c>
      <c r="O25" s="1">
        <v>4.7169374344534702</v>
      </c>
      <c r="P25" s="1">
        <v>32.794412055168998</v>
      </c>
    </row>
    <row r="26" spans="1:16" hidden="1" x14ac:dyDescent="0.25">
      <c r="A26" t="s">
        <v>40</v>
      </c>
      <c r="B26" s="2">
        <v>3015.9289474461998</v>
      </c>
      <c r="C26">
        <v>150</v>
      </c>
      <c r="D26">
        <v>49</v>
      </c>
      <c r="E26">
        <v>160</v>
      </c>
      <c r="F26">
        <v>7</v>
      </c>
      <c r="G26">
        <v>6</v>
      </c>
      <c r="H26" s="1">
        <v>588.84147133986301</v>
      </c>
      <c r="I26" s="1">
        <v>546.21430941320102</v>
      </c>
      <c r="J26" s="1">
        <v>555.26244446811995</v>
      </c>
      <c r="K26" s="1">
        <v>92.760842433589602</v>
      </c>
      <c r="L26" s="1">
        <v>94.297441925186405</v>
      </c>
      <c r="M26" s="1">
        <v>7.2391575664103698</v>
      </c>
      <c r="N26" s="1">
        <v>5.70255807481354</v>
      </c>
      <c r="O26" s="1">
        <v>1.6565173960089099</v>
      </c>
      <c r="P26" s="1">
        <v>21.226219729304301</v>
      </c>
    </row>
    <row r="27" spans="1:16" hidden="1" x14ac:dyDescent="0.25">
      <c r="A27" t="s">
        <v>41</v>
      </c>
      <c r="B27" s="2">
        <v>4021.2385965949302</v>
      </c>
      <c r="C27">
        <v>200</v>
      </c>
      <c r="D27">
        <v>49</v>
      </c>
      <c r="E27">
        <v>160</v>
      </c>
      <c r="F27">
        <v>7</v>
      </c>
      <c r="G27">
        <v>6</v>
      </c>
      <c r="H27" s="1">
        <v>661.50439996498403</v>
      </c>
      <c r="I27" s="1">
        <v>605.353043943393</v>
      </c>
      <c r="J27" s="1">
        <v>617.35439828227902</v>
      </c>
      <c r="K27" s="1">
        <v>91.511567266285198</v>
      </c>
      <c r="L27" s="1">
        <v>93.325818893261697</v>
      </c>
      <c r="M27" s="1">
        <v>8.4884327337147596</v>
      </c>
      <c r="N27" s="1">
        <v>6.6741811067382102</v>
      </c>
      <c r="O27" s="1">
        <v>1.98253803445126</v>
      </c>
      <c r="P27" s="1">
        <v>21.373222641803</v>
      </c>
    </row>
    <row r="28" spans="1:16" x14ac:dyDescent="0.25">
      <c r="A28" t="s">
        <v>26</v>
      </c>
      <c r="B28" s="2">
        <v>5026.5482457436601</v>
      </c>
      <c r="C28">
        <v>250</v>
      </c>
      <c r="D28">
        <v>49</v>
      </c>
      <c r="E28">
        <v>160</v>
      </c>
      <c r="F28">
        <v>10</v>
      </c>
      <c r="G28">
        <v>9</v>
      </c>
      <c r="H28" s="1">
        <v>1325.8988221786899</v>
      </c>
      <c r="I28" s="1">
        <v>1295.35628323586</v>
      </c>
      <c r="J28" s="1">
        <v>1299.95681962667</v>
      </c>
      <c r="K28" s="1">
        <v>97.696465338686707</v>
      </c>
      <c r="L28" s="1">
        <v>98.043440259688396</v>
      </c>
      <c r="M28" s="1">
        <v>2.3035346613132099</v>
      </c>
      <c r="N28" s="1">
        <v>1.95655974031159</v>
      </c>
      <c r="O28" s="1">
        <v>0.35515606403850197</v>
      </c>
      <c r="P28" s="1">
        <v>15.0627176065071</v>
      </c>
    </row>
    <row r="29" spans="1:16" hidden="1" x14ac:dyDescent="0.25">
      <c r="A29" t="s">
        <v>43</v>
      </c>
      <c r="B29" s="2">
        <v>6031.8578948923996</v>
      </c>
      <c r="C29">
        <v>300</v>
      </c>
      <c r="D29">
        <v>49</v>
      </c>
      <c r="E29">
        <v>160</v>
      </c>
      <c r="F29">
        <v>7</v>
      </c>
      <c r="G29">
        <v>6</v>
      </c>
      <c r="H29" s="1">
        <v>739.48142832450003</v>
      </c>
      <c r="I29" s="1">
        <v>663.89696127589195</v>
      </c>
      <c r="J29" s="1">
        <v>678.65373890672697</v>
      </c>
      <c r="K29" s="1">
        <v>89.778720039005506</v>
      </c>
      <c r="L29" s="1">
        <v>91.774277610244297</v>
      </c>
      <c r="M29" s="1">
        <v>10.2212799609944</v>
      </c>
      <c r="N29" s="1">
        <v>8.2257223897557008</v>
      </c>
      <c r="O29" s="1">
        <v>2.2227511935698998</v>
      </c>
      <c r="P29" s="1">
        <v>19.5235584863543</v>
      </c>
    </row>
    <row r="30" spans="1:16" hidden="1" x14ac:dyDescent="0.25">
      <c r="A30" t="s">
        <v>44</v>
      </c>
      <c r="B30" s="2">
        <v>3015.9289474461998</v>
      </c>
      <c r="C30">
        <v>150</v>
      </c>
      <c r="D30">
        <v>49</v>
      </c>
      <c r="E30">
        <v>160</v>
      </c>
      <c r="F30">
        <v>7</v>
      </c>
      <c r="G30">
        <v>7.5</v>
      </c>
      <c r="H30" s="1">
        <v>787.55559943513094</v>
      </c>
      <c r="I30" s="1">
        <v>751.27368514472596</v>
      </c>
      <c r="J30" s="1">
        <v>759.25125201896503</v>
      </c>
      <c r="K30" s="1">
        <v>95.393098047118499</v>
      </c>
      <c r="L30" s="1">
        <v>96.406050895140893</v>
      </c>
      <c r="M30" s="1">
        <v>4.6069019528814898</v>
      </c>
      <c r="N30" s="1">
        <v>3.5939491048590599</v>
      </c>
      <c r="O30" s="1">
        <v>1.0618722619974901</v>
      </c>
      <c r="P30" s="1">
        <v>21.987723168035998</v>
      </c>
    </row>
    <row r="31" spans="1:16" hidden="1" x14ac:dyDescent="0.25">
      <c r="A31" t="s">
        <v>45</v>
      </c>
      <c r="B31" s="2">
        <v>4021.2385965949302</v>
      </c>
      <c r="C31">
        <v>200</v>
      </c>
      <c r="D31">
        <v>49</v>
      </c>
      <c r="E31">
        <v>160</v>
      </c>
      <c r="F31">
        <v>7</v>
      </c>
      <c r="G31">
        <v>7.5</v>
      </c>
      <c r="H31" s="1">
        <v>943.19765269533605</v>
      </c>
      <c r="I31" s="1">
        <v>890.78224843999703</v>
      </c>
      <c r="J31" s="1">
        <v>902.51282071136598</v>
      </c>
      <c r="K31" s="1">
        <v>94.4427974236838</v>
      </c>
      <c r="L31" s="1">
        <v>95.686499869067006</v>
      </c>
      <c r="M31" s="1">
        <v>5.5572025763161204</v>
      </c>
      <c r="N31" s="1">
        <v>4.3135001309329297</v>
      </c>
      <c r="O31" s="1">
        <v>1.31688437796241</v>
      </c>
      <c r="P31" s="1">
        <v>22.3800091557511</v>
      </c>
    </row>
    <row r="32" spans="1:16" x14ac:dyDescent="0.25">
      <c r="A32" t="s">
        <v>38</v>
      </c>
      <c r="B32" s="2">
        <v>5026.5482457436601</v>
      </c>
      <c r="C32">
        <v>250</v>
      </c>
      <c r="D32">
        <v>49</v>
      </c>
      <c r="E32">
        <v>160</v>
      </c>
      <c r="F32">
        <v>4</v>
      </c>
      <c r="G32">
        <v>9</v>
      </c>
      <c r="H32" s="1">
        <v>1325.8988221786899</v>
      </c>
      <c r="I32" s="1">
        <v>1179.72285593011</v>
      </c>
      <c r="J32" s="1">
        <v>1230.4736326490699</v>
      </c>
      <c r="K32" s="1">
        <v>88.975330258730907</v>
      </c>
      <c r="L32" s="1">
        <v>92.802981047013802</v>
      </c>
      <c r="M32" s="1">
        <v>11.024669741268999</v>
      </c>
      <c r="N32" s="1">
        <v>7.1970189529861601</v>
      </c>
      <c r="O32" s="1">
        <v>4.30192366485457</v>
      </c>
      <c r="P32" s="1">
        <v>34.718961003926303</v>
      </c>
    </row>
    <row r="33" spans="1:16" hidden="1" x14ac:dyDescent="0.25">
      <c r="A33" t="s">
        <v>47</v>
      </c>
      <c r="B33" s="2">
        <v>6031.8578948923996</v>
      </c>
      <c r="C33">
        <v>300</v>
      </c>
      <c r="D33">
        <v>49</v>
      </c>
      <c r="E33">
        <v>160</v>
      </c>
      <c r="F33">
        <v>7</v>
      </c>
      <c r="G33">
        <v>7.5</v>
      </c>
      <c r="H33" s="1">
        <v>1167.5372750935801</v>
      </c>
      <c r="I33" s="1">
        <v>1081.7954023571399</v>
      </c>
      <c r="J33" s="1">
        <v>1101.58107828485</v>
      </c>
      <c r="K33" s="1">
        <v>92.656176846296404</v>
      </c>
      <c r="L33" s="1">
        <v>94.350827316974303</v>
      </c>
      <c r="M33" s="1">
        <v>7.3438231537035996</v>
      </c>
      <c r="N33" s="1">
        <v>5.6491726830256601</v>
      </c>
      <c r="O33" s="1">
        <v>1.82896653883002</v>
      </c>
      <c r="P33" s="1">
        <v>23.075861648755801</v>
      </c>
    </row>
    <row r="34" spans="1:16" hidden="1" x14ac:dyDescent="0.25">
      <c r="A34" t="s">
        <v>48</v>
      </c>
      <c r="B34" s="2">
        <v>3015.9289474461998</v>
      </c>
      <c r="C34">
        <v>150</v>
      </c>
      <c r="D34">
        <v>49</v>
      </c>
      <c r="E34">
        <v>160</v>
      </c>
      <c r="F34">
        <v>7</v>
      </c>
      <c r="G34">
        <v>9</v>
      </c>
      <c r="H34" s="1">
        <v>911.54517986154599</v>
      </c>
      <c r="I34" s="1">
        <v>883.83324907072097</v>
      </c>
      <c r="J34" s="1">
        <v>890.33037082590999</v>
      </c>
      <c r="K34" s="1">
        <v>96.959894977993898</v>
      </c>
      <c r="L34" s="1">
        <v>97.672654136698</v>
      </c>
      <c r="M34" s="1">
        <v>3.0401050220060899</v>
      </c>
      <c r="N34" s="1">
        <v>2.3273458633019901</v>
      </c>
      <c r="O34" s="1">
        <v>0.73510718928260599</v>
      </c>
      <c r="P34" s="1">
        <v>23.445215002268501</v>
      </c>
    </row>
    <row r="35" spans="1:16" hidden="1" x14ac:dyDescent="0.25">
      <c r="A35" t="s">
        <v>49</v>
      </c>
      <c r="B35" s="2">
        <v>4021.2385965949302</v>
      </c>
      <c r="C35">
        <v>200</v>
      </c>
      <c r="D35">
        <v>49</v>
      </c>
      <c r="E35">
        <v>160</v>
      </c>
      <c r="F35">
        <v>7</v>
      </c>
      <c r="G35">
        <v>9</v>
      </c>
      <c r="H35" s="1">
        <v>1137.7166366122899</v>
      </c>
      <c r="I35" s="1">
        <v>1091.7843770898</v>
      </c>
      <c r="J35" s="1">
        <v>1101.26690340509</v>
      </c>
      <c r="K35" s="1">
        <v>95.962768052749496</v>
      </c>
      <c r="L35" s="1">
        <v>96.796238005647794</v>
      </c>
      <c r="M35" s="1">
        <v>4.0372319472504099</v>
      </c>
      <c r="N35" s="1">
        <v>3.20376199435213</v>
      </c>
      <c r="O35" s="1">
        <v>0.86853471383832004</v>
      </c>
      <c r="P35" s="1">
        <v>20.6445892578928</v>
      </c>
    </row>
    <row r="36" spans="1:16" x14ac:dyDescent="0.25">
      <c r="A36" t="s">
        <v>50</v>
      </c>
      <c r="B36" s="2">
        <v>5026.5482457436601</v>
      </c>
      <c r="C36">
        <v>250</v>
      </c>
      <c r="D36">
        <v>49</v>
      </c>
      <c r="E36">
        <v>160</v>
      </c>
      <c r="F36">
        <v>7</v>
      </c>
      <c r="G36">
        <v>9</v>
      </c>
      <c r="H36" s="1">
        <v>1325.8988221786899</v>
      </c>
      <c r="I36" s="1">
        <v>1268.5321997865601</v>
      </c>
      <c r="J36" s="1">
        <v>1282.6418987412201</v>
      </c>
      <c r="K36" s="1">
        <v>95.673378584206802</v>
      </c>
      <c r="L36" s="1">
        <v>96.7375396437576</v>
      </c>
      <c r="M36" s="1">
        <v>4.32662141579313</v>
      </c>
      <c r="N36" s="1">
        <v>3.2624603562423999</v>
      </c>
      <c r="O36" s="1">
        <v>1.1122854395845401</v>
      </c>
      <c r="P36" s="1">
        <v>24.595659228845399</v>
      </c>
    </row>
    <row r="37" spans="1:16" hidden="1" x14ac:dyDescent="0.25">
      <c r="A37" t="s">
        <v>51</v>
      </c>
      <c r="B37" s="2">
        <v>6031.8578948923996</v>
      </c>
      <c r="C37">
        <v>300</v>
      </c>
      <c r="D37">
        <v>49</v>
      </c>
      <c r="E37">
        <v>160</v>
      </c>
      <c r="F37">
        <v>7</v>
      </c>
      <c r="G37">
        <v>9</v>
      </c>
      <c r="H37" s="1">
        <v>1498.49127476684</v>
      </c>
      <c r="I37" s="1">
        <v>1420.39539886749</v>
      </c>
      <c r="J37" s="1">
        <v>1435.9276616659599</v>
      </c>
      <c r="K37" s="1">
        <v>94.788366324555398</v>
      </c>
      <c r="L37" s="1">
        <v>95.824893067154306</v>
      </c>
      <c r="M37" s="1">
        <v>5.2116336754445998</v>
      </c>
      <c r="N37" s="1">
        <v>4.1751069328456101</v>
      </c>
      <c r="O37" s="1">
        <v>1.0935168341755299</v>
      </c>
      <c r="P37" s="1">
        <v>19.888710664426299</v>
      </c>
    </row>
  </sheetData>
  <autoFilter ref="A1:P37" xr:uid="{16F10658-AB88-432F-A948-31FCC000212C}">
    <filterColumn colId="2">
      <filters>
        <filter val="250"/>
      </filters>
    </filterColumn>
    <sortState xmlns:xlrd2="http://schemas.microsoft.com/office/spreadsheetml/2017/richdata2" ref="A4:P36">
      <sortCondition ref="G1:G37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D371-7DDA-4F46-861F-060AC71A68DC}">
  <dimension ref="A1:AK37"/>
  <sheetViews>
    <sheetView tabSelected="1" topLeftCell="B1" workbookViewId="0">
      <selection activeCell="N2" sqref="N2"/>
    </sheetView>
  </sheetViews>
  <sheetFormatPr defaultRowHeight="15" x14ac:dyDescent="0.25"/>
  <cols>
    <col min="1" max="1" width="36" bestFit="1" customWidth="1"/>
    <col min="2" max="2" width="8.85546875" customWidth="1"/>
    <col min="3" max="3" width="9.85546875" customWidth="1"/>
    <col min="4" max="4" width="9.42578125" customWidth="1"/>
    <col min="5" max="5" width="7.28515625" customWidth="1"/>
    <col min="6" max="6" width="7.140625" customWidth="1"/>
    <col min="7" max="7" width="9.140625" customWidth="1"/>
    <col min="8" max="8" width="10" bestFit="1" customWidth="1"/>
    <col min="9" max="9" width="8.7109375" customWidth="1"/>
    <col min="10" max="10" width="7.85546875" customWidth="1"/>
    <col min="11" max="11" width="8.5703125" customWidth="1"/>
    <col min="12" max="12" width="9.140625" customWidth="1"/>
    <col min="13" max="14" width="9" customWidth="1"/>
    <col min="15" max="15" width="8.140625" customWidth="1"/>
    <col min="16" max="16" width="9.140625" bestFit="1" customWidth="1"/>
    <col min="17" max="17" width="11" customWidth="1"/>
    <col min="18" max="18" width="8.85546875" customWidth="1"/>
    <col min="19" max="19" width="9.5703125" customWidth="1"/>
    <col min="20" max="20" width="9.85546875" customWidth="1"/>
    <col min="21" max="21" width="8.85546875" customWidth="1"/>
    <col min="22" max="22" width="10" customWidth="1"/>
    <col min="23" max="23" width="10" style="6" customWidth="1"/>
    <col min="24" max="25" width="10" customWidth="1"/>
    <col min="26" max="26" width="10" style="6" customWidth="1"/>
    <col min="27" max="30" width="10.7109375" customWidth="1"/>
    <col min="31" max="31" width="9.5703125" bestFit="1" customWidth="1"/>
    <col min="33" max="33" width="10.7109375" customWidth="1"/>
    <col min="34" max="34" width="9.5703125" bestFit="1" customWidth="1"/>
  </cols>
  <sheetData>
    <row r="1" spans="1:37" ht="120" x14ac:dyDescent="0.25">
      <c r="A1" t="s">
        <v>0</v>
      </c>
      <c r="B1" s="5" t="s">
        <v>123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114</v>
      </c>
      <c r="J1" s="5" t="s">
        <v>115</v>
      </c>
      <c r="K1" s="5" t="s">
        <v>117</v>
      </c>
      <c r="L1" s="5" t="s">
        <v>116</v>
      </c>
      <c r="M1" s="5" t="s">
        <v>118</v>
      </c>
      <c r="N1" s="5" t="s">
        <v>138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101</v>
      </c>
      <c r="V1" s="5" t="s">
        <v>126</v>
      </c>
      <c r="W1" s="8" t="s">
        <v>133</v>
      </c>
      <c r="X1" s="5" t="s">
        <v>127</v>
      </c>
      <c r="Y1" s="5" t="s">
        <v>125</v>
      </c>
      <c r="Z1" s="8" t="s">
        <v>134</v>
      </c>
      <c r="AA1" s="5" t="s">
        <v>104</v>
      </c>
      <c r="AB1" s="5" t="s">
        <v>112</v>
      </c>
      <c r="AC1" s="5" t="s">
        <v>113</v>
      </c>
      <c r="AD1" s="5" t="s">
        <v>128</v>
      </c>
      <c r="AE1" s="5" t="s">
        <v>129</v>
      </c>
      <c r="AF1" s="5" t="s">
        <v>135</v>
      </c>
      <c r="AG1" s="5" t="s">
        <v>130</v>
      </c>
      <c r="AH1" s="5" t="s">
        <v>131</v>
      </c>
      <c r="AI1" s="5" t="s">
        <v>132</v>
      </c>
      <c r="AJ1" t="s">
        <v>103</v>
      </c>
      <c r="AK1" t="s">
        <v>102</v>
      </c>
    </row>
    <row r="2" spans="1:37" x14ac:dyDescent="0.25">
      <c r="A2" t="s">
        <v>16</v>
      </c>
      <c r="B2" s="7" t="str">
        <f t="shared" ref="B2:B37" si="0">ROUND(C2,0)&amp;""&amp;G2</f>
        <v>301610</v>
      </c>
      <c r="C2" s="2">
        <v>3015.9289474461998</v>
      </c>
      <c r="D2">
        <v>150</v>
      </c>
      <c r="E2">
        <v>49</v>
      </c>
      <c r="F2">
        <v>160</v>
      </c>
      <c r="G2">
        <v>10</v>
      </c>
      <c r="H2">
        <v>6</v>
      </c>
      <c r="I2" s="1">
        <v>588.84147133986301</v>
      </c>
      <c r="J2" s="1">
        <v>565.45252041922095</v>
      </c>
      <c r="K2" s="1">
        <f t="shared" ref="K2:K37" si="1">(J2*1000)/(E2*C2/1000)</f>
        <v>3826.2994774017834</v>
      </c>
      <c r="L2" s="1">
        <v>568.49401715634895</v>
      </c>
      <c r="M2" s="1">
        <f t="shared" ref="M2:M37" si="2">(L2*1000)/(E2*C2/1000)</f>
        <v>3846.8806525766049</v>
      </c>
      <c r="N2" s="1">
        <f>((L2-J2)/J2)*100</f>
        <v>0.5378872013645043</v>
      </c>
      <c r="O2" s="1">
        <v>96.027971523910907</v>
      </c>
      <c r="P2" s="1">
        <v>96.544493692467896</v>
      </c>
      <c r="Q2" s="1">
        <v>3.9720284760890898</v>
      </c>
      <c r="R2" s="1">
        <v>3.45550630753208</v>
      </c>
      <c r="S2" s="1">
        <v>0.53788720136444301</v>
      </c>
      <c r="T2" s="1">
        <v>13.003989565190199</v>
      </c>
      <c r="U2" s="2">
        <f>VLOOKUP(B2,'BOS Cost Totals'!$D$30:$E$41,2,FALSE)</f>
        <v>462.09535447299999</v>
      </c>
      <c r="V2" s="3">
        <f t="shared" ref="V2:V37" si="3">U2/(U2+X2)</f>
        <v>0.313690049371118</v>
      </c>
      <c r="X2" s="2">
        <v>1011</v>
      </c>
      <c r="Y2" s="2">
        <v>600</v>
      </c>
      <c r="AA2" s="4">
        <f>Losses!$E$34</f>
        <v>0.22899999999999998</v>
      </c>
      <c r="AB2" s="4">
        <f t="shared" ref="AB2:AB37" si="4">((Q2/100)+AA2)</f>
        <v>0.26872028476089088</v>
      </c>
      <c r="AC2" s="4">
        <f t="shared" ref="AC2:AC37" si="5">((R2/100)+AA2)</f>
        <v>0.26355506307532078</v>
      </c>
      <c r="AD2" s="1">
        <f t="shared" ref="AD2:AD37" si="6">(((U2+X2)*$AJ$2)+$AK$2)/((K2*(1-AB2))/1000)</f>
        <v>55.209755555541399</v>
      </c>
      <c r="AE2" s="1">
        <f t="shared" ref="AE2:AE37" si="7">(((U2+X2)*$AJ$2)+$AK$2)/((M2*(1-AC2))/1000)</f>
        <v>54.529223840173948</v>
      </c>
      <c r="AF2" s="6">
        <f>(AE2-AD2)/AD2</f>
        <v>-1.2326294665130896E-2</v>
      </c>
      <c r="AG2" s="1">
        <f t="shared" ref="AG2:AG37" si="8">(((U2+Y2)*$AJ$2)+$AK$2)/((K2*(1-AB2))/1000)</f>
        <v>44.193332638503421</v>
      </c>
      <c r="AH2" s="1">
        <f t="shared" ref="AH2:AH37" si="9">(((U2+Y2)*$AJ$2)+$AK$2)/((K2*(1-AC2))/1000)</f>
        <v>43.883372791328362</v>
      </c>
      <c r="AI2" s="6">
        <f>(AH2-AG2)/AG2</f>
        <v>-7.0137242128919201E-3</v>
      </c>
      <c r="AJ2">
        <v>7.4999999999999997E-2</v>
      </c>
      <c r="AK2">
        <v>44</v>
      </c>
    </row>
    <row r="3" spans="1:37" x14ac:dyDescent="0.25">
      <c r="A3" t="s">
        <v>40</v>
      </c>
      <c r="B3" s="7" t="str">
        <f t="shared" si="0"/>
        <v>30167</v>
      </c>
      <c r="C3" s="2">
        <v>3015.9289474461998</v>
      </c>
      <c r="D3">
        <v>150</v>
      </c>
      <c r="E3">
        <v>49</v>
      </c>
      <c r="F3">
        <v>160</v>
      </c>
      <c r="G3">
        <v>7</v>
      </c>
      <c r="H3">
        <v>6</v>
      </c>
      <c r="I3" s="1">
        <v>588.84147133986301</v>
      </c>
      <c r="J3" s="1">
        <v>546.21430941320102</v>
      </c>
      <c r="K3" s="1">
        <f t="shared" si="1"/>
        <v>3696.1185089556543</v>
      </c>
      <c r="L3" s="1">
        <v>555.26244446811995</v>
      </c>
      <c r="M3" s="1">
        <f t="shared" si="2"/>
        <v>3757.3453550336053</v>
      </c>
      <c r="N3" s="1">
        <f t="shared" ref="N3:N37" si="10">((L3-J3)/J3)*100</f>
        <v>1.6565173960087858</v>
      </c>
      <c r="O3" s="1">
        <v>92.760842433589602</v>
      </c>
      <c r="P3" s="1">
        <v>94.297441925186405</v>
      </c>
      <c r="Q3" s="1">
        <v>7.2391575664103698</v>
      </c>
      <c r="R3" s="1">
        <v>5.70255807481354</v>
      </c>
      <c r="S3" s="1">
        <v>1.6565173960089099</v>
      </c>
      <c r="T3" s="1">
        <v>21.226219729304301</v>
      </c>
      <c r="U3" s="2">
        <f>VLOOKUP(B3,'BOS Cost Totals'!$D$30:$E$41,2,FALSE)</f>
        <v>441.93422628299999</v>
      </c>
      <c r="V3" s="3">
        <f t="shared" si="3"/>
        <v>0.30416671194647787</v>
      </c>
      <c r="W3" s="6">
        <f>(U3-U2)/(U2+X2)</f>
        <v>-1.3686234315233886E-2</v>
      </c>
      <c r="X3" s="2">
        <v>1011</v>
      </c>
      <c r="Y3" s="2">
        <v>600</v>
      </c>
      <c r="Z3" s="6">
        <f>(U3-U2)/(U2+Y2)</f>
        <v>-1.8982408787583605E-2</v>
      </c>
      <c r="AA3" s="4">
        <f>Losses!$E$34</f>
        <v>0.22899999999999998</v>
      </c>
      <c r="AB3" s="4">
        <f t="shared" si="4"/>
        <v>0.30139157566410368</v>
      </c>
      <c r="AC3" s="4">
        <f t="shared" si="5"/>
        <v>0.28602558074813539</v>
      </c>
      <c r="AD3" s="1">
        <f t="shared" si="6"/>
        <v>59.24159609897832</v>
      </c>
      <c r="AE3" s="1">
        <f t="shared" si="7"/>
        <v>57.022032073144317</v>
      </c>
      <c r="AF3" s="6">
        <f t="shared" ref="AF3:AF37" si="11">(AE3-AD3)/AD3</f>
        <v>-3.7466310362834432E-2</v>
      </c>
      <c r="AG3" s="1">
        <f t="shared" si="8"/>
        <v>47.303821370184387</v>
      </c>
      <c r="AH3" s="1">
        <f t="shared" si="9"/>
        <v>46.285759295296913</v>
      </c>
      <c r="AI3" s="6">
        <f t="shared" ref="AI3:AI37" si="12">(AH3-AG3)/AG3</f>
        <v>-2.1521772351549579E-2</v>
      </c>
    </row>
    <row r="4" spans="1:37" x14ac:dyDescent="0.25">
      <c r="A4" t="s">
        <v>28</v>
      </c>
      <c r="B4" s="7" t="str">
        <f t="shared" si="0"/>
        <v>30164</v>
      </c>
      <c r="C4" s="2">
        <v>3015.9289474461998</v>
      </c>
      <c r="D4">
        <v>150</v>
      </c>
      <c r="E4">
        <v>49</v>
      </c>
      <c r="F4">
        <v>160</v>
      </c>
      <c r="G4">
        <v>4</v>
      </c>
      <c r="H4">
        <v>6</v>
      </c>
      <c r="I4" s="1">
        <v>588.84147133986301</v>
      </c>
      <c r="J4" s="1">
        <v>487.84479000731301</v>
      </c>
      <c r="K4" s="1">
        <f t="shared" si="1"/>
        <v>3301.1441237794043</v>
      </c>
      <c r="L4" s="1">
        <v>519.92764518617196</v>
      </c>
      <c r="M4" s="1">
        <f t="shared" si="2"/>
        <v>3518.2421250641332</v>
      </c>
      <c r="N4" s="1">
        <f t="shared" si="10"/>
        <v>6.5764472299433621</v>
      </c>
      <c r="O4" s="1">
        <v>82.848239085005304</v>
      </c>
      <c r="P4" s="1">
        <v>88.296709809368096</v>
      </c>
      <c r="Q4" s="1">
        <v>17.1517609149946</v>
      </c>
      <c r="R4" s="1">
        <v>11.703290190631799</v>
      </c>
      <c r="S4" s="1">
        <v>6.5764472299434402</v>
      </c>
      <c r="T4" s="1">
        <v>31.7662469256991</v>
      </c>
      <c r="U4" s="2">
        <f>VLOOKUP(B4,'BOS Cost Totals'!$D$30:$E$41,2,FALSE)</f>
        <v>418.41799229899999</v>
      </c>
      <c r="V4" s="3">
        <f t="shared" si="3"/>
        <v>0.29271913083033096</v>
      </c>
      <c r="W4" s="6">
        <f>(U4-U3)/(U3+X3)</f>
        <v>-1.6185339679250933E-2</v>
      </c>
      <c r="X4" s="2">
        <v>1011</v>
      </c>
      <c r="Y4" s="2">
        <v>600</v>
      </c>
      <c r="Z4" s="6">
        <f>(U4-U3)/(U3+Y3)</f>
        <v>-2.2569787411525863E-2</v>
      </c>
      <c r="AA4" s="4">
        <f>Losses!$E$34</f>
        <v>0.22899999999999998</v>
      </c>
      <c r="AB4" s="4">
        <f t="shared" si="4"/>
        <v>0.400517609149946</v>
      </c>
      <c r="AC4" s="4">
        <f t="shared" si="5"/>
        <v>0.34603290190631797</v>
      </c>
      <c r="AD4" s="1">
        <f t="shared" si="6"/>
        <v>76.406289940292027</v>
      </c>
      <c r="AE4" s="1">
        <f t="shared" si="7"/>
        <v>65.718615436362967</v>
      </c>
      <c r="AF4" s="6">
        <f t="shared" si="11"/>
        <v>-0.13987951138945473</v>
      </c>
      <c r="AG4" s="1">
        <f t="shared" si="8"/>
        <v>60.830066478738068</v>
      </c>
      <c r="AH4" s="1">
        <f t="shared" si="9"/>
        <v>55.762061722282105</v>
      </c>
      <c r="AI4" s="6">
        <f t="shared" si="12"/>
        <v>-8.331414134205134E-2</v>
      </c>
    </row>
    <row r="5" spans="1:37" x14ac:dyDescent="0.25">
      <c r="A5" t="s">
        <v>20</v>
      </c>
      <c r="B5" s="7" t="str">
        <f t="shared" si="0"/>
        <v>301610</v>
      </c>
      <c r="C5" s="2">
        <v>3015.9289474461998</v>
      </c>
      <c r="D5">
        <v>150</v>
      </c>
      <c r="E5">
        <v>49</v>
      </c>
      <c r="F5">
        <v>160</v>
      </c>
      <c r="G5">
        <v>10</v>
      </c>
      <c r="H5">
        <v>7.5</v>
      </c>
      <c r="I5" s="1">
        <v>787.55559943513094</v>
      </c>
      <c r="J5" s="1">
        <v>767.99573808836101</v>
      </c>
      <c r="K5" s="1">
        <f t="shared" si="1"/>
        <v>5196.8672614911284</v>
      </c>
      <c r="L5" s="1">
        <v>770.68465315364904</v>
      </c>
      <c r="M5" s="1">
        <f t="shared" si="2"/>
        <v>5215.0625899007737</v>
      </c>
      <c r="N5" s="1">
        <f t="shared" si="10"/>
        <v>0.3501210920754691</v>
      </c>
      <c r="O5" s="1">
        <v>97.516383432382497</v>
      </c>
      <c r="P5" s="1">
        <v>97.857808859008401</v>
      </c>
      <c r="Q5" s="1">
        <v>2.48361656761743</v>
      </c>
      <c r="R5" s="1">
        <v>2.14219114099151</v>
      </c>
      <c r="S5" s="1">
        <v>0.35012109207542402</v>
      </c>
      <c r="T5" s="1">
        <v>13.7471069841289</v>
      </c>
      <c r="U5" s="2">
        <f>VLOOKUP(B5,'BOS Cost Totals'!$D$30:$E$41,2,FALSE)</f>
        <v>462.09535447299999</v>
      </c>
      <c r="V5" s="3">
        <f t="shared" si="3"/>
        <v>0.313690049371118</v>
      </c>
      <c r="X5" s="2">
        <v>1011</v>
      </c>
      <c r="Y5" s="2">
        <v>600</v>
      </c>
      <c r="AA5" s="4">
        <f>Losses!$E$34</f>
        <v>0.22899999999999998</v>
      </c>
      <c r="AB5" s="4">
        <f t="shared" si="4"/>
        <v>0.25383616567617429</v>
      </c>
      <c r="AC5" s="4">
        <f t="shared" si="5"/>
        <v>0.2504219114099151</v>
      </c>
      <c r="AD5" s="1">
        <f t="shared" si="6"/>
        <v>39.838455223417263</v>
      </c>
      <c r="AE5" s="1">
        <f t="shared" si="7"/>
        <v>39.518631923286037</v>
      </c>
      <c r="AF5" s="6">
        <f t="shared" si="11"/>
        <v>-8.028004558350248E-3</v>
      </c>
      <c r="AG5" s="1">
        <f t="shared" si="8"/>
        <v>31.88918490540015</v>
      </c>
      <c r="AH5" s="1">
        <f t="shared" si="9"/>
        <v>31.74393281323243</v>
      </c>
      <c r="AI5" s="6">
        <f t="shared" si="12"/>
        <v>-4.5549013748270089E-3</v>
      </c>
    </row>
    <row r="6" spans="1:37" x14ac:dyDescent="0.25">
      <c r="A6" t="s">
        <v>44</v>
      </c>
      <c r="B6" s="7" t="str">
        <f t="shared" si="0"/>
        <v>30167</v>
      </c>
      <c r="C6" s="2">
        <v>3015.9289474461998</v>
      </c>
      <c r="D6">
        <v>150</v>
      </c>
      <c r="E6">
        <v>49</v>
      </c>
      <c r="F6">
        <v>160</v>
      </c>
      <c r="G6">
        <v>7</v>
      </c>
      <c r="H6">
        <v>7.5</v>
      </c>
      <c r="I6" s="1">
        <v>787.55559943513094</v>
      </c>
      <c r="J6" s="1">
        <v>751.27368514472596</v>
      </c>
      <c r="K6" s="1">
        <f t="shared" si="1"/>
        <v>5083.7126107843296</v>
      </c>
      <c r="L6" s="1">
        <v>759.25125201896503</v>
      </c>
      <c r="M6" s="1">
        <f t="shared" si="2"/>
        <v>5137.6951448779237</v>
      </c>
      <c r="N6" s="1">
        <f t="shared" si="10"/>
        <v>1.061872261997606</v>
      </c>
      <c r="O6" s="1">
        <v>95.393098047118499</v>
      </c>
      <c r="P6" s="1">
        <v>96.406050895140893</v>
      </c>
      <c r="Q6" s="1">
        <v>4.6069019528814898</v>
      </c>
      <c r="R6" s="1">
        <v>3.5939491048590599</v>
      </c>
      <c r="S6" s="1">
        <v>1.0618722619974901</v>
      </c>
      <c r="T6" s="1">
        <v>21.987723168035998</v>
      </c>
      <c r="U6" s="2">
        <f>VLOOKUP(B6,'BOS Cost Totals'!$D$30:$E$41,2,FALSE)</f>
        <v>441.93422628299999</v>
      </c>
      <c r="V6" s="3">
        <f t="shared" si="3"/>
        <v>0.30416671194647787</v>
      </c>
      <c r="W6" s="6">
        <f>(U6-U5)/(U5+X5)</f>
        <v>-1.3686234315233886E-2</v>
      </c>
      <c r="X6" s="2">
        <v>1011</v>
      </c>
      <c r="Y6" s="2">
        <v>600</v>
      </c>
      <c r="Z6" s="6">
        <f>(U6-U5)/(U5+Y5)</f>
        <v>-1.8982408787583605E-2</v>
      </c>
      <c r="AA6" s="4">
        <f>Losses!$E$34</f>
        <v>0.22899999999999998</v>
      </c>
      <c r="AB6" s="4">
        <f t="shared" si="4"/>
        <v>0.27506901952881491</v>
      </c>
      <c r="AC6" s="4">
        <f t="shared" si="5"/>
        <v>0.2649394910485906</v>
      </c>
      <c r="AD6" s="1">
        <f t="shared" si="6"/>
        <v>41.507713024976617</v>
      </c>
      <c r="AE6" s="1">
        <f t="shared" si="7"/>
        <v>40.505596756757022</v>
      </c>
      <c r="AF6" s="6">
        <f t="shared" si="11"/>
        <v>-2.4142892855036055E-2</v>
      </c>
      <c r="AG6" s="1">
        <f t="shared" si="8"/>
        <v>33.143493283636083</v>
      </c>
      <c r="AH6" s="1">
        <f t="shared" si="9"/>
        <v>32.686758150864989</v>
      </c>
      <c r="AI6" s="6">
        <f t="shared" si="12"/>
        <v>-1.3780536917531181E-2</v>
      </c>
    </row>
    <row r="7" spans="1:37" x14ac:dyDescent="0.25">
      <c r="A7" t="s">
        <v>32</v>
      </c>
      <c r="B7" s="7" t="str">
        <f t="shared" si="0"/>
        <v>30164</v>
      </c>
      <c r="C7" s="2">
        <v>3015.9289474461998</v>
      </c>
      <c r="D7">
        <v>150</v>
      </c>
      <c r="E7">
        <v>49</v>
      </c>
      <c r="F7">
        <v>160</v>
      </c>
      <c r="G7">
        <v>4</v>
      </c>
      <c r="H7">
        <v>7.5</v>
      </c>
      <c r="I7" s="1">
        <v>787.55559943513094</v>
      </c>
      <c r="J7" s="1">
        <v>697.69843710913096</v>
      </c>
      <c r="K7" s="1">
        <f t="shared" si="1"/>
        <v>4721.1800617945637</v>
      </c>
      <c r="L7" s="1">
        <v>728.38380279114097</v>
      </c>
      <c r="M7" s="1">
        <f t="shared" si="2"/>
        <v>4928.8215426140496</v>
      </c>
      <c r="N7" s="1">
        <f t="shared" si="10"/>
        <v>4.3980843370027971</v>
      </c>
      <c r="O7" s="1">
        <v>88.590372236518903</v>
      </c>
      <c r="P7" s="1">
        <v>92.486651521945703</v>
      </c>
      <c r="Q7" s="1">
        <v>11.409627763481</v>
      </c>
      <c r="R7" s="1">
        <v>7.5133484780542199</v>
      </c>
      <c r="S7" s="1">
        <v>4.39808433700279</v>
      </c>
      <c r="T7" s="1">
        <v>34.149048209072099</v>
      </c>
      <c r="U7" s="2">
        <f>VLOOKUP(B7,'BOS Cost Totals'!$D$30:$E$41,2,FALSE)</f>
        <v>418.41799229899999</v>
      </c>
      <c r="V7" s="3">
        <f t="shared" si="3"/>
        <v>0.29271913083033096</v>
      </c>
      <c r="W7" s="6">
        <f>(U7-U6)/(U6+X6)</f>
        <v>-1.6185339679250933E-2</v>
      </c>
      <c r="X7" s="2">
        <v>1011</v>
      </c>
      <c r="Y7" s="2">
        <v>600</v>
      </c>
      <c r="Z7" s="6">
        <f>(U7-U6)/(U6+Y6)</f>
        <v>-2.2569787411525863E-2</v>
      </c>
      <c r="AA7" s="4">
        <f>Losses!$E$34</f>
        <v>0.22899999999999998</v>
      </c>
      <c r="AB7" s="4">
        <f t="shared" si="4"/>
        <v>0.34309627763480999</v>
      </c>
      <c r="AC7" s="4">
        <f t="shared" si="5"/>
        <v>0.3041334847805422</v>
      </c>
      <c r="AD7" s="1">
        <f t="shared" si="6"/>
        <v>48.754840630236714</v>
      </c>
      <c r="AE7" s="1">
        <f t="shared" si="7"/>
        <v>44.086030362579571</v>
      </c>
      <c r="AF7" s="6">
        <f t="shared" si="11"/>
        <v>-9.5760958446485953E-2</v>
      </c>
      <c r="AG7" s="1">
        <f t="shared" si="8"/>
        <v>38.815655085663543</v>
      </c>
      <c r="AH7" s="1">
        <f t="shared" si="9"/>
        <v>36.642298133535363</v>
      </c>
      <c r="AI7" s="6">
        <f t="shared" si="12"/>
        <v>-5.5991762790856631E-2</v>
      </c>
    </row>
    <row r="8" spans="1:37" x14ac:dyDescent="0.25">
      <c r="A8" t="s">
        <v>24</v>
      </c>
      <c r="B8" s="7" t="str">
        <f t="shared" si="0"/>
        <v>301610</v>
      </c>
      <c r="C8" s="2">
        <v>3015.9289474461998</v>
      </c>
      <c r="D8">
        <v>150</v>
      </c>
      <c r="E8">
        <v>49</v>
      </c>
      <c r="F8">
        <v>160</v>
      </c>
      <c r="G8">
        <v>10</v>
      </c>
      <c r="H8">
        <v>9</v>
      </c>
      <c r="I8" s="1">
        <v>911.54517986154599</v>
      </c>
      <c r="J8" s="1">
        <v>896.49082764135699</v>
      </c>
      <c r="K8" s="1">
        <f t="shared" si="1"/>
        <v>6066.3667795776537</v>
      </c>
      <c r="L8" s="1">
        <v>898.31828429853601</v>
      </c>
      <c r="M8" s="1">
        <f t="shared" si="2"/>
        <v>6078.7327982968818</v>
      </c>
      <c r="N8" s="1">
        <f t="shared" si="10"/>
        <v>0.20384554987439371</v>
      </c>
      <c r="O8" s="1">
        <v>98.348479861143502</v>
      </c>
      <c r="P8" s="1">
        <v>98.548958860709504</v>
      </c>
      <c r="Q8" s="1">
        <v>1.65152013885649</v>
      </c>
      <c r="R8" s="1">
        <v>1.4510411392904801</v>
      </c>
      <c r="S8" s="1">
        <v>0.203845549874342</v>
      </c>
      <c r="T8" s="1">
        <v>12.139058728331401</v>
      </c>
      <c r="U8" s="2">
        <f>VLOOKUP(B8,'BOS Cost Totals'!$D$30:$E$41,2,FALSE)</f>
        <v>462.09535447299999</v>
      </c>
      <c r="V8" s="3">
        <f t="shared" si="3"/>
        <v>0.313690049371118</v>
      </c>
      <c r="X8" s="2">
        <v>1011</v>
      </c>
      <c r="Y8" s="2">
        <v>600</v>
      </c>
      <c r="AA8" s="4">
        <f>Losses!$E$34</f>
        <v>0.22899999999999998</v>
      </c>
      <c r="AB8" s="4">
        <f t="shared" si="4"/>
        <v>0.24551520138856489</v>
      </c>
      <c r="AC8" s="4">
        <f t="shared" si="5"/>
        <v>0.24351041139290477</v>
      </c>
      <c r="AD8" s="1">
        <f t="shared" si="6"/>
        <v>33.751971900735086</v>
      </c>
      <c r="AE8" s="1">
        <f t="shared" si="7"/>
        <v>33.594045078419711</v>
      </c>
      <c r="AF8" s="6">
        <f t="shared" si="11"/>
        <v>-4.6790398729839901E-3</v>
      </c>
      <c r="AG8" s="1">
        <f t="shared" si="8"/>
        <v>27.017183945218409</v>
      </c>
      <c r="AH8" s="1">
        <f t="shared" si="9"/>
        <v>26.945585101162916</v>
      </c>
      <c r="AI8" s="6">
        <f t="shared" si="12"/>
        <v>-2.6501223887978737E-3</v>
      </c>
    </row>
    <row r="9" spans="1:37" x14ac:dyDescent="0.25">
      <c r="A9" t="s">
        <v>48</v>
      </c>
      <c r="B9" s="7" t="str">
        <f t="shared" si="0"/>
        <v>30167</v>
      </c>
      <c r="C9" s="2">
        <v>3015.9289474461998</v>
      </c>
      <c r="D9">
        <v>150</v>
      </c>
      <c r="E9">
        <v>49</v>
      </c>
      <c r="F9">
        <v>160</v>
      </c>
      <c r="G9">
        <v>7</v>
      </c>
      <c r="H9">
        <v>9</v>
      </c>
      <c r="I9" s="1">
        <v>911.54517986154599</v>
      </c>
      <c r="J9" s="1">
        <v>883.83324907072097</v>
      </c>
      <c r="K9" s="1">
        <f t="shared" si="1"/>
        <v>5980.7155807217541</v>
      </c>
      <c r="L9" s="1">
        <v>890.33037082590999</v>
      </c>
      <c r="M9" s="1">
        <f t="shared" si="2"/>
        <v>6024.6802509261852</v>
      </c>
      <c r="N9" s="1">
        <f t="shared" si="10"/>
        <v>0.73510718928261909</v>
      </c>
      <c r="O9" s="1">
        <v>96.959894977993898</v>
      </c>
      <c r="P9" s="1">
        <v>97.672654136698</v>
      </c>
      <c r="Q9" s="1">
        <v>3.0401050220060899</v>
      </c>
      <c r="R9" s="1">
        <v>2.3273458633019901</v>
      </c>
      <c r="S9" s="1">
        <v>0.73510718928260599</v>
      </c>
      <c r="T9" s="1">
        <v>23.445215002268501</v>
      </c>
      <c r="U9" s="2">
        <f>VLOOKUP(B9,'BOS Cost Totals'!$D$30:$E$41,2,FALSE)</f>
        <v>441.93422628299999</v>
      </c>
      <c r="V9" s="3">
        <f t="shared" si="3"/>
        <v>0.30416671194647787</v>
      </c>
      <c r="W9" s="6">
        <f>(U9-U8)/(U8+X8)</f>
        <v>-1.3686234315233886E-2</v>
      </c>
      <c r="X9" s="2">
        <v>1011</v>
      </c>
      <c r="Y9" s="2">
        <v>600</v>
      </c>
      <c r="Z9" s="6">
        <f>(U9-U8)/(U8+Y8)</f>
        <v>-1.8982408787583605E-2</v>
      </c>
      <c r="AA9" s="4">
        <f>Losses!$E$34</f>
        <v>0.22899999999999998</v>
      </c>
      <c r="AB9" s="4">
        <f t="shared" si="4"/>
        <v>0.25940105022006088</v>
      </c>
      <c r="AC9" s="4">
        <f t="shared" si="5"/>
        <v>0.25227345863301986</v>
      </c>
      <c r="AD9" s="1">
        <f t="shared" si="6"/>
        <v>34.535855250488254</v>
      </c>
      <c r="AE9" s="1">
        <f t="shared" si="7"/>
        <v>33.957026822599289</v>
      </c>
      <c r="AF9" s="6">
        <f t="shared" si="11"/>
        <v>-1.6760216988712957E-2</v>
      </c>
      <c r="AG9" s="1">
        <f t="shared" si="8"/>
        <v>27.576534651533724</v>
      </c>
      <c r="AH9" s="1">
        <f t="shared" si="9"/>
        <v>27.313665453360446</v>
      </c>
      <c r="AI9" s="6">
        <f t="shared" si="12"/>
        <v>-9.5323506559101736E-3</v>
      </c>
    </row>
    <row r="10" spans="1:37" x14ac:dyDescent="0.25">
      <c r="A10" t="s">
        <v>36</v>
      </c>
      <c r="B10" s="7" t="str">
        <f t="shared" si="0"/>
        <v>30164</v>
      </c>
      <c r="C10" s="2">
        <v>3015.9289474461998</v>
      </c>
      <c r="D10">
        <v>150</v>
      </c>
      <c r="E10">
        <v>49</v>
      </c>
      <c r="F10">
        <v>160</v>
      </c>
      <c r="G10">
        <v>4</v>
      </c>
      <c r="H10">
        <v>9</v>
      </c>
      <c r="I10" s="1">
        <v>911.54517986154599</v>
      </c>
      <c r="J10" s="1">
        <v>841.78892077184696</v>
      </c>
      <c r="K10" s="1">
        <f t="shared" si="1"/>
        <v>5696.2103648312668</v>
      </c>
      <c r="L10" s="1">
        <v>866.82820706903101</v>
      </c>
      <c r="M10" s="1">
        <f t="shared" si="2"/>
        <v>5865.6460019779497</v>
      </c>
      <c r="N10" s="1">
        <f t="shared" si="10"/>
        <v>2.9745326505634226</v>
      </c>
      <c r="O10" s="1">
        <v>92.347471016160199</v>
      </c>
      <c r="P10" s="1">
        <v>95.094376693505396</v>
      </c>
      <c r="Q10" s="1">
        <v>7.6525289838397903</v>
      </c>
      <c r="R10" s="1">
        <v>4.9056233064945403</v>
      </c>
      <c r="S10" s="1">
        <v>2.97453265056338</v>
      </c>
      <c r="T10" s="1">
        <v>35.895397235946596</v>
      </c>
      <c r="U10" s="2">
        <f>VLOOKUP(B10,'BOS Cost Totals'!$D$30:$E$41,2,FALSE)</f>
        <v>418.41799229899999</v>
      </c>
      <c r="V10" s="3">
        <f t="shared" si="3"/>
        <v>0.29271913083033096</v>
      </c>
      <c r="W10" s="6">
        <f>(U10-U9)/(U9+X9)</f>
        <v>-1.6185339679250933E-2</v>
      </c>
      <c r="X10" s="2">
        <v>1011</v>
      </c>
      <c r="Y10" s="2">
        <v>600</v>
      </c>
      <c r="Z10" s="6">
        <f>(U10-U9)/(U9+Y9)</f>
        <v>-2.2569787411525863E-2</v>
      </c>
      <c r="AA10" s="4">
        <f>Losses!$E$34</f>
        <v>0.22899999999999998</v>
      </c>
      <c r="AB10" s="4">
        <f t="shared" si="4"/>
        <v>0.30552528983839788</v>
      </c>
      <c r="AC10" s="4">
        <f t="shared" si="5"/>
        <v>0.27805623306494537</v>
      </c>
      <c r="AD10" s="1">
        <f t="shared" si="6"/>
        <v>38.223246698924541</v>
      </c>
      <c r="AE10" s="1">
        <f t="shared" si="7"/>
        <v>35.706789877475124</v>
      </c>
      <c r="AF10" s="6">
        <f t="shared" si="11"/>
        <v>-6.5835768512051085E-2</v>
      </c>
      <c r="AG10" s="1">
        <f t="shared" si="8"/>
        <v>30.431037019933321</v>
      </c>
      <c r="AH10" s="1">
        <f t="shared" si="9"/>
        <v>29.27317414769831</v>
      </c>
      <c r="AI10" s="6">
        <f t="shared" si="12"/>
        <v>-3.8048748436557492E-2</v>
      </c>
    </row>
    <row r="11" spans="1:37" x14ac:dyDescent="0.25">
      <c r="A11" t="s">
        <v>17</v>
      </c>
      <c r="B11" s="7" t="str">
        <f t="shared" si="0"/>
        <v>402110</v>
      </c>
      <c r="C11" s="2">
        <v>4021.2385965949302</v>
      </c>
      <c r="D11">
        <v>200</v>
      </c>
      <c r="E11">
        <v>49</v>
      </c>
      <c r="F11">
        <v>160</v>
      </c>
      <c r="G11">
        <v>10</v>
      </c>
      <c r="H11">
        <v>6</v>
      </c>
      <c r="I11" s="1">
        <v>661.50439996498403</v>
      </c>
      <c r="J11" s="1">
        <v>630.26801976653201</v>
      </c>
      <c r="K11" s="1">
        <f t="shared" si="1"/>
        <v>3198.6693500824008</v>
      </c>
      <c r="L11" s="1">
        <v>634.19766874057404</v>
      </c>
      <c r="M11" s="1">
        <f t="shared" si="2"/>
        <v>3218.6126874176939</v>
      </c>
      <c r="N11" s="1">
        <f t="shared" si="10"/>
        <v>0.62348855578896167</v>
      </c>
      <c r="O11" s="1">
        <v>95.277978468456695</v>
      </c>
      <c r="P11" s="1">
        <v>95.872025760394607</v>
      </c>
      <c r="Q11" s="1">
        <v>4.7220215315432101</v>
      </c>
      <c r="R11" s="1">
        <v>4.1279742396053303</v>
      </c>
      <c r="S11" s="1">
        <v>0.62348855578894302</v>
      </c>
      <c r="T11" s="1">
        <v>12.5803596609975</v>
      </c>
      <c r="U11" s="2">
        <f>VLOOKUP(B11,'BOS Cost Totals'!$D$30:$E$41,2,FALSE)</f>
        <v>388.40893315800002</v>
      </c>
      <c r="V11" s="3">
        <f t="shared" si="3"/>
        <v>0.27755213215731755</v>
      </c>
      <c r="X11" s="2">
        <v>1011</v>
      </c>
      <c r="Y11" s="2">
        <v>600</v>
      </c>
      <c r="AA11" s="4">
        <f>Losses!$E$34</f>
        <v>0.22899999999999998</v>
      </c>
      <c r="AB11" s="4">
        <f t="shared" si="4"/>
        <v>0.27622021531543206</v>
      </c>
      <c r="AC11" s="4">
        <f t="shared" si="5"/>
        <v>0.27027974239605329</v>
      </c>
      <c r="AD11" s="1">
        <f t="shared" si="6"/>
        <v>64.340027372761455</v>
      </c>
      <c r="AE11" s="1">
        <f t="shared" si="7"/>
        <v>63.420829440470683</v>
      </c>
      <c r="AF11" s="6">
        <f t="shared" si="11"/>
        <v>-1.4286564209326348E-2</v>
      </c>
      <c r="AG11" s="1">
        <f t="shared" si="8"/>
        <v>51.025453016911428</v>
      </c>
      <c r="AH11" s="1">
        <f t="shared" si="9"/>
        <v>50.610067369209546</v>
      </c>
      <c r="AI11" s="6">
        <f t="shared" si="12"/>
        <v>-8.1407537442971887E-3</v>
      </c>
    </row>
    <row r="12" spans="1:37" x14ac:dyDescent="0.25">
      <c r="A12" t="s">
        <v>41</v>
      </c>
      <c r="B12" s="7" t="str">
        <f t="shared" si="0"/>
        <v>40217</v>
      </c>
      <c r="C12" s="2">
        <v>4021.2385965949302</v>
      </c>
      <c r="D12">
        <v>200</v>
      </c>
      <c r="E12">
        <v>49</v>
      </c>
      <c r="F12">
        <v>160</v>
      </c>
      <c r="G12">
        <v>7</v>
      </c>
      <c r="H12">
        <v>6</v>
      </c>
      <c r="I12" s="1">
        <v>661.50439996498403</v>
      </c>
      <c r="J12" s="1">
        <v>605.353043943393</v>
      </c>
      <c r="K12" s="1">
        <f t="shared" si="1"/>
        <v>3072.2235095445299</v>
      </c>
      <c r="L12" s="1">
        <v>617.35439828227902</v>
      </c>
      <c r="M12" s="1">
        <f t="shared" si="2"/>
        <v>3133.1315091246024</v>
      </c>
      <c r="N12" s="1">
        <f t="shared" si="10"/>
        <v>1.9825380344512273</v>
      </c>
      <c r="O12" s="1">
        <v>91.511567266285198</v>
      </c>
      <c r="P12" s="1">
        <v>93.325818893261697</v>
      </c>
      <c r="Q12" s="1">
        <v>8.4884327337147596</v>
      </c>
      <c r="R12" s="1">
        <v>6.6741811067382102</v>
      </c>
      <c r="S12" s="1">
        <v>1.98253803445126</v>
      </c>
      <c r="T12" s="1">
        <v>21.373222641803</v>
      </c>
      <c r="U12" s="2">
        <f>VLOOKUP(B12,'BOS Cost Totals'!$D$30:$E$41,2,FALSE)</f>
        <v>373.19547786300001</v>
      </c>
      <c r="V12" s="3">
        <f t="shared" si="3"/>
        <v>0.26961183144389439</v>
      </c>
      <c r="W12" s="6">
        <f>(U12-U11)/(U11+X11)</f>
        <v>-1.0871343561219316E-2</v>
      </c>
      <c r="X12" s="2">
        <v>1011</v>
      </c>
      <c r="Y12" s="2">
        <v>600</v>
      </c>
      <c r="Z12" s="6">
        <f>(U12-U11)/(U11+Y11)</f>
        <v>-1.5391863412638847E-2</v>
      </c>
      <c r="AA12" s="4">
        <f>Losses!$E$34</f>
        <v>0.22899999999999998</v>
      </c>
      <c r="AB12" s="4">
        <f t="shared" si="4"/>
        <v>0.31388432733714755</v>
      </c>
      <c r="AC12" s="4">
        <f t="shared" si="5"/>
        <v>0.29574181106738207</v>
      </c>
      <c r="AD12" s="1">
        <f t="shared" si="6"/>
        <v>70.124110140588172</v>
      </c>
      <c r="AE12" s="1">
        <f t="shared" si="7"/>
        <v>66.989537818303177</v>
      </c>
      <c r="AF12" s="6">
        <f t="shared" si="11"/>
        <v>-4.4700350792340249E-2</v>
      </c>
      <c r="AG12" s="1">
        <f t="shared" si="8"/>
        <v>55.50055600323897</v>
      </c>
      <c r="AH12" s="1">
        <f t="shared" si="9"/>
        <v>54.070796639281987</v>
      </c>
      <c r="AI12" s="6">
        <f t="shared" si="12"/>
        <v>-2.5761171903819179E-2</v>
      </c>
    </row>
    <row r="13" spans="1:37" x14ac:dyDescent="0.25">
      <c r="A13" t="s">
        <v>29</v>
      </c>
      <c r="B13" s="7" t="str">
        <f t="shared" si="0"/>
        <v>40214</v>
      </c>
      <c r="C13" s="2">
        <v>4021.2385965949302</v>
      </c>
      <c r="D13">
        <v>200</v>
      </c>
      <c r="E13">
        <v>49</v>
      </c>
      <c r="F13">
        <v>160</v>
      </c>
      <c r="G13">
        <v>4</v>
      </c>
      <c r="H13">
        <v>6</v>
      </c>
      <c r="I13" s="1">
        <v>661.50439996498403</v>
      </c>
      <c r="J13" s="1">
        <v>531.49456236849301</v>
      </c>
      <c r="K13" s="1">
        <f t="shared" si="1"/>
        <v>2697.3847840372905</v>
      </c>
      <c r="L13" s="1">
        <v>571.27148989080695</v>
      </c>
      <c r="M13" s="1">
        <f t="shared" si="2"/>
        <v>2899.2564242217395</v>
      </c>
      <c r="N13" s="1">
        <f t="shared" si="10"/>
        <v>7.4839763825722851</v>
      </c>
      <c r="O13" s="1">
        <v>80.346338194670594</v>
      </c>
      <c r="P13" s="1">
        <v>86.359439169421506</v>
      </c>
      <c r="Q13" s="1">
        <v>19.6536618053293</v>
      </c>
      <c r="R13" s="1">
        <v>13.6405608305784</v>
      </c>
      <c r="S13" s="1">
        <v>7.4839763825723402</v>
      </c>
      <c r="T13" s="1">
        <v>30.595321290815701</v>
      </c>
      <c r="U13" s="2">
        <f>VLOOKUP(B13,'BOS Cost Totals'!$D$30:$E$41,2,FALSE)</f>
        <v>355.45867678000002</v>
      </c>
      <c r="V13" s="3">
        <f t="shared" si="3"/>
        <v>0.26013130350756219</v>
      </c>
      <c r="W13" s="6">
        <f>(U13-U12)/(U12+X12)</f>
        <v>-1.2813797882350458E-2</v>
      </c>
      <c r="X13" s="2">
        <v>1011</v>
      </c>
      <c r="Y13" s="2">
        <v>600</v>
      </c>
      <c r="Z13" s="6">
        <f>(U13-U12)/(U12+Y12)</f>
        <v>-1.8225322133583587E-2</v>
      </c>
      <c r="AA13" s="4">
        <f>Losses!$E$34</f>
        <v>0.22899999999999998</v>
      </c>
      <c r="AB13" s="4">
        <f t="shared" si="4"/>
        <v>0.42553661805329301</v>
      </c>
      <c r="AC13" s="4">
        <f t="shared" si="5"/>
        <v>0.36540560830578395</v>
      </c>
      <c r="AD13" s="1">
        <f t="shared" si="6"/>
        <v>94.533584314347976</v>
      </c>
      <c r="AE13" s="1">
        <f t="shared" si="7"/>
        <v>79.617497144348221</v>
      </c>
      <c r="AF13" s="6">
        <f t="shared" si="11"/>
        <v>-0.15778611673497969</v>
      </c>
      <c r="AG13" s="1">
        <f t="shared" si="8"/>
        <v>74.64069659796985</v>
      </c>
      <c r="AH13" s="1">
        <f t="shared" si="9"/>
        <v>67.568115255561651</v>
      </c>
      <c r="AI13" s="6">
        <f t="shared" si="12"/>
        <v>-9.4755028620680984E-2</v>
      </c>
    </row>
    <row r="14" spans="1:37" x14ac:dyDescent="0.25">
      <c r="A14" t="s">
        <v>21</v>
      </c>
      <c r="B14" s="7" t="str">
        <f t="shared" si="0"/>
        <v>402110</v>
      </c>
      <c r="C14" s="2">
        <v>4021.2385965949302</v>
      </c>
      <c r="D14">
        <v>200</v>
      </c>
      <c r="E14">
        <v>49</v>
      </c>
      <c r="F14">
        <v>160</v>
      </c>
      <c r="G14">
        <v>10</v>
      </c>
      <c r="H14">
        <v>7.5</v>
      </c>
      <c r="I14" s="1">
        <v>943.19765269533605</v>
      </c>
      <c r="J14" s="1">
        <v>914.64554003854005</v>
      </c>
      <c r="K14" s="1">
        <f t="shared" si="1"/>
        <v>4641.9119538931727</v>
      </c>
      <c r="L14" s="1">
        <v>918.47528376818502</v>
      </c>
      <c r="M14" s="1">
        <f t="shared" si="2"/>
        <v>4661.3482627371841</v>
      </c>
      <c r="N14" s="1">
        <f t="shared" si="10"/>
        <v>0.4187134318157395</v>
      </c>
      <c r="O14" s="1">
        <v>96.9728388768564</v>
      </c>
      <c r="P14" s="1">
        <v>97.3788771784468</v>
      </c>
      <c r="Q14" s="1">
        <v>3.02716112314355</v>
      </c>
      <c r="R14" s="1">
        <v>2.6211228215531399</v>
      </c>
      <c r="S14" s="1">
        <v>0.41871343181571402</v>
      </c>
      <c r="T14" s="1">
        <v>13.4131711221487</v>
      </c>
      <c r="U14" s="2">
        <f>VLOOKUP(B14,'BOS Cost Totals'!$D$30:$E$41,2,FALSE)</f>
        <v>388.40893315800002</v>
      </c>
      <c r="V14" s="3">
        <f t="shared" si="3"/>
        <v>0.27755213215731755</v>
      </c>
      <c r="X14" s="2">
        <v>1011</v>
      </c>
      <c r="Y14" s="2">
        <v>600</v>
      </c>
      <c r="AA14" s="4">
        <f>Losses!$E$34</f>
        <v>0.22899999999999998</v>
      </c>
      <c r="AB14" s="4">
        <f t="shared" si="4"/>
        <v>0.25927161123143549</v>
      </c>
      <c r="AC14" s="4">
        <f t="shared" si="5"/>
        <v>0.25521122821553138</v>
      </c>
      <c r="AD14" s="1">
        <f t="shared" si="6"/>
        <v>43.321267130130998</v>
      </c>
      <c r="AE14" s="1">
        <f t="shared" si="7"/>
        <v>42.90544068400893</v>
      </c>
      <c r="AF14" s="6">
        <f t="shared" si="11"/>
        <v>-9.5986676676142451E-3</v>
      </c>
      <c r="AG14" s="1">
        <f t="shared" si="8"/>
        <v>34.356331056169012</v>
      </c>
      <c r="AH14" s="1">
        <f t="shared" si="9"/>
        <v>34.169029812656689</v>
      </c>
      <c r="AI14" s="6">
        <f t="shared" si="12"/>
        <v>-5.4517242602565722E-3</v>
      </c>
    </row>
    <row r="15" spans="1:37" x14ac:dyDescent="0.25">
      <c r="A15" t="s">
        <v>45</v>
      </c>
      <c r="B15" s="7" t="str">
        <f t="shared" si="0"/>
        <v>40217</v>
      </c>
      <c r="C15" s="2">
        <v>4021.2385965949302</v>
      </c>
      <c r="D15">
        <v>200</v>
      </c>
      <c r="E15">
        <v>49</v>
      </c>
      <c r="F15">
        <v>160</v>
      </c>
      <c r="G15">
        <v>7</v>
      </c>
      <c r="H15">
        <v>7.5</v>
      </c>
      <c r="I15" s="1">
        <v>943.19765269533605</v>
      </c>
      <c r="J15" s="1">
        <v>890.78224843999703</v>
      </c>
      <c r="K15" s="1">
        <f t="shared" si="1"/>
        <v>4520.8035094942115</v>
      </c>
      <c r="L15" s="1">
        <v>902.51282071136598</v>
      </c>
      <c r="M15" s="1">
        <f t="shared" si="2"/>
        <v>4580.3372646691187</v>
      </c>
      <c r="N15" s="1">
        <f t="shared" si="10"/>
        <v>1.3168843779624457</v>
      </c>
      <c r="O15" s="1">
        <v>94.4427974236838</v>
      </c>
      <c r="P15" s="1">
        <v>95.686499869067006</v>
      </c>
      <c r="Q15" s="1">
        <v>5.5572025763161204</v>
      </c>
      <c r="R15" s="1">
        <v>4.3135001309329297</v>
      </c>
      <c r="S15" s="1">
        <v>1.31688437796241</v>
      </c>
      <c r="T15" s="1">
        <v>22.3800091557511</v>
      </c>
      <c r="U15" s="2">
        <f>VLOOKUP(B15,'BOS Cost Totals'!$D$30:$E$41,2,FALSE)</f>
        <v>373.19547786300001</v>
      </c>
      <c r="V15" s="3">
        <f t="shared" si="3"/>
        <v>0.26961183144389439</v>
      </c>
      <c r="W15" s="6">
        <f>(U15-U14)/(U14+X14)</f>
        <v>-1.0871343561219316E-2</v>
      </c>
      <c r="X15" s="2">
        <v>1011</v>
      </c>
      <c r="Y15" s="2">
        <v>600</v>
      </c>
      <c r="Z15" s="6">
        <f>(U15-U14)/(U14+Y14)</f>
        <v>-1.5391863412638847E-2</v>
      </c>
      <c r="AA15" s="4">
        <f>Losses!$E$34</f>
        <v>0.22899999999999998</v>
      </c>
      <c r="AB15" s="4">
        <f t="shared" si="4"/>
        <v>0.28457202576316121</v>
      </c>
      <c r="AC15" s="4">
        <f t="shared" si="5"/>
        <v>0.27213500130932927</v>
      </c>
      <c r="AD15" s="1">
        <f t="shared" si="6"/>
        <v>45.702079572172352</v>
      </c>
      <c r="AE15" s="1">
        <f t="shared" si="7"/>
        <v>44.337297494266785</v>
      </c>
      <c r="AF15" s="6">
        <f t="shared" si="11"/>
        <v>-2.986258154293206E-2</v>
      </c>
      <c r="AG15" s="1">
        <f t="shared" si="8"/>
        <v>36.171451183830456</v>
      </c>
      <c r="AH15" s="1">
        <f t="shared" si="9"/>
        <v>35.553389834935899</v>
      </c>
      <c r="AI15" s="6">
        <f t="shared" si="12"/>
        <v>-1.7086993434503001E-2</v>
      </c>
    </row>
    <row r="16" spans="1:37" x14ac:dyDescent="0.25">
      <c r="A16" t="s">
        <v>33</v>
      </c>
      <c r="B16" s="7" t="str">
        <f t="shared" si="0"/>
        <v>40214</v>
      </c>
      <c r="C16" s="2">
        <v>4021.2385965949302</v>
      </c>
      <c r="D16">
        <v>200</v>
      </c>
      <c r="E16">
        <v>49</v>
      </c>
      <c r="F16">
        <v>160</v>
      </c>
      <c r="G16">
        <v>4</v>
      </c>
      <c r="H16">
        <v>7.5</v>
      </c>
      <c r="I16" s="1">
        <v>943.19765269533605</v>
      </c>
      <c r="J16" s="1">
        <v>814.62124488188601</v>
      </c>
      <c r="K16" s="1">
        <f t="shared" si="1"/>
        <v>4134.2792688337267</v>
      </c>
      <c r="L16" s="1">
        <v>858.64363455135594</v>
      </c>
      <c r="M16" s="1">
        <f t="shared" si="2"/>
        <v>4357.6970278456438</v>
      </c>
      <c r="N16" s="1">
        <f t="shared" si="10"/>
        <v>5.4040316215731456</v>
      </c>
      <c r="O16" s="1">
        <v>86.368031404019803</v>
      </c>
      <c r="P16" s="1">
        <v>91.035387132023303</v>
      </c>
      <c r="Q16" s="1">
        <v>13.6319685959801</v>
      </c>
      <c r="R16" s="1">
        <v>8.9646128679766104</v>
      </c>
      <c r="S16" s="1">
        <v>5.4040316215732496</v>
      </c>
      <c r="T16" s="1">
        <v>34.238310447545103</v>
      </c>
      <c r="U16" s="2">
        <f>VLOOKUP(B16,'BOS Cost Totals'!$D$30:$E$41,2,FALSE)</f>
        <v>355.45867678000002</v>
      </c>
      <c r="V16" s="3">
        <f t="shared" si="3"/>
        <v>0.26013130350756219</v>
      </c>
      <c r="W16" s="6">
        <f>(U16-U15)/(U15+X15)</f>
        <v>-1.2813797882350458E-2</v>
      </c>
      <c r="X16" s="2">
        <v>1011</v>
      </c>
      <c r="Y16" s="2">
        <v>600</v>
      </c>
      <c r="Z16" s="6">
        <f>(U16-U15)/(U15+Y15)</f>
        <v>-1.8225322133583587E-2</v>
      </c>
      <c r="AA16" s="4">
        <f>Losses!$E$34</f>
        <v>0.22899999999999998</v>
      </c>
      <c r="AB16" s="4">
        <f t="shared" si="4"/>
        <v>0.36531968595980097</v>
      </c>
      <c r="AC16" s="4">
        <f t="shared" si="5"/>
        <v>0.31864612867976611</v>
      </c>
      <c r="AD16" s="1">
        <f t="shared" si="6"/>
        <v>55.826003842476588</v>
      </c>
      <c r="AE16" s="1">
        <f t="shared" si="7"/>
        <v>49.335736813361031</v>
      </c>
      <c r="AF16" s="6">
        <f t="shared" si="11"/>
        <v>-0.11625885039934164</v>
      </c>
      <c r="AG16" s="1">
        <f t="shared" si="8"/>
        <v>44.078428267645378</v>
      </c>
      <c r="AH16" s="1">
        <f t="shared" si="9"/>
        <v>41.059003071487759</v>
      </c>
      <c r="AI16" s="6">
        <f t="shared" si="12"/>
        <v>-6.8501199222068238E-2</v>
      </c>
    </row>
    <row r="17" spans="1:35" x14ac:dyDescent="0.25">
      <c r="A17" t="s">
        <v>25</v>
      </c>
      <c r="B17" s="7" t="str">
        <f t="shared" si="0"/>
        <v>402110</v>
      </c>
      <c r="C17" s="2">
        <v>4021.2385965949302</v>
      </c>
      <c r="D17">
        <v>200</v>
      </c>
      <c r="E17">
        <v>49</v>
      </c>
      <c r="F17">
        <v>160</v>
      </c>
      <c r="G17">
        <v>10</v>
      </c>
      <c r="H17">
        <v>9</v>
      </c>
      <c r="I17" s="1">
        <v>1137.7166366122899</v>
      </c>
      <c r="J17" s="1">
        <v>1112.1452050970699</v>
      </c>
      <c r="K17" s="1">
        <f t="shared" si="1"/>
        <v>5644.2412891310159</v>
      </c>
      <c r="L17" s="1">
        <v>1115.4103357511301</v>
      </c>
      <c r="M17" s="1">
        <f t="shared" si="2"/>
        <v>5660.8121336282902</v>
      </c>
      <c r="N17" s="1">
        <f t="shared" si="10"/>
        <v>0.29358852055430767</v>
      </c>
      <c r="O17" s="1">
        <v>97.752390121378497</v>
      </c>
      <c r="P17" s="1">
        <v>98.039379917342004</v>
      </c>
      <c r="Q17" s="1">
        <v>2.2476098786214198</v>
      </c>
      <c r="R17" s="1">
        <v>1.9606200826579001</v>
      </c>
      <c r="S17" s="1">
        <v>0.29358852055399798</v>
      </c>
      <c r="T17" s="1">
        <v>12.7686658923009</v>
      </c>
      <c r="U17" s="2">
        <f>VLOOKUP(B17,'BOS Cost Totals'!$D$30:$E$41,2,FALSE)</f>
        <v>388.40893315800002</v>
      </c>
      <c r="V17" s="3">
        <f t="shared" si="3"/>
        <v>0.27755213215731755</v>
      </c>
      <c r="X17" s="2">
        <v>1011</v>
      </c>
      <c r="Y17" s="2">
        <v>600</v>
      </c>
      <c r="AA17" s="4">
        <f>Losses!$E$34</f>
        <v>0.22899999999999998</v>
      </c>
      <c r="AB17" s="4">
        <f t="shared" si="4"/>
        <v>0.25147609878621419</v>
      </c>
      <c r="AC17" s="4">
        <f t="shared" si="5"/>
        <v>0.24860620082657897</v>
      </c>
      <c r="AD17" s="1">
        <f t="shared" si="6"/>
        <v>35.257035703845318</v>
      </c>
      <c r="AE17" s="1">
        <f t="shared" si="7"/>
        <v>35.019560423526862</v>
      </c>
      <c r="AF17" s="6">
        <f t="shared" si="11"/>
        <v>-6.7355430080174332E-3</v>
      </c>
      <c r="AG17" s="1">
        <f t="shared" si="8"/>
        <v>27.960917834233669</v>
      </c>
      <c r="AH17" s="1">
        <f t="shared" si="9"/>
        <v>27.85412299359183</v>
      </c>
      <c r="AI17" s="6">
        <f t="shared" si="12"/>
        <v>-3.8194325835429598E-3</v>
      </c>
    </row>
    <row r="18" spans="1:35" x14ac:dyDescent="0.25">
      <c r="A18" t="s">
        <v>49</v>
      </c>
      <c r="B18" s="7" t="str">
        <f t="shared" si="0"/>
        <v>40217</v>
      </c>
      <c r="C18" s="2">
        <v>4021.2385965949302</v>
      </c>
      <c r="D18">
        <v>200</v>
      </c>
      <c r="E18">
        <v>49</v>
      </c>
      <c r="F18">
        <v>160</v>
      </c>
      <c r="G18">
        <v>7</v>
      </c>
      <c r="H18">
        <v>9</v>
      </c>
      <c r="I18" s="1">
        <v>1137.7166366122899</v>
      </c>
      <c r="J18" s="1">
        <v>1091.7843770898</v>
      </c>
      <c r="K18" s="1">
        <f t="shared" si="1"/>
        <v>5540.9081761590478</v>
      </c>
      <c r="L18" s="1">
        <v>1101.26690340509</v>
      </c>
      <c r="M18" s="1">
        <f t="shared" si="2"/>
        <v>5589.032887130903</v>
      </c>
      <c r="N18" s="1">
        <f t="shared" si="10"/>
        <v>0.86853471383846725</v>
      </c>
      <c r="O18" s="1">
        <v>95.962768052749496</v>
      </c>
      <c r="P18" s="1">
        <v>96.796238005647794</v>
      </c>
      <c r="Q18" s="1">
        <v>4.0372319472504099</v>
      </c>
      <c r="R18" s="1">
        <v>3.20376199435213</v>
      </c>
      <c r="S18" s="1">
        <v>0.86853471383832004</v>
      </c>
      <c r="T18" s="1">
        <v>20.6445892578928</v>
      </c>
      <c r="U18" s="2">
        <f>VLOOKUP(B18,'BOS Cost Totals'!$D$30:$E$41,2,FALSE)</f>
        <v>373.19547786300001</v>
      </c>
      <c r="V18" s="3">
        <f t="shared" si="3"/>
        <v>0.26961183144389439</v>
      </c>
      <c r="W18" s="6">
        <f>(U18-U17)/(U17+X17)</f>
        <v>-1.0871343561219316E-2</v>
      </c>
      <c r="X18" s="2">
        <v>1011</v>
      </c>
      <c r="Y18" s="2">
        <v>600</v>
      </c>
      <c r="Z18" s="6">
        <f>(U18-U17)/(U17+Y17)</f>
        <v>-1.5391863412638847E-2</v>
      </c>
      <c r="AA18" s="4">
        <f>Losses!$E$34</f>
        <v>0.22899999999999998</v>
      </c>
      <c r="AB18" s="4">
        <f t="shared" si="4"/>
        <v>0.26937231947250406</v>
      </c>
      <c r="AC18" s="4">
        <f t="shared" si="5"/>
        <v>0.26103761994352126</v>
      </c>
      <c r="AD18" s="1">
        <f t="shared" si="6"/>
        <v>36.51240468657609</v>
      </c>
      <c r="AE18" s="1">
        <f t="shared" si="7"/>
        <v>35.789737801402275</v>
      </c>
      <c r="AF18" s="6">
        <f t="shared" si="11"/>
        <v>-1.979236622121211E-2</v>
      </c>
      <c r="AG18" s="1">
        <f t="shared" si="8"/>
        <v>28.898174351981076</v>
      </c>
      <c r="AH18" s="1">
        <f t="shared" si="9"/>
        <v>28.572234078618976</v>
      </c>
      <c r="AI18" s="6">
        <f t="shared" si="12"/>
        <v>-1.1278922654148765E-2</v>
      </c>
    </row>
    <row r="19" spans="1:35" x14ac:dyDescent="0.25">
      <c r="A19" t="s">
        <v>37</v>
      </c>
      <c r="B19" s="7" t="str">
        <f t="shared" si="0"/>
        <v>40214</v>
      </c>
      <c r="C19" s="2">
        <v>4021.2385965949302</v>
      </c>
      <c r="D19">
        <v>200</v>
      </c>
      <c r="E19">
        <v>49</v>
      </c>
      <c r="F19">
        <v>160</v>
      </c>
      <c r="G19">
        <v>4</v>
      </c>
      <c r="H19">
        <v>9</v>
      </c>
      <c r="I19" s="1">
        <v>1137.7166366122899</v>
      </c>
      <c r="J19" s="1">
        <v>1026.9372584037101</v>
      </c>
      <c r="K19" s="1">
        <f t="shared" si="1"/>
        <v>5211.8029630162528</v>
      </c>
      <c r="L19" s="1">
        <v>1063.0290213659</v>
      </c>
      <c r="M19" s="1">
        <f t="shared" si="2"/>
        <v>5394.9720472105619</v>
      </c>
      <c r="N19" s="1">
        <f t="shared" si="10"/>
        <v>3.5145051624956745</v>
      </c>
      <c r="O19" s="1">
        <v>90.263007971963802</v>
      </c>
      <c r="P19" s="1">
        <v>93.435306046962594</v>
      </c>
      <c r="Q19" s="1">
        <v>9.7369920280361608</v>
      </c>
      <c r="R19" s="1">
        <v>6.5646939530373096</v>
      </c>
      <c r="S19" s="1">
        <v>3.514505162496</v>
      </c>
      <c r="T19" s="1">
        <v>32.579856960596302</v>
      </c>
      <c r="U19" s="2">
        <f>VLOOKUP(B19,'BOS Cost Totals'!$D$30:$E$41,2,FALSE)</f>
        <v>355.45867678000002</v>
      </c>
      <c r="V19" s="3">
        <f t="shared" si="3"/>
        <v>0.26013130350756219</v>
      </c>
      <c r="W19" s="6">
        <f>(U19-U18)/(U18+X18)</f>
        <v>-1.2813797882350458E-2</v>
      </c>
      <c r="X19" s="2">
        <v>1011</v>
      </c>
      <c r="Y19" s="2">
        <v>600</v>
      </c>
      <c r="Z19" s="6">
        <f>(U19-U18)/(U18+Y18)</f>
        <v>-1.8225322133583587E-2</v>
      </c>
      <c r="AA19" s="4">
        <f>Losses!$E$34</f>
        <v>0.22899999999999998</v>
      </c>
      <c r="AB19" s="4">
        <f t="shared" si="4"/>
        <v>0.3263699202803616</v>
      </c>
      <c r="AC19" s="4">
        <f t="shared" si="5"/>
        <v>0.29464693953037308</v>
      </c>
      <c r="AD19" s="1">
        <f t="shared" si="6"/>
        <v>41.723613985261821</v>
      </c>
      <c r="AE19" s="1">
        <f t="shared" si="7"/>
        <v>38.49422894018106</v>
      </c>
      <c r="AF19" s="6">
        <f t="shared" si="11"/>
        <v>-7.7399456485756205E-2</v>
      </c>
      <c r="AG19" s="1">
        <f t="shared" si="8"/>
        <v>32.943631991028447</v>
      </c>
      <c r="AH19" s="1">
        <f t="shared" si="9"/>
        <v>31.462004899497447</v>
      </c>
      <c r="AI19" s="6">
        <f t="shared" si="12"/>
        <v>-4.4974612754734855E-2</v>
      </c>
    </row>
    <row r="20" spans="1:35" x14ac:dyDescent="0.25">
      <c r="A20" t="s">
        <v>18</v>
      </c>
      <c r="B20" s="7" t="str">
        <f t="shared" si="0"/>
        <v>502710</v>
      </c>
      <c r="C20" s="2">
        <v>5026.5482457436601</v>
      </c>
      <c r="D20">
        <v>250</v>
      </c>
      <c r="E20">
        <v>49</v>
      </c>
      <c r="F20">
        <v>160</v>
      </c>
      <c r="G20">
        <v>10</v>
      </c>
      <c r="H20">
        <v>6</v>
      </c>
      <c r="I20" s="1">
        <v>708.97184897965599</v>
      </c>
      <c r="J20" s="1">
        <v>670.95274435674696</v>
      </c>
      <c r="K20" s="1">
        <f t="shared" si="1"/>
        <v>2724.1185164655421</v>
      </c>
      <c r="L20" s="1">
        <v>675.667015638002</v>
      </c>
      <c r="M20" s="1">
        <f t="shared" si="2"/>
        <v>2743.258811809621</v>
      </c>
      <c r="N20" s="1">
        <f t="shared" si="10"/>
        <v>0.70262344418528067</v>
      </c>
      <c r="O20" s="1">
        <v>94.637430995655805</v>
      </c>
      <c r="P20" s="1">
        <v>95.302375772806002</v>
      </c>
      <c r="Q20" s="1">
        <v>5.3625690043441496</v>
      </c>
      <c r="R20" s="1">
        <v>4.6976242271939697</v>
      </c>
      <c r="S20" s="1">
        <v>0.70262344418531397</v>
      </c>
      <c r="T20" s="1">
        <v>12.3997430450128</v>
      </c>
      <c r="U20" s="2">
        <f>VLOOKUP(B20,'BOS Cost Totals'!$D$30:$E$41,2,FALSE)</f>
        <v>346.418864676</v>
      </c>
      <c r="V20" s="3">
        <f t="shared" si="3"/>
        <v>0.25520410367855478</v>
      </c>
      <c r="X20" s="2">
        <v>1011</v>
      </c>
      <c r="Y20" s="2">
        <v>600</v>
      </c>
      <c r="AA20" s="4">
        <f>Losses!$E$34</f>
        <v>0.22899999999999998</v>
      </c>
      <c r="AB20" s="4">
        <f t="shared" si="4"/>
        <v>0.28262569004344146</v>
      </c>
      <c r="AC20" s="4">
        <f t="shared" si="5"/>
        <v>0.27597624227193968</v>
      </c>
      <c r="AD20" s="1">
        <f t="shared" si="6"/>
        <v>74.611335426058389</v>
      </c>
      <c r="AE20" s="1">
        <f t="shared" si="7"/>
        <v>73.410305505092438</v>
      </c>
      <c r="AF20" s="6">
        <f t="shared" si="11"/>
        <v>-1.6097150843201298E-2</v>
      </c>
      <c r="AG20" s="1">
        <f t="shared" si="8"/>
        <v>58.837719314152402</v>
      </c>
      <c r="AH20" s="1">
        <f t="shared" si="9"/>
        <v>58.297352596351011</v>
      </c>
      <c r="AI20" s="6">
        <f t="shared" si="12"/>
        <v>-9.1840187570189271E-3</v>
      </c>
    </row>
    <row r="21" spans="1:35" x14ac:dyDescent="0.25">
      <c r="A21" t="s">
        <v>42</v>
      </c>
      <c r="B21" s="7" t="str">
        <f t="shared" si="0"/>
        <v>50277</v>
      </c>
      <c r="C21" s="2">
        <v>5026.5482457436601</v>
      </c>
      <c r="D21">
        <v>250</v>
      </c>
      <c r="E21">
        <v>49</v>
      </c>
      <c r="F21">
        <v>160</v>
      </c>
      <c r="G21">
        <v>7</v>
      </c>
      <c r="H21">
        <v>6</v>
      </c>
      <c r="I21" s="1">
        <v>708.97184897965599</v>
      </c>
      <c r="J21" s="1">
        <v>641.48851068849297</v>
      </c>
      <c r="K21" s="1">
        <f t="shared" si="1"/>
        <v>2604.4915156309175</v>
      </c>
      <c r="L21" s="1">
        <v>655.36931516287996</v>
      </c>
      <c r="M21" s="1">
        <f t="shared" si="2"/>
        <v>2660.8486239521117</v>
      </c>
      <c r="N21" s="1">
        <f t="shared" si="10"/>
        <v>2.1638430374207456</v>
      </c>
      <c r="O21" s="1">
        <v>90.481520755967395</v>
      </c>
      <c r="P21" s="1">
        <v>92.439398842997804</v>
      </c>
      <c r="Q21" s="1">
        <v>9.5184792440325907</v>
      </c>
      <c r="R21" s="1">
        <v>7.5606011570021998</v>
      </c>
      <c r="S21" s="1">
        <v>2.1638430374207198</v>
      </c>
      <c r="T21" s="1">
        <v>20.569232088811201</v>
      </c>
      <c r="U21" s="2">
        <f>VLOOKUP(B21,'BOS Cost Totals'!$D$30:$E$41,2,FALSE)</f>
        <v>334.36215011399997</v>
      </c>
      <c r="V21" s="3">
        <f t="shared" si="3"/>
        <v>0.24852947593751437</v>
      </c>
      <c r="W21" s="6">
        <f>(U21-U20)/(U20+X20)</f>
        <v>-8.8820885547938981E-3</v>
      </c>
      <c r="X21" s="2">
        <v>1011</v>
      </c>
      <c r="Y21" s="2">
        <v>600</v>
      </c>
      <c r="Z21" s="6">
        <f>(U21-U20)/(U20+Y20)</f>
        <v>-1.2739300759952157E-2</v>
      </c>
      <c r="AA21" s="4">
        <f>Losses!$E$34</f>
        <v>0.22899999999999998</v>
      </c>
      <c r="AB21" s="4">
        <f t="shared" si="4"/>
        <v>0.32418479244032589</v>
      </c>
      <c r="AC21" s="4">
        <f t="shared" si="5"/>
        <v>0.30460601157002198</v>
      </c>
      <c r="AD21" s="1">
        <f t="shared" si="6"/>
        <v>82.323524564916596</v>
      </c>
      <c r="AE21" s="1">
        <f t="shared" si="7"/>
        <v>78.311179099607315</v>
      </c>
      <c r="AF21" s="6">
        <f t="shared" si="11"/>
        <v>-4.8738747357024624E-2</v>
      </c>
      <c r="AG21" s="1">
        <f t="shared" si="8"/>
        <v>64.810862071320969</v>
      </c>
      <c r="AH21" s="1">
        <f t="shared" si="9"/>
        <v>62.986115686361885</v>
      </c>
      <c r="AI21" s="6">
        <f t="shared" si="12"/>
        <v>-2.8154946974028001E-2</v>
      </c>
    </row>
    <row r="22" spans="1:35" x14ac:dyDescent="0.25">
      <c r="A22" t="s">
        <v>30</v>
      </c>
      <c r="B22" s="7" t="str">
        <f t="shared" si="0"/>
        <v>50274</v>
      </c>
      <c r="C22" s="2">
        <v>5026.5482457436601</v>
      </c>
      <c r="D22">
        <v>250</v>
      </c>
      <c r="E22">
        <v>49</v>
      </c>
      <c r="F22">
        <v>160</v>
      </c>
      <c r="G22">
        <v>4</v>
      </c>
      <c r="H22">
        <v>6</v>
      </c>
      <c r="I22" s="1">
        <v>708.97184897965599</v>
      </c>
      <c r="J22" s="1">
        <v>556.563246052713</v>
      </c>
      <c r="K22" s="1">
        <f t="shared" si="1"/>
        <v>2259.6885651163325</v>
      </c>
      <c r="L22" s="1">
        <v>601.022366589542</v>
      </c>
      <c r="M22" s="1">
        <f t="shared" si="2"/>
        <v>2440.1959324366067</v>
      </c>
      <c r="N22" s="1">
        <f t="shared" si="10"/>
        <v>7.9881524430770998</v>
      </c>
      <c r="O22" s="1">
        <v>78.502869592595601</v>
      </c>
      <c r="P22" s="1">
        <v>84.7737984878421</v>
      </c>
      <c r="Q22" s="1">
        <v>21.497130407404299</v>
      </c>
      <c r="R22" s="1">
        <v>15.2262015121578</v>
      </c>
      <c r="S22" s="1">
        <v>7.9881524430769799</v>
      </c>
      <c r="T22" s="1">
        <v>29.1710045778321</v>
      </c>
      <c r="U22" s="2">
        <f>VLOOKUP(B22,'BOS Cost Totals'!$D$30:$E$41,2,FALSE)</f>
        <v>320.22416252800002</v>
      </c>
      <c r="V22" s="3">
        <f t="shared" si="3"/>
        <v>0.24054864052339092</v>
      </c>
      <c r="W22" s="6">
        <f>(U22-U21)/(U21+X21)</f>
        <v>-1.0508685401028979E-2</v>
      </c>
      <c r="X22" s="2">
        <v>1011</v>
      </c>
      <c r="Y22" s="2">
        <v>600</v>
      </c>
      <c r="Z22" s="6">
        <f>(U22-U21)/(U21+Y21)</f>
        <v>-1.5131164703402207E-2</v>
      </c>
      <c r="AA22" s="4">
        <f>Losses!$E$34</f>
        <v>0.22899999999999998</v>
      </c>
      <c r="AB22" s="4">
        <f t="shared" si="4"/>
        <v>0.44397130407404295</v>
      </c>
      <c r="AC22" s="4">
        <f t="shared" si="5"/>
        <v>0.38126201512157798</v>
      </c>
      <c r="AD22" s="1">
        <f t="shared" si="6"/>
        <v>114.48256529513833</v>
      </c>
      <c r="AE22" s="1">
        <f t="shared" si="7"/>
        <v>95.26945229240863</v>
      </c>
      <c r="AF22" s="6">
        <f t="shared" si="11"/>
        <v>-0.16782566806742941</v>
      </c>
      <c r="AG22" s="1">
        <f t="shared" si="8"/>
        <v>89.949190600365213</v>
      </c>
      <c r="AH22" s="1">
        <f t="shared" si="9"/>
        <v>80.832811903319495</v>
      </c>
      <c r="AI22" s="6">
        <f t="shared" si="12"/>
        <v>-0.10135031384049724</v>
      </c>
    </row>
    <row r="23" spans="1:35" x14ac:dyDescent="0.25">
      <c r="A23" t="s">
        <v>22</v>
      </c>
      <c r="B23" s="7" t="str">
        <f t="shared" si="0"/>
        <v>502710</v>
      </c>
      <c r="C23" s="2">
        <v>5026.5482457436601</v>
      </c>
      <c r="D23">
        <v>250</v>
      </c>
      <c r="E23">
        <v>49</v>
      </c>
      <c r="F23">
        <v>160</v>
      </c>
      <c r="G23">
        <v>10</v>
      </c>
      <c r="H23">
        <v>7.5</v>
      </c>
      <c r="I23" s="1">
        <v>1068.1891342823899</v>
      </c>
      <c r="J23" s="1">
        <v>1029.66618527174</v>
      </c>
      <c r="K23" s="1">
        <f t="shared" si="1"/>
        <v>4180.5220183819647</v>
      </c>
      <c r="L23" s="1">
        <v>1034.8768601964</v>
      </c>
      <c r="M23" s="1">
        <f t="shared" si="2"/>
        <v>4201.6777497876956</v>
      </c>
      <c r="N23" s="1">
        <f t="shared" si="10"/>
        <v>0.5060547776738773</v>
      </c>
      <c r="O23" s="1">
        <v>96.393620963339302</v>
      </c>
      <c r="P23" s="1">
        <v>96.881425487597099</v>
      </c>
      <c r="Q23" s="1">
        <v>3.6063790366606301</v>
      </c>
      <c r="R23" s="1">
        <v>3.1185745124028399</v>
      </c>
      <c r="S23" s="1">
        <v>0.50605477767383</v>
      </c>
      <c r="T23" s="1">
        <v>13.5261579356747</v>
      </c>
      <c r="U23" s="2">
        <f>VLOOKUP(B23,'BOS Cost Totals'!$D$30:$E$41,2,FALSE)</f>
        <v>346.418864676</v>
      </c>
      <c r="V23" s="3">
        <f t="shared" si="3"/>
        <v>0.25520410367855478</v>
      </c>
      <c r="X23" s="2">
        <v>1011</v>
      </c>
      <c r="Y23" s="2">
        <v>600</v>
      </c>
      <c r="AA23" s="4">
        <f>Losses!$E$34</f>
        <v>0.22899999999999998</v>
      </c>
      <c r="AB23" s="4">
        <f t="shared" si="4"/>
        <v>0.26506379036660627</v>
      </c>
      <c r="AC23" s="4">
        <f t="shared" si="5"/>
        <v>0.26018574512402837</v>
      </c>
      <c r="AD23" s="1">
        <f t="shared" si="6"/>
        <v>47.456583706980012</v>
      </c>
      <c r="AE23" s="1">
        <f t="shared" si="7"/>
        <v>46.906302011231965</v>
      </c>
      <c r="AF23" s="6">
        <f t="shared" si="11"/>
        <v>-1.1595476386285072E-2</v>
      </c>
      <c r="AG23" s="1">
        <f t="shared" si="8"/>
        <v>37.423765917271936</v>
      </c>
      <c r="AH23" s="1">
        <f t="shared" si="9"/>
        <v>37.177008272242915</v>
      </c>
      <c r="AI23" s="6">
        <f t="shared" si="12"/>
        <v>-6.593608071793133E-3</v>
      </c>
    </row>
    <row r="24" spans="1:35" x14ac:dyDescent="0.25">
      <c r="A24" t="s">
        <v>46</v>
      </c>
      <c r="B24" s="7" t="str">
        <f t="shared" si="0"/>
        <v>50277</v>
      </c>
      <c r="C24" s="2">
        <v>5026.5482457436601</v>
      </c>
      <c r="D24">
        <v>250</v>
      </c>
      <c r="E24">
        <v>49</v>
      </c>
      <c r="F24">
        <v>160</v>
      </c>
      <c r="G24">
        <v>7</v>
      </c>
      <c r="H24">
        <v>7.5</v>
      </c>
      <c r="I24" s="1">
        <v>1068.1891342823899</v>
      </c>
      <c r="J24" s="1">
        <v>997.93671539944501</v>
      </c>
      <c r="K24" s="1">
        <f t="shared" si="1"/>
        <v>4051.6979884875486</v>
      </c>
      <c r="L24" s="1">
        <v>1013.29854904732</v>
      </c>
      <c r="M24" s="1">
        <f t="shared" si="2"/>
        <v>4114.0681864471071</v>
      </c>
      <c r="N24" s="1">
        <f t="shared" si="10"/>
        <v>1.5393595015417452</v>
      </c>
      <c r="O24" s="1">
        <v>93.423222851808603</v>
      </c>
      <c r="P24" s="1">
        <v>94.861342109424598</v>
      </c>
      <c r="Q24" s="1">
        <v>6.5767771481913497</v>
      </c>
      <c r="R24" s="1">
        <v>5.1386578905753399</v>
      </c>
      <c r="S24" s="1">
        <v>1.5393595015419199</v>
      </c>
      <c r="T24" s="1">
        <v>21.866625935645299</v>
      </c>
      <c r="U24" s="2">
        <f>VLOOKUP(B24,'BOS Cost Totals'!$D$30:$E$41,2,FALSE)</f>
        <v>334.36215011399997</v>
      </c>
      <c r="V24" s="3">
        <f t="shared" si="3"/>
        <v>0.24852947593751437</v>
      </c>
      <c r="W24" s="6">
        <f>(U24-U23)/(U23+X23)</f>
        <v>-8.8820885547938981E-3</v>
      </c>
      <c r="X24" s="2">
        <v>1011</v>
      </c>
      <c r="Y24" s="2">
        <v>600</v>
      </c>
      <c r="Z24" s="6">
        <f>(U24-U23)/(U23+Y23)</f>
        <v>-1.2739300759952157E-2</v>
      </c>
      <c r="AA24" s="4">
        <f>Losses!$E$34</f>
        <v>0.22899999999999998</v>
      </c>
      <c r="AB24" s="4">
        <f t="shared" si="4"/>
        <v>0.29476777148191347</v>
      </c>
      <c r="AC24" s="4">
        <f t="shared" si="5"/>
        <v>0.28038657890575336</v>
      </c>
      <c r="AD24" s="1">
        <f t="shared" si="6"/>
        <v>50.711405371679348</v>
      </c>
      <c r="AE24" s="1">
        <f t="shared" si="7"/>
        <v>48.944525577936218</v>
      </c>
      <c r="AF24" s="6">
        <f t="shared" si="11"/>
        <v>-3.4841862117469015E-2</v>
      </c>
      <c r="AG24" s="1">
        <f t="shared" si="8"/>
        <v>39.923580973444018</v>
      </c>
      <c r="AH24" s="1">
        <f t="shared" si="9"/>
        <v>39.125723833097794</v>
      </c>
      <c r="AI24" s="6">
        <f t="shared" si="12"/>
        <v>-1.9984608617071072E-2</v>
      </c>
    </row>
    <row r="25" spans="1:35" x14ac:dyDescent="0.25">
      <c r="A25" t="s">
        <v>34</v>
      </c>
      <c r="B25" s="7" t="str">
        <f t="shared" si="0"/>
        <v>50274</v>
      </c>
      <c r="C25" s="2">
        <v>5026.5482457436601</v>
      </c>
      <c r="D25">
        <v>250</v>
      </c>
      <c r="E25">
        <v>49</v>
      </c>
      <c r="F25">
        <v>160</v>
      </c>
      <c r="G25">
        <v>4</v>
      </c>
      <c r="H25">
        <v>7.5</v>
      </c>
      <c r="I25" s="1">
        <v>1068.1891342823899</v>
      </c>
      <c r="J25" s="1">
        <v>900.04620505447895</v>
      </c>
      <c r="K25" s="1">
        <f t="shared" si="1"/>
        <v>3654.2551669776076</v>
      </c>
      <c r="L25" s="1">
        <v>954.47428183638101</v>
      </c>
      <c r="M25" s="1">
        <f t="shared" si="2"/>
        <v>3875.2372451108972</v>
      </c>
      <c r="N25" s="1">
        <f t="shared" si="10"/>
        <v>6.0472536272299022</v>
      </c>
      <c r="O25" s="1">
        <v>84.259067628424106</v>
      </c>
      <c r="P25" s="1">
        <v>89.354427151853997</v>
      </c>
      <c r="Q25" s="1">
        <v>15.7409323715758</v>
      </c>
      <c r="R25" s="1">
        <v>10.6455728481459</v>
      </c>
      <c r="S25" s="1">
        <v>6.0472536272298196</v>
      </c>
      <c r="T25" s="1">
        <v>32.370125245127397</v>
      </c>
      <c r="U25" s="2">
        <f>VLOOKUP(B25,'BOS Cost Totals'!$D$30:$E$41,2,FALSE)</f>
        <v>320.22416252800002</v>
      </c>
      <c r="V25" s="3">
        <f t="shared" si="3"/>
        <v>0.24054864052339092</v>
      </c>
      <c r="W25" s="6">
        <f>(U25-U24)/(U24+X24)</f>
        <v>-1.0508685401028979E-2</v>
      </c>
      <c r="X25" s="2">
        <v>1011</v>
      </c>
      <c r="Y25" s="2">
        <v>600</v>
      </c>
      <c r="Z25" s="6">
        <f>(U25-U24)/(U24+Y24)</f>
        <v>-1.5131164703402207E-2</v>
      </c>
      <c r="AA25" s="4">
        <f>Losses!$E$34</f>
        <v>0.22899999999999998</v>
      </c>
      <c r="AB25" s="4">
        <f t="shared" si="4"/>
        <v>0.38640932371575798</v>
      </c>
      <c r="AC25" s="4">
        <f t="shared" si="5"/>
        <v>0.33545572848145899</v>
      </c>
      <c r="AD25" s="1">
        <f t="shared" si="6"/>
        <v>64.151604708525596</v>
      </c>
      <c r="AE25" s="1">
        <f t="shared" si="7"/>
        <v>55.855112605840496</v>
      </c>
      <c r="AF25" s="6">
        <f t="shared" si="11"/>
        <v>-0.12932633782709593</v>
      </c>
      <c r="AG25" s="1">
        <f t="shared" si="8"/>
        <v>50.404049772734282</v>
      </c>
      <c r="AH25" s="1">
        <f t="shared" si="9"/>
        <v>46.539344800677796</v>
      </c>
      <c r="AI25" s="6">
        <f t="shared" si="12"/>
        <v>-7.6674493210009326E-2</v>
      </c>
    </row>
    <row r="26" spans="1:35" x14ac:dyDescent="0.25">
      <c r="A26" t="s">
        <v>26</v>
      </c>
      <c r="B26" s="7" t="str">
        <f t="shared" si="0"/>
        <v>502710</v>
      </c>
      <c r="C26" s="2">
        <v>5026.5482457436601</v>
      </c>
      <c r="D26">
        <v>250</v>
      </c>
      <c r="E26">
        <v>49</v>
      </c>
      <c r="F26">
        <v>160</v>
      </c>
      <c r="G26">
        <v>10</v>
      </c>
      <c r="H26">
        <v>9</v>
      </c>
      <c r="I26" s="1">
        <v>1325.8988221786899</v>
      </c>
      <c r="J26" s="1">
        <v>1295.35628323586</v>
      </c>
      <c r="K26" s="1">
        <f t="shared" si="1"/>
        <v>5259.2437638299161</v>
      </c>
      <c r="L26" s="1">
        <v>1299.95681962667</v>
      </c>
      <c r="M26" s="1">
        <f t="shared" si="2"/>
        <v>5277.9222869797013</v>
      </c>
      <c r="N26" s="1">
        <f t="shared" si="10"/>
        <v>0.35515606403804734</v>
      </c>
      <c r="O26" s="1">
        <v>97.696465338686707</v>
      </c>
      <c r="P26" s="1">
        <v>98.043440259688396</v>
      </c>
      <c r="Q26" s="1">
        <v>2.3035346613132099</v>
      </c>
      <c r="R26" s="1">
        <v>1.95655974031159</v>
      </c>
      <c r="S26" s="1">
        <v>0.35515606403850197</v>
      </c>
      <c r="T26" s="1">
        <v>15.0627176065071</v>
      </c>
      <c r="U26" s="2">
        <f>VLOOKUP(B26,'BOS Cost Totals'!$D$30:$E$41,2,FALSE)</f>
        <v>346.418864676</v>
      </c>
      <c r="V26" s="3">
        <f t="shared" si="3"/>
        <v>0.25520410367855478</v>
      </c>
      <c r="X26" s="2">
        <v>1011</v>
      </c>
      <c r="Y26" s="2">
        <v>600</v>
      </c>
      <c r="AA26" s="4">
        <f>Losses!$E$34</f>
        <v>0.22899999999999998</v>
      </c>
      <c r="AB26" s="4">
        <f t="shared" si="4"/>
        <v>0.25203534661313209</v>
      </c>
      <c r="AC26" s="4">
        <f t="shared" si="5"/>
        <v>0.24856559740311587</v>
      </c>
      <c r="AD26" s="1">
        <f t="shared" si="6"/>
        <v>37.065704233472601</v>
      </c>
      <c r="AE26" s="1">
        <f t="shared" si="7"/>
        <v>36.763983784158334</v>
      </c>
      <c r="AF26" s="6">
        <f t="shared" si="11"/>
        <v>-8.1401515377602096E-3</v>
      </c>
      <c r="AG26" s="1">
        <f t="shared" si="8"/>
        <v>29.229626965084108</v>
      </c>
      <c r="AH26" s="1">
        <f t="shared" si="9"/>
        <v>29.094659129274795</v>
      </c>
      <c r="AI26" s="6">
        <f t="shared" si="12"/>
        <v>-4.6175011391878899E-3</v>
      </c>
    </row>
    <row r="27" spans="1:35" x14ac:dyDescent="0.25">
      <c r="A27" t="s">
        <v>50</v>
      </c>
      <c r="B27" s="7" t="str">
        <f t="shared" si="0"/>
        <v>50277</v>
      </c>
      <c r="C27" s="2">
        <v>5026.5482457436601</v>
      </c>
      <c r="D27">
        <v>250</v>
      </c>
      <c r="E27">
        <v>49</v>
      </c>
      <c r="F27">
        <v>160</v>
      </c>
      <c r="G27">
        <v>7</v>
      </c>
      <c r="H27">
        <v>9</v>
      </c>
      <c r="I27" s="1">
        <v>1325.8988221786899</v>
      </c>
      <c r="J27" s="1">
        <v>1268.5321997865601</v>
      </c>
      <c r="K27" s="1">
        <f t="shared" si="1"/>
        <v>5150.3359711037538</v>
      </c>
      <c r="L27" s="1">
        <v>1282.6418987412201</v>
      </c>
      <c r="M27" s="1">
        <f t="shared" si="2"/>
        <v>5207.6224081999953</v>
      </c>
      <c r="N27" s="1">
        <f t="shared" si="10"/>
        <v>1.1122854395839554</v>
      </c>
      <c r="O27" s="1">
        <v>95.673378584206802</v>
      </c>
      <c r="P27" s="1">
        <v>96.7375396437576</v>
      </c>
      <c r="Q27" s="1">
        <v>4.32662141579313</v>
      </c>
      <c r="R27" s="1">
        <v>3.2624603562423999</v>
      </c>
      <c r="S27" s="1">
        <v>1.1122854395845401</v>
      </c>
      <c r="T27" s="1">
        <v>24.595659228845399</v>
      </c>
      <c r="U27" s="2">
        <f>VLOOKUP(B27,'BOS Cost Totals'!$D$30:$E$41,2,FALSE)</f>
        <v>334.36215011399997</v>
      </c>
      <c r="V27" s="3">
        <f t="shared" si="3"/>
        <v>0.24852947593751437</v>
      </c>
      <c r="W27" s="6">
        <f>(U27-U26)/(U26+X26)</f>
        <v>-8.8820885547938981E-3</v>
      </c>
      <c r="X27" s="2">
        <v>1011</v>
      </c>
      <c r="Y27" s="2">
        <v>600</v>
      </c>
      <c r="Z27" s="6">
        <f>(U27-U26)/(U26+Y26)</f>
        <v>-1.2739300759952157E-2</v>
      </c>
      <c r="AA27" s="4">
        <f>Losses!$E$34</f>
        <v>0.22899999999999998</v>
      </c>
      <c r="AB27" s="4">
        <f t="shared" si="4"/>
        <v>0.27226621415793129</v>
      </c>
      <c r="AC27" s="4">
        <f t="shared" si="5"/>
        <v>0.26162460356242401</v>
      </c>
      <c r="AD27" s="1">
        <f t="shared" si="6"/>
        <v>38.660437546631023</v>
      </c>
      <c r="AE27" s="1">
        <f t="shared" si="7"/>
        <v>37.684100992661058</v>
      </c>
      <c r="AF27" s="6">
        <f t="shared" si="11"/>
        <v>-2.5254151683936271E-2</v>
      </c>
      <c r="AG27" s="1">
        <f t="shared" si="8"/>
        <v>30.436212476250407</v>
      </c>
      <c r="AH27" s="1">
        <f t="shared" si="9"/>
        <v>29.997559830540595</v>
      </c>
      <c r="AI27" s="6">
        <f t="shared" si="12"/>
        <v>-1.4412195540167682E-2</v>
      </c>
    </row>
    <row r="28" spans="1:35" x14ac:dyDescent="0.25">
      <c r="A28" t="s">
        <v>38</v>
      </c>
      <c r="B28" s="7" t="str">
        <f t="shared" si="0"/>
        <v>50274</v>
      </c>
      <c r="C28" s="2">
        <v>5026.5482457436601</v>
      </c>
      <c r="D28">
        <v>250</v>
      </c>
      <c r="E28">
        <v>49</v>
      </c>
      <c r="F28">
        <v>160</v>
      </c>
      <c r="G28">
        <v>4</v>
      </c>
      <c r="H28">
        <v>9</v>
      </c>
      <c r="I28" s="1">
        <v>1325.8988221786899</v>
      </c>
      <c r="J28" s="1">
        <v>1179.72285593011</v>
      </c>
      <c r="K28" s="1">
        <f t="shared" si="1"/>
        <v>4789.76336734095</v>
      </c>
      <c r="L28" s="1">
        <v>1230.4736326490699</v>
      </c>
      <c r="M28" s="1">
        <f t="shared" si="2"/>
        <v>4995.8153311311426</v>
      </c>
      <c r="N28" s="1">
        <f t="shared" si="10"/>
        <v>4.3019236648549422</v>
      </c>
      <c r="O28" s="1">
        <v>88.975330258730907</v>
      </c>
      <c r="P28" s="1">
        <v>92.802981047013802</v>
      </c>
      <c r="Q28" s="1">
        <v>11.024669741268999</v>
      </c>
      <c r="R28" s="1">
        <v>7.1970189529861601</v>
      </c>
      <c r="S28" s="1">
        <v>4.30192366485457</v>
      </c>
      <c r="T28" s="1">
        <v>34.718961003926303</v>
      </c>
      <c r="U28" s="2">
        <f>VLOOKUP(B28,'BOS Cost Totals'!$D$30:$E$41,2,FALSE)</f>
        <v>320.22416252800002</v>
      </c>
      <c r="V28" s="3">
        <f t="shared" si="3"/>
        <v>0.24054864052339092</v>
      </c>
      <c r="W28" s="6">
        <f>(U28-U27)/(U27+X27)</f>
        <v>-1.0508685401028979E-2</v>
      </c>
      <c r="X28" s="2">
        <v>1011</v>
      </c>
      <c r="Y28" s="2">
        <v>600</v>
      </c>
      <c r="Z28" s="6">
        <f>(U28-U27)/(U27+Y27)</f>
        <v>-1.5131164703402207E-2</v>
      </c>
      <c r="AA28" s="4">
        <f>Losses!$E$34</f>
        <v>0.22899999999999998</v>
      </c>
      <c r="AB28" s="4">
        <f t="shared" si="4"/>
        <v>0.33924669741268998</v>
      </c>
      <c r="AC28" s="4">
        <f t="shared" si="5"/>
        <v>0.3009701895298616</v>
      </c>
      <c r="AD28" s="1">
        <f t="shared" si="6"/>
        <v>45.449775801452539</v>
      </c>
      <c r="AE28" s="1">
        <f t="shared" si="7"/>
        <v>41.189173034850519</v>
      </c>
      <c r="AF28" s="6">
        <f t="shared" si="11"/>
        <v>-9.374309755045819E-2</v>
      </c>
      <c r="AG28" s="1">
        <f t="shared" si="8"/>
        <v>35.709983749659493</v>
      </c>
      <c r="AH28" s="1">
        <f t="shared" si="9"/>
        <v>33.754625832133449</v>
      </c>
      <c r="AI28" s="6">
        <f t="shared" si="12"/>
        <v>-5.4756617399600159E-2</v>
      </c>
    </row>
    <row r="29" spans="1:35" x14ac:dyDescent="0.25">
      <c r="A29" t="s">
        <v>19</v>
      </c>
      <c r="B29" s="7" t="str">
        <f t="shared" si="0"/>
        <v>603210</v>
      </c>
      <c r="C29" s="2">
        <v>6031.8578948923996</v>
      </c>
      <c r="D29">
        <v>300</v>
      </c>
      <c r="E29">
        <v>49</v>
      </c>
      <c r="F29">
        <v>160</v>
      </c>
      <c r="G29">
        <v>10</v>
      </c>
      <c r="H29">
        <v>6</v>
      </c>
      <c r="I29" s="1">
        <v>739.48142832450003</v>
      </c>
      <c r="J29" s="1">
        <v>696.48693587378398</v>
      </c>
      <c r="K29" s="1">
        <f t="shared" si="1"/>
        <v>2356.4910425858998</v>
      </c>
      <c r="L29" s="1">
        <v>701.69272969460405</v>
      </c>
      <c r="M29" s="1">
        <f t="shared" si="2"/>
        <v>2374.104304050627</v>
      </c>
      <c r="N29" s="1">
        <f t="shared" si="10"/>
        <v>0.74743596077492835</v>
      </c>
      <c r="O29" s="1">
        <v>94.185859062325207</v>
      </c>
      <c r="P29" s="1">
        <v>94.889838042921895</v>
      </c>
      <c r="Q29" s="1">
        <v>5.8141409376747202</v>
      </c>
      <c r="R29" s="1">
        <v>5.1101619570780601</v>
      </c>
      <c r="S29" s="1">
        <v>0.74743596077499297</v>
      </c>
      <c r="T29" s="1">
        <v>12.1080480872933</v>
      </c>
      <c r="U29" s="2">
        <f>VLOOKUP(B29,'BOS Cost Totals'!$D$30:$E$41,2,FALSE)</f>
        <v>318.74818809700002</v>
      </c>
      <c r="V29" s="3">
        <f t="shared" si="3"/>
        <v>0.23970567581908869</v>
      </c>
      <c r="X29" s="2">
        <v>1011</v>
      </c>
      <c r="Y29" s="2">
        <v>600</v>
      </c>
      <c r="AA29" s="4">
        <f>Losses!$E$34</f>
        <v>0.22899999999999998</v>
      </c>
      <c r="AB29" s="4">
        <f t="shared" si="4"/>
        <v>0.2871414093767472</v>
      </c>
      <c r="AC29" s="4">
        <f t="shared" si="5"/>
        <v>0.28010161957078061</v>
      </c>
      <c r="AD29" s="1">
        <f t="shared" si="6"/>
        <v>85.56213464986466</v>
      </c>
      <c r="AE29" s="1">
        <f t="shared" si="7"/>
        <v>84.096863797340191</v>
      </c>
      <c r="AF29" s="6">
        <f t="shared" si="11"/>
        <v>-1.7125225527864819E-2</v>
      </c>
      <c r="AG29" s="1">
        <f t="shared" si="8"/>
        <v>67.212226093436215</v>
      </c>
      <c r="AH29" s="1">
        <f t="shared" si="9"/>
        <v>66.554966739960818</v>
      </c>
      <c r="AI29" s="6">
        <f t="shared" si="12"/>
        <v>-9.7788660140745234E-3</v>
      </c>
    </row>
    <row r="30" spans="1:35" x14ac:dyDescent="0.25">
      <c r="A30" t="s">
        <v>43</v>
      </c>
      <c r="B30" s="7" t="str">
        <f t="shared" si="0"/>
        <v>60327</v>
      </c>
      <c r="C30" s="2">
        <v>6031.8578948923996</v>
      </c>
      <c r="D30">
        <v>300</v>
      </c>
      <c r="E30">
        <v>49</v>
      </c>
      <c r="F30">
        <v>160</v>
      </c>
      <c r="G30">
        <v>7</v>
      </c>
      <c r="H30">
        <v>6</v>
      </c>
      <c r="I30" s="1">
        <v>739.48142832450003</v>
      </c>
      <c r="J30" s="1">
        <v>663.89696127589195</v>
      </c>
      <c r="K30" s="1">
        <f t="shared" si="1"/>
        <v>2246.2262561808438</v>
      </c>
      <c r="L30" s="1">
        <v>678.65373890672697</v>
      </c>
      <c r="M30" s="1">
        <f t="shared" si="2"/>
        <v>2296.1542771003869</v>
      </c>
      <c r="N30" s="1">
        <f t="shared" si="10"/>
        <v>2.2227511935700255</v>
      </c>
      <c r="O30" s="1">
        <v>89.778720039005506</v>
      </c>
      <c r="P30" s="1">
        <v>91.774277610244297</v>
      </c>
      <c r="Q30" s="1">
        <v>10.2212799609944</v>
      </c>
      <c r="R30" s="1">
        <v>8.2257223897557008</v>
      </c>
      <c r="S30" s="1">
        <v>2.2227511935698998</v>
      </c>
      <c r="T30" s="1">
        <v>19.5235584863543</v>
      </c>
      <c r="U30" s="2">
        <f>VLOOKUP(B30,'BOS Cost Totals'!$D$30:$E$41,2,FALSE)</f>
        <v>308.774255068</v>
      </c>
      <c r="V30" s="3">
        <f t="shared" si="3"/>
        <v>0.23395990176523843</v>
      </c>
      <c r="W30" s="6">
        <f>(U30-U29)/(U29+X29)</f>
        <v>-7.5006178750833263E-3</v>
      </c>
      <c r="X30" s="2">
        <v>1011</v>
      </c>
      <c r="Y30" s="2">
        <v>600</v>
      </c>
      <c r="Z30" s="6">
        <f>(U30-U29)/(U29+Y29)</f>
        <v>-1.0856002937713539E-2</v>
      </c>
      <c r="AA30" s="4">
        <f>Losses!$E$34</f>
        <v>0.22899999999999998</v>
      </c>
      <c r="AB30" s="4">
        <f t="shared" si="4"/>
        <v>0.33121279960994399</v>
      </c>
      <c r="AC30" s="4">
        <f t="shared" si="5"/>
        <v>0.311257223897557</v>
      </c>
      <c r="AD30" s="1">
        <f t="shared" si="6"/>
        <v>95.179443845796101</v>
      </c>
      <c r="AE30" s="1">
        <f t="shared" si="7"/>
        <v>90.412086844018177</v>
      </c>
      <c r="AF30" s="6">
        <f t="shared" si="11"/>
        <v>-5.0088094751863689E-2</v>
      </c>
      <c r="AG30" s="1">
        <f t="shared" si="8"/>
        <v>74.660186744963369</v>
      </c>
      <c r="AH30" s="1">
        <f t="shared" si="9"/>
        <v>72.496988725346739</v>
      </c>
      <c r="AI30" s="6">
        <f t="shared" si="12"/>
        <v>-2.8973916540097063E-2</v>
      </c>
    </row>
    <row r="31" spans="1:35" x14ac:dyDescent="0.25">
      <c r="A31" t="s">
        <v>31</v>
      </c>
      <c r="B31" s="7" t="str">
        <f t="shared" si="0"/>
        <v>60324</v>
      </c>
      <c r="C31" s="2">
        <v>6031.8578948923996</v>
      </c>
      <c r="D31">
        <v>300</v>
      </c>
      <c r="E31">
        <v>49</v>
      </c>
      <c r="F31">
        <v>160</v>
      </c>
      <c r="G31">
        <v>4</v>
      </c>
      <c r="H31">
        <v>6</v>
      </c>
      <c r="I31" s="1">
        <v>739.48142832450003</v>
      </c>
      <c r="J31" s="1">
        <v>571.37988901107099</v>
      </c>
      <c r="K31" s="1">
        <f t="shared" si="1"/>
        <v>1933.2043732867885</v>
      </c>
      <c r="L31" s="1">
        <v>619.64563685133101</v>
      </c>
      <c r="M31" s="1">
        <f t="shared" si="2"/>
        <v>2096.5065065947042</v>
      </c>
      <c r="N31" s="1">
        <f t="shared" si="10"/>
        <v>8.4472255269251928</v>
      </c>
      <c r="O31" s="1">
        <v>77.267645558819495</v>
      </c>
      <c r="P31" s="1">
        <v>83.794617838518207</v>
      </c>
      <c r="Q31" s="1">
        <v>22.732354441180401</v>
      </c>
      <c r="R31" s="1">
        <v>16.205382161481701</v>
      </c>
      <c r="S31" s="1">
        <v>8.4472255269252603</v>
      </c>
      <c r="T31" s="1">
        <v>28.712258101496499</v>
      </c>
      <c r="U31" s="2">
        <f>VLOOKUP(B31,'BOS Cost Totals'!$D$30:$E$41,2,FALSE)</f>
        <v>297.01902936599998</v>
      </c>
      <c r="V31" s="3">
        <f t="shared" si="3"/>
        <v>0.22707546503353687</v>
      </c>
      <c r="W31" s="6">
        <f>(U31-U30)/(U30+X30)</f>
        <v>-8.9069972814360913E-3</v>
      </c>
      <c r="X31" s="2">
        <v>1011</v>
      </c>
      <c r="Y31" s="2">
        <v>600</v>
      </c>
      <c r="Z31" s="6">
        <f>(U31-U30)/(U30+Y30)</f>
        <v>-1.2935253872393668E-2</v>
      </c>
      <c r="AA31" s="4">
        <f>Losses!$E$34</f>
        <v>0.22899999999999998</v>
      </c>
      <c r="AB31" s="4">
        <f t="shared" si="4"/>
        <v>0.45632354441180401</v>
      </c>
      <c r="AC31" s="4">
        <f t="shared" si="5"/>
        <v>0.391053821614817</v>
      </c>
      <c r="AD31" s="1">
        <f t="shared" si="6"/>
        <v>135.20107507718069</v>
      </c>
      <c r="AE31" s="1">
        <f t="shared" si="7"/>
        <v>111.3072148621419</v>
      </c>
      <c r="AF31" s="6">
        <f t="shared" si="11"/>
        <v>-0.17672833001807695</v>
      </c>
      <c r="AG31" s="1">
        <f t="shared" si="8"/>
        <v>105.87291686440912</v>
      </c>
      <c r="AH31" s="1">
        <f t="shared" si="9"/>
        <v>94.524958406449315</v>
      </c>
      <c r="AI31" s="6">
        <f t="shared" si="12"/>
        <v>-0.10718471535542064</v>
      </c>
    </row>
    <row r="32" spans="1:35" x14ac:dyDescent="0.25">
      <c r="A32" t="s">
        <v>23</v>
      </c>
      <c r="B32" s="7" t="str">
        <f t="shared" si="0"/>
        <v>603210</v>
      </c>
      <c r="C32" s="2">
        <v>6031.8578948923996</v>
      </c>
      <c r="D32">
        <v>300</v>
      </c>
      <c r="E32">
        <v>49</v>
      </c>
      <c r="F32">
        <v>160</v>
      </c>
      <c r="G32">
        <v>10</v>
      </c>
      <c r="H32">
        <v>7.5</v>
      </c>
      <c r="I32" s="1">
        <v>1167.5372750935801</v>
      </c>
      <c r="J32" s="1">
        <v>1121.17757873802</v>
      </c>
      <c r="K32" s="1">
        <f t="shared" si="1"/>
        <v>3793.3876220229317</v>
      </c>
      <c r="L32" s="1">
        <v>1127.8620303349801</v>
      </c>
      <c r="M32" s="1">
        <f t="shared" si="2"/>
        <v>3816.003768143567</v>
      </c>
      <c r="N32" s="1">
        <f t="shared" si="10"/>
        <v>0.59619918590273913</v>
      </c>
      <c r="O32" s="1">
        <v>96.029274838197594</v>
      </c>
      <c r="P32" s="1">
        <v>96.601800593011703</v>
      </c>
      <c r="Q32" s="1">
        <v>3.97072516180235</v>
      </c>
      <c r="R32" s="1">
        <v>3.39819940698822</v>
      </c>
      <c r="S32" s="1">
        <v>0.59619918590326504</v>
      </c>
      <c r="T32" s="1">
        <v>14.4186699276426</v>
      </c>
      <c r="U32" s="2">
        <f>VLOOKUP(B32,'BOS Cost Totals'!$D$30:$E$41,2,FALSE)</f>
        <v>318.74818809700002</v>
      </c>
      <c r="V32" s="3">
        <f t="shared" si="3"/>
        <v>0.23970567581908869</v>
      </c>
      <c r="X32" s="2">
        <v>1011</v>
      </c>
      <c r="Y32" s="2">
        <v>600</v>
      </c>
      <c r="AA32" s="4">
        <f>Losses!$E$34</f>
        <v>0.22899999999999998</v>
      </c>
      <c r="AB32" s="4">
        <f t="shared" si="4"/>
        <v>0.2687072516180235</v>
      </c>
      <c r="AC32" s="4">
        <f t="shared" si="5"/>
        <v>0.26298199406988221</v>
      </c>
      <c r="AD32" s="1">
        <f t="shared" si="6"/>
        <v>51.812232094497347</v>
      </c>
      <c r="AE32" s="1">
        <f t="shared" si="7"/>
        <v>51.105059578475021</v>
      </c>
      <c r="AF32" s="6">
        <f t="shared" si="11"/>
        <v>-1.364875604533991E-2</v>
      </c>
      <c r="AG32" s="1">
        <f t="shared" si="8"/>
        <v>40.700427498584581</v>
      </c>
      <c r="AH32" s="1">
        <f t="shared" si="9"/>
        <v>40.384260962795842</v>
      </c>
      <c r="AI32" s="6">
        <f t="shared" si="12"/>
        <v>-7.7681379587409448E-3</v>
      </c>
    </row>
    <row r="33" spans="1:35" x14ac:dyDescent="0.25">
      <c r="A33" t="s">
        <v>47</v>
      </c>
      <c r="B33" s="7" t="str">
        <f t="shared" si="0"/>
        <v>60327</v>
      </c>
      <c r="C33" s="2">
        <v>6031.8578948923996</v>
      </c>
      <c r="D33">
        <v>300</v>
      </c>
      <c r="E33">
        <v>49</v>
      </c>
      <c r="F33">
        <v>160</v>
      </c>
      <c r="G33">
        <v>7</v>
      </c>
      <c r="H33">
        <v>7.5</v>
      </c>
      <c r="I33" s="1">
        <v>1167.5372750935801</v>
      </c>
      <c r="J33" s="1">
        <v>1081.7954023571399</v>
      </c>
      <c r="K33" s="1">
        <f t="shared" si="1"/>
        <v>3660.1421279597093</v>
      </c>
      <c r="L33" s="1">
        <v>1101.58107828485</v>
      </c>
      <c r="M33" s="1">
        <f t="shared" si="2"/>
        <v>3727.084902753702</v>
      </c>
      <c r="N33" s="1">
        <f t="shared" si="10"/>
        <v>1.8289665388296941</v>
      </c>
      <c r="O33" s="1">
        <v>92.656176846296404</v>
      </c>
      <c r="P33" s="1">
        <v>94.350827316974303</v>
      </c>
      <c r="Q33" s="1">
        <v>7.3438231537035996</v>
      </c>
      <c r="R33" s="1">
        <v>5.6491726830256601</v>
      </c>
      <c r="S33" s="1">
        <v>1.82896653883002</v>
      </c>
      <c r="T33" s="1">
        <v>23.075861648755801</v>
      </c>
      <c r="U33" s="2">
        <f>VLOOKUP(B33,'BOS Cost Totals'!$D$30:$E$41,2,FALSE)</f>
        <v>308.774255068</v>
      </c>
      <c r="V33" s="3">
        <f t="shared" si="3"/>
        <v>0.23395990176523843</v>
      </c>
      <c r="W33" s="6">
        <f>(U33-U32)/(U32+X32)</f>
        <v>-7.5006178750833263E-3</v>
      </c>
      <c r="X33" s="2">
        <v>1011</v>
      </c>
      <c r="Y33" s="2">
        <v>600</v>
      </c>
      <c r="Z33" s="6">
        <f>(U33-U32)/(U32+Y32)</f>
        <v>-1.0856002937713539E-2</v>
      </c>
      <c r="AA33" s="4">
        <f>Losses!$E$34</f>
        <v>0.22899999999999998</v>
      </c>
      <c r="AB33" s="4">
        <f t="shared" si="4"/>
        <v>0.30243823153703597</v>
      </c>
      <c r="AC33" s="4">
        <f t="shared" si="5"/>
        <v>0.28549172683025659</v>
      </c>
      <c r="AD33" s="1">
        <f t="shared" si="6"/>
        <v>56.002059026802023</v>
      </c>
      <c r="AE33" s="1">
        <f t="shared" si="7"/>
        <v>53.691812773989859</v>
      </c>
      <c r="AF33" s="6">
        <f t="shared" si="11"/>
        <v>-4.1252880571882235E-2</v>
      </c>
      <c r="AG33" s="1">
        <f t="shared" si="8"/>
        <v>43.928857073566235</v>
      </c>
      <c r="AH33" s="1">
        <f t="shared" si="9"/>
        <v>42.886964892446898</v>
      </c>
      <c r="AI33" s="6">
        <f t="shared" si="12"/>
        <v>-2.3717716565548566E-2</v>
      </c>
    </row>
    <row r="34" spans="1:35" x14ac:dyDescent="0.25">
      <c r="A34" t="s">
        <v>35</v>
      </c>
      <c r="B34" s="7" t="str">
        <f t="shared" si="0"/>
        <v>60324</v>
      </c>
      <c r="C34" s="2">
        <v>6031.8578948923996</v>
      </c>
      <c r="D34">
        <v>300</v>
      </c>
      <c r="E34">
        <v>49</v>
      </c>
      <c r="F34">
        <v>160</v>
      </c>
      <c r="G34">
        <v>4</v>
      </c>
      <c r="H34">
        <v>7.5</v>
      </c>
      <c r="I34" s="1">
        <v>1167.5372750935801</v>
      </c>
      <c r="J34" s="1">
        <v>963.47005191899302</v>
      </c>
      <c r="K34" s="1">
        <f t="shared" si="1"/>
        <v>3259.8006225321615</v>
      </c>
      <c r="L34" s="1">
        <v>1028.24402996808</v>
      </c>
      <c r="M34" s="1">
        <f t="shared" si="2"/>
        <v>3478.9566342294006</v>
      </c>
      <c r="N34" s="1">
        <f t="shared" si="10"/>
        <v>6.7229882153652092</v>
      </c>
      <c r="O34" s="1">
        <v>82.521566760407296</v>
      </c>
      <c r="P34" s="1">
        <v>88.069481968844798</v>
      </c>
      <c r="Q34" s="1">
        <v>17.478433239592601</v>
      </c>
      <c r="R34" s="1">
        <v>11.930518031155099</v>
      </c>
      <c r="S34" s="1">
        <v>6.7229882153659002</v>
      </c>
      <c r="T34" s="1">
        <v>31.741490397836099</v>
      </c>
      <c r="U34" s="2">
        <f>VLOOKUP(B34,'BOS Cost Totals'!$D$30:$E$41,2,FALSE)</f>
        <v>297.01902936599998</v>
      </c>
      <c r="V34" s="3">
        <f t="shared" si="3"/>
        <v>0.22707546503353687</v>
      </c>
      <c r="W34" s="6">
        <f>(U34-U33)/(U33+X33)</f>
        <v>-8.9069972814360913E-3</v>
      </c>
      <c r="X34" s="2">
        <v>1011</v>
      </c>
      <c r="Y34" s="2">
        <v>600</v>
      </c>
      <c r="Z34" s="6">
        <f>(U34-U33)/(U33+Y33)</f>
        <v>-1.2935253872393668E-2</v>
      </c>
      <c r="AA34" s="4">
        <f>Losses!$E$34</f>
        <v>0.22899999999999998</v>
      </c>
      <c r="AB34" s="4">
        <f t="shared" si="4"/>
        <v>0.40378433239592598</v>
      </c>
      <c r="AC34" s="4">
        <f t="shared" si="5"/>
        <v>0.348305180311551</v>
      </c>
      <c r="AD34" s="1">
        <f t="shared" si="6"/>
        <v>73.114584622949593</v>
      </c>
      <c r="AE34" s="1">
        <f t="shared" si="7"/>
        <v>62.6765605122851</v>
      </c>
      <c r="AF34" s="6">
        <f t="shared" si="11"/>
        <v>-0.1427625440873824</v>
      </c>
      <c r="AG34" s="1">
        <f t="shared" si="8"/>
        <v>57.254384515377666</v>
      </c>
      <c r="AH34" s="1">
        <f t="shared" si="9"/>
        <v>52.380286072268269</v>
      </c>
      <c r="AI34" s="6">
        <f t="shared" si="12"/>
        <v>-8.5130570948680567E-2</v>
      </c>
    </row>
    <row r="35" spans="1:35" x14ac:dyDescent="0.25">
      <c r="A35" t="s">
        <v>27</v>
      </c>
      <c r="B35" s="7" t="str">
        <f t="shared" si="0"/>
        <v>603210</v>
      </c>
      <c r="C35" s="2">
        <v>6031.8578948923996</v>
      </c>
      <c r="D35">
        <v>300</v>
      </c>
      <c r="E35">
        <v>49</v>
      </c>
      <c r="F35">
        <v>160</v>
      </c>
      <c r="G35">
        <v>10</v>
      </c>
      <c r="H35">
        <v>9</v>
      </c>
      <c r="I35" s="1">
        <v>1498.49127476684</v>
      </c>
      <c r="J35" s="1">
        <v>1455.1707942555699</v>
      </c>
      <c r="K35" s="1">
        <f t="shared" si="1"/>
        <v>4923.4188977196754</v>
      </c>
      <c r="L35" s="1">
        <v>1460.7767731519</v>
      </c>
      <c r="M35" s="1">
        <f t="shared" si="2"/>
        <v>4942.3861437277483</v>
      </c>
      <c r="N35" s="1">
        <f t="shared" si="10"/>
        <v>0.3852454240052231</v>
      </c>
      <c r="O35" s="1">
        <v>97.109060210043097</v>
      </c>
      <c r="P35" s="1">
        <v>97.483168420796503</v>
      </c>
      <c r="Q35" s="1">
        <v>2.8909397899568501</v>
      </c>
      <c r="R35" s="1">
        <v>2.5168315792034601</v>
      </c>
      <c r="S35" s="1">
        <v>0.38524542400494</v>
      </c>
      <c r="T35" s="1">
        <v>12.940712637912799</v>
      </c>
      <c r="U35" s="2">
        <f>VLOOKUP(B35,'BOS Cost Totals'!$D$30:$E$41,2,FALSE)</f>
        <v>318.74818809700002</v>
      </c>
      <c r="V35" s="3">
        <f t="shared" si="3"/>
        <v>0.23970567581908869</v>
      </c>
      <c r="X35" s="2">
        <v>1011</v>
      </c>
      <c r="Y35" s="2">
        <v>600</v>
      </c>
      <c r="AA35" s="4">
        <f>Losses!$E$34</f>
        <v>0.22899999999999998</v>
      </c>
      <c r="AB35" s="4">
        <f t="shared" si="4"/>
        <v>0.25790939789956846</v>
      </c>
      <c r="AC35" s="4">
        <f t="shared" si="5"/>
        <v>0.25416831579203458</v>
      </c>
      <c r="AD35" s="1">
        <f t="shared" si="6"/>
        <v>39.339340230045813</v>
      </c>
      <c r="AE35" s="1">
        <f t="shared" si="7"/>
        <v>38.991800479802812</v>
      </c>
      <c r="AF35" s="6">
        <f t="shared" si="11"/>
        <v>-8.8344071916479257E-3</v>
      </c>
      <c r="AG35" s="1">
        <f t="shared" si="8"/>
        <v>30.902508927909651</v>
      </c>
      <c r="AH35" s="1">
        <f t="shared" si="9"/>
        <v>30.747502341737491</v>
      </c>
      <c r="AI35" s="6">
        <f t="shared" si="12"/>
        <v>-5.0159871010397299E-3</v>
      </c>
    </row>
    <row r="36" spans="1:35" x14ac:dyDescent="0.25">
      <c r="A36" t="s">
        <v>51</v>
      </c>
      <c r="B36" s="7" t="str">
        <f t="shared" si="0"/>
        <v>60327</v>
      </c>
      <c r="C36" s="2">
        <v>6031.8578948923996</v>
      </c>
      <c r="D36">
        <v>300</v>
      </c>
      <c r="E36">
        <v>49</v>
      </c>
      <c r="F36">
        <v>160</v>
      </c>
      <c r="G36">
        <v>7</v>
      </c>
      <c r="H36">
        <v>9</v>
      </c>
      <c r="I36" s="1">
        <v>1498.49127476684</v>
      </c>
      <c r="J36" s="1">
        <v>1420.39539886749</v>
      </c>
      <c r="K36" s="1">
        <f t="shared" si="1"/>
        <v>4805.7599675753718</v>
      </c>
      <c r="L36" s="1">
        <v>1435.9276616659599</v>
      </c>
      <c r="M36" s="1">
        <f t="shared" si="2"/>
        <v>4858.3117618308752</v>
      </c>
      <c r="N36" s="1">
        <f t="shared" si="10"/>
        <v>1.093516834175476</v>
      </c>
      <c r="O36" s="1">
        <v>94.788366324555398</v>
      </c>
      <c r="P36" s="1">
        <v>95.824893067154306</v>
      </c>
      <c r="Q36" s="1">
        <v>5.2116336754445998</v>
      </c>
      <c r="R36" s="1">
        <v>4.1751069328456101</v>
      </c>
      <c r="S36" s="1">
        <v>1.0935168341755299</v>
      </c>
      <c r="T36" s="1">
        <v>19.888710664426299</v>
      </c>
      <c r="U36" s="2">
        <f>VLOOKUP(B36,'BOS Cost Totals'!$D$30:$E$41,2,FALSE)</f>
        <v>308.774255068</v>
      </c>
      <c r="V36" s="3">
        <f t="shared" si="3"/>
        <v>0.23395990176523843</v>
      </c>
      <c r="W36" s="6">
        <f>(U36-U35)/(U35+X35)</f>
        <v>-7.5006178750833263E-3</v>
      </c>
      <c r="X36" s="2">
        <v>1011</v>
      </c>
      <c r="Y36" s="2">
        <v>600</v>
      </c>
      <c r="Z36" s="6">
        <f>(U36-U35)/(U35+Y35)</f>
        <v>-1.0856002937713539E-2</v>
      </c>
      <c r="AA36" s="4">
        <f>Losses!$E$34</f>
        <v>0.22899999999999998</v>
      </c>
      <c r="AB36" s="4">
        <f t="shared" si="4"/>
        <v>0.28111633675444597</v>
      </c>
      <c r="AC36" s="4">
        <f t="shared" si="5"/>
        <v>0.27075106932845605</v>
      </c>
      <c r="AD36" s="1">
        <f t="shared" si="6"/>
        <v>41.386997925014938</v>
      </c>
      <c r="AE36" s="1">
        <f t="shared" si="7"/>
        <v>40.357423628726607</v>
      </c>
      <c r="AF36" s="6">
        <f t="shared" si="11"/>
        <v>-2.4876757143722193E-2</v>
      </c>
      <c r="AG36" s="1">
        <f t="shared" si="8"/>
        <v>32.464583412582151</v>
      </c>
      <c r="AH36" s="1">
        <f t="shared" si="9"/>
        <v>32.003144149812307</v>
      </c>
      <c r="AI36" s="6">
        <f t="shared" si="12"/>
        <v>-1.4213620329130905E-2</v>
      </c>
    </row>
    <row r="37" spans="1:35" x14ac:dyDescent="0.25">
      <c r="A37" t="s">
        <v>39</v>
      </c>
      <c r="B37" s="7" t="str">
        <f t="shared" si="0"/>
        <v>60324</v>
      </c>
      <c r="C37" s="2">
        <v>6031.8578948923996</v>
      </c>
      <c r="D37">
        <v>300</v>
      </c>
      <c r="E37">
        <v>49</v>
      </c>
      <c r="F37">
        <v>160</v>
      </c>
      <c r="G37">
        <v>4</v>
      </c>
      <c r="H37">
        <v>9</v>
      </c>
      <c r="I37" s="1">
        <v>1498.49127476684</v>
      </c>
      <c r="J37" s="1">
        <v>1310.0605815147801</v>
      </c>
      <c r="K37" s="1">
        <f t="shared" si="1"/>
        <v>4432.453599020414</v>
      </c>
      <c r="L37" s="1">
        <v>1371.8553194982701</v>
      </c>
      <c r="M37" s="1">
        <f t="shared" si="2"/>
        <v>4641.5296620973895</v>
      </c>
      <c r="N37" s="1">
        <f t="shared" si="10"/>
        <v>4.7169374344535093</v>
      </c>
      <c r="O37" s="1">
        <v>87.425305944382401</v>
      </c>
      <c r="P37" s="1">
        <v>91.549102927658495</v>
      </c>
      <c r="Q37" s="1">
        <v>12.574694055617501</v>
      </c>
      <c r="R37" s="1">
        <v>8.4508970723414496</v>
      </c>
      <c r="S37" s="1">
        <v>4.7169374344534702</v>
      </c>
      <c r="T37" s="1">
        <v>32.794412055168998</v>
      </c>
      <c r="U37" s="2">
        <f>VLOOKUP(B37,'BOS Cost Totals'!$D$30:$E$41,2,FALSE)</f>
        <v>297.01902936599998</v>
      </c>
      <c r="V37" s="3">
        <f t="shared" si="3"/>
        <v>0.22707546503353687</v>
      </c>
      <c r="W37" s="6">
        <f>(U37-U36)/(U36+X36)</f>
        <v>-8.9069972814360913E-3</v>
      </c>
      <c r="X37" s="2">
        <v>1011</v>
      </c>
      <c r="Y37" s="2">
        <v>600</v>
      </c>
      <c r="Z37" s="6">
        <f>(U37-U36)/(U36+Y36)</f>
        <v>-1.2935253872393668E-2</v>
      </c>
      <c r="AA37" s="4">
        <f>Losses!$E$34</f>
        <v>0.22899999999999998</v>
      </c>
      <c r="AB37" s="4">
        <f t="shared" si="4"/>
        <v>0.35474694055617495</v>
      </c>
      <c r="AC37" s="4">
        <f t="shared" si="5"/>
        <v>0.31350897072341449</v>
      </c>
      <c r="AD37" s="1">
        <f t="shared" si="6"/>
        <v>49.684871334357041</v>
      </c>
      <c r="AE37" s="1">
        <f t="shared" si="7"/>
        <v>44.596671198146389</v>
      </c>
      <c r="AF37" s="6">
        <f t="shared" si="11"/>
        <v>-0.10240944576407038</v>
      </c>
      <c r="AG37" s="1">
        <f t="shared" si="8"/>
        <v>38.907103728268211</v>
      </c>
      <c r="AH37" s="1">
        <f t="shared" si="9"/>
        <v>36.569928293481894</v>
      </c>
      <c r="AI37" s="6">
        <f t="shared" si="12"/>
        <v>-6.0070660903197154E-2</v>
      </c>
    </row>
  </sheetData>
  <autoFilter ref="A1:T37" xr:uid="{16F10658-AB88-432F-A948-31FCC000212C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AA49-F457-4EA6-8322-275B1A19FD9A}">
  <dimension ref="B4:M100"/>
  <sheetViews>
    <sheetView workbookViewId="0">
      <selection activeCell="F58" sqref="F58"/>
    </sheetView>
  </sheetViews>
  <sheetFormatPr defaultRowHeight="15" x14ac:dyDescent="0.25"/>
  <cols>
    <col min="2" max="2" width="18.5703125" bestFit="1" customWidth="1"/>
    <col min="3" max="3" width="18.5703125" customWidth="1"/>
    <col min="4" max="4" width="17" customWidth="1"/>
    <col min="5" max="5" width="19.5703125" customWidth="1"/>
    <col min="6" max="6" width="27.28515625" bestFit="1" customWidth="1"/>
    <col min="11" max="11" width="19" bestFit="1" customWidth="1"/>
    <col min="12" max="12" width="18.5703125" bestFit="1" customWidth="1"/>
    <col min="13" max="13" width="18.7109375" bestFit="1" customWidth="1"/>
  </cols>
  <sheetData>
    <row r="4" spans="2:13" x14ac:dyDescent="0.25">
      <c r="B4" t="s">
        <v>75</v>
      </c>
      <c r="D4" t="s">
        <v>76</v>
      </c>
      <c r="E4" t="s">
        <v>77</v>
      </c>
      <c r="F4" t="s">
        <v>78</v>
      </c>
      <c r="K4" t="s">
        <v>79</v>
      </c>
      <c r="L4" t="s">
        <v>75</v>
      </c>
      <c r="M4" t="s">
        <v>80</v>
      </c>
    </row>
    <row r="5" spans="2:13" x14ac:dyDescent="0.25">
      <c r="B5" t="s">
        <v>81</v>
      </c>
      <c r="C5" t="str">
        <f>D5&amp;""&amp;E5</f>
        <v>30164</v>
      </c>
      <c r="D5" s="7">
        <v>3016</v>
      </c>
      <c r="E5" s="7">
        <v>4</v>
      </c>
      <c r="F5" s="12">
        <v>418.41799229899999</v>
      </c>
      <c r="K5" t="s">
        <v>82</v>
      </c>
      <c r="L5" t="s">
        <v>83</v>
      </c>
      <c r="M5">
        <v>17.621670475999998</v>
      </c>
    </row>
    <row r="6" spans="2:13" x14ac:dyDescent="0.25">
      <c r="B6" t="s">
        <v>84</v>
      </c>
      <c r="C6" t="str">
        <f t="shared" ref="C6:C16" si="0">D6&amp;""&amp;E6</f>
        <v>30167</v>
      </c>
      <c r="D6" s="7">
        <v>3016</v>
      </c>
      <c r="E6" s="7">
        <v>7</v>
      </c>
      <c r="F6" s="12">
        <v>441.93422628299999</v>
      </c>
      <c r="K6" t="s">
        <v>82</v>
      </c>
      <c r="L6" t="s">
        <v>85</v>
      </c>
      <c r="M6">
        <v>14.342132101000001</v>
      </c>
    </row>
    <row r="7" spans="2:13" x14ac:dyDescent="0.25">
      <c r="B7" t="s">
        <v>86</v>
      </c>
      <c r="C7" t="str">
        <f t="shared" si="0"/>
        <v>301610</v>
      </c>
      <c r="D7" s="7">
        <v>3016</v>
      </c>
      <c r="E7" s="7">
        <v>10</v>
      </c>
      <c r="F7" s="12">
        <v>462.09535447299999</v>
      </c>
      <c r="K7" t="s">
        <v>82</v>
      </c>
      <c r="L7" t="s">
        <v>87</v>
      </c>
      <c r="M7">
        <v>9.6226419599999993</v>
      </c>
    </row>
    <row r="8" spans="2:13" x14ac:dyDescent="0.25">
      <c r="B8" t="s">
        <v>88</v>
      </c>
      <c r="C8" t="str">
        <f t="shared" si="0"/>
        <v>40214</v>
      </c>
      <c r="D8" s="7">
        <v>4021</v>
      </c>
      <c r="E8" s="7">
        <v>4</v>
      </c>
      <c r="F8" s="12">
        <v>355.45867678000002</v>
      </c>
      <c r="K8" t="s">
        <v>82</v>
      </c>
      <c r="L8" t="s">
        <v>89</v>
      </c>
      <c r="M8">
        <v>21.403778785</v>
      </c>
    </row>
    <row r="9" spans="2:13" x14ac:dyDescent="0.25">
      <c r="B9" t="s">
        <v>90</v>
      </c>
      <c r="C9" t="str">
        <f t="shared" si="0"/>
        <v>40217</v>
      </c>
      <c r="D9" s="7">
        <v>4021</v>
      </c>
      <c r="E9" s="7">
        <v>7</v>
      </c>
      <c r="F9" s="12">
        <v>373.19547786300001</v>
      </c>
      <c r="K9" t="s">
        <v>82</v>
      </c>
      <c r="L9" t="s">
        <v>91</v>
      </c>
      <c r="M9">
        <v>17.390840776000001</v>
      </c>
    </row>
    <row r="10" spans="2:13" x14ac:dyDescent="0.25">
      <c r="B10" t="s">
        <v>92</v>
      </c>
      <c r="C10" t="str">
        <f t="shared" si="0"/>
        <v>402110</v>
      </c>
      <c r="D10" s="7">
        <v>4021</v>
      </c>
      <c r="E10" s="7">
        <v>10</v>
      </c>
      <c r="F10" s="12">
        <v>388.40893315800002</v>
      </c>
      <c r="K10" t="s">
        <v>82</v>
      </c>
      <c r="L10" t="s">
        <v>93</v>
      </c>
      <c r="M10">
        <v>11.706582982</v>
      </c>
    </row>
    <row r="11" spans="2:13" x14ac:dyDescent="0.25">
      <c r="B11" t="s">
        <v>93</v>
      </c>
      <c r="C11" t="str">
        <f t="shared" si="0"/>
        <v>50274</v>
      </c>
      <c r="D11" s="7">
        <v>5027</v>
      </c>
      <c r="E11" s="7">
        <v>4</v>
      </c>
      <c r="F11" s="12">
        <v>320.22416252800002</v>
      </c>
      <c r="K11" t="s">
        <v>82</v>
      </c>
      <c r="L11" t="s">
        <v>92</v>
      </c>
      <c r="M11">
        <v>27.145397685999999</v>
      </c>
    </row>
    <row r="12" spans="2:13" x14ac:dyDescent="0.25">
      <c r="B12" t="s">
        <v>91</v>
      </c>
      <c r="C12" t="str">
        <f t="shared" si="0"/>
        <v>50277</v>
      </c>
      <c r="D12" s="7">
        <v>5027</v>
      </c>
      <c r="E12" s="7">
        <v>7</v>
      </c>
      <c r="F12" s="12">
        <v>334.36215011399997</v>
      </c>
      <c r="K12" t="s">
        <v>82</v>
      </c>
      <c r="L12" t="s">
        <v>90</v>
      </c>
      <c r="M12">
        <v>22.012472091999999</v>
      </c>
    </row>
    <row r="13" spans="2:13" x14ac:dyDescent="0.25">
      <c r="B13" t="s">
        <v>89</v>
      </c>
      <c r="C13" t="str">
        <f t="shared" si="0"/>
        <v>502710</v>
      </c>
      <c r="D13" s="7">
        <v>5027</v>
      </c>
      <c r="E13" s="7">
        <v>10</v>
      </c>
      <c r="F13" s="12">
        <v>346.418864676</v>
      </c>
      <c r="K13" t="s">
        <v>82</v>
      </c>
      <c r="L13" t="s">
        <v>88</v>
      </c>
      <c r="M13">
        <v>14.860730265999999</v>
      </c>
    </row>
    <row r="14" spans="2:13" x14ac:dyDescent="0.25">
      <c r="B14" t="s">
        <v>87</v>
      </c>
      <c r="C14" t="str">
        <f t="shared" si="0"/>
        <v>60324</v>
      </c>
      <c r="D14" s="7">
        <v>6032</v>
      </c>
      <c r="E14" s="7">
        <v>4</v>
      </c>
      <c r="F14" s="12">
        <v>297.01902936599998</v>
      </c>
      <c r="K14" t="s">
        <v>82</v>
      </c>
      <c r="L14" t="s">
        <v>86</v>
      </c>
      <c r="M14">
        <v>36.063406712999999</v>
      </c>
    </row>
    <row r="15" spans="2:13" x14ac:dyDescent="0.25">
      <c r="B15" t="s">
        <v>85</v>
      </c>
      <c r="C15" t="str">
        <f t="shared" si="0"/>
        <v>60327</v>
      </c>
      <c r="D15" s="7">
        <v>6032</v>
      </c>
      <c r="E15" s="7">
        <v>7</v>
      </c>
      <c r="F15" s="12">
        <v>308.774255068</v>
      </c>
      <c r="K15" t="s">
        <v>82</v>
      </c>
      <c r="L15" t="s">
        <v>84</v>
      </c>
      <c r="M15">
        <v>29.258310234</v>
      </c>
    </row>
    <row r="16" spans="2:13" x14ac:dyDescent="0.25">
      <c r="B16" t="s">
        <v>83</v>
      </c>
      <c r="C16" t="str">
        <f t="shared" si="0"/>
        <v>603210</v>
      </c>
      <c r="D16" s="7">
        <v>6032</v>
      </c>
      <c r="E16" s="7">
        <v>10</v>
      </c>
      <c r="F16" s="12">
        <v>318.74818809700002</v>
      </c>
      <c r="K16" t="s">
        <v>82</v>
      </c>
      <c r="L16" t="s">
        <v>81</v>
      </c>
      <c r="M16">
        <v>19.855867743000001</v>
      </c>
    </row>
    <row r="17" spans="4:13" x14ac:dyDescent="0.25">
      <c r="K17" t="s">
        <v>94</v>
      </c>
      <c r="L17" t="s">
        <v>83</v>
      </c>
      <c r="M17">
        <v>27.06652953</v>
      </c>
    </row>
    <row r="18" spans="4:13" x14ac:dyDescent="0.25">
      <c r="K18" t="s">
        <v>94</v>
      </c>
      <c r="L18" t="s">
        <v>85</v>
      </c>
      <c r="M18">
        <v>27.06652953</v>
      </c>
    </row>
    <row r="19" spans="4:13" x14ac:dyDescent="0.25">
      <c r="K19" t="s">
        <v>94</v>
      </c>
      <c r="L19" t="s">
        <v>87</v>
      </c>
      <c r="M19">
        <v>27.06652953</v>
      </c>
    </row>
    <row r="20" spans="4:13" x14ac:dyDescent="0.25">
      <c r="K20" t="s">
        <v>94</v>
      </c>
      <c r="L20" t="s">
        <v>89</v>
      </c>
      <c r="M20">
        <v>32.477681742999998</v>
      </c>
    </row>
    <row r="21" spans="4:13" x14ac:dyDescent="0.25">
      <c r="K21" t="s">
        <v>94</v>
      </c>
      <c r="L21" t="s">
        <v>91</v>
      </c>
      <c r="M21">
        <v>32.477681742999998</v>
      </c>
    </row>
    <row r="22" spans="4:13" x14ac:dyDescent="0.25">
      <c r="D22">
        <v>3016</v>
      </c>
      <c r="E22">
        <v>4</v>
      </c>
      <c r="K22" t="s">
        <v>94</v>
      </c>
      <c r="L22" t="s">
        <v>93</v>
      </c>
      <c r="M22">
        <v>32.477681742999998</v>
      </c>
    </row>
    <row r="23" spans="4:13" x14ac:dyDescent="0.25">
      <c r="D23">
        <v>3016</v>
      </c>
      <c r="E23">
        <v>7</v>
      </c>
      <c r="K23" t="s">
        <v>94</v>
      </c>
      <c r="L23" t="s">
        <v>92</v>
      </c>
      <c r="M23">
        <v>40.603159941000001</v>
      </c>
    </row>
    <row r="24" spans="4:13" x14ac:dyDescent="0.25">
      <c r="D24">
        <v>3016</v>
      </c>
      <c r="E24">
        <v>10</v>
      </c>
      <c r="K24" t="s">
        <v>94</v>
      </c>
      <c r="L24" t="s">
        <v>90</v>
      </c>
      <c r="M24">
        <v>40.603159941000001</v>
      </c>
    </row>
    <row r="25" spans="4:13" x14ac:dyDescent="0.25">
      <c r="D25">
        <v>4012</v>
      </c>
      <c r="E25">
        <v>4</v>
      </c>
      <c r="K25" t="s">
        <v>94</v>
      </c>
      <c r="L25" t="s">
        <v>88</v>
      </c>
      <c r="M25">
        <v>40.603159941000001</v>
      </c>
    </row>
    <row r="26" spans="4:13" x14ac:dyDescent="0.25">
      <c r="D26">
        <v>4012</v>
      </c>
      <c r="E26">
        <v>7</v>
      </c>
      <c r="K26" t="s">
        <v>94</v>
      </c>
      <c r="L26" t="s">
        <v>86</v>
      </c>
      <c r="M26">
        <v>54.133059058999997</v>
      </c>
    </row>
    <row r="27" spans="4:13" x14ac:dyDescent="0.25">
      <c r="D27">
        <v>4012</v>
      </c>
      <c r="E27">
        <v>10</v>
      </c>
      <c r="K27" t="s">
        <v>94</v>
      </c>
      <c r="L27" t="s">
        <v>84</v>
      </c>
      <c r="M27">
        <v>54.133059058999997</v>
      </c>
    </row>
    <row r="28" spans="4:13" x14ac:dyDescent="0.25">
      <c r="K28" t="s">
        <v>94</v>
      </c>
      <c r="L28" t="s">
        <v>81</v>
      </c>
      <c r="M28">
        <v>54.133059058999997</v>
      </c>
    </row>
    <row r="29" spans="4:13" x14ac:dyDescent="0.25">
      <c r="K29" t="s">
        <v>95</v>
      </c>
      <c r="L29" t="s">
        <v>83</v>
      </c>
      <c r="M29">
        <v>49.191805373000001</v>
      </c>
    </row>
    <row r="30" spans="4:13" x14ac:dyDescent="0.25">
      <c r="D30" s="7" t="str">
        <f>D5&amp;""&amp;E5</f>
        <v>30164</v>
      </c>
      <c r="E30" s="7">
        <f>VLOOKUP(D30,$C$5:$F$16,4,FALSE)</f>
        <v>418.41799229899999</v>
      </c>
      <c r="K30" t="s">
        <v>95</v>
      </c>
      <c r="L30" t="s">
        <v>85</v>
      </c>
      <c r="M30">
        <v>48.285990257000002</v>
      </c>
    </row>
    <row r="31" spans="4:13" x14ac:dyDescent="0.25">
      <c r="D31" s="7" t="str">
        <f t="shared" ref="D31:D37" si="1">D6&amp;""&amp;E6</f>
        <v>30167</v>
      </c>
      <c r="E31" s="7">
        <f t="shared" ref="E31:E41" si="2">VLOOKUP(D31,$C$5:$F$16,4,FALSE)</f>
        <v>441.93422628299999</v>
      </c>
      <c r="K31" t="s">
        <v>95</v>
      </c>
      <c r="L31" t="s">
        <v>87</v>
      </c>
      <c r="M31">
        <v>47.399175843000002</v>
      </c>
    </row>
    <row r="32" spans="4:13" x14ac:dyDescent="0.25">
      <c r="D32" s="7" t="str">
        <f t="shared" si="1"/>
        <v>301610</v>
      </c>
      <c r="E32" s="7">
        <f t="shared" si="2"/>
        <v>462.09535447299999</v>
      </c>
      <c r="K32" t="s">
        <v>95</v>
      </c>
      <c r="L32" t="s">
        <v>89</v>
      </c>
      <c r="M32">
        <v>54.681459679</v>
      </c>
    </row>
    <row r="33" spans="2:13" x14ac:dyDescent="0.25">
      <c r="D33" s="7" t="str">
        <f>D8&amp;""&amp;E8</f>
        <v>40214</v>
      </c>
      <c r="E33" s="7">
        <f t="shared" si="2"/>
        <v>355.45867678000002</v>
      </c>
      <c r="K33" t="s">
        <v>95</v>
      </c>
      <c r="L33" t="s">
        <v>91</v>
      </c>
      <c r="M33">
        <v>53.594816078000001</v>
      </c>
    </row>
    <row r="34" spans="2:13" x14ac:dyDescent="0.25">
      <c r="D34" s="7" t="str">
        <f t="shared" si="1"/>
        <v>40217</v>
      </c>
      <c r="E34" s="7">
        <f t="shared" si="2"/>
        <v>373.19547786300001</v>
      </c>
      <c r="K34" t="s">
        <v>95</v>
      </c>
      <c r="L34" t="s">
        <v>93</v>
      </c>
      <c r="M34">
        <v>52.523457286999999</v>
      </c>
    </row>
    <row r="35" spans="2:13" x14ac:dyDescent="0.25">
      <c r="D35" s="7" t="str">
        <f t="shared" si="1"/>
        <v>402110</v>
      </c>
      <c r="E35" s="7">
        <f t="shared" si="2"/>
        <v>388.40893315800002</v>
      </c>
      <c r="K35" t="s">
        <v>95</v>
      </c>
      <c r="L35" t="s">
        <v>92</v>
      </c>
      <c r="M35">
        <v>62.887888779000001</v>
      </c>
    </row>
    <row r="36" spans="2:13" x14ac:dyDescent="0.25">
      <c r="D36" s="7" t="str">
        <f t="shared" si="1"/>
        <v>50274</v>
      </c>
      <c r="E36" s="7">
        <f t="shared" si="2"/>
        <v>320.22416252800002</v>
      </c>
      <c r="K36" t="s">
        <v>95</v>
      </c>
      <c r="L36" t="s">
        <v>90</v>
      </c>
      <c r="M36">
        <v>61.522927406999997</v>
      </c>
    </row>
    <row r="37" spans="2:13" x14ac:dyDescent="0.25">
      <c r="D37" s="7" t="str">
        <f t="shared" si="1"/>
        <v>50277</v>
      </c>
      <c r="E37" s="7">
        <f t="shared" si="2"/>
        <v>334.36215011399997</v>
      </c>
      <c r="K37" t="s">
        <v>95</v>
      </c>
      <c r="L37" t="s">
        <v>88</v>
      </c>
      <c r="M37">
        <v>60.175057426999999</v>
      </c>
    </row>
    <row r="38" spans="2:13" x14ac:dyDescent="0.25">
      <c r="D38" s="7" t="s">
        <v>119</v>
      </c>
      <c r="E38" s="7">
        <f t="shared" si="2"/>
        <v>346.418864676</v>
      </c>
      <c r="K38" t="s">
        <v>95</v>
      </c>
      <c r="L38" t="s">
        <v>86</v>
      </c>
      <c r="M38">
        <v>73.558040886000001</v>
      </c>
    </row>
    <row r="39" spans="2:13" x14ac:dyDescent="0.25">
      <c r="D39" s="7" t="s">
        <v>120</v>
      </c>
      <c r="E39" s="7">
        <f t="shared" si="2"/>
        <v>297.01902936599998</v>
      </c>
      <c r="K39" t="s">
        <v>95</v>
      </c>
      <c r="L39" t="s">
        <v>84</v>
      </c>
      <c r="M39">
        <v>71.806305287000001</v>
      </c>
    </row>
    <row r="40" spans="2:13" x14ac:dyDescent="0.25">
      <c r="D40" s="7" t="s">
        <v>121</v>
      </c>
      <c r="E40" s="7">
        <f t="shared" si="2"/>
        <v>308.774255068</v>
      </c>
      <c r="K40" t="s">
        <v>95</v>
      </c>
      <c r="L40" t="s">
        <v>81</v>
      </c>
      <c r="M40">
        <v>69.991091909000005</v>
      </c>
    </row>
    <row r="41" spans="2:13" x14ac:dyDescent="0.25">
      <c r="D41" s="7" t="s">
        <v>122</v>
      </c>
      <c r="E41" s="7">
        <f t="shared" si="2"/>
        <v>318.74818809700002</v>
      </c>
      <c r="K41" t="s">
        <v>96</v>
      </c>
      <c r="L41" t="s">
        <v>83</v>
      </c>
      <c r="M41">
        <v>100.853448599</v>
      </c>
    </row>
    <row r="42" spans="2:13" x14ac:dyDescent="0.25">
      <c r="K42" t="s">
        <v>96</v>
      </c>
      <c r="L42" t="s">
        <v>85</v>
      </c>
      <c r="M42">
        <v>100.853448599</v>
      </c>
    </row>
    <row r="43" spans="2:13" x14ac:dyDescent="0.25">
      <c r="K43" t="s">
        <v>96</v>
      </c>
      <c r="L43" t="s">
        <v>87</v>
      </c>
      <c r="M43">
        <v>100.853448599</v>
      </c>
    </row>
    <row r="44" spans="2:13" x14ac:dyDescent="0.25">
      <c r="B44" s="17" t="s">
        <v>137</v>
      </c>
      <c r="C44" s="17"/>
      <c r="D44" s="17"/>
      <c r="E44" s="17"/>
      <c r="K44" t="s">
        <v>96</v>
      </c>
      <c r="L44" t="s">
        <v>89</v>
      </c>
      <c r="M44">
        <v>96.427578034999996</v>
      </c>
    </row>
    <row r="45" spans="2:13" ht="30" x14ac:dyDescent="0.25">
      <c r="B45" s="9" t="s">
        <v>75</v>
      </c>
      <c r="C45" s="9" t="s">
        <v>76</v>
      </c>
      <c r="D45" s="9" t="s">
        <v>77</v>
      </c>
      <c r="E45" s="15" t="s">
        <v>78</v>
      </c>
      <c r="J45" t="s">
        <v>96</v>
      </c>
      <c r="K45" t="s">
        <v>91</v>
      </c>
      <c r="L45">
        <v>96.427578034999996</v>
      </c>
    </row>
    <row r="46" spans="2:13" x14ac:dyDescent="0.25">
      <c r="B46" s="9" t="s">
        <v>81</v>
      </c>
      <c r="C46" s="13">
        <v>3016</v>
      </c>
      <c r="D46" s="13">
        <v>4</v>
      </c>
      <c r="E46" s="14">
        <v>418.41799229899999</v>
      </c>
      <c r="J46" t="s">
        <v>96</v>
      </c>
      <c r="K46" t="s">
        <v>93</v>
      </c>
      <c r="L46">
        <v>96.427578034999996</v>
      </c>
    </row>
    <row r="47" spans="2:13" x14ac:dyDescent="0.25">
      <c r="B47" s="9" t="s">
        <v>84</v>
      </c>
      <c r="C47" s="13">
        <v>3016</v>
      </c>
      <c r="D47" s="13">
        <v>7</v>
      </c>
      <c r="E47" s="14">
        <v>441.93422628299999</v>
      </c>
      <c r="J47" t="s">
        <v>96</v>
      </c>
      <c r="K47" t="s">
        <v>92</v>
      </c>
      <c r="L47">
        <v>91.929155992000005</v>
      </c>
    </row>
    <row r="48" spans="2:13" x14ac:dyDescent="0.25">
      <c r="B48" s="9" t="s">
        <v>86</v>
      </c>
      <c r="C48" s="13">
        <v>3016</v>
      </c>
      <c r="D48" s="13">
        <v>10</v>
      </c>
      <c r="E48" s="14">
        <v>462.09535447299999</v>
      </c>
      <c r="J48" t="s">
        <v>96</v>
      </c>
      <c r="K48" t="s">
        <v>90</v>
      </c>
      <c r="L48">
        <v>91.929155992000005</v>
      </c>
    </row>
    <row r="49" spans="2:13" x14ac:dyDescent="0.25">
      <c r="B49" s="9" t="s">
        <v>88</v>
      </c>
      <c r="C49" s="13">
        <v>4021</v>
      </c>
      <c r="D49" s="13">
        <v>4</v>
      </c>
      <c r="E49" s="14">
        <v>355.45867678000002</v>
      </c>
      <c r="J49" t="s">
        <v>96</v>
      </c>
      <c r="K49" t="s">
        <v>88</v>
      </c>
      <c r="L49">
        <v>91.929155992000005</v>
      </c>
    </row>
    <row r="50" spans="2:13" x14ac:dyDescent="0.25">
      <c r="B50" s="9" t="s">
        <v>90</v>
      </c>
      <c r="C50" s="13">
        <v>4021</v>
      </c>
      <c r="D50" s="13">
        <v>7</v>
      </c>
      <c r="E50" s="14">
        <v>373.19547786300001</v>
      </c>
      <c r="J50" t="s">
        <v>96</v>
      </c>
      <c r="K50" t="s">
        <v>86</v>
      </c>
      <c r="L50">
        <v>88.866364743000005</v>
      </c>
    </row>
    <row r="51" spans="2:13" x14ac:dyDescent="0.25">
      <c r="B51" s="9" t="s">
        <v>92</v>
      </c>
      <c r="C51" s="13">
        <v>4021</v>
      </c>
      <c r="D51" s="13">
        <v>10</v>
      </c>
      <c r="E51" s="14">
        <v>388.40893315800002</v>
      </c>
      <c r="J51" t="s">
        <v>96</v>
      </c>
      <c r="K51" t="s">
        <v>84</v>
      </c>
      <c r="L51">
        <v>88.866364743000005</v>
      </c>
    </row>
    <row r="52" spans="2:13" x14ac:dyDescent="0.25">
      <c r="B52" s="9" t="s">
        <v>93</v>
      </c>
      <c r="C52" s="13">
        <v>5027</v>
      </c>
      <c r="D52" s="13">
        <v>4</v>
      </c>
      <c r="E52" s="14">
        <v>320.22416252800002</v>
      </c>
      <c r="J52" t="s">
        <v>96</v>
      </c>
      <c r="K52" t="s">
        <v>81</v>
      </c>
      <c r="L52">
        <v>88.866364743000005</v>
      </c>
    </row>
    <row r="53" spans="2:13" x14ac:dyDescent="0.25">
      <c r="B53" s="9" t="s">
        <v>91</v>
      </c>
      <c r="C53" s="13">
        <v>5027</v>
      </c>
      <c r="D53" s="13">
        <v>7</v>
      </c>
      <c r="E53" s="14">
        <v>334.36215011399997</v>
      </c>
      <c r="J53" t="s">
        <v>97</v>
      </c>
      <c r="K53" t="s">
        <v>83</v>
      </c>
      <c r="L53">
        <v>16.311410572</v>
      </c>
    </row>
    <row r="54" spans="2:13" x14ac:dyDescent="0.25">
      <c r="B54" s="9" t="s">
        <v>89</v>
      </c>
      <c r="C54" s="13">
        <v>5027</v>
      </c>
      <c r="D54" s="13">
        <v>10</v>
      </c>
      <c r="E54" s="14">
        <v>346.418864676</v>
      </c>
      <c r="J54" t="s">
        <v>97</v>
      </c>
      <c r="K54" t="s">
        <v>85</v>
      </c>
      <c r="L54">
        <v>16.311410572</v>
      </c>
    </row>
    <row r="55" spans="2:13" x14ac:dyDescent="0.25">
      <c r="B55" s="9" t="s">
        <v>87</v>
      </c>
      <c r="C55" s="13">
        <v>6032</v>
      </c>
      <c r="D55" s="13">
        <v>4</v>
      </c>
      <c r="E55" s="14">
        <v>297.01902936599998</v>
      </c>
      <c r="J55" t="s">
        <v>97</v>
      </c>
      <c r="K55" t="s">
        <v>87</v>
      </c>
      <c r="L55">
        <v>16.311410572</v>
      </c>
    </row>
    <row r="56" spans="2:13" x14ac:dyDescent="0.25">
      <c r="B56" s="9" t="s">
        <v>85</v>
      </c>
      <c r="C56" s="13">
        <v>6032</v>
      </c>
      <c r="D56" s="13">
        <v>7</v>
      </c>
      <c r="E56" s="14">
        <v>308.774255068</v>
      </c>
      <c r="J56" t="s">
        <v>97</v>
      </c>
      <c r="K56" t="s">
        <v>89</v>
      </c>
      <c r="L56">
        <v>19.572394782</v>
      </c>
    </row>
    <row r="57" spans="2:13" x14ac:dyDescent="0.25">
      <c r="B57" s="9" t="s">
        <v>83</v>
      </c>
      <c r="C57" s="13">
        <v>6032</v>
      </c>
      <c r="D57" s="13">
        <v>10</v>
      </c>
      <c r="E57" s="14">
        <v>318.74818809700002</v>
      </c>
      <c r="J57" t="s">
        <v>97</v>
      </c>
      <c r="K57" t="s">
        <v>91</v>
      </c>
      <c r="L57">
        <v>19.572394782</v>
      </c>
    </row>
    <row r="58" spans="2:13" x14ac:dyDescent="0.25">
      <c r="K58" t="s">
        <v>97</v>
      </c>
      <c r="L58" t="s">
        <v>93</v>
      </c>
      <c r="M58">
        <v>19.572394782</v>
      </c>
    </row>
    <row r="59" spans="2:13" x14ac:dyDescent="0.25">
      <c r="K59" t="s">
        <v>97</v>
      </c>
      <c r="L59" t="s">
        <v>92</v>
      </c>
      <c r="M59">
        <v>24.469144136000001</v>
      </c>
    </row>
    <row r="60" spans="2:13" x14ac:dyDescent="0.25">
      <c r="K60" t="s">
        <v>97</v>
      </c>
      <c r="L60" t="s">
        <v>90</v>
      </c>
      <c r="M60">
        <v>24.469144136000001</v>
      </c>
    </row>
    <row r="61" spans="2:13" x14ac:dyDescent="0.25">
      <c r="K61" t="s">
        <v>97</v>
      </c>
      <c r="L61" t="s">
        <v>88</v>
      </c>
      <c r="M61">
        <v>24.469144136000001</v>
      </c>
    </row>
    <row r="62" spans="2:13" x14ac:dyDescent="0.25">
      <c r="K62" t="s">
        <v>97</v>
      </c>
      <c r="L62" t="s">
        <v>86</v>
      </c>
      <c r="M62">
        <v>32.622821144</v>
      </c>
    </row>
    <row r="63" spans="2:13" x14ac:dyDescent="0.25">
      <c r="K63" t="s">
        <v>97</v>
      </c>
      <c r="L63" t="s">
        <v>84</v>
      </c>
      <c r="M63">
        <v>32.622821144</v>
      </c>
    </row>
    <row r="64" spans="2:13" x14ac:dyDescent="0.25">
      <c r="K64" t="s">
        <v>97</v>
      </c>
      <c r="L64" t="s">
        <v>81</v>
      </c>
      <c r="M64">
        <v>32.622821144</v>
      </c>
    </row>
    <row r="65" spans="11:13" x14ac:dyDescent="0.25">
      <c r="K65" t="s">
        <v>98</v>
      </c>
      <c r="L65" t="s">
        <v>83</v>
      </c>
      <c r="M65">
        <v>60.596448537999997</v>
      </c>
    </row>
    <row r="66" spans="11:13" x14ac:dyDescent="0.25">
      <c r="K66" t="s">
        <v>98</v>
      </c>
      <c r="L66" t="s">
        <v>85</v>
      </c>
      <c r="M66">
        <v>59.327292110000002</v>
      </c>
    </row>
    <row r="67" spans="11:13" x14ac:dyDescent="0.25">
      <c r="K67" t="s">
        <v>98</v>
      </c>
      <c r="L67" t="s">
        <v>87</v>
      </c>
      <c r="M67">
        <v>57.831470930000002</v>
      </c>
    </row>
    <row r="68" spans="11:13" x14ac:dyDescent="0.25">
      <c r="K68" t="s">
        <v>98</v>
      </c>
      <c r="L68" t="s">
        <v>89</v>
      </c>
      <c r="M68">
        <v>67.683529114999999</v>
      </c>
    </row>
    <row r="69" spans="11:13" x14ac:dyDescent="0.25">
      <c r="K69" t="s">
        <v>98</v>
      </c>
      <c r="L69" t="s">
        <v>91</v>
      </c>
      <c r="M69">
        <v>66.149344280999998</v>
      </c>
    </row>
    <row r="70" spans="11:13" x14ac:dyDescent="0.25">
      <c r="K70" t="s">
        <v>98</v>
      </c>
      <c r="L70" t="s">
        <v>93</v>
      </c>
      <c r="M70">
        <v>64.350322993999995</v>
      </c>
    </row>
    <row r="71" spans="11:13" x14ac:dyDescent="0.25">
      <c r="K71" t="s">
        <v>98</v>
      </c>
      <c r="L71" t="s">
        <v>92</v>
      </c>
      <c r="M71">
        <v>76.595898292000001</v>
      </c>
    </row>
    <row r="72" spans="11:13" x14ac:dyDescent="0.25">
      <c r="K72" t="s">
        <v>98</v>
      </c>
      <c r="L72" t="s">
        <v>90</v>
      </c>
      <c r="M72">
        <v>74.660026603000006</v>
      </c>
    </row>
    <row r="73" spans="11:13" x14ac:dyDescent="0.25">
      <c r="K73" t="s">
        <v>98</v>
      </c>
      <c r="L73" t="s">
        <v>88</v>
      </c>
      <c r="M73">
        <v>72.403065878000007</v>
      </c>
    </row>
    <row r="74" spans="11:13" x14ac:dyDescent="0.25">
      <c r="K74" t="s">
        <v>98</v>
      </c>
      <c r="L74" t="s">
        <v>86</v>
      </c>
      <c r="M74">
        <v>94.420985451999996</v>
      </c>
    </row>
    <row r="75" spans="11:13" x14ac:dyDescent="0.25">
      <c r="K75" t="s">
        <v>98</v>
      </c>
      <c r="L75" t="s">
        <v>84</v>
      </c>
      <c r="M75">
        <v>91.855535556999996</v>
      </c>
    </row>
    <row r="76" spans="11:13" x14ac:dyDescent="0.25">
      <c r="K76" t="s">
        <v>98</v>
      </c>
      <c r="L76" t="s">
        <v>81</v>
      </c>
      <c r="M76">
        <v>88.863157380000004</v>
      </c>
    </row>
    <row r="77" spans="11:13" x14ac:dyDescent="0.25">
      <c r="K77" t="s">
        <v>99</v>
      </c>
      <c r="L77" t="s">
        <v>83</v>
      </c>
      <c r="M77">
        <v>20.921553388</v>
      </c>
    </row>
    <row r="78" spans="11:13" x14ac:dyDescent="0.25">
      <c r="K78" t="s">
        <v>99</v>
      </c>
      <c r="L78" t="s">
        <v>85</v>
      </c>
      <c r="M78">
        <v>16.402130280000002</v>
      </c>
    </row>
    <row r="79" spans="11:13" x14ac:dyDescent="0.25">
      <c r="K79" t="s">
        <v>99</v>
      </c>
      <c r="L79" t="s">
        <v>87</v>
      </c>
      <c r="M79">
        <v>11.749030311</v>
      </c>
    </row>
    <row r="80" spans="11:13" x14ac:dyDescent="0.25">
      <c r="K80" t="s">
        <v>99</v>
      </c>
      <c r="L80" t="s">
        <v>89</v>
      </c>
      <c r="M80">
        <v>25.104199331</v>
      </c>
    </row>
    <row r="81" spans="11:13" x14ac:dyDescent="0.25">
      <c r="K81" t="s">
        <v>99</v>
      </c>
      <c r="L81" t="s">
        <v>91</v>
      </c>
      <c r="M81">
        <v>19.681251212999999</v>
      </c>
    </row>
    <row r="82" spans="11:13" x14ac:dyDescent="0.25">
      <c r="K82" t="s">
        <v>99</v>
      </c>
      <c r="L82" t="s">
        <v>93</v>
      </c>
      <c r="M82">
        <v>14.097901499000001</v>
      </c>
    </row>
    <row r="83" spans="11:13" x14ac:dyDescent="0.25">
      <c r="K83" t="s">
        <v>99</v>
      </c>
      <c r="L83" t="s">
        <v>92</v>
      </c>
      <c r="M83">
        <v>31.384931618</v>
      </c>
    </row>
    <row r="84" spans="11:13" x14ac:dyDescent="0.25">
      <c r="K84" t="s">
        <v>99</v>
      </c>
      <c r="L84" t="s">
        <v>90</v>
      </c>
      <c r="M84">
        <v>24.605234977999999</v>
      </c>
    </row>
    <row r="85" spans="11:13" x14ac:dyDescent="0.25">
      <c r="K85" t="s">
        <v>99</v>
      </c>
      <c r="L85" t="s">
        <v>88</v>
      </c>
      <c r="M85">
        <v>17.625006424999999</v>
      </c>
    </row>
    <row r="86" spans="11:13" x14ac:dyDescent="0.25">
      <c r="K86" t="s">
        <v>99</v>
      </c>
      <c r="L86" t="s">
        <v>86</v>
      </c>
      <c r="M86">
        <v>41.843106775999999</v>
      </c>
    </row>
    <row r="87" spans="11:13" x14ac:dyDescent="0.25">
      <c r="K87" t="s">
        <v>99</v>
      </c>
      <c r="L87" t="s">
        <v>84</v>
      </c>
      <c r="M87">
        <v>32.804260560000003</v>
      </c>
    </row>
    <row r="88" spans="11:13" x14ac:dyDescent="0.25">
      <c r="K88" t="s">
        <v>99</v>
      </c>
      <c r="L88" t="s">
        <v>81</v>
      </c>
      <c r="M88">
        <v>23.498060621</v>
      </c>
    </row>
    <row r="89" spans="11:13" x14ac:dyDescent="0.25">
      <c r="K89" t="s">
        <v>100</v>
      </c>
      <c r="L89" t="s">
        <v>83</v>
      </c>
      <c r="M89">
        <v>26.18532162</v>
      </c>
    </row>
    <row r="90" spans="11:13" x14ac:dyDescent="0.25">
      <c r="K90" t="s">
        <v>100</v>
      </c>
      <c r="L90" t="s">
        <v>85</v>
      </c>
      <c r="M90">
        <v>26.18532162</v>
      </c>
    </row>
    <row r="91" spans="11:13" x14ac:dyDescent="0.25">
      <c r="K91" t="s">
        <v>100</v>
      </c>
      <c r="L91" t="s">
        <v>87</v>
      </c>
      <c r="M91">
        <v>26.18532162</v>
      </c>
    </row>
    <row r="92" spans="11:13" x14ac:dyDescent="0.25">
      <c r="K92" t="s">
        <v>100</v>
      </c>
      <c r="L92" t="s">
        <v>89</v>
      </c>
      <c r="M92">
        <v>29.068243205000002</v>
      </c>
    </row>
    <row r="93" spans="11:13" x14ac:dyDescent="0.25">
      <c r="K93" t="s">
        <v>100</v>
      </c>
      <c r="L93" t="s">
        <v>91</v>
      </c>
      <c r="M93">
        <v>29.068243205000002</v>
      </c>
    </row>
    <row r="94" spans="11:13" x14ac:dyDescent="0.25">
      <c r="K94" t="s">
        <v>100</v>
      </c>
      <c r="L94" t="s">
        <v>93</v>
      </c>
      <c r="M94">
        <v>29.068243205000002</v>
      </c>
    </row>
    <row r="95" spans="11:13" x14ac:dyDescent="0.25">
      <c r="K95" t="s">
        <v>100</v>
      </c>
      <c r="L95" t="s">
        <v>92</v>
      </c>
      <c r="M95">
        <v>33.393356715000003</v>
      </c>
    </row>
    <row r="96" spans="11:13" x14ac:dyDescent="0.25">
      <c r="K96" t="s">
        <v>100</v>
      </c>
      <c r="L96" t="s">
        <v>90</v>
      </c>
      <c r="M96">
        <v>33.393356715000003</v>
      </c>
    </row>
    <row r="97" spans="11:13" x14ac:dyDescent="0.25">
      <c r="K97" t="s">
        <v>100</v>
      </c>
      <c r="L97" t="s">
        <v>88</v>
      </c>
      <c r="M97">
        <v>33.393356715000003</v>
      </c>
    </row>
    <row r="98" spans="11:13" x14ac:dyDescent="0.25">
      <c r="K98" t="s">
        <v>100</v>
      </c>
      <c r="L98" t="s">
        <v>86</v>
      </c>
      <c r="M98">
        <v>40.587569698999999</v>
      </c>
    </row>
    <row r="99" spans="11:13" x14ac:dyDescent="0.25">
      <c r="K99" t="s">
        <v>100</v>
      </c>
      <c r="L99" t="s">
        <v>84</v>
      </c>
      <c r="M99">
        <v>40.587569698999999</v>
      </c>
    </row>
    <row r="100" spans="11:13" x14ac:dyDescent="0.25">
      <c r="K100" t="s">
        <v>100</v>
      </c>
      <c r="L100" t="s">
        <v>81</v>
      </c>
      <c r="M100">
        <v>40.587569698999999</v>
      </c>
    </row>
  </sheetData>
  <mergeCells count="1">
    <mergeCell ref="B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 list</vt:lpstr>
      <vt:lpstr>BOS Scenarios</vt:lpstr>
      <vt:lpstr>Losses</vt:lpstr>
      <vt:lpstr>150w</vt:lpstr>
      <vt:lpstr>250w</vt:lpstr>
      <vt:lpstr>All</vt:lpstr>
      <vt:lpstr>BOS Cost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2020-07-02T18:49:05Z</dcterms:created>
  <dcterms:modified xsi:type="dcterms:W3CDTF">2020-07-20T22:20:45Z</dcterms:modified>
</cp:coreProperties>
</file>