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QBIOL\GeneralizedLikelihood[AIC]\Ch21GeneralizedLikelihood[AIC]\"/>
    </mc:Choice>
  </mc:AlternateContent>
  <bookViews>
    <workbookView xWindow="120" yWindow="30" windowWidth="14355" windowHeight="7230" activeTab="6"/>
  </bookViews>
  <sheets>
    <sheet name="Intro" sheetId="1" r:id="rId1"/>
    <sheet name="Y~Binomial" sheetId="4" r:id="rId2"/>
    <sheet name="Y~Normal" sheetId="10" r:id="rId3"/>
    <sheet name="Y~Normal (2)" sheetId="14" r:id="rId4"/>
    <sheet name="ML" sheetId="13" r:id="rId5"/>
    <sheet name="3Modes" sheetId="5" r:id="rId6"/>
    <sheet name="LR" sheetId="8" r:id="rId7"/>
    <sheet name="Comparison" sheetId="9" r:id="rId8"/>
    <sheet name="AIC" sheetId="6" r:id="rId9"/>
    <sheet name="SIC" sheetId="12" r:id="rId10"/>
    <sheet name="Sheet3" sheetId="3" r:id="rId11"/>
  </sheets>
  <calcPr calcId="162913"/>
</workbook>
</file>

<file path=xl/calcChain.xml><?xml version="1.0" encoding="utf-8"?>
<calcChain xmlns="http://schemas.openxmlformats.org/spreadsheetml/2006/main">
  <c r="G19" i="8" l="1"/>
  <c r="D40" i="14" l="1"/>
  <c r="D39" i="14"/>
  <c r="D38" i="14"/>
  <c r="D37" i="14"/>
  <c r="D36" i="14"/>
  <c r="D35" i="14"/>
  <c r="D34" i="14"/>
  <c r="D33" i="14"/>
  <c r="D32" i="14"/>
  <c r="G31" i="14"/>
  <c r="G32" i="14" s="1"/>
  <c r="G33" i="14" s="1"/>
  <c r="G34" i="14" s="1"/>
  <c r="G35" i="14" s="1"/>
  <c r="G36" i="14" s="1"/>
  <c r="D31" i="14"/>
  <c r="D30" i="14"/>
  <c r="E21" i="14"/>
  <c r="D21" i="14"/>
  <c r="G21" i="14" s="1"/>
  <c r="C21" i="14"/>
  <c r="E20" i="14"/>
  <c r="D20" i="14"/>
  <c r="B30" i="14" s="1"/>
  <c r="C20" i="14"/>
  <c r="G12" i="14" s="1"/>
  <c r="B31" i="14" l="1"/>
  <c r="E30" i="14"/>
  <c r="F30" i="14" s="1"/>
  <c r="H30" i="14" s="1"/>
  <c r="I30" i="14" s="1"/>
  <c r="B32" i="14" l="1"/>
  <c r="E31" i="14"/>
  <c r="F31" i="14" s="1"/>
  <c r="H31" i="14" s="1"/>
  <c r="I31" i="14" s="1"/>
  <c r="B33" i="14" l="1"/>
  <c r="E32" i="14"/>
  <c r="F32" i="14" s="1"/>
  <c r="J21" i="14" l="1"/>
  <c r="K21" i="14" s="1"/>
  <c r="M21" i="14" s="1"/>
  <c r="H32" i="14"/>
  <c r="I32" i="14" s="1"/>
  <c r="E33" i="14"/>
  <c r="F33" i="14" s="1"/>
  <c r="H33" i="14" s="1"/>
  <c r="I33" i="14" s="1"/>
  <c r="B34" i="14"/>
  <c r="E34" i="14" l="1"/>
  <c r="F34" i="14" s="1"/>
  <c r="B35" i="14"/>
  <c r="B36" i="14" l="1"/>
  <c r="E35" i="14"/>
  <c r="F35" i="14" s="1"/>
  <c r="B37" i="14" l="1"/>
  <c r="E36" i="14"/>
  <c r="F36" i="14" s="1"/>
  <c r="E37" i="14" l="1"/>
  <c r="F37" i="14" s="1"/>
  <c r="B38" i="14"/>
  <c r="E38" i="14" l="1"/>
  <c r="F38" i="14" s="1"/>
  <c r="B39" i="14"/>
  <c r="E39" i="14" l="1"/>
  <c r="F39" i="14" s="1"/>
  <c r="B40" i="14"/>
  <c r="E40" i="14" s="1"/>
  <c r="F40" i="14" s="1"/>
  <c r="F24" i="10" l="1"/>
  <c r="F28" i="10" s="1"/>
  <c r="H24" i="10"/>
  <c r="C26" i="10"/>
  <c r="C25" i="10" s="1"/>
  <c r="K32" i="4"/>
  <c r="K31" i="4"/>
  <c r="K28" i="4"/>
  <c r="K27" i="4"/>
  <c r="K29" i="4" s="1"/>
  <c r="K30" i="4" s="1"/>
  <c r="C19" i="4"/>
  <c r="F32" i="10" l="1"/>
  <c r="H26" i="10"/>
  <c r="H25" i="10"/>
  <c r="L16" i="13"/>
  <c r="L17" i="13"/>
  <c r="L15" i="13"/>
  <c r="D37" i="13"/>
  <c r="D36" i="13"/>
  <c r="D35" i="13"/>
  <c r="D34" i="13"/>
  <c r="D33" i="13"/>
  <c r="D32" i="13"/>
  <c r="D31" i="13"/>
  <c r="D30" i="13"/>
  <c r="D29" i="13"/>
  <c r="G28" i="13"/>
  <c r="G29" i="13" s="1"/>
  <c r="G30" i="13" s="1"/>
  <c r="G31" i="13" s="1"/>
  <c r="G32" i="13" s="1"/>
  <c r="G33" i="13" s="1"/>
  <c r="D28" i="13"/>
  <c r="D27" i="13"/>
  <c r="E21" i="13"/>
  <c r="D21" i="13"/>
  <c r="C21" i="13"/>
  <c r="E20" i="13"/>
  <c r="D20" i="13"/>
  <c r="B27" i="13" s="1"/>
  <c r="C20" i="13"/>
  <c r="I24" i="10" l="1"/>
  <c r="J24" i="10" s="1"/>
  <c r="G21" i="13"/>
  <c r="M15" i="13"/>
  <c r="B28" i="13"/>
  <c r="E27" i="13"/>
  <c r="F27" i="13" s="1"/>
  <c r="H27" i="13" s="1"/>
  <c r="I27" i="13" s="1"/>
  <c r="E13" i="6"/>
  <c r="E33" i="8"/>
  <c r="D33" i="8"/>
  <c r="G33" i="8" s="1"/>
  <c r="C33" i="8"/>
  <c r="E32" i="8"/>
  <c r="D32" i="8"/>
  <c r="C32" i="8"/>
  <c r="E20" i="10"/>
  <c r="D20" i="10"/>
  <c r="J33" i="8" l="1"/>
  <c r="K33" i="8" s="1"/>
  <c r="N33" i="8" s="1"/>
  <c r="G20" i="10"/>
  <c r="E28" i="13"/>
  <c r="F28" i="13" s="1"/>
  <c r="H28" i="13" s="1"/>
  <c r="I28" i="13" s="1"/>
  <c r="B29" i="13"/>
  <c r="E19" i="10"/>
  <c r="B30" i="13" l="1"/>
  <c r="E29" i="13"/>
  <c r="F29" i="13" s="1"/>
  <c r="J21" i="13" s="1"/>
  <c r="K21" i="13" s="1"/>
  <c r="M21" i="13" s="1"/>
  <c r="D34" i="6"/>
  <c r="D35" i="6" s="1"/>
  <c r="E35" i="6" s="1"/>
  <c r="F35" i="6" s="1"/>
  <c r="C35" i="6"/>
  <c r="D12" i="6"/>
  <c r="D13" i="6" s="1"/>
  <c r="C13" i="6"/>
  <c r="C22" i="6"/>
  <c r="J13" i="8"/>
  <c r="C20" i="10"/>
  <c r="D19" i="10"/>
  <c r="I19" i="10" s="1"/>
  <c r="J19" i="10" s="1"/>
  <c r="C19" i="10"/>
  <c r="K12" i="8" l="1"/>
  <c r="J14" i="8"/>
  <c r="K14" i="8" s="1"/>
  <c r="G16" i="8" s="1"/>
  <c r="H29" i="13"/>
  <c r="I29" i="13" s="1"/>
  <c r="B31" i="13"/>
  <c r="E30" i="13"/>
  <c r="F30" i="13" s="1"/>
  <c r="H30" i="13" s="1"/>
  <c r="I30" i="13" s="1"/>
  <c r="B32" i="13" l="1"/>
  <c r="E31" i="13"/>
  <c r="F31" i="13" s="1"/>
  <c r="B33" i="13" l="1"/>
  <c r="E32" i="13"/>
  <c r="F32" i="13" s="1"/>
  <c r="E33" i="13" l="1"/>
  <c r="F33" i="13" s="1"/>
  <c r="B34" i="13"/>
  <c r="L19" i="10"/>
  <c r="E34" i="13" l="1"/>
  <c r="F34" i="13" s="1"/>
  <c r="B35" i="13"/>
  <c r="E35" i="13" l="1"/>
  <c r="F35" i="13" s="1"/>
  <c r="B36" i="13"/>
  <c r="E36" i="13" l="1"/>
  <c r="F36" i="13" s="1"/>
  <c r="B37" i="13"/>
  <c r="E37" i="13" s="1"/>
  <c r="F37" i="13" s="1"/>
</calcChain>
</file>

<file path=xl/sharedStrings.xml><?xml version="1.0" encoding="utf-8"?>
<sst xmlns="http://schemas.openxmlformats.org/spreadsheetml/2006/main" count="346" uniqueCount="238">
  <si>
    <t>ana = via</t>
  </si>
  <si>
    <t>syn = together</t>
  </si>
  <si>
    <t>Probability models</t>
  </si>
  <si>
    <t>calculations with binomial model</t>
  </si>
  <si>
    <t>calculations with normal error model</t>
  </si>
  <si>
    <t>Penalized likelihood</t>
  </si>
  <si>
    <t>"analysis"</t>
  </si>
  <si>
    <t>"synthesis"</t>
  </si>
  <si>
    <t>AIC</t>
  </si>
  <si>
    <t>Akaike Information Criterion</t>
  </si>
  <si>
    <t>AICc</t>
  </si>
  <si>
    <t>SIC</t>
  </si>
  <si>
    <t>Schwartz Information Criterion BIC</t>
  </si>
  <si>
    <t>Analytic Likelihood</t>
  </si>
  <si>
    <t>Isolating fixed from random</t>
  </si>
  <si>
    <t>Type I and Type II error</t>
  </si>
  <si>
    <t>Synthetic Likelihood</t>
  </si>
  <si>
    <t>Model reduction</t>
  </si>
  <si>
    <t>Model exploration</t>
  </si>
  <si>
    <t>The binomial probability model</t>
  </si>
  <si>
    <t>N = fixed or known number of trials</t>
  </si>
  <si>
    <t>q = 1-p</t>
  </si>
  <si>
    <t>Y = success (0 or 1)</t>
  </si>
  <si>
    <t>p = ΣY / N</t>
  </si>
  <si>
    <t>Lab 3</t>
  </si>
  <si>
    <t>ΣY</t>
  </si>
  <si>
    <t>calculations with normal model</t>
  </si>
  <si>
    <t>Data from Chapter 5</t>
  </si>
  <si>
    <t>TRT</t>
  </si>
  <si>
    <t>Yield</t>
  </si>
  <si>
    <t>Control</t>
  </si>
  <si>
    <t>Panogen</t>
  </si>
  <si>
    <t>mean</t>
  </si>
  <si>
    <t>stdev</t>
  </si>
  <si>
    <t>Y = Yield  (Bushels/acre)</t>
  </si>
  <si>
    <t xml:space="preserve">μ  = mean </t>
  </si>
  <si>
    <t>δ = standard deviations</t>
  </si>
  <si>
    <t>For each value of Y calculate the standard normal deviate z</t>
  </si>
  <si>
    <t>Calculate the probability of each st. normal deviate</t>
  </si>
  <si>
    <r>
      <t xml:space="preserve">Pr( Y | </t>
    </r>
    <r>
      <rPr>
        <sz val="12"/>
        <color theme="1"/>
        <rFont val="Cambria"/>
        <family val="1"/>
        <scheme val="major"/>
      </rPr>
      <t>μ δ</t>
    </r>
    <r>
      <rPr>
        <sz val="12"/>
        <color theme="1"/>
        <rFont val="Arial"/>
        <family val="2"/>
      </rPr>
      <t xml:space="preserve"> )  </t>
    </r>
  </si>
  <si>
    <t>thesis = place</t>
  </si>
  <si>
    <t xml:space="preserve"> -- &gt; unloosen</t>
  </si>
  <si>
    <t xml:space="preserve"> - - &gt; place together</t>
  </si>
  <si>
    <t>% Difference</t>
  </si>
  <si>
    <t>Multiplier</t>
  </si>
  <si>
    <t xml:space="preserve"> 1 + %</t>
  </si>
  <si>
    <t>Difference</t>
  </si>
  <si>
    <t xml:space="preserve"> t-distribution to get</t>
  </si>
  <si>
    <t xml:space="preserve">Pr( Diff | μ=0, δ=1 )  </t>
  </si>
  <si>
    <t>t-statistic</t>
  </si>
  <si>
    <t>MSE</t>
  </si>
  <si>
    <t>Diff^2</t>
  </si>
  <si>
    <t xml:space="preserve"> 2*Diff^2 = MS_Trt</t>
  </si>
  <si>
    <t>F</t>
  </si>
  <si>
    <t>Likelihood of the parameters, given the data</t>
  </si>
  <si>
    <t>Probability of the outcome, give the parameters</t>
  </si>
  <si>
    <t>ℓ ( π = 3/4 | ΣY )</t>
  </si>
  <si>
    <t xml:space="preserve">In a general treatment of the topic Royall (1997) makes the case for </t>
  </si>
  <si>
    <t>Likelihood ratios as a measure of evidence.   [Probability is not a measure of evidence]</t>
  </si>
  <si>
    <t>Probability from likelihood ratios to declare a decision</t>
  </si>
  <si>
    <t>pages 4 and 5</t>
  </si>
  <si>
    <t>Likelihood ratios</t>
  </si>
  <si>
    <t>http://www.mun.ca/biology/schneider/b4605/LNotes/Pt2/Ch5.pdf</t>
  </si>
  <si>
    <t>page 10</t>
  </si>
  <si>
    <t xml:space="preserve">LR = </t>
  </si>
  <si>
    <r>
      <t>(0.0204/0.1171)</t>
    </r>
    <r>
      <rPr>
        <vertAlign val="superscript"/>
        <sz val="12"/>
        <color theme="1"/>
        <rFont val="Arial"/>
        <family val="2"/>
      </rPr>
      <t>7/2</t>
    </r>
  </si>
  <si>
    <r>
      <t>(0.0204/0.1171)</t>
    </r>
    <r>
      <rPr>
        <vertAlign val="superscript"/>
        <sz val="12"/>
        <color theme="1"/>
        <rFont val="Arial"/>
        <family val="2"/>
      </rPr>
      <t>n/2</t>
    </r>
  </si>
  <si>
    <r>
      <t>ℓ ( β</t>
    </r>
    <r>
      <rPr>
        <i/>
        <vertAlign val="subscript"/>
        <sz val="12"/>
        <color theme="1"/>
        <rFont val="Arial"/>
        <family val="2"/>
      </rPr>
      <t>o</t>
    </r>
    <r>
      <rPr>
        <i/>
        <sz val="12"/>
        <color theme="1"/>
        <rFont val="Arial"/>
        <family val="2"/>
      </rPr>
      <t xml:space="preserve">  β</t>
    </r>
    <r>
      <rPr>
        <i/>
        <vertAlign val="subscript"/>
        <sz val="12"/>
        <color theme="1"/>
        <rFont val="Arial"/>
        <family val="2"/>
      </rPr>
      <t>Altitude</t>
    </r>
    <r>
      <rPr>
        <i/>
        <sz val="12"/>
        <color theme="1"/>
        <rFont val="Arial"/>
        <family val="2"/>
      </rPr>
      <t xml:space="preserve"> | ΣY )</t>
    </r>
  </si>
  <si>
    <r>
      <t>ℓ ( β</t>
    </r>
    <r>
      <rPr>
        <i/>
        <vertAlign val="subscript"/>
        <sz val="12"/>
        <color theme="1"/>
        <rFont val="Arial"/>
        <family val="2"/>
      </rPr>
      <t xml:space="preserve">o           </t>
    </r>
    <r>
      <rPr>
        <i/>
        <sz val="12"/>
        <color theme="1"/>
        <rFont val="Arial"/>
        <family val="2"/>
      </rPr>
      <t xml:space="preserve"> | ΣY )</t>
    </r>
  </si>
  <si>
    <t>Full model, both parameters</t>
  </si>
  <si>
    <t>Reduced model, error only</t>
  </si>
  <si>
    <t>n</t>
  </si>
  <si>
    <t>LR</t>
  </si>
  <si>
    <t>Likelihood increase with increase in evidence - more data - n increases</t>
  </si>
  <si>
    <t xml:space="preserve">Likelihood increase with increase in number of parameters </t>
  </si>
  <si>
    <t>Source</t>
  </si>
  <si>
    <t>df</t>
  </si>
  <si>
    <t>SS</t>
  </si>
  <si>
    <t>Altitude</t>
  </si>
  <si>
    <t>Extra</t>
  </si>
  <si>
    <t>Residual</t>
  </si>
  <si>
    <t>Total</t>
  </si>
  <si>
    <t xml:space="preserve"> &lt;- add 1 extra parameter,  then 2 extra, then 3</t>
  </si>
  <si>
    <t xml:space="preserve">To correct for this we penalize the log likelihood </t>
  </si>
  <si>
    <t>AIC = (2 ln(L) - 2 nparam)</t>
  </si>
  <si>
    <t>by the number of additional parameters = nparam</t>
  </si>
  <si>
    <t>AIC = (2 ln(L) - 2 nparam) / n</t>
  </si>
  <si>
    <t>scaled formula</t>
  </si>
  <si>
    <t>unscaled formula</t>
  </si>
  <si>
    <t xml:space="preserve">The unscaled formula is used when comparing models with the same sample size. </t>
  </si>
  <si>
    <t>The Akaike Information Criterion is a penalized log likelihood</t>
  </si>
  <si>
    <t>Akaike is pronounced with 4 syllables - the "ai" is not a dipthong</t>
  </si>
  <si>
    <t>Why a penalized likelihood?</t>
  </si>
  <si>
    <t xml:space="preserve">SIC = BIC = </t>
  </si>
  <si>
    <t>2* ln L - nparam * ln (n)</t>
  </si>
  <si>
    <t>The Schwartz Information Criterion (Schwartz 1978)  is a log likelihood that is penalized as we systematically increase sample size</t>
  </si>
  <si>
    <t xml:space="preserve"> Δ AIC </t>
  </si>
  <si>
    <t>Most informative model</t>
  </si>
  <si>
    <t>Full model more likely than reduced model</t>
  </si>
  <si>
    <t>Nested models</t>
  </si>
  <si>
    <t>Model reduction by isolation of terms</t>
  </si>
  <si>
    <t xml:space="preserve"> -  N A</t>
  </si>
  <si>
    <t>LR - - &gt; Type I error</t>
  </si>
  <si>
    <t>Survey design from costs of Type I and II error</t>
  </si>
  <si>
    <t>Costs of Type I and Type II error</t>
  </si>
  <si>
    <t xml:space="preserve"> Power analysis</t>
  </si>
  <si>
    <t>Plausible structural model</t>
  </si>
  <si>
    <t>Structural model unknown</t>
  </si>
  <si>
    <t>Designed surveys and experiments</t>
  </si>
  <si>
    <t>Non-nested (or nested) models</t>
  </si>
  <si>
    <t>Comparison</t>
  </si>
  <si>
    <t>Iterative</t>
  </si>
  <si>
    <t>Non-iterative for LR --&gt; Type I error</t>
  </si>
  <si>
    <t>Definable population</t>
  </si>
  <si>
    <r>
      <t> </t>
    </r>
    <r>
      <rPr>
        <i/>
        <sz val="12"/>
        <color theme="1"/>
        <rFont val="Arial"/>
        <family val="2"/>
      </rPr>
      <t>Likelihood </t>
    </r>
    <r>
      <rPr>
        <sz val="12"/>
        <color theme="1"/>
        <rFont val="Arial"/>
        <family val="2"/>
      </rPr>
      <t>is used after data are available to describe plausibility of a parameter value</t>
    </r>
  </si>
  <si>
    <t xml:space="preserve"> &lt; -- calculate LR</t>
  </si>
  <si>
    <t>&amp; by the sample size = n</t>
  </si>
  <si>
    <t>Hirotugo Akaike  turned 90 on 5 November 2017</t>
  </si>
  <si>
    <t>ANOVA table from regression of fly heterozygosity on increasing altitude</t>
  </si>
  <si>
    <t xml:space="preserve">AIC </t>
  </si>
  <si>
    <t>In a Bayesian context we systematicly increase sample size because we update probability with more data, using the likelihood ratio</t>
  </si>
  <si>
    <t>Observational studies where design not feasible</t>
  </si>
  <si>
    <t>Isolating single factor or covariate</t>
  </si>
  <si>
    <t>Identifying most informative composite model</t>
  </si>
  <si>
    <t>The support function is the natural logarithm of the likelihood function.</t>
  </si>
  <si>
    <t xml:space="preserve">We use the  LR to update a prior probability to a posterior probability, </t>
  </si>
  <si>
    <t>then use the posterior probability as the prior probability for the next data  increment    n+1</t>
  </si>
  <si>
    <t>To keep pace with the increase in n,  we penalize with   ln (n)</t>
  </si>
  <si>
    <t>Model-Specific Likelihood Inference</t>
  </si>
  <si>
    <t>Generalized Likelihood Inference (AIC)</t>
  </si>
  <si>
    <t xml:space="preserve">   &lt;- Put your guess here</t>
  </si>
  <si>
    <t xml:space="preserve">  &lt; - - Show your answer here</t>
  </si>
  <si>
    <t>Calculations below show maximum likelihood estimation of t statistic</t>
  </si>
  <si>
    <t>http://www.mun.ca/biology/schneider/b4605/LNotes/Pt5/Ch16_3.pdf</t>
  </si>
  <si>
    <t>Mendel's peas</t>
  </si>
  <si>
    <t>Fly heterozygosity</t>
  </si>
  <si>
    <t>Oat Yields</t>
  </si>
  <si>
    <t>Treatment</t>
  </si>
  <si>
    <t xml:space="preserve"> = (SStotal/SSresidual)^(-n/2)</t>
  </si>
  <si>
    <t>Analytic Likelihood - Model-specific</t>
  </si>
  <si>
    <t>Synthetic Likelihood - Generalized Likelihood</t>
  </si>
  <si>
    <t>Model choice by information / parameter</t>
  </si>
  <si>
    <t>Population cannot be defined,  Inference based on appropriate error model</t>
  </si>
  <si>
    <t>What is likelhood?</t>
  </si>
  <si>
    <t>Another example, this one with the normal error model</t>
  </si>
  <si>
    <t xml:space="preserve">Why it is important. </t>
  </si>
  <si>
    <t>An example with the binomial probability model</t>
  </si>
  <si>
    <t>Two forms of evidentialist inference.</t>
  </si>
  <si>
    <r>
      <t>Probability</t>
    </r>
    <r>
      <rPr>
        <sz val="12"/>
        <color rgb="FF222222"/>
        <rFont val="Arial"/>
        <family val="2"/>
      </rPr>
      <t> is used before data are available.  It is used to describe plausibility of a future outcome, given a value for the parameter.</t>
    </r>
  </si>
  <si>
    <t>What is the probability of 2 heads in 2 flips of a coin?</t>
  </si>
  <si>
    <r>
      <t>A. W. F. Edwards established the axiomatic basis for use of the log-likelihood ratio as a measure of relative </t>
    </r>
    <r>
      <rPr>
        <b/>
        <sz val="12"/>
        <color rgb="FF222222"/>
        <rFont val="Arial"/>
        <family val="2"/>
      </rPr>
      <t>support</t>
    </r>
    <r>
      <rPr>
        <sz val="12"/>
        <color rgb="FF222222"/>
        <rFont val="Arial"/>
        <family val="2"/>
      </rPr>
      <t> for one hypothesis against another. </t>
    </r>
  </si>
  <si>
    <t>Pr( ΣY | π = 1/4 )</t>
  </si>
  <si>
    <t>L( π = 1/2 | ΣY )</t>
  </si>
  <si>
    <t>What is the likelihood that the coin was fair  (50:50) ?</t>
  </si>
  <si>
    <t>It is central to all 3 modes of statistical inference:</t>
  </si>
  <si>
    <t xml:space="preserve"> Frequentist, </t>
  </si>
  <si>
    <t xml:space="preserve"> Priorist ("Bayesian"), and</t>
  </si>
  <si>
    <t xml:space="preserve"> Evidentialist</t>
  </si>
  <si>
    <t>Y~Binomial</t>
  </si>
  <si>
    <t>Y~Normal</t>
  </si>
  <si>
    <t xml:space="preserve"> 3 Modes</t>
  </si>
  <si>
    <t>Tabs in this spreadsheet folder</t>
  </si>
  <si>
    <t>How we apply it</t>
  </si>
  <si>
    <t>We compare one likelhood to another.  Which model is more likely, given the evidence?</t>
  </si>
  <si>
    <t>To do this we calculate likelihood Ratios</t>
  </si>
  <si>
    <t>Some Definitions and a Look Ahead</t>
  </si>
  <si>
    <t>Likelihood from a binomial probability model</t>
  </si>
  <si>
    <t>We use it to estimate parameters.</t>
  </si>
  <si>
    <t>What is the most likely value of the mean, given the data?</t>
  </si>
  <si>
    <t>ML</t>
  </si>
  <si>
    <t>MS</t>
  </si>
  <si>
    <t xml:space="preserve">     times more likely than the null model</t>
  </si>
  <si>
    <t>lysis = loosen</t>
  </si>
  <si>
    <t xml:space="preserve">  - there are five possible outcomes in N trials:</t>
  </si>
  <si>
    <t xml:space="preserve"> 0, 1, 2, 3, 4, 5</t>
  </si>
  <si>
    <t xml:space="preserve">    pea plants in the F1 generation. In n trials (N flowers)</t>
  </si>
  <si>
    <t xml:space="preserve"> -which outcome of the 5 outcomes below will have the highest probability ?</t>
  </si>
  <si>
    <t>Pr( ΣY | π )</t>
  </si>
  <si>
    <t>For hybrid cross, where the expected ratio of purple to white flowers is 3 :1</t>
  </si>
  <si>
    <t xml:space="preserve">  -state the expected proportion of white flowers from Mendelian theory</t>
  </si>
  <si>
    <t xml:space="preserve"> π = 1/4</t>
  </si>
  <si>
    <t xml:space="preserve"> -calculate the probability of 0 through 4 white flowers in randomly chosen </t>
  </si>
  <si>
    <t xml:space="preserve"> Now calculate the expected probability of each outcome</t>
  </si>
  <si>
    <t>Mendel (1865 Proceedings of the Natural History Society of Brünn IV: 3–47) reported 224 of 929 flowers as  white.</t>
  </si>
  <si>
    <t>The expected number from Mendel's genetic theory is (1/4) * 929 = 232.5</t>
  </si>
  <si>
    <t>L = (224/929)</t>
  </si>
  <si>
    <t xml:space="preserve">The likelihood for each white pea flower, using the binomial model, is: </t>
  </si>
  <si>
    <t>The likelihood for each white flower from theory is</t>
  </si>
  <si>
    <t xml:space="preserve">L = (232.5/929) </t>
  </si>
  <si>
    <t>The likelihood ratio for each white flower is</t>
  </si>
  <si>
    <t xml:space="preserve">LR_W = (224/929) / (232.5/929) = </t>
  </si>
  <si>
    <r>
      <t>The likelihood ratio for all 224 white flowers is LR_W</t>
    </r>
    <r>
      <rPr>
        <vertAlign val="superscript"/>
        <sz val="12"/>
        <color theme="1"/>
        <rFont val="Arial"/>
        <family val="2"/>
      </rPr>
      <t>225</t>
    </r>
    <r>
      <rPr>
        <sz val="11"/>
        <color theme="1"/>
        <rFont val="Arial"/>
        <family val="2"/>
      </rPr>
      <t/>
    </r>
  </si>
  <si>
    <r>
      <t>The likelihood ratio for all 705 purple flowers is LR_P</t>
    </r>
    <r>
      <rPr>
        <vertAlign val="superscript"/>
        <sz val="12"/>
        <color theme="1"/>
        <rFont val="Arial"/>
        <family val="2"/>
      </rPr>
      <t>706</t>
    </r>
    <r>
      <rPr>
        <sz val="11"/>
        <color theme="1"/>
        <rFont val="Arial"/>
        <family val="2"/>
      </rPr>
      <t/>
    </r>
  </si>
  <si>
    <r>
      <t>The likelihood ratio for all 929 flowers is LR_P</t>
    </r>
    <r>
      <rPr>
        <vertAlign val="superscript"/>
        <sz val="12"/>
        <color theme="1"/>
        <rFont val="Arial"/>
        <family val="2"/>
      </rPr>
      <t>705</t>
    </r>
    <r>
      <rPr>
        <sz val="12"/>
        <color theme="1"/>
        <rFont val="Arial"/>
        <family val="2"/>
      </rPr>
      <t xml:space="preserve">  x  LR_W</t>
    </r>
    <r>
      <rPr>
        <vertAlign val="superscript"/>
        <sz val="12"/>
        <color theme="1"/>
        <rFont val="Arial"/>
        <family val="2"/>
      </rPr>
      <t>225</t>
    </r>
  </si>
  <si>
    <t>When calculate the likely of of the data, and compare is to theory we find that the data are 1.2 time more likely than theory.</t>
  </si>
  <si>
    <t>We conclude that there is no evidence (LR &lt; 20) that the data differ from theory.</t>
  </si>
  <si>
    <t>Likelihood from a normal probability model</t>
  </si>
  <si>
    <t xml:space="preserve"> 2*Diff^2 = SS_Trt</t>
  </si>
  <si>
    <t>SSError</t>
  </si>
  <si>
    <t xml:space="preserve">LR  = (SStot/SSresidual)^(n/2)  </t>
  </si>
  <si>
    <t>The research model is</t>
  </si>
  <si>
    <t xml:space="preserve"> time more likely than the null model</t>
  </si>
  <si>
    <t>Alternatively, we can use the explained variance to obtain the LR</t>
  </si>
  <si>
    <t>LR = (1-R^2)^(-n/2) =</t>
  </si>
  <si>
    <t>Shortcut calculations of likelhood ratios for normal error.  Use the ANOVA table</t>
  </si>
  <si>
    <t>Error</t>
  </si>
  <si>
    <t>We use the sums of square to obtain the LR</t>
  </si>
  <si>
    <t xml:space="preserve">  p</t>
  </si>
  <si>
    <t>The ANOVA table uses the  information in the likelihood ratio obtain an F ratio that allows us to calculate a p-value</t>
  </si>
  <si>
    <t xml:space="preserve">R^2 = SSmodel / SStotal = </t>
  </si>
  <si>
    <t xml:space="preserve"> SStotal</t>
  </si>
  <si>
    <t>Fill in the blanks</t>
  </si>
  <si>
    <t>δ = standard deviation</t>
  </si>
  <si>
    <t>The probability of Yield, given mean μ and standard deviation δ</t>
  </si>
  <si>
    <t>Calculate the probability of each observation</t>
  </si>
  <si>
    <t>Which observation is closest to the mean ?</t>
  </si>
  <si>
    <t>Which observation has the highest probability?</t>
  </si>
  <si>
    <t>Extra -  Power Analysis</t>
  </si>
  <si>
    <t>We use the probability model in power analysis.</t>
  </si>
  <si>
    <t xml:space="preserve">What is the minimum detectable &amp; difference between treatment and control, </t>
  </si>
  <si>
    <t>given fixed Type I error of 5 %  ?</t>
  </si>
  <si>
    <t>Pr( Diff | μ=0, δ=1 )  &lt; 5%</t>
  </si>
  <si>
    <t>Prior probability * LR -- &gt; probability as a measure of belief  ("Bayesian")</t>
  </si>
  <si>
    <t>F, t, and G statistics are Likelihood ratios penalized for number of parameters and number of observations</t>
  </si>
  <si>
    <t>The likelihood ratio can be calculated from any of these test statistics</t>
  </si>
  <si>
    <t>LR = exp(G/2)</t>
  </si>
  <si>
    <r>
      <t>LR = (1 - R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r>
      <rPr>
        <vertAlign val="superscript"/>
        <sz val="12"/>
        <color theme="1"/>
        <rFont val="Arial"/>
        <family val="2"/>
      </rPr>
      <t>n/2</t>
    </r>
  </si>
  <si>
    <r>
      <t>(0.0204/0.1171)</t>
    </r>
    <r>
      <rPr>
        <vertAlign val="superscript"/>
        <sz val="12"/>
        <color theme="1"/>
        <rFont val="Arial"/>
        <family val="2"/>
      </rPr>
      <t>-n/2</t>
    </r>
  </si>
  <si>
    <r>
      <t xml:space="preserve">(0.0204/0.1171) </t>
    </r>
    <r>
      <rPr>
        <vertAlign val="superscript"/>
        <sz val="12"/>
        <color theme="1"/>
        <rFont val="Arial"/>
        <family val="2"/>
      </rPr>
      <t>-7/2</t>
    </r>
  </si>
  <si>
    <t>Total variance</t>
  </si>
  <si>
    <t>Residual varaince</t>
  </si>
  <si>
    <t>Model variance</t>
  </si>
  <si>
    <t>%</t>
  </si>
  <si>
    <r>
      <t xml:space="preserve"> = R</t>
    </r>
    <r>
      <rPr>
        <vertAlign val="superscript"/>
        <sz val="12"/>
        <color theme="1"/>
        <rFont val="Arial"/>
        <family val="2"/>
      </rPr>
      <t>2</t>
    </r>
  </si>
  <si>
    <t xml:space="preserve">From </t>
  </si>
  <si>
    <t>LR =</t>
  </si>
  <si>
    <r>
      <t>(1-0.826)</t>
    </r>
    <r>
      <rPr>
        <vertAlign val="superscript"/>
        <sz val="12"/>
        <color theme="1"/>
        <rFont val="Arial"/>
        <family val="2"/>
      </rPr>
      <t xml:space="preserve"> -7/2</t>
    </r>
  </si>
  <si>
    <t>From 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</si>
</sst>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6" formatCode="0.00000000"/>
    <numFmt numFmtId="167" formatCode="0.0"/>
    <numFmt numFmtId="168" formatCode="0.00000"/>
    <numFmt numFmtId="169" formatCode="0.0%"/>
  </numFmts>
  <fonts count="10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mbria"/>
      <family val="1"/>
      <scheme val="major"/>
    </font>
    <font>
      <i/>
      <sz val="12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i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vertAlign val="superscript"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2" fontId="2" fillId="2" borderId="0" xfId="0" applyNumberFormat="1" applyFont="1" applyFill="1"/>
    <xf numFmtId="0" fontId="2" fillId="2" borderId="0" xfId="0" applyFont="1" applyFill="1"/>
    <xf numFmtId="0" fontId="4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/>
    <xf numFmtId="0" fontId="5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right"/>
    </xf>
    <xf numFmtId="165" fontId="2" fillId="0" borderId="5" xfId="0" applyNumberFormat="1" applyFont="1" applyBorder="1"/>
    <xf numFmtId="165" fontId="2" fillId="0" borderId="7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6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4" fontId="2" fillId="0" borderId="1" xfId="0" applyNumberFormat="1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164" fontId="2" fillId="0" borderId="8" xfId="0" applyNumberFormat="1" applyFont="1" applyBorder="1"/>
    <xf numFmtId="164" fontId="2" fillId="2" borderId="8" xfId="0" applyNumberFormat="1" applyFont="1" applyFill="1" applyBorder="1"/>
    <xf numFmtId="2" fontId="2" fillId="0" borderId="0" xfId="0" applyNumberFormat="1" applyFont="1" applyFill="1"/>
    <xf numFmtId="2" fontId="0" fillId="0" borderId="0" xfId="0" applyNumberFormat="1"/>
    <xf numFmtId="0" fontId="2" fillId="0" borderId="0" xfId="0" applyFont="1" applyAlignment="1">
      <alignment horizontal="center"/>
    </xf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5" x14ac:dyDescent="0.2"/>
  <cols>
    <col min="1" max="1" width="3.28515625" style="1" customWidth="1"/>
    <col min="2" max="2" width="9.140625" style="1"/>
    <col min="3" max="3" width="9.85546875" style="1" customWidth="1"/>
    <col min="4" max="4" width="3.5703125" style="1" customWidth="1"/>
    <col min="5" max="16384" width="9.140625" style="1"/>
  </cols>
  <sheetData>
    <row r="1" spans="1:15" x14ac:dyDescent="0.2">
      <c r="A1" s="1" t="s">
        <v>165</v>
      </c>
      <c r="O1" s="1" t="s">
        <v>161</v>
      </c>
    </row>
    <row r="3" spans="1:15" x14ac:dyDescent="0.2">
      <c r="B3" s="1" t="s">
        <v>143</v>
      </c>
      <c r="E3" s="1" t="s">
        <v>146</v>
      </c>
      <c r="O3" s="1" t="s">
        <v>158</v>
      </c>
    </row>
    <row r="4" spans="1:15" x14ac:dyDescent="0.2">
      <c r="E4" s="1" t="s">
        <v>144</v>
      </c>
      <c r="O4" s="1" t="s">
        <v>159</v>
      </c>
    </row>
    <row r="6" spans="1:15" x14ac:dyDescent="0.2">
      <c r="B6" s="1" t="s">
        <v>145</v>
      </c>
      <c r="E6" s="1" t="s">
        <v>154</v>
      </c>
      <c r="O6" s="1" t="s">
        <v>160</v>
      </c>
    </row>
    <row r="7" spans="1:15" x14ac:dyDescent="0.2">
      <c r="I7" s="1" t="s">
        <v>155</v>
      </c>
    </row>
    <row r="8" spans="1:15" x14ac:dyDescent="0.2">
      <c r="I8" s="1" t="s">
        <v>156</v>
      </c>
    </row>
    <row r="9" spans="1:15" x14ac:dyDescent="0.2">
      <c r="I9" s="1" t="s">
        <v>157</v>
      </c>
    </row>
    <row r="11" spans="1:15" x14ac:dyDescent="0.2">
      <c r="B11" s="1" t="s">
        <v>162</v>
      </c>
      <c r="E11" s="1" t="s">
        <v>167</v>
      </c>
    </row>
    <row r="12" spans="1:15" x14ac:dyDescent="0.2">
      <c r="E12" s="1" t="s">
        <v>168</v>
      </c>
      <c r="O12" s="1" t="s">
        <v>169</v>
      </c>
    </row>
    <row r="14" spans="1:15" x14ac:dyDescent="0.2">
      <c r="B14" s="1" t="s">
        <v>162</v>
      </c>
      <c r="E14" s="1" t="s">
        <v>163</v>
      </c>
    </row>
    <row r="15" spans="1:15" x14ac:dyDescent="0.2">
      <c r="E15" s="1" t="s">
        <v>164</v>
      </c>
      <c r="O15" s="1" t="s">
        <v>72</v>
      </c>
    </row>
    <row r="17" spans="2:15" x14ac:dyDescent="0.2">
      <c r="B17" s="1" t="s">
        <v>147</v>
      </c>
      <c r="O17" s="1" t="s">
        <v>110</v>
      </c>
    </row>
    <row r="18" spans="2:15" x14ac:dyDescent="0.2">
      <c r="C18" s="1" t="s">
        <v>13</v>
      </c>
      <c r="F18" s="1" t="s">
        <v>14</v>
      </c>
      <c r="J18" s="1" t="s">
        <v>128</v>
      </c>
    </row>
    <row r="19" spans="2:15" x14ac:dyDescent="0.2">
      <c r="F19" s="1" t="s">
        <v>15</v>
      </c>
    </row>
    <row r="21" spans="2:15" x14ac:dyDescent="0.2">
      <c r="C21" s="1" t="s">
        <v>16</v>
      </c>
      <c r="F21" s="1" t="s">
        <v>17</v>
      </c>
      <c r="J21" s="1" t="s">
        <v>129</v>
      </c>
    </row>
    <row r="22" spans="2:15" x14ac:dyDescent="0.2">
      <c r="F22" s="1" t="s">
        <v>18</v>
      </c>
    </row>
    <row r="24" spans="2:15" x14ac:dyDescent="0.2">
      <c r="E24" s="2" t="s">
        <v>6</v>
      </c>
      <c r="G24" s="1" t="s">
        <v>0</v>
      </c>
      <c r="I24" s="1" t="s">
        <v>41</v>
      </c>
    </row>
    <row r="25" spans="2:15" x14ac:dyDescent="0.2">
      <c r="E25" s="2"/>
      <c r="G25" s="1" t="s">
        <v>172</v>
      </c>
    </row>
    <row r="26" spans="2:15" x14ac:dyDescent="0.2">
      <c r="E26" s="2" t="s">
        <v>7</v>
      </c>
      <c r="G26" s="1" t="s">
        <v>1</v>
      </c>
      <c r="I26" s="1" t="s">
        <v>42</v>
      </c>
    </row>
    <row r="27" spans="2:15" x14ac:dyDescent="0.2">
      <c r="G27" s="1" t="s">
        <v>40</v>
      </c>
    </row>
    <row r="29" spans="2:15" x14ac:dyDescent="0.2">
      <c r="B29" s="1" t="s">
        <v>5</v>
      </c>
      <c r="E29" s="1" t="s">
        <v>8</v>
      </c>
      <c r="F29" s="1" t="s">
        <v>9</v>
      </c>
      <c r="O29" s="1" t="s">
        <v>8</v>
      </c>
    </row>
    <row r="30" spans="2:15" x14ac:dyDescent="0.2">
      <c r="E30" s="1" t="s">
        <v>10</v>
      </c>
    </row>
    <row r="31" spans="2:15" x14ac:dyDescent="0.2">
      <c r="E31" s="1" t="s">
        <v>11</v>
      </c>
      <c r="F31" s="1" t="s">
        <v>12</v>
      </c>
      <c r="O31" s="1" t="s">
        <v>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G14" sqref="G14"/>
    </sheetView>
  </sheetViews>
  <sheetFormatPr defaultRowHeight="12.75" x14ac:dyDescent="0.2"/>
  <cols>
    <col min="3" max="3" width="12.42578125" bestFit="1" customWidth="1"/>
  </cols>
  <sheetData>
    <row r="1" spans="1:11" ht="15" x14ac:dyDescent="0.2">
      <c r="A1" s="1" t="s">
        <v>11</v>
      </c>
      <c r="C1" s="1" t="s">
        <v>95</v>
      </c>
    </row>
    <row r="2" spans="1:11" ht="15" x14ac:dyDescent="0.2">
      <c r="A2" s="1"/>
      <c r="C2" s="1" t="s">
        <v>120</v>
      </c>
    </row>
    <row r="3" spans="1:11" ht="15" x14ac:dyDescent="0.2">
      <c r="A3" s="1"/>
      <c r="C3" s="1" t="s">
        <v>125</v>
      </c>
    </row>
    <row r="4" spans="1:11" ht="15" x14ac:dyDescent="0.2">
      <c r="C4" s="1"/>
      <c r="D4" s="1" t="s">
        <v>126</v>
      </c>
    </row>
    <row r="5" spans="1:11" ht="15" x14ac:dyDescent="0.2">
      <c r="A5" s="1"/>
      <c r="C5" s="1" t="s">
        <v>127</v>
      </c>
    </row>
    <row r="6" spans="1:11" ht="15" x14ac:dyDescent="0.2">
      <c r="A6" s="1"/>
      <c r="C6" s="1"/>
    </row>
    <row r="7" spans="1:11" ht="15" x14ac:dyDescent="0.2">
      <c r="A7" s="1" t="s">
        <v>93</v>
      </c>
      <c r="B7" s="1"/>
      <c r="C7" s="1" t="s">
        <v>94</v>
      </c>
      <c r="D7" s="1"/>
      <c r="E7" s="1"/>
      <c r="F7" s="1"/>
      <c r="G7" s="1"/>
      <c r="H7" s="1"/>
      <c r="I7" s="1"/>
      <c r="J7" s="1"/>
      <c r="K7" s="1"/>
    </row>
    <row r="8" spans="1:11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" x14ac:dyDescent="0.2">
      <c r="A13" s="1"/>
      <c r="B13" s="1"/>
      <c r="C13" s="11"/>
      <c r="D13" s="1"/>
      <c r="E13" s="1"/>
      <c r="F13" s="1"/>
      <c r="G13" s="1"/>
      <c r="H13" s="1"/>
      <c r="I13" s="1"/>
      <c r="J13" s="1"/>
      <c r="K13" s="1"/>
    </row>
    <row r="14" spans="1:11" ht="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ht="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3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3" ht="15" x14ac:dyDescent="0.2">
      <c r="A22" s="1"/>
      <c r="B22" s="3"/>
      <c r="C22" s="3"/>
      <c r="D22" s="1"/>
      <c r="E22" s="1"/>
      <c r="F22" s="1"/>
      <c r="G22" s="1"/>
      <c r="H22" s="1"/>
      <c r="I22" s="1"/>
      <c r="J22" s="1"/>
      <c r="K22" s="1"/>
    </row>
    <row r="23" spans="1:13" ht="15" x14ac:dyDescent="0.2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</row>
    <row r="24" spans="1:13" ht="15" x14ac:dyDescent="0.2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</row>
    <row r="26" spans="1:13" ht="15" x14ac:dyDescent="0.2">
      <c r="A26" s="1"/>
      <c r="C26" s="1"/>
      <c r="D26" s="1"/>
      <c r="E26" s="1"/>
      <c r="F26" s="1"/>
      <c r="G26" s="1"/>
      <c r="H26" s="1"/>
      <c r="I26" s="1"/>
      <c r="J26" s="1"/>
      <c r="K26" s="1"/>
    </row>
    <row r="27" spans="1:13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ht="15.75" thickBo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ht="15.75" thickBot="1" x14ac:dyDescent="0.25">
      <c r="A32" s="1"/>
      <c r="B32" s="1"/>
      <c r="C32" s="10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 x14ac:dyDescent="0.2"/>
  <cols>
    <col min="1" max="1" width="9.140625" style="1"/>
    <col min="2" max="4" width="15.85546875" style="1" bestFit="1" customWidth="1"/>
    <col min="5" max="8" width="9.140625" style="1"/>
    <col min="9" max="9" width="14.42578125" style="1" customWidth="1"/>
    <col min="10" max="10" width="9.140625" style="1"/>
    <col min="11" max="11" width="9.5703125" style="1" bestFit="1" customWidth="1"/>
    <col min="12" max="13" width="11.140625" style="1" customWidth="1"/>
    <col min="14" max="14" width="12.42578125" style="1" customWidth="1"/>
    <col min="15" max="15" width="10.42578125" style="1" bestFit="1" customWidth="1"/>
    <col min="16" max="16384" width="9.140625" style="1"/>
  </cols>
  <sheetData>
    <row r="1" spans="1:9" x14ac:dyDescent="0.2">
      <c r="A1" s="1" t="s">
        <v>166</v>
      </c>
      <c r="H1" s="1" t="s">
        <v>24</v>
      </c>
    </row>
    <row r="3" spans="1:9" x14ac:dyDescent="0.2">
      <c r="A3" s="1" t="s">
        <v>19</v>
      </c>
    </row>
    <row r="4" spans="1:9" x14ac:dyDescent="0.2">
      <c r="B4" s="1" t="s">
        <v>20</v>
      </c>
    </row>
    <row r="5" spans="1:9" x14ac:dyDescent="0.2">
      <c r="B5" s="1" t="s">
        <v>22</v>
      </c>
    </row>
    <row r="6" spans="1:9" x14ac:dyDescent="0.2">
      <c r="B6" s="1" t="s">
        <v>23</v>
      </c>
    </row>
    <row r="7" spans="1:9" x14ac:dyDescent="0.2">
      <c r="B7" s="1" t="s">
        <v>21</v>
      </c>
    </row>
    <row r="8" spans="1:9" x14ac:dyDescent="0.2">
      <c r="B8" s="1" t="s">
        <v>177</v>
      </c>
    </row>
    <row r="10" spans="1:9" x14ac:dyDescent="0.2">
      <c r="B10" s="1" t="s">
        <v>178</v>
      </c>
    </row>
    <row r="11" spans="1:9" x14ac:dyDescent="0.2">
      <c r="B11" s="1" t="s">
        <v>179</v>
      </c>
      <c r="H11" s="1" t="s">
        <v>180</v>
      </c>
    </row>
    <row r="12" spans="1:9" x14ac:dyDescent="0.2">
      <c r="B12" s="1" t="s">
        <v>173</v>
      </c>
      <c r="E12" s="1" t="s">
        <v>174</v>
      </c>
    </row>
    <row r="13" spans="1:9" x14ac:dyDescent="0.2">
      <c r="B13" s="1" t="s">
        <v>181</v>
      </c>
    </row>
    <row r="14" spans="1:9" ht="15.75" thickBot="1" x14ac:dyDescent="0.25">
      <c r="B14" s="1" t="s">
        <v>175</v>
      </c>
      <c r="H14" s="1" t="s">
        <v>151</v>
      </c>
    </row>
    <row r="15" spans="1:9" ht="15.75" thickBot="1" x14ac:dyDescent="0.25">
      <c r="B15" s="1" t="s">
        <v>176</v>
      </c>
      <c r="F15" s="11"/>
      <c r="H15" s="10"/>
      <c r="I15" s="1" t="s">
        <v>130</v>
      </c>
    </row>
    <row r="16" spans="1:9" x14ac:dyDescent="0.2">
      <c r="F16" s="11"/>
      <c r="H16" s="11"/>
    </row>
    <row r="17" spans="1:11" ht="15.75" thickBot="1" x14ac:dyDescent="0.25">
      <c r="A17" s="1" t="s">
        <v>182</v>
      </c>
    </row>
    <row r="18" spans="1:11" ht="15.75" thickBot="1" x14ac:dyDescent="0.25">
      <c r="B18" s="21" t="s">
        <v>25</v>
      </c>
      <c r="C18" s="16" t="s">
        <v>151</v>
      </c>
      <c r="H18" s="10"/>
      <c r="I18" s="1" t="s">
        <v>131</v>
      </c>
    </row>
    <row r="19" spans="1:11" x14ac:dyDescent="0.2">
      <c r="B19" s="17">
        <v>0</v>
      </c>
      <c r="C19" s="22">
        <f>_xlfn.BINOM.DIST(B19,4,0.25,FALSE)</f>
        <v>0.31640625000000006</v>
      </c>
    </row>
    <row r="20" spans="1:11" x14ac:dyDescent="0.2">
      <c r="B20" s="17">
        <v>1</v>
      </c>
      <c r="C20" s="22"/>
    </row>
    <row r="21" spans="1:11" x14ac:dyDescent="0.2">
      <c r="B21" s="17">
        <v>2</v>
      </c>
      <c r="C21" s="22"/>
    </row>
    <row r="22" spans="1:11" x14ac:dyDescent="0.2">
      <c r="B22" s="17">
        <v>3</v>
      </c>
      <c r="C22" s="22"/>
    </row>
    <row r="23" spans="1:11" x14ac:dyDescent="0.2">
      <c r="B23" s="19">
        <v>4</v>
      </c>
      <c r="C23" s="23"/>
    </row>
    <row r="25" spans="1:11" x14ac:dyDescent="0.2">
      <c r="A25" s="1" t="s">
        <v>183</v>
      </c>
    </row>
    <row r="26" spans="1:11" x14ac:dyDescent="0.2">
      <c r="B26" s="1" t="s">
        <v>184</v>
      </c>
    </row>
    <row r="27" spans="1:11" x14ac:dyDescent="0.2">
      <c r="B27" s="1" t="s">
        <v>186</v>
      </c>
      <c r="H27" s="1" t="s">
        <v>185</v>
      </c>
      <c r="K27" s="1">
        <f>224/929</f>
        <v>0.2411194833153929</v>
      </c>
    </row>
    <row r="28" spans="1:11" x14ac:dyDescent="0.2">
      <c r="B28" s="1" t="s">
        <v>187</v>
      </c>
      <c r="H28" s="1" t="s">
        <v>188</v>
      </c>
      <c r="K28" s="1">
        <f>0.25</f>
        <v>0.25</v>
      </c>
    </row>
    <row r="29" spans="1:11" x14ac:dyDescent="0.2">
      <c r="B29" s="1" t="s">
        <v>189</v>
      </c>
      <c r="H29" s="1" t="s">
        <v>190</v>
      </c>
      <c r="K29" s="1">
        <f>K27/K28</f>
        <v>0.96447793326157161</v>
      </c>
    </row>
    <row r="30" spans="1:11" ht="18" x14ac:dyDescent="0.2">
      <c r="B30" s="1" t="s">
        <v>191</v>
      </c>
      <c r="K30" s="34">
        <f>K29^224</f>
        <v>3.0302204845763381E-4</v>
      </c>
    </row>
    <row r="31" spans="1:11" ht="18" x14ac:dyDescent="0.2">
      <c r="B31" s="1" t="s">
        <v>192</v>
      </c>
      <c r="K31" s="1">
        <f>((705/929)/0.75)^705</f>
        <v>4018.4486428776536</v>
      </c>
    </row>
    <row r="32" spans="1:11" ht="18" x14ac:dyDescent="0.2">
      <c r="B32" s="1" t="s">
        <v>193</v>
      </c>
      <c r="K32" s="4">
        <f>K30*K31</f>
        <v>1.2176785393865852</v>
      </c>
    </row>
    <row r="34" spans="2:2" x14ac:dyDescent="0.2">
      <c r="B34" s="1" t="s">
        <v>194</v>
      </c>
    </row>
    <row r="35" spans="2:2" x14ac:dyDescent="0.2">
      <c r="B35" s="1" t="s">
        <v>195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RowHeight="15" x14ac:dyDescent="0.2"/>
  <cols>
    <col min="1" max="1" width="9.140625" style="1"/>
    <col min="2" max="2" width="8.7109375" style="1" customWidth="1"/>
    <col min="3" max="3" width="14.140625" style="1" customWidth="1"/>
    <col min="4" max="4" width="10" style="1" customWidth="1"/>
    <col min="5" max="6" width="9.140625" style="1"/>
    <col min="7" max="7" width="9.5703125" style="1" bestFit="1" customWidth="1"/>
    <col min="8" max="8" width="9.140625" style="1"/>
    <col min="9" max="9" width="14.42578125" style="1" customWidth="1"/>
    <col min="10" max="10" width="17.5703125" style="1" bestFit="1" customWidth="1"/>
    <col min="11" max="11" width="10.42578125" style="1" bestFit="1" customWidth="1"/>
    <col min="12" max="13" width="11.140625" style="1" customWidth="1"/>
    <col min="14" max="14" width="12.42578125" style="1" customWidth="1"/>
    <col min="15" max="15" width="10.42578125" style="1" bestFit="1" customWidth="1"/>
    <col min="16" max="16384" width="9.140625" style="1"/>
  </cols>
  <sheetData>
    <row r="1" spans="1:13" x14ac:dyDescent="0.2">
      <c r="A1" s="1" t="s">
        <v>196</v>
      </c>
      <c r="H1" s="1" t="s">
        <v>27</v>
      </c>
      <c r="J1" s="1" t="s">
        <v>136</v>
      </c>
    </row>
    <row r="3" spans="1:13" x14ac:dyDescent="0.2">
      <c r="B3" s="1" t="s">
        <v>34</v>
      </c>
      <c r="H3" s="1" t="s">
        <v>62</v>
      </c>
    </row>
    <row r="4" spans="1:13" x14ac:dyDescent="0.2">
      <c r="B4" s="1" t="s">
        <v>35</v>
      </c>
    </row>
    <row r="5" spans="1:13" x14ac:dyDescent="0.2">
      <c r="B5" s="1" t="s">
        <v>36</v>
      </c>
    </row>
    <row r="6" spans="1:13" ht="15.75" x14ac:dyDescent="0.25">
      <c r="B6" s="1" t="s">
        <v>39</v>
      </c>
    </row>
    <row r="8" spans="1:13" x14ac:dyDescent="0.2">
      <c r="A8" s="1" t="s">
        <v>204</v>
      </c>
    </row>
    <row r="10" spans="1:13" x14ac:dyDescent="0.2">
      <c r="B10" s="1" t="s">
        <v>28</v>
      </c>
      <c r="C10" s="1" t="s">
        <v>29</v>
      </c>
      <c r="D10" s="1" t="s">
        <v>30</v>
      </c>
      <c r="E10" s="1" t="s">
        <v>31</v>
      </c>
    </row>
    <row r="11" spans="1:13" x14ac:dyDescent="0.2">
      <c r="B11" s="1">
        <v>0</v>
      </c>
      <c r="C11" s="1">
        <v>42.9</v>
      </c>
      <c r="D11" s="1">
        <v>42.9</v>
      </c>
      <c r="E11" s="1">
        <v>49.5</v>
      </c>
    </row>
    <row r="12" spans="1:13" x14ac:dyDescent="0.2">
      <c r="B12" s="1">
        <v>0</v>
      </c>
      <c r="C12" s="1">
        <v>41.6</v>
      </c>
      <c r="D12" s="1">
        <v>41.6</v>
      </c>
      <c r="E12" s="1">
        <v>53.8</v>
      </c>
    </row>
    <row r="13" spans="1:13" x14ac:dyDescent="0.2">
      <c r="B13" s="1">
        <v>0</v>
      </c>
      <c r="C13" s="1">
        <v>28.9</v>
      </c>
      <c r="D13" s="1">
        <v>28.9</v>
      </c>
      <c r="E13" s="1">
        <v>40.700000000000003</v>
      </c>
      <c r="M13" s="5"/>
    </row>
    <row r="14" spans="1:13" x14ac:dyDescent="0.2">
      <c r="B14" s="1">
        <v>0</v>
      </c>
      <c r="C14" s="1">
        <v>30.8</v>
      </c>
      <c r="D14" s="1">
        <v>30.8</v>
      </c>
      <c r="E14" s="1">
        <v>39.4</v>
      </c>
      <c r="M14" s="5"/>
    </row>
    <row r="15" spans="1:13" x14ac:dyDescent="0.2">
      <c r="B15" s="1">
        <v>1</v>
      </c>
      <c r="C15" s="1">
        <v>49.5</v>
      </c>
      <c r="M15" s="5"/>
    </row>
    <row r="16" spans="1:13" x14ac:dyDescent="0.2">
      <c r="B16" s="1">
        <v>1</v>
      </c>
      <c r="C16" s="1">
        <v>53.8</v>
      </c>
      <c r="M16" s="5"/>
    </row>
    <row r="17" spans="1:13" x14ac:dyDescent="0.2">
      <c r="B17" s="1">
        <v>1</v>
      </c>
      <c r="C17" s="1">
        <v>40.700000000000003</v>
      </c>
      <c r="M17" s="5"/>
    </row>
    <row r="18" spans="1:13" x14ac:dyDescent="0.2">
      <c r="B18" s="1">
        <v>1</v>
      </c>
      <c r="C18" s="1">
        <v>39.4</v>
      </c>
      <c r="I18" s="1" t="s">
        <v>51</v>
      </c>
      <c r="J18" s="1" t="s">
        <v>197</v>
      </c>
      <c r="L18" s="3" t="s">
        <v>53</v>
      </c>
      <c r="M18" s="5"/>
    </row>
    <row r="19" spans="1:13" x14ac:dyDescent="0.2">
      <c r="B19" s="1" t="s">
        <v>32</v>
      </c>
      <c r="C19" s="1">
        <f>AVERAGE(C11:C18)</f>
        <v>40.949999999999996</v>
      </c>
      <c r="D19" s="1">
        <f>AVERAGE(D11:D18)</f>
        <v>36.050000000000004</v>
      </c>
      <c r="E19" s="12">
        <f>AVERAGE(E11:E18)</f>
        <v>45.85</v>
      </c>
      <c r="F19" s="12"/>
      <c r="G19" s="1" t="s">
        <v>198</v>
      </c>
      <c r="I19" s="32">
        <f>(D19-E19)^2</f>
        <v>96.039999999999949</v>
      </c>
      <c r="J19" s="1">
        <f>2*I19</f>
        <v>192.0799999999999</v>
      </c>
      <c r="L19" s="4">
        <f>J19/G20</f>
        <v>0.63801235634093134</v>
      </c>
      <c r="M19" s="5"/>
    </row>
    <row r="20" spans="1:13" x14ac:dyDescent="0.2">
      <c r="B20" s="1" t="s">
        <v>33</v>
      </c>
      <c r="C20" s="5">
        <f>STDEV(C11:C18)</f>
        <v>8.3933647262925408</v>
      </c>
      <c r="D20" s="5">
        <f>STDEV(D11:D18)</f>
        <v>7.2205724611464372</v>
      </c>
      <c r="E20" s="5">
        <f>STDEV(E11:E18)</f>
        <v>6.9438221943441603</v>
      </c>
      <c r="G20" s="5">
        <f>(3*D20^2+3*E20^2)</f>
        <v>301.05999999999858</v>
      </c>
      <c r="I20" s="4"/>
      <c r="L20" s="4"/>
      <c r="M20" s="5"/>
    </row>
    <row r="21" spans="1:13" x14ac:dyDescent="0.2">
      <c r="G21" s="5"/>
      <c r="M21" s="5"/>
    </row>
    <row r="22" spans="1:13" x14ac:dyDescent="0.2">
      <c r="A22" s="1" t="s">
        <v>206</v>
      </c>
      <c r="F22" s="1" t="s">
        <v>199</v>
      </c>
    </row>
    <row r="23" spans="1:13" x14ac:dyDescent="0.2">
      <c r="C23" s="3" t="s">
        <v>76</v>
      </c>
      <c r="D23" s="3" t="s">
        <v>75</v>
      </c>
      <c r="E23" s="3" t="s">
        <v>77</v>
      </c>
      <c r="F23" s="3" t="s">
        <v>72</v>
      </c>
      <c r="G23" s="3"/>
      <c r="H23" s="3" t="s">
        <v>170</v>
      </c>
      <c r="I23" s="3" t="s">
        <v>53</v>
      </c>
      <c r="J23" s="2" t="s">
        <v>207</v>
      </c>
    </row>
    <row r="24" spans="1:13" x14ac:dyDescent="0.2">
      <c r="C24" s="1">
        <v>1</v>
      </c>
      <c r="D24" s="3" t="s">
        <v>137</v>
      </c>
      <c r="E24" s="1">
        <v>192</v>
      </c>
      <c r="F24" s="4">
        <f>(E26/E25)^(8/2)</f>
        <v>7.1965060483345678</v>
      </c>
      <c r="H24" s="33">
        <f>E24/C24</f>
        <v>192</v>
      </c>
      <c r="I24" s="5">
        <f>H24/H25</f>
        <v>3.8272425249169437</v>
      </c>
      <c r="J24" s="5">
        <f>FDIST(I24,C24,C25)</f>
        <v>9.819292810622951E-2</v>
      </c>
    </row>
    <row r="25" spans="1:13" x14ac:dyDescent="0.2">
      <c r="C25" s="1">
        <f>C26-C24</f>
        <v>6</v>
      </c>
      <c r="D25" s="3" t="s">
        <v>205</v>
      </c>
      <c r="E25" s="1">
        <v>301</v>
      </c>
      <c r="H25" s="33">
        <f>E25/(8-2)</f>
        <v>50.166666666666664</v>
      </c>
    </row>
    <row r="26" spans="1:13" x14ac:dyDescent="0.2">
      <c r="C26" s="1">
        <f>8-1</f>
        <v>7</v>
      </c>
      <c r="D26" s="3" t="s">
        <v>81</v>
      </c>
      <c r="E26" s="1">
        <v>493</v>
      </c>
      <c r="H26" s="33">
        <f>E26/(8-1)</f>
        <v>70.428571428571431</v>
      </c>
    </row>
    <row r="27" spans="1:13" x14ac:dyDescent="0.2">
      <c r="F27" s="33"/>
    </row>
    <row r="28" spans="1:13" x14ac:dyDescent="0.2">
      <c r="C28" s="1" t="s">
        <v>200</v>
      </c>
      <c r="F28" s="4">
        <f>F24</f>
        <v>7.1965060483345678</v>
      </c>
      <c r="G28" s="1" t="s">
        <v>201</v>
      </c>
      <c r="H28" s="33"/>
    </row>
    <row r="30" spans="1:13" x14ac:dyDescent="0.2">
      <c r="A30" s="1" t="s">
        <v>208</v>
      </c>
    </row>
    <row r="31" spans="1:13" ht="15.75" thickBot="1" x14ac:dyDescent="0.25">
      <c r="A31" s="1" t="s">
        <v>202</v>
      </c>
    </row>
    <row r="32" spans="1:13" ht="15.75" thickBot="1" x14ac:dyDescent="0.25">
      <c r="C32" s="1" t="s">
        <v>209</v>
      </c>
      <c r="F32" s="35">
        <f>E24/E26</f>
        <v>0.38945233265720081</v>
      </c>
    </row>
    <row r="33" spans="3:7" ht="15.75" thickBot="1" x14ac:dyDescent="0.25">
      <c r="E33" s="11"/>
      <c r="F33" s="11"/>
      <c r="G33" s="11"/>
    </row>
    <row r="34" spans="3:7" ht="15.75" thickBot="1" x14ac:dyDescent="0.25">
      <c r="C34" s="1" t="s">
        <v>203</v>
      </c>
      <c r="F34" s="10"/>
      <c r="G34" s="1" t="s">
        <v>171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/>
  </sheetViews>
  <sheetFormatPr defaultRowHeight="12.75" x14ac:dyDescent="0.2"/>
  <cols>
    <col min="2" max="2" width="8.7109375" customWidth="1"/>
    <col min="3" max="3" width="13.28515625" customWidth="1"/>
    <col min="4" max="4" width="9" customWidth="1"/>
    <col min="9" max="9" width="14.42578125" customWidth="1"/>
    <col min="12" max="13" width="11.140625" customWidth="1"/>
    <col min="14" max="14" width="12.42578125" customWidth="1"/>
    <col min="15" max="15" width="10.42578125" bestFit="1" customWidth="1"/>
  </cols>
  <sheetData>
    <row r="1" spans="1:16" ht="15" x14ac:dyDescent="0.2">
      <c r="A1" s="1" t="s">
        <v>2</v>
      </c>
      <c r="B1" s="1"/>
      <c r="C1" s="1"/>
      <c r="D1" s="1" t="s">
        <v>26</v>
      </c>
      <c r="E1" s="1"/>
      <c r="F1" s="1"/>
      <c r="G1" s="1"/>
      <c r="H1" s="1" t="s">
        <v>27</v>
      </c>
      <c r="I1" s="1"/>
      <c r="J1" s="1"/>
      <c r="K1" s="1"/>
      <c r="L1" s="1"/>
      <c r="M1" s="1"/>
    </row>
    <row r="2" spans="1:16" ht="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x14ac:dyDescent="0.2">
      <c r="A3" s="1"/>
      <c r="B3" s="1" t="s">
        <v>34</v>
      </c>
      <c r="C3" s="1"/>
      <c r="D3" s="1"/>
      <c r="E3" s="1"/>
      <c r="F3" s="1"/>
      <c r="G3" s="1"/>
      <c r="N3" s="1"/>
      <c r="O3" s="1"/>
      <c r="P3" s="1"/>
    </row>
    <row r="4" spans="1:16" ht="15" x14ac:dyDescent="0.2">
      <c r="A4" s="1"/>
      <c r="B4" s="1" t="s">
        <v>35</v>
      </c>
      <c r="C4" s="1"/>
      <c r="D4" s="1"/>
      <c r="E4" s="1"/>
      <c r="F4" s="1"/>
      <c r="G4" s="1"/>
      <c r="N4" s="1"/>
      <c r="O4" s="1"/>
      <c r="P4" s="1"/>
    </row>
    <row r="5" spans="1:16" ht="15" x14ac:dyDescent="0.2">
      <c r="A5" s="1"/>
      <c r="B5" s="1" t="s">
        <v>212</v>
      </c>
      <c r="C5" s="1"/>
      <c r="D5" s="1"/>
      <c r="E5" s="1"/>
      <c r="F5" s="1"/>
      <c r="G5" s="1"/>
      <c r="N5" s="1"/>
      <c r="O5" s="1"/>
      <c r="P5" s="1"/>
    </row>
    <row r="6" spans="1:16" ht="15.75" x14ac:dyDescent="0.25">
      <c r="A6" s="1"/>
      <c r="B6" s="1" t="s">
        <v>39</v>
      </c>
      <c r="C6" s="1"/>
      <c r="D6" s="1"/>
      <c r="E6" s="1" t="s">
        <v>213</v>
      </c>
      <c r="F6" s="1"/>
      <c r="G6" s="1"/>
      <c r="N6" s="1"/>
      <c r="O6" s="1"/>
      <c r="P6" s="1"/>
    </row>
    <row r="7" spans="1:16" ht="15" x14ac:dyDescent="0.2">
      <c r="A7" s="1"/>
      <c r="B7" s="1"/>
      <c r="C7" s="1"/>
      <c r="D7" s="1"/>
      <c r="E7" s="1"/>
      <c r="F7" s="1"/>
      <c r="G7" s="1"/>
      <c r="N7" s="1"/>
      <c r="O7" s="1"/>
      <c r="P7" s="1"/>
    </row>
    <row r="8" spans="1:16" ht="15" x14ac:dyDescent="0.2">
      <c r="A8" s="1" t="s">
        <v>37</v>
      </c>
      <c r="B8" s="1"/>
      <c r="C8" s="1"/>
      <c r="D8" s="1"/>
      <c r="E8" s="1"/>
      <c r="F8" s="1"/>
      <c r="G8" s="1"/>
      <c r="N8" s="1"/>
    </row>
    <row r="9" spans="1:16" ht="15" x14ac:dyDescent="0.2">
      <c r="A9" s="1" t="s">
        <v>214</v>
      </c>
      <c r="B9" s="1"/>
      <c r="C9" s="1"/>
      <c r="D9" s="1"/>
      <c r="E9" s="1"/>
      <c r="F9" s="1"/>
      <c r="G9" s="1"/>
      <c r="N9" s="1"/>
    </row>
    <row r="10" spans="1:16" ht="15.75" x14ac:dyDescent="0.25">
      <c r="A10" s="1"/>
      <c r="B10" s="1"/>
      <c r="C10" s="1"/>
      <c r="D10" s="1"/>
      <c r="E10" s="1"/>
      <c r="F10" s="1"/>
      <c r="G10" s="42" t="s">
        <v>39</v>
      </c>
      <c r="H10" s="42"/>
      <c r="N10" s="1"/>
    </row>
    <row r="11" spans="1:16" ht="15.75" thickBot="1" x14ac:dyDescent="0.25">
      <c r="B11" s="1" t="s">
        <v>28</v>
      </c>
      <c r="C11" s="1" t="s">
        <v>29</v>
      </c>
      <c r="D11" s="1" t="s">
        <v>30</v>
      </c>
      <c r="E11" s="1" t="s">
        <v>31</v>
      </c>
      <c r="F11" s="1"/>
      <c r="G11" s="1" t="s">
        <v>30</v>
      </c>
      <c r="H11" s="1" t="s">
        <v>31</v>
      </c>
    </row>
    <row r="12" spans="1:16" ht="15.75" thickBot="1" x14ac:dyDescent="0.25">
      <c r="B12" s="1">
        <v>0</v>
      </c>
      <c r="C12" s="1">
        <v>42.9</v>
      </c>
      <c r="D12" s="1">
        <v>42.9</v>
      </c>
      <c r="E12" s="1">
        <v>49.5</v>
      </c>
      <c r="F12" s="1"/>
      <c r="G12" s="38">
        <f>_xlfn.NORM.DIST(D12,C$20,C$21,FALSE)</f>
        <v>4.6265081318897366E-2</v>
      </c>
      <c r="H12" s="39"/>
      <c r="J12" s="14"/>
      <c r="K12" s="1" t="s">
        <v>215</v>
      </c>
      <c r="O12" s="1"/>
      <c r="P12" s="1"/>
    </row>
    <row r="13" spans="1:16" ht="15" x14ac:dyDescent="0.2">
      <c r="B13" s="1">
        <v>0</v>
      </c>
      <c r="C13" s="1">
        <v>41.6</v>
      </c>
      <c r="D13" s="1">
        <v>41.6</v>
      </c>
      <c r="E13" s="1">
        <v>53.8</v>
      </c>
      <c r="F13" s="1"/>
      <c r="G13" s="39"/>
      <c r="H13" s="39"/>
    </row>
    <row r="14" spans="1:16" ht="15.75" thickBot="1" x14ac:dyDescent="0.25">
      <c r="B14" s="1">
        <v>0</v>
      </c>
      <c r="C14" s="1">
        <v>28.9</v>
      </c>
      <c r="D14" s="1">
        <v>28.9</v>
      </c>
      <c r="E14" s="1">
        <v>40.700000000000003</v>
      </c>
      <c r="F14" s="1"/>
      <c r="G14" s="39"/>
      <c r="H14" s="39"/>
      <c r="I14" s="1"/>
      <c r="J14" s="1"/>
      <c r="K14" s="1"/>
      <c r="L14" s="1"/>
      <c r="M14" s="1"/>
      <c r="N14" s="5"/>
    </row>
    <row r="15" spans="1:16" ht="15.75" thickBot="1" x14ac:dyDescent="0.25">
      <c r="B15" s="1">
        <v>0</v>
      </c>
      <c r="C15" s="1">
        <v>30.8</v>
      </c>
      <c r="D15" s="1">
        <v>30.8</v>
      </c>
      <c r="E15" s="1">
        <v>39.4</v>
      </c>
      <c r="F15" s="1"/>
      <c r="G15" s="39"/>
      <c r="H15" s="39"/>
      <c r="I15" s="1"/>
      <c r="J15" s="14"/>
      <c r="K15" s="1" t="s">
        <v>216</v>
      </c>
      <c r="L15" s="1"/>
      <c r="M15" s="1"/>
      <c r="N15" s="5"/>
    </row>
    <row r="16" spans="1:16" ht="15" x14ac:dyDescent="0.2">
      <c r="B16" s="1">
        <v>1</v>
      </c>
      <c r="C16" s="1">
        <v>49.5</v>
      </c>
      <c r="D16" s="1"/>
      <c r="E16" s="1"/>
      <c r="F16" s="1"/>
      <c r="G16" s="1"/>
      <c r="I16" s="1"/>
      <c r="J16" s="1"/>
      <c r="K16" s="1"/>
      <c r="L16" s="1"/>
      <c r="M16" s="1"/>
      <c r="N16" s="5"/>
    </row>
    <row r="17" spans="1:15" ht="15" x14ac:dyDescent="0.2">
      <c r="B17" s="1">
        <v>1</v>
      </c>
      <c r="C17" s="1">
        <v>53.8</v>
      </c>
      <c r="D17" s="1"/>
      <c r="E17" s="1"/>
      <c r="F17" s="1"/>
      <c r="G17" s="1"/>
      <c r="I17" s="1"/>
      <c r="J17" s="1"/>
      <c r="K17" s="1"/>
      <c r="L17" s="1"/>
      <c r="M17" s="1"/>
      <c r="N17" s="5"/>
    </row>
    <row r="18" spans="1:15" ht="15" x14ac:dyDescent="0.2">
      <c r="B18" s="1">
        <v>1</v>
      </c>
      <c r="C18" s="1">
        <v>40.700000000000003</v>
      </c>
      <c r="D18" s="1"/>
      <c r="E18" s="1"/>
      <c r="F18" s="1"/>
      <c r="G18" s="1"/>
      <c r="I18" s="1"/>
      <c r="J18" s="1"/>
      <c r="K18" s="1"/>
      <c r="L18" s="1"/>
      <c r="M18" s="1"/>
      <c r="N18" s="5"/>
    </row>
    <row r="19" spans="1:15" ht="15" x14ac:dyDescent="0.2">
      <c r="B19" s="1">
        <v>1</v>
      </c>
      <c r="C19" s="1">
        <v>39.4</v>
      </c>
      <c r="D19" s="1"/>
      <c r="E19" s="1"/>
      <c r="F19" s="1"/>
      <c r="G19" s="1"/>
      <c r="I19" s="1"/>
      <c r="M19" s="1"/>
      <c r="N19" s="5"/>
    </row>
    <row r="20" spans="1:15" ht="15" x14ac:dyDescent="0.2">
      <c r="B20" s="1" t="s">
        <v>32</v>
      </c>
      <c r="C20" s="1">
        <f>AVERAGE(C12:C19)</f>
        <v>40.949999999999996</v>
      </c>
      <c r="D20" s="1">
        <f>AVERAGE(D12:D19)</f>
        <v>36.050000000000004</v>
      </c>
      <c r="E20" s="12">
        <f>AVERAGE(E12:E19)</f>
        <v>45.85</v>
      </c>
      <c r="F20" s="12"/>
      <c r="G20" s="1" t="s">
        <v>50</v>
      </c>
      <c r="I20" s="1"/>
      <c r="J20" s="1" t="s">
        <v>51</v>
      </c>
      <c r="K20" s="1" t="s">
        <v>52</v>
      </c>
      <c r="L20" s="1"/>
      <c r="M20" s="3" t="s">
        <v>53</v>
      </c>
      <c r="N20" s="5"/>
    </row>
    <row r="21" spans="1:15" ht="15" x14ac:dyDescent="0.2">
      <c r="B21" s="1" t="s">
        <v>33</v>
      </c>
      <c r="C21" s="5">
        <f>STDEV(C12:C19)</f>
        <v>8.3933647262925408</v>
      </c>
      <c r="D21" s="5">
        <f>STDEV(D12:D19)</f>
        <v>7.2205724611464372</v>
      </c>
      <c r="E21" s="5">
        <f>STDEV(E12:E19)</f>
        <v>6.9438221943441603</v>
      </c>
      <c r="F21" s="1"/>
      <c r="G21" s="5">
        <f>(3*D21^2+3*E21^2)/6</f>
        <v>50.176666666666428</v>
      </c>
      <c r="I21" s="1"/>
      <c r="J21" s="4">
        <f>F32^2</f>
        <v>96.149791359999966</v>
      </c>
      <c r="K21" s="1">
        <f>J21*2</f>
        <v>192.29958271999993</v>
      </c>
      <c r="L21" s="1"/>
      <c r="M21" s="4">
        <f>K21/G21</f>
        <v>3.8324503299010333</v>
      </c>
      <c r="N21" s="5"/>
    </row>
    <row r="22" spans="1:15" ht="15" x14ac:dyDescent="0.2">
      <c r="B22" s="1"/>
      <c r="C22" s="5"/>
      <c r="D22" s="5"/>
      <c r="E22" s="5"/>
      <c r="F22" s="1"/>
      <c r="G22" s="5"/>
      <c r="I22" s="1"/>
      <c r="J22" s="4"/>
      <c r="K22" s="1"/>
      <c r="L22" s="1"/>
      <c r="M22" s="4"/>
      <c r="N22" s="5"/>
    </row>
    <row r="23" spans="1:15" ht="15" x14ac:dyDescent="0.2">
      <c r="A23" s="1" t="s">
        <v>217</v>
      </c>
      <c r="B23" s="1"/>
      <c r="C23" s="5"/>
      <c r="D23" s="5"/>
      <c r="E23" s="5"/>
      <c r="F23" s="1"/>
      <c r="G23" s="5"/>
      <c r="I23" s="1"/>
      <c r="J23" s="4"/>
      <c r="K23" s="1"/>
      <c r="L23" s="1"/>
      <c r="M23" s="4"/>
      <c r="N23" s="5"/>
    </row>
    <row r="24" spans="1:15" ht="15" x14ac:dyDescent="0.2">
      <c r="A24" s="1" t="s">
        <v>218</v>
      </c>
      <c r="B24" s="1"/>
      <c r="C24" s="5"/>
      <c r="D24" s="5"/>
      <c r="E24" s="5"/>
      <c r="F24" s="1"/>
      <c r="G24" s="5"/>
      <c r="I24" s="1"/>
      <c r="J24" s="4"/>
      <c r="K24" s="1"/>
      <c r="L24" s="1"/>
      <c r="M24" s="4"/>
      <c r="N24" s="5"/>
    </row>
    <row r="25" spans="1:15" ht="15" x14ac:dyDescent="0.2">
      <c r="A25" s="1" t="s">
        <v>219</v>
      </c>
      <c r="B25" s="1"/>
      <c r="C25" s="5"/>
      <c r="D25" s="5"/>
      <c r="E25" s="5"/>
      <c r="F25" s="1"/>
      <c r="G25" s="5"/>
      <c r="I25" s="1"/>
      <c r="J25" s="1"/>
      <c r="L25" s="1"/>
      <c r="M25" s="1"/>
      <c r="N25" s="4"/>
      <c r="O25" s="5"/>
    </row>
    <row r="26" spans="1:15" ht="15" x14ac:dyDescent="0.2">
      <c r="A26" s="1"/>
      <c r="B26" s="1" t="s">
        <v>220</v>
      </c>
      <c r="C26" s="5"/>
      <c r="D26" s="5"/>
      <c r="E26" s="5"/>
      <c r="F26" s="1" t="s">
        <v>221</v>
      </c>
      <c r="G26" s="5"/>
      <c r="I26" s="1"/>
      <c r="J26" s="1"/>
      <c r="K26" s="1"/>
      <c r="L26" s="1"/>
      <c r="M26" s="1"/>
      <c r="N26" s="4"/>
      <c r="O26" s="5"/>
    </row>
    <row r="27" spans="1:15" ht="15" x14ac:dyDescent="0.2">
      <c r="A27" s="1"/>
      <c r="H27" s="1"/>
      <c r="I27" s="1"/>
      <c r="J27" s="1"/>
      <c r="K27" s="1"/>
      <c r="L27" s="1"/>
      <c r="M27" s="5"/>
    </row>
    <row r="28" spans="1:15" ht="15" x14ac:dyDescent="0.2">
      <c r="B28" s="1"/>
      <c r="C28" s="1"/>
      <c r="D28" s="1" t="s">
        <v>44</v>
      </c>
      <c r="E28" s="1"/>
      <c r="F28" s="1"/>
      <c r="G28" s="1"/>
      <c r="H28" s="1"/>
      <c r="I28" s="1" t="s">
        <v>47</v>
      </c>
      <c r="J28" s="1"/>
      <c r="K28" s="1"/>
    </row>
    <row r="29" spans="1:15" ht="15" x14ac:dyDescent="0.2">
      <c r="B29" s="1" t="s">
        <v>30</v>
      </c>
      <c r="C29" s="1" t="s">
        <v>43</v>
      </c>
      <c r="D29" s="1" t="s">
        <v>45</v>
      </c>
      <c r="E29" s="1" t="s">
        <v>31</v>
      </c>
      <c r="F29" s="1" t="s">
        <v>46</v>
      </c>
      <c r="G29" s="1" t="s">
        <v>50</v>
      </c>
      <c r="H29" s="1" t="s">
        <v>49</v>
      </c>
      <c r="I29" s="1" t="s">
        <v>48</v>
      </c>
      <c r="J29" s="3"/>
      <c r="K29" s="1"/>
    </row>
    <row r="30" spans="1:15" ht="15" x14ac:dyDescent="0.2">
      <c r="B30" s="1">
        <f>D20</f>
        <v>36.050000000000004</v>
      </c>
      <c r="C30" s="1">
        <v>0.1</v>
      </c>
      <c r="D30" s="1">
        <f>1+C30</f>
        <v>1.1000000000000001</v>
      </c>
      <c r="E30" s="4">
        <f>B30*D30</f>
        <v>39.655000000000008</v>
      </c>
      <c r="F30" s="4">
        <f>E30-B30</f>
        <v>3.605000000000004</v>
      </c>
      <c r="G30" s="4">
        <v>50.18</v>
      </c>
      <c r="H30" s="4">
        <f>F30/SQRT(G30)</f>
        <v>0.50890877638957044</v>
      </c>
      <c r="I30" s="5">
        <f>_xlfn.T.DIST.2T(H30,6)</f>
        <v>0.62898336512555653</v>
      </c>
      <c r="J30" s="1"/>
    </row>
    <row r="31" spans="1:15" ht="15" x14ac:dyDescent="0.2">
      <c r="B31" s="1">
        <f>B30</f>
        <v>36.050000000000004</v>
      </c>
      <c r="C31" s="1">
        <v>0.2</v>
      </c>
      <c r="D31" s="1">
        <f t="shared" ref="D31:D40" si="0">1+C31</f>
        <v>1.2</v>
      </c>
      <c r="E31" s="4">
        <f t="shared" ref="E31:E40" si="1">B31*D31</f>
        <v>43.260000000000005</v>
      </c>
      <c r="F31" s="4">
        <f t="shared" ref="F31:F40" si="2">E31-B31</f>
        <v>7.2100000000000009</v>
      </c>
      <c r="G31" s="4">
        <f>G30</f>
        <v>50.18</v>
      </c>
      <c r="H31" s="4">
        <f t="shared" ref="H31:H33" si="3">F31/SQRT(G31)</f>
        <v>1.0178175527791398</v>
      </c>
      <c r="I31" s="5">
        <f>_xlfn.T.DIST.2T(H31,6)</f>
        <v>0.34803670094637162</v>
      </c>
      <c r="J31" s="1"/>
      <c r="K31" s="1"/>
    </row>
    <row r="32" spans="1:15" ht="15" x14ac:dyDescent="0.2">
      <c r="B32" s="1">
        <f t="shared" ref="B32:B40" si="4">B31</f>
        <v>36.050000000000004</v>
      </c>
      <c r="C32" s="1">
        <v>0.27200000000000002</v>
      </c>
      <c r="D32" s="1">
        <f t="shared" si="0"/>
        <v>1.272</v>
      </c>
      <c r="E32" s="40">
        <f t="shared" si="1"/>
        <v>45.855600000000003</v>
      </c>
      <c r="F32" s="4">
        <f>E32-B32</f>
        <v>9.8055999999999983</v>
      </c>
      <c r="G32" s="4">
        <f t="shared" ref="G32:G36" si="5">G31</f>
        <v>50.18</v>
      </c>
      <c r="H32" s="4">
        <f t="shared" si="3"/>
        <v>1.3842318717796298</v>
      </c>
      <c r="I32" s="5">
        <f>_xlfn.T.DIST.2T(H32,6)</f>
        <v>0.21557302876345624</v>
      </c>
      <c r="J32" s="1"/>
      <c r="K32" s="1"/>
    </row>
    <row r="33" spans="2:15" ht="15" x14ac:dyDescent="0.2">
      <c r="B33" s="1">
        <f t="shared" si="4"/>
        <v>36.050000000000004</v>
      </c>
      <c r="C33" s="15">
        <v>0.3</v>
      </c>
      <c r="D33" s="16">
        <f t="shared" si="0"/>
        <v>1.3</v>
      </c>
      <c r="E33" s="4">
        <f t="shared" si="1"/>
        <v>46.865000000000009</v>
      </c>
      <c r="F33" s="4">
        <f t="shared" si="2"/>
        <v>10.815000000000005</v>
      </c>
      <c r="G33" s="4">
        <f t="shared" si="5"/>
        <v>50.18</v>
      </c>
      <c r="H33" s="4">
        <f t="shared" si="3"/>
        <v>1.5267263291687103</v>
      </c>
      <c r="I33" s="5">
        <f>_xlfn.T.DIST.2T(H33,6)</f>
        <v>0.17768261098887175</v>
      </c>
      <c r="J33" s="1"/>
      <c r="K33" s="1"/>
    </row>
    <row r="34" spans="2:15" ht="15" x14ac:dyDescent="0.2">
      <c r="B34" s="1">
        <f t="shared" si="4"/>
        <v>36.050000000000004</v>
      </c>
      <c r="C34" s="17"/>
      <c r="D34" s="18">
        <f t="shared" si="0"/>
        <v>1</v>
      </c>
      <c r="E34" s="4">
        <f t="shared" si="1"/>
        <v>36.050000000000004</v>
      </c>
      <c r="F34" s="4">
        <f t="shared" si="2"/>
        <v>0</v>
      </c>
      <c r="G34" s="4">
        <f t="shared" si="5"/>
        <v>50.18</v>
      </c>
      <c r="H34" s="39"/>
      <c r="I34" s="39"/>
      <c r="J34" s="1"/>
      <c r="K34" s="1"/>
    </row>
    <row r="35" spans="2:15" ht="15" x14ac:dyDescent="0.2">
      <c r="B35" s="1">
        <f t="shared" si="4"/>
        <v>36.050000000000004</v>
      </c>
      <c r="C35" s="17"/>
      <c r="D35" s="18">
        <f t="shared" si="0"/>
        <v>1</v>
      </c>
      <c r="E35" s="4">
        <f t="shared" si="1"/>
        <v>36.050000000000004</v>
      </c>
      <c r="F35" s="4">
        <f t="shared" si="2"/>
        <v>0</v>
      </c>
      <c r="G35" s="4">
        <f t="shared" si="5"/>
        <v>50.18</v>
      </c>
      <c r="H35" s="39"/>
      <c r="I35" s="39"/>
      <c r="J35" s="1"/>
      <c r="K35" s="1"/>
    </row>
    <row r="36" spans="2:15" ht="15" x14ac:dyDescent="0.2">
      <c r="B36" s="1">
        <f t="shared" si="4"/>
        <v>36.050000000000004</v>
      </c>
      <c r="C36" s="17"/>
      <c r="D36" s="18">
        <f t="shared" si="0"/>
        <v>1</v>
      </c>
      <c r="E36" s="4">
        <f t="shared" si="1"/>
        <v>36.050000000000004</v>
      </c>
      <c r="F36" s="4">
        <f t="shared" si="2"/>
        <v>0</v>
      </c>
      <c r="G36" s="4">
        <f t="shared" si="5"/>
        <v>50.18</v>
      </c>
      <c r="H36" s="39"/>
      <c r="I36" s="39"/>
    </row>
    <row r="37" spans="2:15" ht="15" x14ac:dyDescent="0.2">
      <c r="B37" s="1">
        <f t="shared" si="4"/>
        <v>36.050000000000004</v>
      </c>
      <c r="C37" s="17"/>
      <c r="D37" s="18">
        <f t="shared" si="0"/>
        <v>1</v>
      </c>
      <c r="E37" s="4">
        <f t="shared" si="1"/>
        <v>36.050000000000004</v>
      </c>
      <c r="F37" s="4">
        <f t="shared" si="2"/>
        <v>0</v>
      </c>
      <c r="G37" s="4"/>
      <c r="H37" s="4"/>
      <c r="I37" s="5"/>
    </row>
    <row r="38" spans="2:15" ht="15" x14ac:dyDescent="0.2">
      <c r="B38" s="1">
        <f t="shared" si="4"/>
        <v>36.050000000000004</v>
      </c>
      <c r="C38" s="17"/>
      <c r="D38" s="18">
        <f t="shared" si="0"/>
        <v>1</v>
      </c>
      <c r="E38" s="4">
        <f t="shared" si="1"/>
        <v>36.050000000000004</v>
      </c>
      <c r="F38" s="4">
        <f t="shared" si="2"/>
        <v>0</v>
      </c>
      <c r="G38" s="4"/>
      <c r="H38" s="4"/>
      <c r="I38" s="5"/>
    </row>
    <row r="39" spans="2:15" ht="15" x14ac:dyDescent="0.2">
      <c r="B39" s="1">
        <f t="shared" si="4"/>
        <v>36.050000000000004</v>
      </c>
      <c r="C39" s="17"/>
      <c r="D39" s="18">
        <f t="shared" si="0"/>
        <v>1</v>
      </c>
      <c r="E39" s="4">
        <f t="shared" si="1"/>
        <v>36.050000000000004</v>
      </c>
      <c r="F39" s="4">
        <f t="shared" si="2"/>
        <v>0</v>
      </c>
      <c r="G39" s="4"/>
      <c r="H39" s="4"/>
      <c r="I39" s="5"/>
    </row>
    <row r="40" spans="2:15" ht="15" x14ac:dyDescent="0.2">
      <c r="B40" s="1">
        <f t="shared" si="4"/>
        <v>36.050000000000004</v>
      </c>
      <c r="C40" s="19"/>
      <c r="D40" s="20">
        <f t="shared" si="0"/>
        <v>1</v>
      </c>
      <c r="E40" s="4">
        <f t="shared" si="1"/>
        <v>36.050000000000004</v>
      </c>
      <c r="F40" s="4">
        <f t="shared" si="2"/>
        <v>0</v>
      </c>
      <c r="G40" s="4"/>
      <c r="H40" s="4"/>
      <c r="I40" s="5"/>
    </row>
    <row r="41" spans="2:15" x14ac:dyDescent="0.2">
      <c r="N41" s="41"/>
      <c r="O41" s="41"/>
    </row>
    <row r="42" spans="2:15" x14ac:dyDescent="0.2">
      <c r="N42" s="41"/>
      <c r="O42" s="41"/>
    </row>
  </sheetData>
  <mergeCells count="1">
    <mergeCell ref="G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"/>
  <cols>
    <col min="1" max="1" width="9.140625" style="1"/>
    <col min="2" max="2" width="8.7109375" style="1" customWidth="1"/>
    <col min="3" max="3" width="14.140625" style="1" customWidth="1"/>
    <col min="4" max="4" width="10" style="1" customWidth="1"/>
    <col min="5" max="8" width="9.140625" style="1"/>
    <col min="9" max="9" width="14.42578125" style="1" customWidth="1"/>
    <col min="10" max="10" width="14.85546875" style="1" bestFit="1" customWidth="1"/>
    <col min="11" max="11" width="9.140625" style="1"/>
    <col min="12" max="13" width="11.140625" style="1" customWidth="1"/>
    <col min="14" max="14" width="12.42578125" style="1" customWidth="1"/>
    <col min="15" max="15" width="10.42578125" style="1" bestFit="1" customWidth="1"/>
    <col min="16" max="16384" width="9.140625" style="1"/>
  </cols>
  <sheetData>
    <row r="1" spans="1:15" x14ac:dyDescent="0.2">
      <c r="A1" s="1" t="s">
        <v>2</v>
      </c>
      <c r="D1" s="1" t="s">
        <v>26</v>
      </c>
      <c r="H1" s="1" t="s">
        <v>27</v>
      </c>
      <c r="J1" s="1" t="s">
        <v>136</v>
      </c>
    </row>
    <row r="3" spans="1:15" x14ac:dyDescent="0.2">
      <c r="B3" s="1" t="s">
        <v>34</v>
      </c>
      <c r="H3" s="1" t="s">
        <v>62</v>
      </c>
    </row>
    <row r="4" spans="1:15" x14ac:dyDescent="0.2">
      <c r="B4" s="1" t="s">
        <v>35</v>
      </c>
    </row>
    <row r="5" spans="1:15" x14ac:dyDescent="0.2">
      <c r="B5" s="1" t="s">
        <v>36</v>
      </c>
    </row>
    <row r="6" spans="1:15" ht="15.75" x14ac:dyDescent="0.25">
      <c r="B6" s="1" t="s">
        <v>39</v>
      </c>
    </row>
    <row r="8" spans="1:15" x14ac:dyDescent="0.2">
      <c r="A8" s="1" t="s">
        <v>37</v>
      </c>
    </row>
    <row r="9" spans="1:15" x14ac:dyDescent="0.2">
      <c r="A9" s="1" t="s">
        <v>38</v>
      </c>
    </row>
    <row r="11" spans="1:15" x14ac:dyDescent="0.2">
      <c r="B11" s="1" t="s">
        <v>28</v>
      </c>
      <c r="C11" s="1" t="s">
        <v>29</v>
      </c>
      <c r="D11" s="1" t="s">
        <v>30</v>
      </c>
      <c r="E11" s="1" t="s">
        <v>31</v>
      </c>
    </row>
    <row r="12" spans="1:15" x14ac:dyDescent="0.2">
      <c r="B12" s="1">
        <v>0</v>
      </c>
      <c r="C12" s="1">
        <v>42.9</v>
      </c>
      <c r="D12" s="1">
        <v>42.9</v>
      </c>
      <c r="E12" s="1">
        <v>49.5</v>
      </c>
    </row>
    <row r="13" spans="1:15" x14ac:dyDescent="0.2">
      <c r="B13" s="1">
        <v>0</v>
      </c>
      <c r="C13" s="1">
        <v>41.6</v>
      </c>
      <c r="D13" s="1">
        <v>41.6</v>
      </c>
      <c r="E13" s="1">
        <v>53.8</v>
      </c>
    </row>
    <row r="14" spans="1:15" x14ac:dyDescent="0.2">
      <c r="B14" s="1">
        <v>0</v>
      </c>
      <c r="C14" s="1">
        <v>28.9</v>
      </c>
      <c r="D14" s="1">
        <v>28.9</v>
      </c>
      <c r="E14" s="1">
        <v>40.700000000000003</v>
      </c>
      <c r="K14" s="3" t="s">
        <v>77</v>
      </c>
      <c r="L14" s="3" t="s">
        <v>170</v>
      </c>
      <c r="M14" s="3" t="s">
        <v>53</v>
      </c>
      <c r="O14" s="5"/>
    </row>
    <row r="15" spans="1:15" x14ac:dyDescent="0.2">
      <c r="B15" s="1">
        <v>0</v>
      </c>
      <c r="C15" s="1">
        <v>30.8</v>
      </c>
      <c r="D15" s="1">
        <v>30.8</v>
      </c>
      <c r="E15" s="1">
        <v>39.4</v>
      </c>
      <c r="K15" s="1">
        <v>192</v>
      </c>
      <c r="L15" s="33">
        <f>K15</f>
        <v>192</v>
      </c>
      <c r="M15" s="1">
        <f>L15/L16</f>
        <v>3.8272425249169437</v>
      </c>
      <c r="O15" s="5"/>
    </row>
    <row r="16" spans="1:15" x14ac:dyDescent="0.2">
      <c r="B16" s="1">
        <v>1</v>
      </c>
      <c r="C16" s="1">
        <v>49.5</v>
      </c>
      <c r="K16" s="1">
        <v>301</v>
      </c>
      <c r="L16" s="33">
        <f>K16/(8-2)</f>
        <v>50.166666666666664</v>
      </c>
      <c r="O16" s="5"/>
    </row>
    <row r="17" spans="1:15" x14ac:dyDescent="0.2">
      <c r="B17" s="1">
        <v>1</v>
      </c>
      <c r="C17" s="1">
        <v>53.8</v>
      </c>
      <c r="K17" s="1">
        <v>493</v>
      </c>
      <c r="L17" s="33">
        <f>K17/(8-1)</f>
        <v>70.428571428571431</v>
      </c>
      <c r="O17" s="5"/>
    </row>
    <row r="18" spans="1:15" x14ac:dyDescent="0.2">
      <c r="B18" s="1">
        <v>1</v>
      </c>
      <c r="C18" s="1">
        <v>40.700000000000003</v>
      </c>
      <c r="O18" s="5"/>
    </row>
    <row r="19" spans="1:15" x14ac:dyDescent="0.2">
      <c r="B19" s="1">
        <v>1</v>
      </c>
      <c r="C19" s="1">
        <v>39.4</v>
      </c>
      <c r="N19" s="5"/>
    </row>
    <row r="20" spans="1:15" x14ac:dyDescent="0.2">
      <c r="B20" s="1" t="s">
        <v>32</v>
      </c>
      <c r="C20" s="1">
        <f>AVERAGE(C12:C19)</f>
        <v>40.949999999999996</v>
      </c>
      <c r="D20" s="1">
        <f>AVERAGE(D12:D19)</f>
        <v>36.050000000000004</v>
      </c>
      <c r="E20" s="7">
        <f>AVERAGE(E12:E19)</f>
        <v>45.85</v>
      </c>
      <c r="F20" s="12"/>
      <c r="G20" s="1" t="s">
        <v>50</v>
      </c>
      <c r="J20" s="1" t="s">
        <v>51</v>
      </c>
      <c r="K20" s="1" t="s">
        <v>52</v>
      </c>
      <c r="M20" s="3" t="s">
        <v>53</v>
      </c>
      <c r="N20" s="5"/>
    </row>
    <row r="21" spans="1:15" x14ac:dyDescent="0.2">
      <c r="B21" s="1" t="s">
        <v>33</v>
      </c>
      <c r="C21" s="5">
        <f>STDEV(C12:C19)</f>
        <v>8.3933647262925408</v>
      </c>
      <c r="D21" s="5">
        <f>STDEV(D12:D19)</f>
        <v>7.2205724611464372</v>
      </c>
      <c r="E21" s="5">
        <f>STDEV(E12:E19)</f>
        <v>6.9438221943441603</v>
      </c>
      <c r="G21" s="5">
        <f>(3*D21^2+3*E21^2)/6</f>
        <v>50.176666666666428</v>
      </c>
      <c r="J21" s="31">
        <f>F29^2</f>
        <v>96.149791359999966</v>
      </c>
      <c r="K21" s="1">
        <f>J21*2</f>
        <v>192.29958271999993</v>
      </c>
      <c r="M21" s="4">
        <f>K21/G21</f>
        <v>3.8324503299010333</v>
      </c>
      <c r="N21" s="5"/>
    </row>
    <row r="22" spans="1:15" x14ac:dyDescent="0.2">
      <c r="G22" s="5"/>
      <c r="J22" s="4"/>
      <c r="M22" s="4"/>
      <c r="N22" s="5"/>
    </row>
    <row r="23" spans="1:15" x14ac:dyDescent="0.2">
      <c r="A23" s="1" t="s">
        <v>132</v>
      </c>
      <c r="G23" s="5"/>
      <c r="J23" s="4"/>
      <c r="M23" s="4"/>
      <c r="N23" s="5"/>
    </row>
    <row r="24" spans="1:15" x14ac:dyDescent="0.2">
      <c r="M24" s="5"/>
    </row>
    <row r="25" spans="1:15" x14ac:dyDescent="0.2">
      <c r="D25" s="1" t="s">
        <v>44</v>
      </c>
      <c r="I25" s="1" t="s">
        <v>47</v>
      </c>
    </row>
    <row r="26" spans="1:15" x14ac:dyDescent="0.2">
      <c r="B26" s="1" t="s">
        <v>30</v>
      </c>
      <c r="C26" s="1" t="s">
        <v>43</v>
      </c>
      <c r="D26" s="1" t="s">
        <v>45</v>
      </c>
      <c r="E26" s="1" t="s">
        <v>31</v>
      </c>
      <c r="F26" s="1" t="s">
        <v>46</v>
      </c>
      <c r="G26" s="1" t="s">
        <v>50</v>
      </c>
      <c r="H26" s="1" t="s">
        <v>49</v>
      </c>
      <c r="I26" s="1" t="s">
        <v>48</v>
      </c>
      <c r="J26" s="3"/>
    </row>
    <row r="27" spans="1:15" x14ac:dyDescent="0.2">
      <c r="B27" s="1">
        <f>D20</f>
        <v>36.050000000000004</v>
      </c>
      <c r="C27" s="1">
        <v>0.1</v>
      </c>
      <c r="D27" s="1">
        <f>1+C27</f>
        <v>1.1000000000000001</v>
      </c>
      <c r="E27" s="4">
        <f>B27*D27</f>
        <v>39.655000000000008</v>
      </c>
      <c r="F27" s="4">
        <f>E27-B27</f>
        <v>3.605000000000004</v>
      </c>
      <c r="G27" s="4">
        <v>50.18</v>
      </c>
      <c r="H27" s="4">
        <f>F27/SQRT(G27)</f>
        <v>0.50890877638957044</v>
      </c>
      <c r="I27" s="5">
        <f>_xlfn.T.DIST.2T(H27,6)</f>
        <v>0.62898336512555653</v>
      </c>
    </row>
    <row r="28" spans="1:15" x14ac:dyDescent="0.2">
      <c r="B28" s="1">
        <f>B27</f>
        <v>36.050000000000004</v>
      </c>
      <c r="C28" s="1">
        <v>0.2</v>
      </c>
      <c r="D28" s="1">
        <f t="shared" ref="D28:D37" si="0">1+C28</f>
        <v>1.2</v>
      </c>
      <c r="E28" s="4">
        <f t="shared" ref="E28:E37" si="1">B28*D28</f>
        <v>43.260000000000005</v>
      </c>
      <c r="F28" s="4">
        <f t="shared" ref="F28:F37" si="2">E28-B28</f>
        <v>7.2100000000000009</v>
      </c>
      <c r="G28" s="4">
        <f>G27</f>
        <v>50.18</v>
      </c>
      <c r="H28" s="4">
        <f t="shared" ref="H28:H30" si="3">F28/SQRT(G28)</f>
        <v>1.0178175527791398</v>
      </c>
      <c r="I28" s="5">
        <f>_xlfn.T.DIST.2T(H28,6)</f>
        <v>0.34803670094637162</v>
      </c>
    </row>
    <row r="29" spans="1:15" x14ac:dyDescent="0.2">
      <c r="B29" s="1">
        <f t="shared" ref="B29:B37" si="4">B28</f>
        <v>36.050000000000004</v>
      </c>
      <c r="C29" s="1">
        <v>0.27200000000000002</v>
      </c>
      <c r="D29" s="1">
        <f t="shared" si="0"/>
        <v>1.272</v>
      </c>
      <c r="E29" s="6">
        <f t="shared" si="1"/>
        <v>45.855600000000003</v>
      </c>
      <c r="F29" s="4">
        <f>E29-B29</f>
        <v>9.8055999999999983</v>
      </c>
      <c r="G29" s="4">
        <f t="shared" ref="G29:G33" si="5">G28</f>
        <v>50.18</v>
      </c>
      <c r="H29" s="4">
        <f t="shared" si="3"/>
        <v>1.3842318717796298</v>
      </c>
      <c r="I29" s="5">
        <f>_xlfn.T.DIST.2T(H29,6)</f>
        <v>0.21557302876345624</v>
      </c>
    </row>
    <row r="30" spans="1:15" x14ac:dyDescent="0.2">
      <c r="B30" s="1">
        <f t="shared" si="4"/>
        <v>36.050000000000004</v>
      </c>
      <c r="C30" s="15">
        <v>0.3</v>
      </c>
      <c r="D30" s="16">
        <f t="shared" si="0"/>
        <v>1.3</v>
      </c>
      <c r="E30" s="4">
        <f t="shared" si="1"/>
        <v>46.865000000000009</v>
      </c>
      <c r="F30" s="4">
        <f t="shared" si="2"/>
        <v>10.815000000000005</v>
      </c>
      <c r="G30" s="4">
        <f t="shared" si="5"/>
        <v>50.18</v>
      </c>
      <c r="H30" s="4">
        <f t="shared" si="3"/>
        <v>1.5267263291687103</v>
      </c>
      <c r="I30" s="5">
        <f>_xlfn.T.DIST.2T(H30,6)</f>
        <v>0.17768261098887175</v>
      </c>
    </row>
    <row r="31" spans="1:15" x14ac:dyDescent="0.2">
      <c r="B31" s="1">
        <f t="shared" si="4"/>
        <v>36.050000000000004</v>
      </c>
      <c r="C31" s="17"/>
      <c r="D31" s="18">
        <f t="shared" si="0"/>
        <v>1</v>
      </c>
      <c r="E31" s="4">
        <f t="shared" si="1"/>
        <v>36.050000000000004</v>
      </c>
      <c r="F31" s="4">
        <f t="shared" si="2"/>
        <v>0</v>
      </c>
      <c r="G31" s="4">
        <f t="shared" si="5"/>
        <v>50.18</v>
      </c>
      <c r="H31" s="4"/>
      <c r="I31" s="5"/>
    </row>
    <row r="32" spans="1:15" x14ac:dyDescent="0.2">
      <c r="B32" s="1">
        <f t="shared" si="4"/>
        <v>36.050000000000004</v>
      </c>
      <c r="C32" s="17"/>
      <c r="D32" s="18">
        <f t="shared" si="0"/>
        <v>1</v>
      </c>
      <c r="E32" s="4">
        <f t="shared" si="1"/>
        <v>36.050000000000004</v>
      </c>
      <c r="F32" s="4">
        <f t="shared" si="2"/>
        <v>0</v>
      </c>
      <c r="G32" s="4">
        <f t="shared" si="5"/>
        <v>50.18</v>
      </c>
      <c r="H32" s="4"/>
      <c r="I32" s="5"/>
    </row>
    <row r="33" spans="2:15" x14ac:dyDescent="0.2">
      <c r="B33" s="1">
        <f t="shared" si="4"/>
        <v>36.050000000000004</v>
      </c>
      <c r="C33" s="17"/>
      <c r="D33" s="18">
        <f t="shared" si="0"/>
        <v>1</v>
      </c>
      <c r="E33" s="4">
        <f t="shared" si="1"/>
        <v>36.050000000000004</v>
      </c>
      <c r="F33" s="4">
        <f t="shared" si="2"/>
        <v>0</v>
      </c>
      <c r="G33" s="4">
        <f t="shared" si="5"/>
        <v>50.18</v>
      </c>
      <c r="H33" s="4"/>
      <c r="I33" s="5"/>
    </row>
    <row r="34" spans="2:15" x14ac:dyDescent="0.2">
      <c r="B34" s="1">
        <f t="shared" si="4"/>
        <v>36.050000000000004</v>
      </c>
      <c r="C34" s="17"/>
      <c r="D34" s="18">
        <f t="shared" si="0"/>
        <v>1</v>
      </c>
      <c r="E34" s="4">
        <f t="shared" si="1"/>
        <v>36.050000000000004</v>
      </c>
      <c r="F34" s="4">
        <f t="shared" si="2"/>
        <v>0</v>
      </c>
      <c r="G34" s="4"/>
      <c r="H34" s="4"/>
      <c r="I34" s="5"/>
    </row>
    <row r="35" spans="2:15" x14ac:dyDescent="0.2">
      <c r="B35" s="1">
        <f t="shared" si="4"/>
        <v>36.050000000000004</v>
      </c>
      <c r="C35" s="17"/>
      <c r="D35" s="18">
        <f t="shared" si="0"/>
        <v>1</v>
      </c>
      <c r="E35" s="4">
        <f t="shared" si="1"/>
        <v>36.050000000000004</v>
      </c>
      <c r="F35" s="4">
        <f t="shared" si="2"/>
        <v>0</v>
      </c>
      <c r="G35" s="4"/>
      <c r="H35" s="4"/>
      <c r="I35" s="5"/>
    </row>
    <row r="36" spans="2:15" x14ac:dyDescent="0.2">
      <c r="B36" s="1">
        <f t="shared" si="4"/>
        <v>36.050000000000004</v>
      </c>
      <c r="C36" s="17"/>
      <c r="D36" s="18">
        <f t="shared" si="0"/>
        <v>1</v>
      </c>
      <c r="E36" s="4">
        <f t="shared" si="1"/>
        <v>36.050000000000004</v>
      </c>
      <c r="F36" s="4">
        <f t="shared" si="2"/>
        <v>0</v>
      </c>
      <c r="G36" s="4"/>
      <c r="H36" s="4"/>
      <c r="I36" s="5"/>
    </row>
    <row r="37" spans="2:15" x14ac:dyDescent="0.2">
      <c r="B37" s="1">
        <f t="shared" si="4"/>
        <v>36.050000000000004</v>
      </c>
      <c r="C37" s="19"/>
      <c r="D37" s="20">
        <f t="shared" si="0"/>
        <v>1</v>
      </c>
      <c r="E37" s="4">
        <f t="shared" si="1"/>
        <v>36.050000000000004</v>
      </c>
      <c r="F37" s="4">
        <f t="shared" si="2"/>
        <v>0</v>
      </c>
      <c r="G37" s="4"/>
      <c r="H37" s="4"/>
      <c r="I37" s="5"/>
    </row>
    <row r="38" spans="2:15" x14ac:dyDescent="0.2">
      <c r="N38" s="4"/>
      <c r="O38" s="4"/>
    </row>
    <row r="39" spans="2:15" x14ac:dyDescent="0.2">
      <c r="N39" s="4"/>
      <c r="O3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M13" sqref="M13"/>
    </sheetView>
  </sheetViews>
  <sheetFormatPr defaultRowHeight="15" x14ac:dyDescent="0.2"/>
  <cols>
    <col min="1" max="16384" width="9.140625" style="1"/>
  </cols>
  <sheetData>
    <row r="1" spans="1:14" x14ac:dyDescent="0.2">
      <c r="A1" s="8" t="s">
        <v>148</v>
      </c>
    </row>
    <row r="2" spans="1:14" x14ac:dyDescent="0.2">
      <c r="A2" s="8"/>
    </row>
    <row r="3" spans="1:14" x14ac:dyDescent="0.2">
      <c r="E3" s="1" t="s">
        <v>55</v>
      </c>
      <c r="K3" s="1" t="s">
        <v>151</v>
      </c>
      <c r="N3" s="1" t="s">
        <v>149</v>
      </c>
    </row>
    <row r="5" spans="1:14" x14ac:dyDescent="0.2">
      <c r="A5" s="1" t="s">
        <v>114</v>
      </c>
    </row>
    <row r="7" spans="1:14" x14ac:dyDescent="0.2">
      <c r="E7" s="1" t="s">
        <v>54</v>
      </c>
      <c r="K7" s="1" t="s">
        <v>152</v>
      </c>
      <c r="N7" s="1" t="s">
        <v>153</v>
      </c>
    </row>
    <row r="9" spans="1:14" ht="15.75" x14ac:dyDescent="0.25">
      <c r="A9" s="13" t="s">
        <v>150</v>
      </c>
    </row>
    <row r="11" spans="1:14" x14ac:dyDescent="0.2">
      <c r="A11" s="1" t="s">
        <v>124</v>
      </c>
      <c r="K11" s="1" t="s">
        <v>56</v>
      </c>
    </row>
    <row r="13" spans="1:14" x14ac:dyDescent="0.2">
      <c r="A13" s="1" t="s">
        <v>57</v>
      </c>
    </row>
    <row r="15" spans="1:14" x14ac:dyDescent="0.2">
      <c r="B15" s="1" t="s">
        <v>58</v>
      </c>
    </row>
    <row r="17" spans="2:2" x14ac:dyDescent="0.2">
      <c r="B17" s="1" t="s">
        <v>59</v>
      </c>
    </row>
    <row r="19" spans="2:2" x14ac:dyDescent="0.2">
      <c r="B19" s="1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7" workbookViewId="0">
      <selection activeCell="Q18" sqref="Q18"/>
    </sheetView>
  </sheetViews>
  <sheetFormatPr defaultRowHeight="15" x14ac:dyDescent="0.2"/>
  <cols>
    <col min="1" max="1" width="3.85546875" style="1" customWidth="1"/>
    <col min="2" max="6" width="9.140625" style="1"/>
    <col min="7" max="7" width="9.5703125" style="1" bestFit="1" customWidth="1"/>
    <col min="8" max="13" width="9.140625" style="1"/>
    <col min="14" max="14" width="9.5703125" style="1" bestFit="1" customWidth="1"/>
    <col min="15" max="16384" width="9.140625" style="1"/>
  </cols>
  <sheetData>
    <row r="1" spans="1:16" x14ac:dyDescent="0.2">
      <c r="A1" s="1" t="s">
        <v>61</v>
      </c>
      <c r="E1" s="1" t="s">
        <v>223</v>
      </c>
    </row>
    <row r="2" spans="1:16" x14ac:dyDescent="0.2">
      <c r="E2" s="1" t="s">
        <v>224</v>
      </c>
    </row>
    <row r="4" spans="1:16" x14ac:dyDescent="0.2">
      <c r="B4" s="1" t="s">
        <v>3</v>
      </c>
      <c r="F4" s="1" t="s">
        <v>133</v>
      </c>
      <c r="N4" s="1" t="s">
        <v>134</v>
      </c>
    </row>
    <row r="6" spans="1:16" x14ac:dyDescent="0.2">
      <c r="F6" s="1" t="s">
        <v>60</v>
      </c>
      <c r="J6" s="1" t="s">
        <v>225</v>
      </c>
    </row>
    <row r="8" spans="1:16" ht="18" x14ac:dyDescent="0.2">
      <c r="B8" s="1" t="s">
        <v>4</v>
      </c>
      <c r="G8" s="1" t="s">
        <v>135</v>
      </c>
      <c r="J8" s="1" t="s">
        <v>226</v>
      </c>
    </row>
    <row r="10" spans="1:16" x14ac:dyDescent="0.2">
      <c r="F10" s="1" t="s">
        <v>62</v>
      </c>
    </row>
    <row r="11" spans="1:16" x14ac:dyDescent="0.2">
      <c r="F11" s="1" t="s">
        <v>63</v>
      </c>
      <c r="J11" s="37" t="s">
        <v>77</v>
      </c>
      <c r="K11" s="37" t="s">
        <v>232</v>
      </c>
    </row>
    <row r="12" spans="1:16" ht="19.5" x14ac:dyDescent="0.35">
      <c r="G12" s="9" t="s">
        <v>67</v>
      </c>
      <c r="J12" s="1">
        <v>2.0400000000000001E-2</v>
      </c>
      <c r="K12" s="43">
        <f>J12/J13</f>
        <v>0.17421007685738688</v>
      </c>
      <c r="L12" s="1" t="s">
        <v>69</v>
      </c>
      <c r="P12" s="1" t="s">
        <v>229</v>
      </c>
    </row>
    <row r="13" spans="1:16" ht="19.5" x14ac:dyDescent="0.35">
      <c r="G13" s="9" t="s">
        <v>68</v>
      </c>
      <c r="J13" s="1">
        <f xml:space="preserve"> 0.1171</f>
        <v>0.1171</v>
      </c>
      <c r="K13" s="43"/>
      <c r="L13" s="1" t="s">
        <v>70</v>
      </c>
      <c r="P13" s="1" t="s">
        <v>230</v>
      </c>
    </row>
    <row r="14" spans="1:16" ht="18" x14ac:dyDescent="0.2">
      <c r="G14" s="9"/>
      <c r="J14" s="1">
        <f>J13-J12</f>
        <v>9.6699999999999994E-2</v>
      </c>
      <c r="K14" s="43">
        <f>J14/J13</f>
        <v>0.82578992314261312</v>
      </c>
      <c r="L14" s="1" t="s">
        <v>233</v>
      </c>
      <c r="P14" s="1" t="s">
        <v>231</v>
      </c>
    </row>
    <row r="15" spans="1:16" ht="18" x14ac:dyDescent="0.2">
      <c r="B15" s="1" t="s">
        <v>234</v>
      </c>
      <c r="C15" s="1" t="s">
        <v>233</v>
      </c>
      <c r="F15" s="1" t="s">
        <v>235</v>
      </c>
      <c r="G15" s="1" t="s">
        <v>236</v>
      </c>
    </row>
    <row r="16" spans="1:16" x14ac:dyDescent="0.2">
      <c r="F16" s="1" t="s">
        <v>235</v>
      </c>
      <c r="G16" s="32">
        <f>(1-K14)^(-7/2)</f>
        <v>453.1516302718955</v>
      </c>
    </row>
    <row r="17" spans="2:14" ht="18" x14ac:dyDescent="0.2">
      <c r="B17" s="1" t="s">
        <v>237</v>
      </c>
      <c r="F17" s="1" t="s">
        <v>64</v>
      </c>
      <c r="G17" s="1" t="s">
        <v>227</v>
      </c>
    </row>
    <row r="18" spans="2:14" ht="18" x14ac:dyDescent="0.2">
      <c r="F18" s="1" t="s">
        <v>64</v>
      </c>
      <c r="G18" s="1" t="s">
        <v>228</v>
      </c>
    </row>
    <row r="19" spans="2:14" x14ac:dyDescent="0.2">
      <c r="F19" s="1" t="s">
        <v>64</v>
      </c>
      <c r="G19" s="32">
        <f>(J12/J13)^(-7/2)</f>
        <v>453.1516302718955</v>
      </c>
    </row>
    <row r="21" spans="2:14" x14ac:dyDescent="0.2">
      <c r="B21" s="1" t="s">
        <v>4</v>
      </c>
      <c r="G21" s="1" t="s">
        <v>136</v>
      </c>
    </row>
    <row r="23" spans="2:14" x14ac:dyDescent="0.2">
      <c r="B23" s="1" t="s">
        <v>28</v>
      </c>
      <c r="C23" s="1" t="s">
        <v>29</v>
      </c>
      <c r="D23" s="1" t="s">
        <v>30</v>
      </c>
      <c r="E23" s="1" t="s">
        <v>31</v>
      </c>
    </row>
    <row r="24" spans="2:14" x14ac:dyDescent="0.2">
      <c r="B24" s="1">
        <v>0</v>
      </c>
      <c r="C24" s="1">
        <v>42.9</v>
      </c>
      <c r="D24" s="1">
        <v>42.9</v>
      </c>
      <c r="E24" s="1">
        <v>49.5</v>
      </c>
    </row>
    <row r="25" spans="2:14" x14ac:dyDescent="0.2">
      <c r="B25" s="1">
        <v>0</v>
      </c>
      <c r="C25" s="1">
        <v>41.6</v>
      </c>
      <c r="D25" s="1">
        <v>41.6</v>
      </c>
      <c r="E25" s="1">
        <v>53.8</v>
      </c>
    </row>
    <row r="26" spans="2:14" x14ac:dyDescent="0.2">
      <c r="B26" s="1">
        <v>0</v>
      </c>
      <c r="C26" s="1">
        <v>28.9</v>
      </c>
      <c r="D26" s="1">
        <v>28.9</v>
      </c>
      <c r="E26" s="1">
        <v>40.700000000000003</v>
      </c>
    </row>
    <row r="27" spans="2:14" x14ac:dyDescent="0.2">
      <c r="B27" s="1">
        <v>0</v>
      </c>
      <c r="C27" s="1">
        <v>30.8</v>
      </c>
      <c r="D27" s="1">
        <v>30.8</v>
      </c>
      <c r="E27" s="1">
        <v>39.4</v>
      </c>
    </row>
    <row r="28" spans="2:14" x14ac:dyDescent="0.2">
      <c r="B28" s="1">
        <v>1</v>
      </c>
      <c r="C28" s="1">
        <v>49.5</v>
      </c>
    </row>
    <row r="29" spans="2:14" x14ac:dyDescent="0.2">
      <c r="B29" s="1">
        <v>1</v>
      </c>
      <c r="C29" s="1">
        <v>53.8</v>
      </c>
    </row>
    <row r="30" spans="2:14" x14ac:dyDescent="0.2">
      <c r="B30" s="1">
        <v>1</v>
      </c>
      <c r="C30" s="1">
        <v>40.700000000000003</v>
      </c>
    </row>
    <row r="31" spans="2:14" x14ac:dyDescent="0.2">
      <c r="B31" s="1">
        <v>1</v>
      </c>
      <c r="C31" s="1">
        <v>39.4</v>
      </c>
    </row>
    <row r="32" spans="2:14" x14ac:dyDescent="0.2">
      <c r="B32" s="1" t="s">
        <v>32</v>
      </c>
      <c r="C32" s="1">
        <f>AVERAGE(C24:C31)</f>
        <v>40.949999999999996</v>
      </c>
      <c r="D32" s="1">
        <f>AVERAGE(D24:D31)</f>
        <v>36.050000000000004</v>
      </c>
      <c r="E32" s="12">
        <f>AVERAGE(E24:E31)</f>
        <v>45.85</v>
      </c>
      <c r="F32" s="12"/>
      <c r="G32" s="1" t="s">
        <v>198</v>
      </c>
      <c r="J32" s="1" t="s">
        <v>51</v>
      </c>
      <c r="K32" s="1" t="s">
        <v>197</v>
      </c>
      <c r="N32" s="1" t="s">
        <v>210</v>
      </c>
    </row>
    <row r="33" spans="2:14" x14ac:dyDescent="0.2">
      <c r="B33" s="1" t="s">
        <v>33</v>
      </c>
      <c r="C33" s="5">
        <f>STDEV(C24:C31)</f>
        <v>8.3933647262925408</v>
      </c>
      <c r="D33" s="5">
        <f>STDEV(D24:D31)</f>
        <v>7.2205724611464372</v>
      </c>
      <c r="E33" s="5">
        <f>STDEV(E24:E31)</f>
        <v>6.9438221943441603</v>
      </c>
      <c r="G33" s="5">
        <f>(3*D33^2+3*E33^2)</f>
        <v>301.05999999999858</v>
      </c>
      <c r="J33" s="4">
        <f>(D32-E32)^2</f>
        <v>96.039999999999949</v>
      </c>
      <c r="K33" s="1">
        <f>J33*2</f>
        <v>192.0799999999999</v>
      </c>
      <c r="N33" s="5">
        <f>G33+K33</f>
        <v>493.13999999999851</v>
      </c>
    </row>
    <row r="35" spans="2:14" x14ac:dyDescent="0.2">
      <c r="B35" s="3" t="s">
        <v>75</v>
      </c>
      <c r="C35" s="3" t="s">
        <v>76</v>
      </c>
      <c r="D35" s="3" t="s">
        <v>77</v>
      </c>
      <c r="E35" s="1" t="s">
        <v>72</v>
      </c>
      <c r="F35" s="1" t="s">
        <v>138</v>
      </c>
    </row>
    <row r="36" spans="2:14" x14ac:dyDescent="0.2">
      <c r="B36" s="1" t="s">
        <v>137</v>
      </c>
      <c r="C36" s="36"/>
      <c r="D36" s="36"/>
      <c r="E36" s="36"/>
    </row>
    <row r="37" spans="2:14" x14ac:dyDescent="0.2">
      <c r="B37" s="1" t="s">
        <v>80</v>
      </c>
      <c r="C37" s="36"/>
      <c r="D37" s="36"/>
      <c r="E37" s="36"/>
      <c r="G37" s="1" t="s">
        <v>211</v>
      </c>
    </row>
    <row r="38" spans="2:14" x14ac:dyDescent="0.2">
      <c r="B38" s="1" t="s">
        <v>81</v>
      </c>
      <c r="C38" s="36"/>
      <c r="D38" s="36"/>
      <c r="E38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3" sqref="D13"/>
    </sheetView>
  </sheetViews>
  <sheetFormatPr defaultRowHeight="12.75" x14ac:dyDescent="0.2"/>
  <cols>
    <col min="1" max="1" width="3.28515625" customWidth="1"/>
    <col min="2" max="2" width="46" customWidth="1"/>
    <col min="3" max="3" width="5.140625" customWidth="1"/>
    <col min="4" max="4" width="48.7109375" customWidth="1"/>
  </cols>
  <sheetData>
    <row r="1" spans="1:4" ht="15" x14ac:dyDescent="0.2">
      <c r="A1" s="1" t="s">
        <v>139</v>
      </c>
      <c r="B1" s="1"/>
      <c r="C1" s="1" t="s">
        <v>140</v>
      </c>
    </row>
    <row r="2" spans="1:4" ht="15" x14ac:dyDescent="0.2">
      <c r="A2" s="1"/>
      <c r="B2" s="1"/>
      <c r="C2" s="1"/>
    </row>
    <row r="3" spans="1:4" ht="15" x14ac:dyDescent="0.2">
      <c r="A3" s="1"/>
      <c r="B3" s="1" t="s">
        <v>72</v>
      </c>
      <c r="C3" s="1"/>
      <c r="D3" s="1" t="s">
        <v>96</v>
      </c>
    </row>
    <row r="4" spans="1:4" ht="15" x14ac:dyDescent="0.2">
      <c r="A4" s="1"/>
      <c r="B4" s="1" t="s">
        <v>99</v>
      </c>
      <c r="C4" s="1"/>
      <c r="D4" s="1" t="s">
        <v>109</v>
      </c>
    </row>
    <row r="5" spans="1:4" ht="15" x14ac:dyDescent="0.2">
      <c r="A5" s="1"/>
      <c r="B5" s="1" t="s">
        <v>108</v>
      </c>
      <c r="C5" s="1"/>
      <c r="D5" s="1" t="s">
        <v>121</v>
      </c>
    </row>
    <row r="6" spans="1:4" ht="15" x14ac:dyDescent="0.2">
      <c r="B6" s="1" t="s">
        <v>98</v>
      </c>
      <c r="D6" s="1" t="s">
        <v>97</v>
      </c>
    </row>
    <row r="7" spans="1:4" ht="15" x14ac:dyDescent="0.2">
      <c r="B7" s="1" t="s">
        <v>100</v>
      </c>
      <c r="D7" s="1" t="s">
        <v>141</v>
      </c>
    </row>
    <row r="8" spans="1:4" ht="15" x14ac:dyDescent="0.2">
      <c r="B8" s="1" t="s">
        <v>122</v>
      </c>
      <c r="D8" s="1" t="s">
        <v>123</v>
      </c>
    </row>
    <row r="9" spans="1:4" ht="15" x14ac:dyDescent="0.2">
      <c r="B9" s="1" t="s">
        <v>112</v>
      </c>
      <c r="D9" s="1" t="s">
        <v>111</v>
      </c>
    </row>
    <row r="10" spans="1:4" ht="15" x14ac:dyDescent="0.2">
      <c r="B10" s="1" t="s">
        <v>113</v>
      </c>
      <c r="D10" s="1" t="s">
        <v>142</v>
      </c>
    </row>
    <row r="11" spans="1:4" ht="15" x14ac:dyDescent="0.2">
      <c r="B11" s="1" t="s">
        <v>106</v>
      </c>
      <c r="D11" s="1" t="s">
        <v>107</v>
      </c>
    </row>
    <row r="12" spans="1:4" ht="15" x14ac:dyDescent="0.2">
      <c r="B12" s="1" t="s">
        <v>14</v>
      </c>
      <c r="D12" s="1" t="s">
        <v>101</v>
      </c>
    </row>
    <row r="13" spans="1:4" ht="15" x14ac:dyDescent="0.2">
      <c r="B13" s="1" t="s">
        <v>102</v>
      </c>
      <c r="D13" s="1" t="s">
        <v>101</v>
      </c>
    </row>
    <row r="14" spans="1:4" ht="15" x14ac:dyDescent="0.2">
      <c r="B14" s="1" t="s">
        <v>104</v>
      </c>
      <c r="D14" s="1" t="s">
        <v>101</v>
      </c>
    </row>
    <row r="15" spans="1:4" ht="15" x14ac:dyDescent="0.2">
      <c r="B15" s="1" t="s">
        <v>103</v>
      </c>
      <c r="D15" s="1" t="s">
        <v>101</v>
      </c>
    </row>
    <row r="16" spans="1:4" ht="15" x14ac:dyDescent="0.2">
      <c r="B16" s="1" t="s">
        <v>105</v>
      </c>
      <c r="D16" s="1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workbookViewId="0">
      <selection activeCell="E13" sqref="E13"/>
    </sheetView>
  </sheetViews>
  <sheetFormatPr defaultRowHeight="12.75" x14ac:dyDescent="0.2"/>
  <cols>
    <col min="3" max="3" width="5.85546875" customWidth="1"/>
  </cols>
  <sheetData>
    <row r="1" spans="1:11" ht="15" x14ac:dyDescent="0.2">
      <c r="A1" s="1" t="s">
        <v>119</v>
      </c>
      <c r="C1" s="1" t="s">
        <v>90</v>
      </c>
    </row>
    <row r="2" spans="1:11" ht="15" x14ac:dyDescent="0.2">
      <c r="A2" s="1"/>
      <c r="C2" s="1" t="s">
        <v>117</v>
      </c>
    </row>
    <row r="3" spans="1:11" ht="15" x14ac:dyDescent="0.2">
      <c r="A3" s="1"/>
      <c r="C3" s="1" t="s">
        <v>91</v>
      </c>
    </row>
    <row r="4" spans="1:11" ht="15" x14ac:dyDescent="0.2">
      <c r="C4" s="1"/>
    </row>
    <row r="5" spans="1:11" ht="15" x14ac:dyDescent="0.2">
      <c r="A5" s="1" t="s">
        <v>92</v>
      </c>
    </row>
    <row r="6" spans="1:11" ht="15" x14ac:dyDescent="0.2">
      <c r="A6" s="1" t="s">
        <v>74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" x14ac:dyDescent="0.2">
      <c r="A8" s="1"/>
      <c r="B8" s="1" t="s">
        <v>118</v>
      </c>
      <c r="C8" s="1"/>
      <c r="D8" s="1"/>
      <c r="E8" s="1"/>
      <c r="F8" s="1"/>
      <c r="G8" s="1"/>
      <c r="H8" s="1"/>
      <c r="I8" s="1"/>
      <c r="J8" s="1"/>
      <c r="K8" s="1"/>
    </row>
    <row r="9" spans="1:11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" x14ac:dyDescent="0.2">
      <c r="A10" s="1"/>
      <c r="B10" s="1" t="s">
        <v>75</v>
      </c>
      <c r="C10" s="1" t="s">
        <v>76</v>
      </c>
      <c r="D10" s="1" t="s">
        <v>77</v>
      </c>
      <c r="E10" s="1" t="s">
        <v>72</v>
      </c>
      <c r="F10" s="1"/>
      <c r="G10" s="1"/>
      <c r="H10" s="1"/>
      <c r="I10" s="1"/>
      <c r="J10" s="1"/>
      <c r="K10" s="1"/>
    </row>
    <row r="11" spans="1:11" ht="15.75" thickBot="1" x14ac:dyDescent="0.25">
      <c r="A11" s="1"/>
      <c r="B11" s="1" t="s">
        <v>78</v>
      </c>
      <c r="C11" s="1">
        <v>1</v>
      </c>
      <c r="D11" s="1">
        <v>9.6487000000000003E-2</v>
      </c>
      <c r="E11" s="1"/>
      <c r="F11" s="1"/>
      <c r="G11" s="1"/>
      <c r="H11" s="1"/>
      <c r="I11" s="1"/>
      <c r="J11" s="1"/>
      <c r="K11" s="1"/>
    </row>
    <row r="12" spans="1:11" ht="15.75" thickBot="1" x14ac:dyDescent="0.25">
      <c r="A12" s="1"/>
      <c r="B12" s="1" t="s">
        <v>79</v>
      </c>
      <c r="C12" s="14">
        <v>0</v>
      </c>
      <c r="D12" s="1">
        <f>D11*0.006*C12</f>
        <v>0</v>
      </c>
      <c r="E12" s="1"/>
      <c r="F12" s="1"/>
      <c r="G12" s="1" t="s">
        <v>82</v>
      </c>
      <c r="H12" s="1"/>
      <c r="I12" s="1"/>
      <c r="J12" s="1"/>
      <c r="K12" s="1"/>
    </row>
    <row r="13" spans="1:11" ht="15" x14ac:dyDescent="0.2">
      <c r="A13" s="1"/>
      <c r="B13" s="1" t="s">
        <v>80</v>
      </c>
      <c r="C13" s="1">
        <f>C14-C11-C12</f>
        <v>5</v>
      </c>
      <c r="D13" s="1">
        <f>D14-D11-D12</f>
        <v>2.0598699999999998E-2</v>
      </c>
      <c r="E13" s="7">
        <f>(D13/D14)^((-7)/2)</f>
        <v>437.8487906813445</v>
      </c>
      <c r="F13" s="1"/>
      <c r="G13" s="1"/>
      <c r="H13" s="1"/>
      <c r="I13" s="1"/>
      <c r="J13" s="1"/>
      <c r="K13" s="1"/>
    </row>
    <row r="14" spans="1:11" ht="15" x14ac:dyDescent="0.2">
      <c r="A14" s="1"/>
      <c r="B14" s="1" t="s">
        <v>81</v>
      </c>
      <c r="C14" s="1">
        <v>6</v>
      </c>
      <c r="D14" s="1">
        <v>0.1170857</v>
      </c>
      <c r="E14" s="1"/>
      <c r="F14" s="1"/>
      <c r="G14" s="1"/>
      <c r="H14" s="1"/>
      <c r="I14" s="1"/>
      <c r="J14" s="1"/>
      <c r="K14" s="1"/>
    </row>
    <row r="15" spans="1:11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" x14ac:dyDescent="0.2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 ht="18" x14ac:dyDescent="0.2">
      <c r="A18" s="1"/>
      <c r="B18" s="1" t="s">
        <v>64</v>
      </c>
      <c r="C18" s="1" t="s">
        <v>66</v>
      </c>
      <c r="D18" s="1"/>
      <c r="E18" s="1"/>
      <c r="F18" s="1"/>
      <c r="G18" s="1"/>
      <c r="H18" s="1"/>
      <c r="I18" s="1"/>
      <c r="J18" s="1"/>
      <c r="K18" s="1"/>
    </row>
    <row r="19" spans="1:13" ht="18" x14ac:dyDescent="0.2">
      <c r="A19" s="1"/>
      <c r="B19" s="1" t="s">
        <v>64</v>
      </c>
      <c r="C19" s="1" t="s">
        <v>65</v>
      </c>
      <c r="D19" s="1"/>
      <c r="E19" s="1"/>
      <c r="F19" s="1"/>
      <c r="G19" s="1"/>
      <c r="H19" s="1"/>
      <c r="I19" s="1"/>
      <c r="J19" s="1"/>
      <c r="K19" s="1"/>
    </row>
    <row r="20" spans="1:13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ht="15" x14ac:dyDescent="0.2">
      <c r="A21" s="1"/>
      <c r="B21" s="24" t="s">
        <v>71</v>
      </c>
      <c r="C21" s="25" t="s">
        <v>72</v>
      </c>
      <c r="D21" s="1"/>
      <c r="E21" s="1"/>
      <c r="F21" s="1"/>
      <c r="G21" s="1"/>
      <c r="H21" s="1"/>
      <c r="I21" s="1"/>
      <c r="J21" s="1"/>
      <c r="K21" s="1"/>
    </row>
    <row r="22" spans="1:13" ht="15" x14ac:dyDescent="0.2">
      <c r="A22" s="1"/>
      <c r="B22" s="26">
        <v>7</v>
      </c>
      <c r="C22" s="27">
        <f>(0.0204/0.1171)^(-B22/2)</f>
        <v>453.1516302718955</v>
      </c>
      <c r="D22" s="1"/>
      <c r="E22" s="1"/>
      <c r="F22" s="1"/>
      <c r="G22" s="1"/>
      <c r="H22" s="1"/>
      <c r="I22" s="1"/>
      <c r="J22" s="1"/>
      <c r="K22" s="1"/>
    </row>
    <row r="23" spans="1:13" ht="15" x14ac:dyDescent="0.2">
      <c r="A23" s="1"/>
      <c r="B23" s="26">
        <v>8</v>
      </c>
      <c r="C23" s="28"/>
      <c r="D23" s="1" t="s">
        <v>115</v>
      </c>
      <c r="E23" s="1"/>
      <c r="F23" s="1"/>
      <c r="G23" s="1"/>
      <c r="H23" s="1"/>
      <c r="I23" s="1"/>
      <c r="J23" s="1"/>
      <c r="K23" s="1"/>
    </row>
    <row r="24" spans="1:13" ht="15" x14ac:dyDescent="0.2">
      <c r="A24" s="1"/>
      <c r="B24" s="26"/>
      <c r="C24" s="28"/>
      <c r="D24" s="1" t="s">
        <v>115</v>
      </c>
      <c r="E24" s="1"/>
      <c r="F24" s="1"/>
      <c r="G24" s="1"/>
      <c r="H24" s="1"/>
      <c r="I24" s="1"/>
      <c r="J24" s="1"/>
      <c r="K24" s="1"/>
    </row>
    <row r="25" spans="1:13" ht="15" x14ac:dyDescent="0.2">
      <c r="A25" s="1"/>
      <c r="B25" s="26"/>
      <c r="C25" s="28"/>
      <c r="D25" s="1"/>
      <c r="E25" s="1"/>
      <c r="F25" s="1"/>
      <c r="G25" s="1"/>
      <c r="H25" s="1"/>
      <c r="I25" s="1"/>
      <c r="J25" s="1"/>
      <c r="K25" s="1"/>
    </row>
    <row r="26" spans="1:13" ht="15" x14ac:dyDescent="0.2">
      <c r="A26" s="1"/>
      <c r="B26" s="26"/>
      <c r="C26" s="28"/>
      <c r="D26" s="1"/>
      <c r="E26" s="1"/>
      <c r="F26" s="1"/>
      <c r="G26" s="1"/>
      <c r="H26" s="1"/>
      <c r="I26" s="1"/>
      <c r="J26" s="1"/>
      <c r="K26" s="1"/>
    </row>
    <row r="27" spans="1:13" x14ac:dyDescent="0.2">
      <c r="B27" s="29"/>
      <c r="C27" s="30"/>
    </row>
    <row r="28" spans="1:13" ht="15" x14ac:dyDescent="0.2">
      <c r="A28" s="1" t="s">
        <v>83</v>
      </c>
      <c r="C28" s="1"/>
      <c r="D28" s="1"/>
      <c r="E28" s="1"/>
      <c r="F28" s="1"/>
      <c r="G28" s="1"/>
      <c r="H28" s="1"/>
      <c r="I28" s="1"/>
      <c r="J28" s="1"/>
      <c r="K28" s="1"/>
    </row>
    <row r="29" spans="1:13" ht="15" x14ac:dyDescent="0.2">
      <c r="A29" s="1"/>
      <c r="B29" s="1" t="s">
        <v>85</v>
      </c>
      <c r="C29" s="1"/>
      <c r="D29" s="1"/>
      <c r="E29" s="1"/>
      <c r="F29" s="1"/>
      <c r="G29" s="1"/>
      <c r="H29" s="1" t="s">
        <v>84</v>
      </c>
      <c r="I29" s="1"/>
      <c r="J29" s="1"/>
      <c r="K29" s="1"/>
      <c r="L29" s="1" t="s">
        <v>88</v>
      </c>
      <c r="M29" s="1"/>
    </row>
    <row r="30" spans="1:13" ht="15" x14ac:dyDescent="0.2">
      <c r="A30" s="1"/>
      <c r="B30" s="1" t="s">
        <v>116</v>
      </c>
      <c r="C30" s="1"/>
      <c r="D30" s="1"/>
      <c r="E30" s="1"/>
      <c r="F30" s="1"/>
      <c r="G30" s="1"/>
      <c r="H30" s="1" t="s">
        <v>86</v>
      </c>
      <c r="I30" s="1"/>
      <c r="J30" s="1"/>
      <c r="K30" s="1"/>
      <c r="L30" s="1" t="s">
        <v>87</v>
      </c>
      <c r="M30" s="1"/>
    </row>
    <row r="31" spans="1:13" ht="15" x14ac:dyDescent="0.2">
      <c r="A31" s="1"/>
      <c r="B31" s="1"/>
      <c r="C31" s="2"/>
      <c r="D31" s="2"/>
      <c r="E31" s="2"/>
      <c r="F31" s="2"/>
      <c r="G31" s="1"/>
      <c r="H31" s="1"/>
      <c r="I31" s="1"/>
      <c r="J31" s="1"/>
      <c r="K31" s="1"/>
    </row>
    <row r="32" spans="1:13" ht="15" x14ac:dyDescent="0.2">
      <c r="A32" s="1"/>
      <c r="B32" s="1" t="s">
        <v>75</v>
      </c>
      <c r="C32" s="2" t="s">
        <v>76</v>
      </c>
      <c r="D32" s="2" t="s">
        <v>77</v>
      </c>
      <c r="E32" s="2" t="s">
        <v>72</v>
      </c>
      <c r="F32" s="2" t="s">
        <v>8</v>
      </c>
      <c r="G32" s="1"/>
      <c r="H32" s="1"/>
      <c r="I32" s="1"/>
      <c r="J32" s="1"/>
      <c r="K32" s="1"/>
    </row>
    <row r="33" spans="1:11" ht="15.75" thickBot="1" x14ac:dyDescent="0.25">
      <c r="A33" s="1"/>
      <c r="B33" s="1" t="s">
        <v>78</v>
      </c>
      <c r="C33" s="1">
        <v>1</v>
      </c>
      <c r="D33" s="1">
        <v>9.6487000000000003E-2</v>
      </c>
      <c r="E33" s="1"/>
      <c r="F33" s="1"/>
      <c r="G33" s="1"/>
      <c r="H33" s="1"/>
      <c r="I33" s="1"/>
      <c r="J33" s="1"/>
      <c r="K33" s="1"/>
    </row>
    <row r="34" spans="1:11" ht="15.75" thickBot="1" x14ac:dyDescent="0.25">
      <c r="A34" s="1"/>
      <c r="B34" s="1" t="s">
        <v>79</v>
      </c>
      <c r="C34" s="14">
        <v>0</v>
      </c>
      <c r="D34" s="1">
        <f>D33*0.009*C34</f>
        <v>0</v>
      </c>
      <c r="E34" s="1"/>
      <c r="F34" s="1"/>
      <c r="G34" s="1" t="s">
        <v>82</v>
      </c>
      <c r="H34" s="1"/>
      <c r="I34" s="1"/>
      <c r="J34" s="1"/>
      <c r="K34" s="1"/>
    </row>
    <row r="35" spans="1:11" ht="15" x14ac:dyDescent="0.2">
      <c r="A35" s="1"/>
      <c r="B35" s="1" t="s">
        <v>80</v>
      </c>
      <c r="C35" s="1">
        <f>C36-C33-C34</f>
        <v>5</v>
      </c>
      <c r="D35" s="1">
        <f>D36-D33-D34</f>
        <v>2.0598699999999998E-2</v>
      </c>
      <c r="E35" s="1">
        <f>(D35/D36)^((-7)/2)</f>
        <v>437.8487906813445</v>
      </c>
      <c r="F35" s="7">
        <f>2*LN(E35)-2*C34</f>
        <v>12.163747248034101</v>
      </c>
      <c r="G35" s="1"/>
      <c r="H35" s="1"/>
      <c r="I35" s="1"/>
      <c r="J35" s="1"/>
      <c r="K35" s="1"/>
    </row>
    <row r="36" spans="1:11" ht="15" x14ac:dyDescent="0.2">
      <c r="A36" s="1"/>
      <c r="B36" s="1" t="s">
        <v>81</v>
      </c>
      <c r="C36" s="1">
        <v>6</v>
      </c>
      <c r="D36" s="1">
        <v>0.1170857</v>
      </c>
      <c r="E36" s="1"/>
      <c r="F36" s="1"/>
      <c r="G36" s="1"/>
      <c r="H36" s="1"/>
      <c r="I36" s="1"/>
      <c r="J36" s="1"/>
      <c r="K36" s="1"/>
    </row>
    <row r="37" spans="1:11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Y~Binomial</vt:lpstr>
      <vt:lpstr>Y~Normal</vt:lpstr>
      <vt:lpstr>Y~Normal (2)</vt:lpstr>
      <vt:lpstr>ML</vt:lpstr>
      <vt:lpstr>3Modes</vt:lpstr>
      <vt:lpstr>LR</vt:lpstr>
      <vt:lpstr>Comparison</vt:lpstr>
      <vt:lpstr>AIC</vt:lpstr>
      <vt:lpstr>SIC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Schneider, David Clayton</cp:lastModifiedBy>
  <cp:lastPrinted>2017-11-26T18:03:07Z</cp:lastPrinted>
  <dcterms:created xsi:type="dcterms:W3CDTF">2017-11-26T17:59:31Z</dcterms:created>
  <dcterms:modified xsi:type="dcterms:W3CDTF">2021-02-09T06:06:37Z</dcterms:modified>
</cp:coreProperties>
</file>