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c_c\Downloads\"/>
    </mc:Choice>
  </mc:AlternateContent>
  <xr:revisionPtr revIDLastSave="0" documentId="13_ncr:1_{21BD1D97-276D-4A38-96FC-B1432C51EDF1}" xr6:coauthVersionLast="45" xr6:coauthVersionMax="45" xr10:uidLastSave="{00000000-0000-0000-0000-000000000000}"/>
  <bookViews>
    <workbookView xWindow="-120" yWindow="-120" windowWidth="29040" windowHeight="16440" xr2:uid="{0BF097C5-080B-4589-B22F-6E3EADC05A76}"/>
  </bookViews>
  <sheets>
    <sheet name="Ingreso" sheetId="5" r:id="rId1"/>
    <sheet name="Lista de Precios" sheetId="2" r:id="rId2"/>
    <sheet name="Resumen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1" i="3" l="1"/>
  <c r="B17" i="3"/>
  <c r="K22" i="5"/>
  <c r="C11" i="3" s="1"/>
  <c r="K14" i="3" s="1"/>
  <c r="K12" i="3"/>
  <c r="K11" i="3"/>
  <c r="C13" i="3"/>
  <c r="C12" i="3"/>
  <c r="T8" i="5"/>
  <c r="D8" i="3" s="1"/>
  <c r="T9" i="5"/>
  <c r="E8" i="3" s="1"/>
  <c r="T10" i="5"/>
  <c r="F8" i="3" s="1"/>
  <c r="T11" i="5"/>
  <c r="G8" i="3" s="1"/>
  <c r="T12" i="5"/>
  <c r="H8" i="3" s="1"/>
  <c r="T13" i="5"/>
  <c r="I8" i="3" s="1"/>
  <c r="T7" i="5"/>
  <c r="C8" i="3" s="1"/>
  <c r="I7" i="3"/>
  <c r="H7" i="3"/>
  <c r="G7" i="3"/>
  <c r="F7" i="3"/>
  <c r="E7" i="3"/>
  <c r="D7" i="3"/>
  <c r="C7" i="3"/>
  <c r="I6" i="3"/>
  <c r="H6" i="3"/>
  <c r="G6" i="3"/>
  <c r="F6" i="3"/>
  <c r="E6" i="3"/>
  <c r="D6" i="3"/>
  <c r="C6" i="3"/>
  <c r="R8" i="5"/>
  <c r="R9" i="5"/>
  <c r="R10" i="5"/>
  <c r="R11" i="5"/>
  <c r="R12" i="5"/>
  <c r="R13" i="5"/>
  <c r="R7" i="5"/>
  <c r="Q8" i="5"/>
  <c r="Q9" i="5"/>
  <c r="Q10" i="5"/>
  <c r="Q11" i="5"/>
  <c r="Q12" i="5"/>
  <c r="Q13" i="5"/>
  <c r="Q7" i="5"/>
  <c r="E5" i="3"/>
  <c r="O8" i="5"/>
  <c r="D5" i="3" s="1"/>
  <c r="O9" i="5"/>
  <c r="O10" i="5"/>
  <c r="F5" i="3" s="1"/>
  <c r="O11" i="5"/>
  <c r="G5" i="3" s="1"/>
  <c r="O7" i="5"/>
  <c r="C5" i="3" s="1"/>
  <c r="I2" i="3"/>
  <c r="C2" i="3"/>
  <c r="J8" i="5"/>
  <c r="K8" i="5" s="1"/>
  <c r="N8" i="5" s="1"/>
  <c r="U8" i="5" s="1"/>
  <c r="J9" i="5"/>
  <c r="K9" i="5" s="1"/>
  <c r="L9" i="5" s="1"/>
  <c r="J10" i="5"/>
  <c r="K10" i="5" s="1"/>
  <c r="N10" i="5" s="1"/>
  <c r="U10" i="5" s="1"/>
  <c r="J11" i="5"/>
  <c r="K11" i="5" s="1"/>
  <c r="G4" i="3" s="1"/>
  <c r="J12" i="5"/>
  <c r="K12" i="5" s="1"/>
  <c r="H4" i="3" s="1"/>
  <c r="J13" i="5"/>
  <c r="K13" i="5" s="1"/>
  <c r="N13" i="5" s="1"/>
  <c r="J7" i="5"/>
  <c r="K7" i="5" s="1"/>
  <c r="C4" i="3" s="1"/>
  <c r="M10" i="5" l="1"/>
  <c r="L10" i="5"/>
  <c r="M13" i="5"/>
  <c r="M9" i="5"/>
  <c r="L13" i="5"/>
  <c r="M12" i="5"/>
  <c r="O12" i="5" s="1"/>
  <c r="H5" i="3" s="1"/>
  <c r="M8" i="5"/>
  <c r="L12" i="5"/>
  <c r="L8" i="5"/>
  <c r="M11" i="5"/>
  <c r="M7" i="5"/>
  <c r="L11" i="5"/>
  <c r="L7" i="5"/>
  <c r="I4" i="3"/>
  <c r="R14" i="5"/>
  <c r="K7" i="3" s="1"/>
  <c r="N9" i="5"/>
  <c r="U9" i="5" s="1"/>
  <c r="E4" i="3"/>
  <c r="N7" i="5"/>
  <c r="U7" i="5" s="1"/>
  <c r="N11" i="5"/>
  <c r="U11" i="5" s="1"/>
  <c r="D4" i="3"/>
  <c r="F4" i="3"/>
  <c r="N12" i="5"/>
  <c r="Q14" i="5"/>
  <c r="K6" i="3" s="1"/>
  <c r="U12" i="5" l="1"/>
  <c r="O13" i="5"/>
  <c r="N14" i="5"/>
  <c r="K4" i="3" s="1"/>
  <c r="I5" i="3" l="1"/>
  <c r="U13" i="5"/>
  <c r="U14" i="5" s="1"/>
  <c r="K8" i="3" s="1"/>
  <c r="O14" i="5"/>
  <c r="K5" i="3" s="1"/>
  <c r="K9" i="3" s="1"/>
</calcChain>
</file>

<file path=xl/sharedStrings.xml><?xml version="1.0" encoding="utf-8"?>
<sst xmlns="http://schemas.openxmlformats.org/spreadsheetml/2006/main" count="80" uniqueCount="58">
  <si>
    <t>INGRESOS</t>
  </si>
  <si>
    <t>Horas Cancha</t>
  </si>
  <si>
    <t>Diurno</t>
  </si>
  <si>
    <t>Nocturno</t>
  </si>
  <si>
    <t>Vestuario</t>
  </si>
  <si>
    <t>No</t>
  </si>
  <si>
    <t>Bàsico</t>
  </si>
  <si>
    <t>Confort</t>
  </si>
  <si>
    <t>Premium</t>
  </si>
  <si>
    <t>Refrigerio</t>
  </si>
  <si>
    <t>Minimo</t>
  </si>
  <si>
    <t>Abundante</t>
  </si>
  <si>
    <t>Completo</t>
  </si>
  <si>
    <t>Descuentos</t>
  </si>
  <si>
    <t>1 a 10</t>
  </si>
  <si>
    <t>11 a 15</t>
  </si>
  <si>
    <t>16 o +</t>
  </si>
  <si>
    <t>COSTOS</t>
  </si>
  <si>
    <t>Riego de Cancha</t>
  </si>
  <si>
    <t>Limpieza de Vestuarios</t>
  </si>
  <si>
    <t>Reparacion de Redes</t>
  </si>
  <si>
    <t>Inflar Pelotas</t>
  </si>
  <si>
    <t>Normal</t>
  </si>
  <si>
    <t>Domingo</t>
  </si>
  <si>
    <t>Feriado</t>
  </si>
  <si>
    <t>Encargado</t>
  </si>
  <si>
    <t>Fecha</t>
  </si>
  <si>
    <t>Horario</t>
  </si>
  <si>
    <t>Extras</t>
  </si>
  <si>
    <t>Desde</t>
  </si>
  <si>
    <t>Hasta</t>
  </si>
  <si>
    <t>Personas</t>
  </si>
  <si>
    <t>Turno 1</t>
  </si>
  <si>
    <t>Turno 2</t>
  </si>
  <si>
    <t>Turno 3</t>
  </si>
  <si>
    <t>Turno 4</t>
  </si>
  <si>
    <t>Turno 5</t>
  </si>
  <si>
    <t>Turno 6</t>
  </si>
  <si>
    <t>Turno 7</t>
  </si>
  <si>
    <t>Adicionales Diarios</t>
  </si>
  <si>
    <t>Observaciones</t>
  </si>
  <si>
    <t>resta</t>
  </si>
  <si>
    <t>final</t>
  </si>
  <si>
    <t>Hora fraccionada</t>
  </si>
  <si>
    <t>Horas</t>
  </si>
  <si>
    <t>Minutos</t>
  </si>
  <si>
    <t>Totales</t>
  </si>
  <si>
    <t>David</t>
  </si>
  <si>
    <t>Luz fraccion</t>
  </si>
  <si>
    <t>Extra Luz</t>
  </si>
  <si>
    <t>Descuento %</t>
  </si>
  <si>
    <t>Descuento $</t>
  </si>
  <si>
    <t>Riego</t>
  </si>
  <si>
    <t>Limpieza</t>
  </si>
  <si>
    <t>Redes</t>
  </si>
  <si>
    <t>Pelotas</t>
  </si>
  <si>
    <t>Jornada</t>
  </si>
  <si>
    <t>El dia de hoy se ha danado el motor de la heladera, el tecnico vendra manana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</si>
</sst>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* #,##0.00_-;\-&quot;$&quot;* #,##0.00_-;_-&quot;$&quot;* &quot;-&quot;??_-;_-@_-"/>
    <numFmt numFmtId="164" formatCode="_-&quot;$&quot;\ * #,##0.00_-;\-&quot;$&quot;\ * #,##0.00_-;_-&quot;$&quot;\ * &quot;-&quot;??_-;_-@_-"/>
    <numFmt numFmtId="168" formatCode="dddd\ dd\ mmmm\ yyyy"/>
    <numFmt numFmtId="170" formatCode="[hh]:mm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9" tint="-0.249977111117893"/>
      <name val="Calibri"/>
      <family val="2"/>
      <scheme val="minor"/>
    </font>
    <font>
      <b/>
      <sz val="18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name val="Segoe UI"/>
      <family val="2"/>
    </font>
    <font>
      <sz val="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8">
    <xf numFmtId="0" fontId="0" fillId="0" borderId="0" xfId="0"/>
    <xf numFmtId="0" fontId="2" fillId="2" borderId="1" xfId="0" applyFont="1" applyFill="1" applyBorder="1"/>
    <xf numFmtId="164" fontId="0" fillId="0" borderId="1" xfId="1" applyFont="1" applyBorder="1"/>
    <xf numFmtId="0" fontId="0" fillId="3" borderId="1" xfId="0" applyFill="1" applyBorder="1"/>
    <xf numFmtId="0" fontId="2" fillId="3" borderId="1" xfId="0" applyFont="1" applyFill="1" applyBorder="1"/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4" borderId="2" xfId="0" applyFill="1" applyBorder="1"/>
    <xf numFmtId="0" fontId="0" fillId="0" borderId="3" xfId="0" applyBorder="1" applyAlignment="1">
      <alignment horizontal="center"/>
    </xf>
    <xf numFmtId="14" fontId="0" fillId="0" borderId="0" xfId="0" applyNumberFormat="1"/>
    <xf numFmtId="0" fontId="0" fillId="5" borderId="1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4" borderId="1" xfId="0" applyFill="1" applyBorder="1"/>
    <xf numFmtId="0" fontId="0" fillId="4" borderId="4" xfId="0" applyFill="1" applyBorder="1"/>
    <xf numFmtId="0" fontId="0" fillId="4" borderId="3" xfId="0" applyFill="1" applyBorder="1" applyAlignment="1">
      <alignment vertical="center"/>
    </xf>
    <xf numFmtId="20" fontId="0" fillId="0" borderId="5" xfId="0" applyNumberFormat="1" applyBorder="1"/>
    <xf numFmtId="20" fontId="0" fillId="0" borderId="1" xfId="0" applyNumberFormat="1" applyBorder="1"/>
    <xf numFmtId="0" fontId="0" fillId="0" borderId="1" xfId="0" applyBorder="1"/>
    <xf numFmtId="0" fontId="0" fillId="5" borderId="3" xfId="0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/>
    </xf>
    <xf numFmtId="0" fontId="0" fillId="0" borderId="3" xfId="0" applyBorder="1" applyAlignment="1">
      <alignment horizontal="left" vertical="top"/>
    </xf>
    <xf numFmtId="0" fontId="0" fillId="0" borderId="0" xfId="0" applyAlignment="1">
      <alignment horizontal="center"/>
    </xf>
    <xf numFmtId="168" fontId="0" fillId="0" borderId="3" xfId="0" applyNumberFormat="1" applyBorder="1" applyAlignment="1">
      <alignment horizontal="center"/>
    </xf>
    <xf numFmtId="0" fontId="0" fillId="4" borderId="0" xfId="0" applyFill="1" applyBorder="1"/>
    <xf numFmtId="20" fontId="0" fillId="0" borderId="0" xfId="0" applyNumberFormat="1"/>
    <xf numFmtId="22" fontId="0" fillId="0" borderId="0" xfId="0" applyNumberFormat="1"/>
    <xf numFmtId="170" fontId="0" fillId="0" borderId="0" xfId="0" applyNumberFormat="1"/>
    <xf numFmtId="0" fontId="0" fillId="0" borderId="0" xfId="0" applyNumberFormat="1"/>
    <xf numFmtId="164" fontId="0" fillId="0" borderId="0" xfId="1" applyFont="1"/>
    <xf numFmtId="14" fontId="0" fillId="0" borderId="0" xfId="0" applyNumberFormat="1" applyAlignment="1">
      <alignment horizontal="center"/>
    </xf>
    <xf numFmtId="20" fontId="7" fillId="0" borderId="0" xfId="0" applyNumberFormat="1" applyFont="1"/>
    <xf numFmtId="0" fontId="7" fillId="0" borderId="0" xfId="0" applyFont="1"/>
    <xf numFmtId="164" fontId="7" fillId="0" borderId="0" xfId="1" applyFont="1"/>
    <xf numFmtId="0" fontId="0" fillId="0" borderId="1" xfId="1" applyNumberFormat="1" applyFont="1" applyBorder="1"/>
    <xf numFmtId="44" fontId="0" fillId="0" borderId="0" xfId="1" applyNumberFormat="1" applyFont="1"/>
    <xf numFmtId="164" fontId="2" fillId="0" borderId="0" xfId="0" applyNumberFormat="1" applyFont="1"/>
    <xf numFmtId="0" fontId="2" fillId="0" borderId="0" xfId="0" applyFont="1"/>
    <xf numFmtId="44" fontId="2" fillId="0" borderId="0" xfId="0" applyNumberFormat="1" applyFont="1"/>
    <xf numFmtId="0" fontId="9" fillId="0" borderId="0" xfId="0" applyNumberFormat="1" applyFont="1"/>
    <xf numFmtId="0" fontId="0" fillId="3" borderId="0" xfId="0" applyFill="1"/>
    <xf numFmtId="164" fontId="6" fillId="0" borderId="0" xfId="1" applyFont="1"/>
    <xf numFmtId="164" fontId="0" fillId="0" borderId="0" xfId="1" applyFont="1" applyAlignment="1">
      <alignment horizontal="center"/>
    </xf>
    <xf numFmtId="164" fontId="0" fillId="0" borderId="0" xfId="1" applyFont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</cellXfs>
  <cellStyles count="2">
    <cellStyle name="Moneda" xfId="1" builtinId="4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ctrlProps/ctrlProp1.xml><?xml version="1.0" encoding="utf-8"?>
<formControlPr xmlns="http://schemas.microsoft.com/office/spreadsheetml/2009/9/main" objectType="CheckBox" checked="Checked" fmlaLink="$K$17" lockText="1" noThreeD="1"/>
</file>

<file path=xl/ctrlProps/ctrlProp2.xml><?xml version="1.0" encoding="utf-8"?>
<formControlPr xmlns="http://schemas.microsoft.com/office/spreadsheetml/2009/9/main" objectType="CheckBox" checked="Checked" fmlaLink="$K$18" lockText="1" noThreeD="1"/>
</file>

<file path=xl/ctrlProps/ctrlProp3.xml><?xml version="1.0" encoding="utf-8"?>
<formControlPr xmlns="http://schemas.microsoft.com/office/spreadsheetml/2009/9/main" objectType="CheckBox" checked="Checked" fmlaLink="$K$19" lockText="1" noThreeD="1"/>
</file>

<file path=xl/ctrlProps/ctrlProp4.xml><?xml version="1.0" encoding="utf-8"?>
<formControlPr xmlns="http://schemas.microsoft.com/office/spreadsheetml/2009/9/main" objectType="CheckBox" checked="Checked" fmlaLink="$K$20" lockText="1" noThreeD="1"/>
</file>

<file path=xl/ctrlProps/ctrlProp5.xml><?xml version="1.0" encoding="utf-8"?>
<formControlPr xmlns="http://schemas.microsoft.com/office/spreadsheetml/2009/9/main" objectType="GBox" noThreeD="1"/>
</file>

<file path=xl/ctrlProps/ctrlProp6.xml><?xml version="1.0" encoding="utf-8"?>
<formControlPr xmlns="http://schemas.microsoft.com/office/spreadsheetml/2009/9/main" objectType="Radio" firstButton="1" fmlaLink="$K$21" lockText="1" noThreeD="1"/>
</file>

<file path=xl/ctrlProps/ctrlProp7.xml><?xml version="1.0" encoding="utf-8"?>
<formControlPr xmlns="http://schemas.microsoft.com/office/spreadsheetml/2009/9/main" objectType="Radio" checked="Checked" lockText="1" noThreeD="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15</xdr:row>
          <xdr:rowOff>61913</xdr:rowOff>
        </xdr:from>
        <xdr:to>
          <xdr:col>2</xdr:col>
          <xdr:colOff>390525</xdr:colOff>
          <xdr:row>16</xdr:row>
          <xdr:rowOff>90488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MX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Reigo de canchas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485775</xdr:colOff>
          <xdr:row>15</xdr:row>
          <xdr:rowOff>61913</xdr:rowOff>
        </xdr:from>
        <xdr:to>
          <xdr:col>4</xdr:col>
          <xdr:colOff>95250</xdr:colOff>
          <xdr:row>16</xdr:row>
          <xdr:rowOff>90488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C26A5212-EAD3-4A88-B59F-CAF5BF425C9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MX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Limpieza vestuario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190500</xdr:colOff>
          <xdr:row>15</xdr:row>
          <xdr:rowOff>61913</xdr:rowOff>
        </xdr:from>
        <xdr:to>
          <xdr:col>5</xdr:col>
          <xdr:colOff>561975</xdr:colOff>
          <xdr:row>16</xdr:row>
          <xdr:rowOff>90488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4BE5FF26-72D5-4BE2-87C2-360BFB5E0DA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MX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Reapracion de redes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657225</xdr:colOff>
          <xdr:row>15</xdr:row>
          <xdr:rowOff>61913</xdr:rowOff>
        </xdr:from>
        <xdr:to>
          <xdr:col>7</xdr:col>
          <xdr:colOff>266700</xdr:colOff>
          <xdr:row>16</xdr:row>
          <xdr:rowOff>90488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7541E4F0-B1CA-48F4-9B05-F35BB103731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MX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Inflar pelotas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28575</xdr:colOff>
          <xdr:row>17</xdr:row>
          <xdr:rowOff>28575</xdr:rowOff>
        </xdr:from>
        <xdr:to>
          <xdr:col>3</xdr:col>
          <xdr:colOff>733425</xdr:colOff>
          <xdr:row>21</xdr:row>
          <xdr:rowOff>161925</xdr:rowOff>
        </xdr:to>
        <xdr:sp macro="" textlink="">
          <xdr:nvSpPr>
            <xdr:cNvPr id="1041" name="Group Box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s-MX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Tipo de jornada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200025</xdr:colOff>
          <xdr:row>18</xdr:row>
          <xdr:rowOff>28575</xdr:rowOff>
        </xdr:from>
        <xdr:to>
          <xdr:col>3</xdr:col>
          <xdr:colOff>419100</xdr:colOff>
          <xdr:row>19</xdr:row>
          <xdr:rowOff>57150</xdr:rowOff>
        </xdr:to>
        <xdr:sp macro="" textlink="">
          <xdr:nvSpPr>
            <xdr:cNvPr id="1042" name="Option Button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0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MX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Jornada Normal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200025</xdr:colOff>
          <xdr:row>20</xdr:row>
          <xdr:rowOff>19050</xdr:rowOff>
        </xdr:from>
        <xdr:to>
          <xdr:col>3</xdr:col>
          <xdr:colOff>447675</xdr:colOff>
          <xdr:row>21</xdr:row>
          <xdr:rowOff>47625</xdr:rowOff>
        </xdr:to>
        <xdr:sp macro="" textlink="">
          <xdr:nvSpPr>
            <xdr:cNvPr id="1043" name="Option Button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0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MX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Jornada feriada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19051</xdr:colOff>
          <xdr:row>17</xdr:row>
          <xdr:rowOff>190499</xdr:rowOff>
        </xdr:from>
        <xdr:to>
          <xdr:col>6</xdr:col>
          <xdr:colOff>742951</xdr:colOff>
          <xdr:row>21</xdr:row>
          <xdr:rowOff>161924</xdr:rowOff>
        </xdr:to>
        <xdr:sp macro="" textlink="">
          <xdr:nvSpPr>
            <xdr:cNvPr id="1044" name="TextBox1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0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2.xml"/><Relationship Id="rId12" Type="http://schemas.openxmlformats.org/officeDocument/2006/relationships/ctrlProp" Target="../ctrlProps/ctrlProp7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1.xml"/><Relationship Id="rId11" Type="http://schemas.openxmlformats.org/officeDocument/2006/relationships/ctrlProp" Target="../ctrlProps/ctrlProp6.xml"/><Relationship Id="rId5" Type="http://schemas.openxmlformats.org/officeDocument/2006/relationships/image" Target="../media/image1.emf"/><Relationship Id="rId10" Type="http://schemas.openxmlformats.org/officeDocument/2006/relationships/ctrlProp" Target="../ctrlProps/ctrlProp5.xml"/><Relationship Id="rId4" Type="http://schemas.openxmlformats.org/officeDocument/2006/relationships/control" Target="../activeX/activeX1.xml"/><Relationship Id="rId9" Type="http://schemas.openxmlformats.org/officeDocument/2006/relationships/ctrlProp" Target="../ctrlProps/ctrlProp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715A4-F8D1-4138-BB4F-E145411D5379}">
  <sheetPr codeName="Hoja1"/>
  <dimension ref="B1:U23"/>
  <sheetViews>
    <sheetView showGridLines="0" tabSelected="1" workbookViewId="0">
      <selection activeCell="E7" sqref="E7"/>
    </sheetView>
  </sheetViews>
  <sheetFormatPr baseColWidth="10" defaultColWidth="0" defaultRowHeight="15" zeroHeight="1" x14ac:dyDescent="0.25"/>
  <cols>
    <col min="1" max="1" width="2.140625" customWidth="1"/>
    <col min="2" max="9" width="11.42578125" customWidth="1"/>
    <col min="10" max="10" width="11.42578125" hidden="1"/>
    <col min="11" max="11" width="15.7109375" hidden="1"/>
    <col min="12" max="13" width="11.42578125" hidden="1"/>
    <col min="14" max="15" width="12" hidden="1"/>
    <col min="22" max="16384" width="11.42578125" hidden="1"/>
  </cols>
  <sheetData>
    <row r="1" spans="2:21" x14ac:dyDescent="0.25"/>
    <row r="2" spans="2:21" x14ac:dyDescent="0.25">
      <c r="B2" s="9" t="s">
        <v>25</v>
      </c>
      <c r="C2" s="10" t="s">
        <v>47</v>
      </c>
      <c r="D2" s="10"/>
    </row>
    <row r="3" spans="2:21" x14ac:dyDescent="0.25">
      <c r="B3" s="9" t="s">
        <v>26</v>
      </c>
      <c r="C3" s="25">
        <v>44374</v>
      </c>
      <c r="D3" s="25"/>
      <c r="F3" s="11"/>
    </row>
    <row r="4" spans="2:21" x14ac:dyDescent="0.25"/>
    <row r="5" spans="2:21" x14ac:dyDescent="0.25">
      <c r="C5" s="12" t="s">
        <v>27</v>
      </c>
      <c r="D5" s="13"/>
      <c r="E5" s="14" t="s">
        <v>28</v>
      </c>
      <c r="F5" s="14"/>
      <c r="G5" s="14"/>
    </row>
    <row r="6" spans="2:21" x14ac:dyDescent="0.25">
      <c r="C6" s="15" t="s">
        <v>29</v>
      </c>
      <c r="D6" s="15" t="s">
        <v>30</v>
      </c>
      <c r="E6" s="16" t="s">
        <v>4</v>
      </c>
      <c r="F6" s="16" t="s">
        <v>9</v>
      </c>
      <c r="G6" s="16" t="s">
        <v>31</v>
      </c>
      <c r="J6" s="26" t="s">
        <v>41</v>
      </c>
      <c r="K6" s="26" t="s">
        <v>42</v>
      </c>
      <c r="L6" s="26" t="s">
        <v>44</v>
      </c>
      <c r="M6" s="26" t="s">
        <v>45</v>
      </c>
      <c r="N6" s="26" t="s">
        <v>46</v>
      </c>
      <c r="O6" s="26" t="s">
        <v>49</v>
      </c>
      <c r="Q6" s="26" t="s">
        <v>4</v>
      </c>
      <c r="R6" s="26" t="s">
        <v>9</v>
      </c>
      <c r="T6" s="26" t="s">
        <v>50</v>
      </c>
      <c r="U6" s="26" t="s">
        <v>51</v>
      </c>
    </row>
    <row r="7" spans="2:21" x14ac:dyDescent="0.25">
      <c r="B7" s="17" t="s">
        <v>32</v>
      </c>
      <c r="C7" s="18">
        <v>0.375</v>
      </c>
      <c r="D7" s="19">
        <v>0.41666666666666669</v>
      </c>
      <c r="E7" s="20" t="s">
        <v>5</v>
      </c>
      <c r="F7" s="20" t="s">
        <v>10</v>
      </c>
      <c r="G7" s="20">
        <v>10</v>
      </c>
      <c r="J7" s="27">
        <f>D7-C7</f>
        <v>4.1666666666666685E-2</v>
      </c>
      <c r="K7" s="27">
        <f>IF(HOUR(J7)&lt;1,_xlfn.CEILING.MATH(J7,"01:00"),_xlfn.CEILING.MATH(J7,"00:10"))</f>
        <v>4.1666666666666664E-2</v>
      </c>
      <c r="L7">
        <f>HOUR(K7)</f>
        <v>1</v>
      </c>
      <c r="M7" s="30">
        <f>MINUTE(K7)/10</f>
        <v>0</v>
      </c>
      <c r="N7" s="31">
        <f>((HOUR(K7)*'Lista de Precios'!$C$5)+((MINUTE(K7)/10)*'Lista de Precios'!$E$5))*G7</f>
        <v>1000</v>
      </c>
      <c r="O7" s="31">
        <f>IF(C7&gt;0.75,((L7*'Lista de Precios'!$D$5)+(M7*'Lista de Precios'!$F$5))*G7,0)</f>
        <v>0</v>
      </c>
      <c r="Q7" s="31">
        <f>IF(E7='Lista de Precios'!$C$6,'Lista de Precios'!$C$7,IF(E7='Lista de Precios'!$D$6,'Lista de Precios'!$D$7,IF(E7='Lista de Precios'!$E$6,'Lista de Precios'!$E$7,IF(E7='Lista de Precios'!$F$6,'Lista de Precios'!$F$7,0))))*G7</f>
        <v>0</v>
      </c>
      <c r="R7" s="31">
        <f>IF(F7='Lista de Precios'!$C$8,'Lista de Precios'!$C$9,IF(F7='Lista de Precios'!$D$8,'Lista de Precios'!$D$9,IF(F7='Lista de Precios'!$E$8,'Lista de Precios'!$E$9,IF(F7='Lista de Precios'!$F$8,'Lista de Precios'!$F$9,IF(F7='Lista de Precios'!$G$8,'Lista de Precios'!$G$9,0)))))*G7</f>
        <v>900</v>
      </c>
      <c r="T7">
        <f>IF(G7&lt;=10,'Lista de Precios'!$C$11,IF(G7&lt;=15,'Lista de Precios'!$D$11,'Lista de Precios'!$E$11))</f>
        <v>0</v>
      </c>
      <c r="U7" s="37">
        <f>(SUM(N7,O7,Q7,R7))*T7/100</f>
        <v>0</v>
      </c>
    </row>
    <row r="8" spans="2:21" x14ac:dyDescent="0.25">
      <c r="B8" s="17" t="s">
        <v>33</v>
      </c>
      <c r="C8" s="18">
        <v>0.4375</v>
      </c>
      <c r="D8" s="19">
        <v>0.50069444444444444</v>
      </c>
      <c r="E8" s="20" t="s">
        <v>7</v>
      </c>
      <c r="F8" s="20" t="s">
        <v>6</v>
      </c>
      <c r="G8" s="20">
        <v>12</v>
      </c>
      <c r="J8" s="27">
        <f t="shared" ref="J8:J13" si="0">D8-C8</f>
        <v>6.3194444444444442E-2</v>
      </c>
      <c r="K8" s="27">
        <f t="shared" ref="K8:K13" si="1">IF(HOUR(J8)&lt;1,_xlfn.CEILING.MATH(J8,"01:00"),_xlfn.CEILING.MATH(J8,"00:10"))</f>
        <v>6.9444444444444448E-2</v>
      </c>
      <c r="L8">
        <f t="shared" ref="L8:L13" si="2">HOUR(K8)</f>
        <v>1</v>
      </c>
      <c r="M8" s="30">
        <f t="shared" ref="M8:M13" si="3">MINUTE(K8)/10</f>
        <v>4</v>
      </c>
      <c r="N8" s="31">
        <f>((HOUR(K8)*'Lista de Precios'!$C$5)+((MINUTE(K8)/10)*'Lista de Precios'!$E$5))*G8</f>
        <v>1920</v>
      </c>
      <c r="O8" s="31">
        <f>IF(C8&gt;0.75,((L8*'Lista de Precios'!$D$5)+(M8*'Lista de Precios'!$F$5))*G8,0)</f>
        <v>0</v>
      </c>
      <c r="Q8" s="31">
        <f>IF(E8='Lista de Precios'!$C$6,'Lista de Precios'!$C$7,IF(E8='Lista de Precios'!$D$6,'Lista de Precios'!$D$7,IF(E8='Lista de Precios'!$E$6,'Lista de Precios'!$E$7,IF(E8='Lista de Precios'!$F$6,'Lista de Precios'!$F$7,0))))*G8</f>
        <v>720</v>
      </c>
      <c r="R8" s="31">
        <f>IF(F8='Lista de Precios'!$C$8,'Lista de Precios'!$C$9,IF(F8='Lista de Precios'!$D$8,'Lista de Precios'!$D$9,IF(F8='Lista de Precios'!$E$8,'Lista de Precios'!$E$9,IF(F8='Lista de Precios'!$F$8,'Lista de Precios'!$F$9,IF(F8='Lista de Precios'!$G$8,'Lista de Precios'!$G$9,0)))))*G8</f>
        <v>1320</v>
      </c>
      <c r="T8">
        <f>IF(G8&lt;=10,'Lista de Precios'!$C$11,IF(G8&lt;=15,'Lista de Precios'!$D$11,'Lista de Precios'!$E$11))</f>
        <v>10</v>
      </c>
      <c r="U8" s="37">
        <f t="shared" ref="U8:U13" si="4">(SUM(N8,O8,Q8,R8))*T8/100</f>
        <v>396</v>
      </c>
    </row>
    <row r="9" spans="2:21" x14ac:dyDescent="0.25">
      <c r="B9" s="17" t="s">
        <v>34</v>
      </c>
      <c r="C9" s="18">
        <v>0.51041666666666663</v>
      </c>
      <c r="D9" s="19">
        <v>0.59166666666666667</v>
      </c>
      <c r="E9" s="20" t="s">
        <v>8</v>
      </c>
      <c r="F9" s="20" t="s">
        <v>11</v>
      </c>
      <c r="G9" s="20">
        <v>11</v>
      </c>
      <c r="J9" s="27">
        <f t="shared" si="0"/>
        <v>8.1250000000000044E-2</v>
      </c>
      <c r="K9" s="27">
        <f t="shared" si="1"/>
        <v>8.3333333333333329E-2</v>
      </c>
      <c r="L9">
        <f t="shared" si="2"/>
        <v>2</v>
      </c>
      <c r="M9" s="30">
        <f t="shared" si="3"/>
        <v>0</v>
      </c>
      <c r="N9" s="31">
        <f>((HOUR(K9)*'Lista de Precios'!$C$5)+((MINUTE(K9)/10)*'Lista de Precios'!$E$5))*G9</f>
        <v>2200</v>
      </c>
      <c r="O9" s="31">
        <f>IF(C9&gt;0.75,((L9*'Lista de Precios'!$D$5)+(M9*'Lista de Precios'!$F$5))*G9,0)</f>
        <v>0</v>
      </c>
      <c r="Q9" s="31">
        <f>IF(E9='Lista de Precios'!$C$6,'Lista de Precios'!$C$7,IF(E9='Lista de Precios'!$D$6,'Lista de Precios'!$D$7,IF(E9='Lista de Precios'!$E$6,'Lista de Precios'!$E$7,IF(E9='Lista de Precios'!$F$6,'Lista de Precios'!$F$7,0))))*G9</f>
        <v>1320</v>
      </c>
      <c r="R9" s="31">
        <f>IF(F9='Lista de Precios'!$C$8,'Lista de Precios'!$C$9,IF(F9='Lista de Precios'!$D$8,'Lista de Precios'!$D$9,IF(F9='Lista de Precios'!$E$8,'Lista de Precios'!$E$9,IF(F9='Lista de Precios'!$F$8,'Lista de Precios'!$F$9,IF(F9='Lista de Precios'!$G$8,'Lista de Precios'!$G$9,0)))))*G9</f>
        <v>1430</v>
      </c>
      <c r="T9">
        <f>IF(G9&lt;=10,'Lista de Precios'!$C$11,IF(G9&lt;=15,'Lista de Precios'!$D$11,'Lista de Precios'!$E$11))</f>
        <v>10</v>
      </c>
      <c r="U9" s="37">
        <f t="shared" si="4"/>
        <v>495</v>
      </c>
    </row>
    <row r="10" spans="2:21" x14ac:dyDescent="0.25">
      <c r="B10" s="17" t="s">
        <v>35</v>
      </c>
      <c r="C10" s="18">
        <v>0.625</v>
      </c>
      <c r="D10" s="19">
        <v>0.66527777777777775</v>
      </c>
      <c r="E10" s="20" t="s">
        <v>7</v>
      </c>
      <c r="F10" s="20" t="s">
        <v>12</v>
      </c>
      <c r="G10" s="20">
        <v>15</v>
      </c>
      <c r="J10" s="27">
        <f t="shared" si="0"/>
        <v>4.0277777777777746E-2</v>
      </c>
      <c r="K10" s="27">
        <f t="shared" si="1"/>
        <v>4.1666666666666664E-2</v>
      </c>
      <c r="L10">
        <f t="shared" si="2"/>
        <v>1</v>
      </c>
      <c r="M10" s="30">
        <f t="shared" si="3"/>
        <v>0</v>
      </c>
      <c r="N10" s="31">
        <f>((HOUR(K10)*'Lista de Precios'!$C$5)+((MINUTE(K10)/10)*'Lista de Precios'!$E$5))*G10</f>
        <v>1500</v>
      </c>
      <c r="O10" s="31">
        <f>IF(C10&gt;0.75,((L10*'Lista de Precios'!$D$5)+(M10*'Lista de Precios'!$F$5))*G10,0)</f>
        <v>0</v>
      </c>
      <c r="Q10" s="31">
        <f>IF(E10='Lista de Precios'!$C$6,'Lista de Precios'!$C$7,IF(E10='Lista de Precios'!$D$6,'Lista de Precios'!$D$7,IF(E10='Lista de Precios'!$E$6,'Lista de Precios'!$E$7,IF(E10='Lista de Precios'!$F$6,'Lista de Precios'!$F$7,0))))*G10</f>
        <v>900</v>
      </c>
      <c r="R10" s="31">
        <f>IF(F10='Lista de Precios'!$C$8,'Lista de Precios'!$C$9,IF(F10='Lista de Precios'!$D$8,'Lista de Precios'!$D$9,IF(F10='Lista de Precios'!$E$8,'Lista de Precios'!$E$9,IF(F10='Lista de Precios'!$F$8,'Lista de Precios'!$F$9,IF(F10='Lista de Precios'!$G$8,'Lista de Precios'!$G$9,0)))))*G10</f>
        <v>2775</v>
      </c>
      <c r="T10">
        <f>IF(G10&lt;=10,'Lista de Precios'!$C$11,IF(G10&lt;=15,'Lista de Precios'!$D$11,'Lista de Precios'!$E$11))</f>
        <v>10</v>
      </c>
      <c r="U10" s="37">
        <f t="shared" si="4"/>
        <v>517.5</v>
      </c>
    </row>
    <row r="11" spans="2:21" x14ac:dyDescent="0.25">
      <c r="B11" s="17" t="s">
        <v>36</v>
      </c>
      <c r="C11" s="18">
        <v>0.72222222222222221</v>
      </c>
      <c r="D11" s="19">
        <v>0.73819444444444438</v>
      </c>
      <c r="E11" s="20" t="s">
        <v>6</v>
      </c>
      <c r="F11" s="20" t="s">
        <v>5</v>
      </c>
      <c r="G11" s="20">
        <v>13</v>
      </c>
      <c r="J11" s="27">
        <f t="shared" si="0"/>
        <v>1.5972222222222165E-2</v>
      </c>
      <c r="K11" s="27">
        <f t="shared" si="1"/>
        <v>4.1666666666666664E-2</v>
      </c>
      <c r="L11">
        <f t="shared" si="2"/>
        <v>1</v>
      </c>
      <c r="M11" s="30">
        <f t="shared" si="3"/>
        <v>0</v>
      </c>
      <c r="N11" s="31">
        <f>((HOUR(K11)*'Lista de Precios'!$C$5)+((MINUTE(K11)/10)*'Lista de Precios'!$E$5))*G11</f>
        <v>1300</v>
      </c>
      <c r="O11" s="31">
        <f>IF(C11&gt;0.75,((L11*'Lista de Precios'!$D$5)+(M11*'Lista de Precios'!$F$5))*G11,0)</f>
        <v>0</v>
      </c>
      <c r="Q11" s="31">
        <f>IF(E11='Lista de Precios'!$C$6,'Lista de Precios'!$C$7,IF(E11='Lista de Precios'!$D$6,'Lista de Precios'!$D$7,IF(E11='Lista de Precios'!$E$6,'Lista de Precios'!$E$7,IF(E11='Lista de Precios'!$F$6,'Lista de Precios'!$F$7,0))))*G11</f>
        <v>390</v>
      </c>
      <c r="R11" s="31">
        <f>IF(F11='Lista de Precios'!$C$8,'Lista de Precios'!$C$9,IF(F11='Lista de Precios'!$D$8,'Lista de Precios'!$D$9,IF(F11='Lista de Precios'!$E$8,'Lista de Precios'!$E$9,IF(F11='Lista de Precios'!$F$8,'Lista de Precios'!$F$9,IF(F11='Lista de Precios'!$G$8,'Lista de Precios'!$G$9,0)))))*G11</f>
        <v>0</v>
      </c>
      <c r="T11">
        <f>IF(G11&lt;=10,'Lista de Precios'!$C$11,IF(G11&lt;=15,'Lista de Precios'!$D$11,'Lista de Precios'!$E$11))</f>
        <v>10</v>
      </c>
      <c r="U11" s="37">
        <f t="shared" si="4"/>
        <v>169</v>
      </c>
    </row>
    <row r="12" spans="2:21" x14ac:dyDescent="0.25">
      <c r="B12" s="17" t="s">
        <v>37</v>
      </c>
      <c r="C12" s="18">
        <v>0.80555555555555547</v>
      </c>
      <c r="D12" s="19">
        <v>0.86944444444444446</v>
      </c>
      <c r="E12" s="20" t="s">
        <v>7</v>
      </c>
      <c r="F12" s="20" t="s">
        <v>5</v>
      </c>
      <c r="G12" s="20">
        <v>45</v>
      </c>
      <c r="J12" s="27">
        <f t="shared" si="0"/>
        <v>6.3888888888888995E-2</v>
      </c>
      <c r="K12" s="27">
        <f t="shared" si="1"/>
        <v>6.9444444444444448E-2</v>
      </c>
      <c r="L12">
        <f t="shared" si="2"/>
        <v>1</v>
      </c>
      <c r="M12" s="30">
        <f t="shared" si="3"/>
        <v>4</v>
      </c>
      <c r="N12" s="31">
        <f>((HOUR(K12)*'Lista de Precios'!$C$5)+((MINUTE(K12)/10)*'Lista de Precios'!$E$5))*G12</f>
        <v>7200</v>
      </c>
      <c r="O12" s="31">
        <f>IF(C12&gt;0.75,((L12*'Lista de Precios'!$D$5)+(M12*'Lista de Precios'!$F$5))*G12,0)</f>
        <v>630</v>
      </c>
      <c r="Q12" s="31">
        <f>IF(E12='Lista de Precios'!$C$6,'Lista de Precios'!$C$7,IF(E12='Lista de Precios'!$D$6,'Lista de Precios'!$D$7,IF(E12='Lista de Precios'!$E$6,'Lista de Precios'!$E$7,IF(E12='Lista de Precios'!$F$6,'Lista de Precios'!$F$7,0))))*G12</f>
        <v>2700</v>
      </c>
      <c r="R12" s="31">
        <f>IF(F12='Lista de Precios'!$C$8,'Lista de Precios'!$C$9,IF(F12='Lista de Precios'!$D$8,'Lista de Precios'!$D$9,IF(F12='Lista de Precios'!$E$8,'Lista de Precios'!$E$9,IF(F12='Lista de Precios'!$F$8,'Lista de Precios'!$F$9,IF(F12='Lista de Precios'!$G$8,'Lista de Precios'!$G$9,0)))))*G12</f>
        <v>0</v>
      </c>
      <c r="T12">
        <f>IF(G12&lt;=10,'Lista de Precios'!$C$11,IF(G12&lt;=15,'Lista de Precios'!$D$11,'Lista de Precios'!$E$11))</f>
        <v>15</v>
      </c>
      <c r="U12" s="37">
        <f t="shared" si="4"/>
        <v>1579.5</v>
      </c>
    </row>
    <row r="13" spans="2:21" x14ac:dyDescent="0.25">
      <c r="B13" s="17" t="s">
        <v>38</v>
      </c>
      <c r="C13" s="18">
        <v>0.88541666666666663</v>
      </c>
      <c r="D13" s="19">
        <v>0.92847222222222225</v>
      </c>
      <c r="E13" s="20" t="s">
        <v>5</v>
      </c>
      <c r="F13" s="20" t="s">
        <v>5</v>
      </c>
      <c r="G13" s="20">
        <v>14</v>
      </c>
      <c r="J13" s="27">
        <f t="shared" si="0"/>
        <v>4.3055555555555625E-2</v>
      </c>
      <c r="K13" s="27">
        <f t="shared" si="1"/>
        <v>4.8611111111111105E-2</v>
      </c>
      <c r="L13">
        <f t="shared" si="2"/>
        <v>1</v>
      </c>
      <c r="M13" s="30">
        <f t="shared" si="3"/>
        <v>1</v>
      </c>
      <c r="N13" s="31">
        <f>((HOUR(K13)*'Lista de Precios'!$C$5)+((MINUTE(K13)/10)*'Lista de Precios'!$E$5))*G13</f>
        <v>1610</v>
      </c>
      <c r="O13" s="31">
        <f>IF(C13&gt;0.75,((L13*'Lista de Precios'!$D$5)+(M13*'Lista de Precios'!$F$5))*G13,0)</f>
        <v>133</v>
      </c>
      <c r="Q13" s="31">
        <f>IF(E13='Lista de Precios'!$C$6,'Lista de Precios'!$C$7,IF(E13='Lista de Precios'!$D$6,'Lista de Precios'!$D$7,IF(E13='Lista de Precios'!$E$6,'Lista de Precios'!$E$7,IF(E13='Lista de Precios'!$F$6,'Lista de Precios'!$F$7,0))))*G13</f>
        <v>0</v>
      </c>
      <c r="R13" s="31">
        <f>IF(F13='Lista de Precios'!$C$8,'Lista de Precios'!$C$9,IF(F13='Lista de Precios'!$D$8,'Lista de Precios'!$D$9,IF(F13='Lista de Precios'!$E$8,'Lista de Precios'!$E$9,IF(F13='Lista de Precios'!$F$8,'Lista de Precios'!$F$9,IF(F13='Lista de Precios'!$G$8,'Lista de Precios'!$G$9,0)))))*G13</f>
        <v>0</v>
      </c>
      <c r="T13">
        <f>IF(G13&lt;=10,'Lista de Precios'!$C$11,IF(G13&lt;=15,'Lista de Precios'!$D$11,'Lista de Precios'!$E$11))</f>
        <v>10</v>
      </c>
      <c r="U13" s="37">
        <f t="shared" si="4"/>
        <v>174.3</v>
      </c>
    </row>
    <row r="14" spans="2:21" x14ac:dyDescent="0.25">
      <c r="K14" s="27"/>
      <c r="N14" s="38">
        <f>SUM(N7:N13)</f>
        <v>16730</v>
      </c>
      <c r="O14" s="38">
        <f>SUM(O7:O13)</f>
        <v>763</v>
      </c>
      <c r="P14" s="39"/>
      <c r="Q14" s="38">
        <f>SUM(Q7:Q13)</f>
        <v>6030</v>
      </c>
      <c r="R14" s="38">
        <f>SUM(R7:R13)</f>
        <v>6425</v>
      </c>
      <c r="S14" s="39"/>
      <c r="T14" s="39"/>
      <c r="U14" s="40">
        <f>SUM(U7:U13)</f>
        <v>3331.3</v>
      </c>
    </row>
    <row r="15" spans="2:21" x14ac:dyDescent="0.25">
      <c r="B15" s="21" t="s">
        <v>39</v>
      </c>
      <c r="C15" s="21"/>
      <c r="D15" s="21"/>
      <c r="E15" s="21"/>
      <c r="F15" s="21"/>
      <c r="G15" s="21"/>
      <c r="K15" s="27"/>
    </row>
    <row r="16" spans="2:21" x14ac:dyDescent="0.25">
      <c r="B16" s="10"/>
      <c r="C16" s="10"/>
      <c r="D16" s="10"/>
      <c r="E16" s="10"/>
      <c r="F16" s="10"/>
      <c r="G16" s="10"/>
      <c r="K16" s="29"/>
    </row>
    <row r="17" spans="2:11" x14ac:dyDescent="0.25">
      <c r="B17" s="10"/>
      <c r="C17" s="10"/>
      <c r="D17" s="10"/>
      <c r="E17" s="10"/>
      <c r="F17" s="10"/>
      <c r="G17" s="10"/>
      <c r="J17" s="42" t="s">
        <v>52</v>
      </c>
      <c r="K17" s="28" t="b">
        <v>1</v>
      </c>
    </row>
    <row r="18" spans="2:11" x14ac:dyDescent="0.25">
      <c r="B18" s="22"/>
      <c r="C18" s="22"/>
      <c r="D18" s="22"/>
      <c r="E18" s="23" t="s">
        <v>40</v>
      </c>
      <c r="F18" s="23"/>
      <c r="G18" s="23"/>
      <c r="J18" s="42" t="s">
        <v>53</v>
      </c>
      <c r="K18" t="b">
        <v>1</v>
      </c>
    </row>
    <row r="19" spans="2:11" x14ac:dyDescent="0.25">
      <c r="B19" s="22"/>
      <c r="C19" s="22"/>
      <c r="D19" s="22"/>
      <c r="E19" s="23"/>
      <c r="F19" s="23"/>
      <c r="G19" s="23"/>
      <c r="J19" s="42" t="s">
        <v>54</v>
      </c>
      <c r="K19" t="b">
        <v>1</v>
      </c>
    </row>
    <row r="20" spans="2:11" x14ac:dyDescent="0.25">
      <c r="B20" s="22"/>
      <c r="C20" s="22"/>
      <c r="D20" s="22"/>
      <c r="E20" s="23"/>
      <c r="F20" s="23"/>
      <c r="G20" s="23"/>
      <c r="J20" s="42" t="s">
        <v>55</v>
      </c>
      <c r="K20" t="b">
        <v>1</v>
      </c>
    </row>
    <row r="21" spans="2:11" x14ac:dyDescent="0.25">
      <c r="B21" s="22"/>
      <c r="C21" s="22"/>
      <c r="D21" s="22"/>
      <c r="E21" s="23"/>
      <c r="F21" s="23"/>
      <c r="G21" s="23"/>
      <c r="J21" s="42" t="s">
        <v>56</v>
      </c>
      <c r="K21">
        <v>2</v>
      </c>
    </row>
    <row r="22" spans="2:11" x14ac:dyDescent="0.25">
      <c r="B22" s="22"/>
      <c r="C22" s="22"/>
      <c r="D22" s="22"/>
      <c r="E22" s="23"/>
      <c r="F22" s="23"/>
      <c r="G22" s="23"/>
      <c r="J22" s="42" t="s">
        <v>23</v>
      </c>
      <c r="K22">
        <f>IF(WEEKDAY(C3)=1,3,K21)</f>
        <v>3</v>
      </c>
    </row>
    <row r="23" spans="2:11" x14ac:dyDescent="0.25">
      <c r="K23" t="s">
        <v>57</v>
      </c>
    </row>
  </sheetData>
  <mergeCells count="8">
    <mergeCell ref="B18:D22"/>
    <mergeCell ref="E18:G22"/>
    <mergeCell ref="C2:D2"/>
    <mergeCell ref="C3:D3"/>
    <mergeCell ref="C5:D5"/>
    <mergeCell ref="E5:G5"/>
    <mergeCell ref="B15:G15"/>
    <mergeCell ref="B16:G17"/>
  </mergeCells>
  <dataValidations count="4">
    <dataValidation type="date" operator="greaterThanOrEqual" allowBlank="1" showInputMessage="1" showErrorMessage="1" sqref="C3:D3" xr:uid="{F919014E-2DDE-40F3-975F-0A05AD9BE14F}">
      <formula1>TODAY()</formula1>
    </dataValidation>
    <dataValidation type="time" allowBlank="1" showInputMessage="1" showErrorMessage="1" sqref="C7" xr:uid="{70010035-578D-469F-B716-B760CEC9E31E}">
      <formula1>0.375</formula1>
      <formula2>0.958333333333333</formula2>
    </dataValidation>
    <dataValidation type="time" allowBlank="1" showInputMessage="1" showErrorMessage="1" sqref="D7:D13" xr:uid="{853CE22F-761A-4F58-BF52-F20919FFF6B3}">
      <formula1>C7</formula1>
      <formula2>0.958333333333333</formula2>
    </dataValidation>
    <dataValidation type="time" allowBlank="1" showInputMessage="1" showErrorMessage="1" sqref="C8:C13" xr:uid="{2A5D9061-EAD8-444A-BD95-9C4D64B72040}">
      <formula1>D7</formula1>
      <formula2>0.958333333333333</formula2>
    </dataValidation>
  </dataValidations>
  <pageMargins left="0.7" right="0.7" top="0.75" bottom="0.75" header="0.3" footer="0.3"/>
  <pageSetup orientation="portrait" r:id="rId1"/>
  <drawing r:id="rId2"/>
  <legacyDrawing r:id="rId3"/>
  <controls>
    <mc:AlternateContent xmlns:mc="http://schemas.openxmlformats.org/markup-compatibility/2006">
      <mc:Choice Requires="x14">
        <control shapeId="1044" r:id="rId4" name="TextBox1">
          <controlPr defaultSize="0" autoLine="0" autoPict="0" linkedCell="K23" r:id="rId5">
            <anchor moveWithCells="1">
              <from>
                <xdr:col>4</xdr:col>
                <xdr:colOff>19050</xdr:colOff>
                <xdr:row>17</xdr:row>
                <xdr:rowOff>190500</xdr:rowOff>
              </from>
              <to>
                <xdr:col>6</xdr:col>
                <xdr:colOff>742950</xdr:colOff>
                <xdr:row>21</xdr:row>
                <xdr:rowOff>161925</xdr:rowOff>
              </to>
            </anchor>
          </controlPr>
        </control>
      </mc:Choice>
      <mc:Fallback>
        <control shapeId="1044" r:id="rId4" name="TextBox1"/>
      </mc:Fallback>
    </mc:AlternateContent>
    <mc:AlternateContent xmlns:mc="http://schemas.openxmlformats.org/markup-compatibility/2006">
      <mc:Choice Requires="x14">
        <control shapeId="1027" r:id="rId6" name="Check Box 3">
          <controlPr defaultSize="0" autoFill="0" autoLine="0" autoPict="0">
            <anchor moveWithCells="1">
              <from>
                <xdr:col>1</xdr:col>
                <xdr:colOff>19050</xdr:colOff>
                <xdr:row>15</xdr:row>
                <xdr:rowOff>66675</xdr:rowOff>
              </from>
              <to>
                <xdr:col>2</xdr:col>
                <xdr:colOff>390525</xdr:colOff>
                <xdr:row>16</xdr:row>
                <xdr:rowOff>95250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032" r:id="rId7" name="Check Box 8">
          <controlPr defaultSize="0" autoFill="0" autoLine="0" autoPict="0">
            <anchor moveWithCells="1">
              <from>
                <xdr:col>2</xdr:col>
                <xdr:colOff>485775</xdr:colOff>
                <xdr:row>15</xdr:row>
                <xdr:rowOff>66675</xdr:rowOff>
              </from>
              <to>
                <xdr:col>4</xdr:col>
                <xdr:colOff>95250</xdr:colOff>
                <xdr:row>16</xdr:row>
                <xdr:rowOff>95250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035" r:id="rId8" name="Check Box 11">
          <controlPr defaultSize="0" autoFill="0" autoLine="0" autoPict="0">
            <anchor moveWithCells="1">
              <from>
                <xdr:col>4</xdr:col>
                <xdr:colOff>190500</xdr:colOff>
                <xdr:row>15</xdr:row>
                <xdr:rowOff>66675</xdr:rowOff>
              </from>
              <to>
                <xdr:col>5</xdr:col>
                <xdr:colOff>561975</xdr:colOff>
                <xdr:row>16</xdr:row>
                <xdr:rowOff>95250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036" r:id="rId9" name="Check Box 12">
          <controlPr defaultSize="0" autoFill="0" autoLine="0" autoPict="0">
            <anchor moveWithCells="1">
              <from>
                <xdr:col>5</xdr:col>
                <xdr:colOff>657225</xdr:colOff>
                <xdr:row>15</xdr:row>
                <xdr:rowOff>66675</xdr:rowOff>
              </from>
              <to>
                <xdr:col>7</xdr:col>
                <xdr:colOff>266700</xdr:colOff>
                <xdr:row>16</xdr:row>
                <xdr:rowOff>95250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041" r:id="rId10" name="Group Box 17">
          <controlPr defaultSize="0" autoFill="0" autoPict="0">
            <anchor moveWithCells="1">
              <from>
                <xdr:col>1</xdr:col>
                <xdr:colOff>28575</xdr:colOff>
                <xdr:row>17</xdr:row>
                <xdr:rowOff>28575</xdr:rowOff>
              </from>
              <to>
                <xdr:col>3</xdr:col>
                <xdr:colOff>733425</xdr:colOff>
                <xdr:row>21</xdr:row>
                <xdr:rowOff>161925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042" r:id="rId11" name="Option Button 18">
          <controlPr defaultSize="0" autoFill="0" autoLine="0" autoPict="0">
            <anchor moveWithCells="1">
              <from>
                <xdr:col>1</xdr:col>
                <xdr:colOff>200025</xdr:colOff>
                <xdr:row>18</xdr:row>
                <xdr:rowOff>28575</xdr:rowOff>
              </from>
              <to>
                <xdr:col>3</xdr:col>
                <xdr:colOff>419100</xdr:colOff>
                <xdr:row>19</xdr:row>
                <xdr:rowOff>57150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043" r:id="rId12" name="Option Button 19">
          <controlPr defaultSize="0" autoFill="0" autoLine="0" autoPict="0">
            <anchor moveWithCells="1">
              <from>
                <xdr:col>1</xdr:col>
                <xdr:colOff>200025</xdr:colOff>
                <xdr:row>20</xdr:row>
                <xdr:rowOff>19050</xdr:rowOff>
              </from>
              <to>
                <xdr:col>3</xdr:col>
                <xdr:colOff>447675</xdr:colOff>
                <xdr:row>21</xdr:row>
                <xdr:rowOff>47625</xdr:rowOff>
              </to>
            </anchor>
          </controlPr>
        </control>
      </mc:Choice>
    </mc:AlternateContent>
  </control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3BE3A694-AF49-473F-B8D7-E54B9BB31192}">
          <x14:formula1>
            <xm:f>'Lista de Precios'!$C$6:$F$6</xm:f>
          </x14:formula1>
          <xm:sqref>E7:E13</xm:sqref>
        </x14:dataValidation>
        <x14:dataValidation type="list" allowBlank="1" showInputMessage="1" showErrorMessage="1" xr:uid="{DBCF9312-0ADF-42B9-8F74-42417BCB3F40}">
          <x14:formula1>
            <xm:f>'Lista de Precios'!$C$8:$G$8</xm:f>
          </x14:formula1>
          <xm:sqref>F7:F13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13A9E-6DD3-464C-9409-205873379315}">
  <sheetPr codeName="Hoja2"/>
  <dimension ref="B2:G21"/>
  <sheetViews>
    <sheetView workbookViewId="0">
      <selection activeCell="H16" sqref="H16"/>
    </sheetView>
  </sheetViews>
  <sheetFormatPr baseColWidth="10" defaultRowHeight="15" x14ac:dyDescent="0.25"/>
  <cols>
    <col min="2" max="2" width="24.7109375" customWidth="1"/>
  </cols>
  <sheetData>
    <row r="2" spans="2:7" ht="23.25" x14ac:dyDescent="0.35">
      <c r="B2" s="7" t="s">
        <v>0</v>
      </c>
      <c r="C2" s="7"/>
      <c r="D2" s="7"/>
    </row>
    <row r="4" spans="2:7" x14ac:dyDescent="0.25">
      <c r="B4" s="6" t="s">
        <v>1</v>
      </c>
      <c r="C4" s="1" t="s">
        <v>2</v>
      </c>
      <c r="D4" s="1" t="s">
        <v>3</v>
      </c>
      <c r="E4" s="1" t="s">
        <v>43</v>
      </c>
      <c r="F4" s="1" t="s">
        <v>48</v>
      </c>
    </row>
    <row r="5" spans="2:7" x14ac:dyDescent="0.25">
      <c r="B5" s="6"/>
      <c r="C5" s="2">
        <v>100</v>
      </c>
      <c r="D5" s="2">
        <v>8</v>
      </c>
      <c r="E5" s="2">
        <v>15</v>
      </c>
      <c r="F5" s="2">
        <v>1.5</v>
      </c>
    </row>
    <row r="6" spans="2:7" x14ac:dyDescent="0.25">
      <c r="B6" s="6" t="s">
        <v>4</v>
      </c>
      <c r="C6" s="1" t="s">
        <v>5</v>
      </c>
      <c r="D6" s="1" t="s">
        <v>6</v>
      </c>
      <c r="E6" s="1" t="s">
        <v>7</v>
      </c>
      <c r="F6" s="1" t="s">
        <v>8</v>
      </c>
    </row>
    <row r="7" spans="2:7" x14ac:dyDescent="0.25">
      <c r="B7" s="6"/>
      <c r="C7" s="2">
        <v>0</v>
      </c>
      <c r="D7" s="2">
        <v>30</v>
      </c>
      <c r="E7" s="2">
        <v>60</v>
      </c>
      <c r="F7" s="2">
        <v>120</v>
      </c>
    </row>
    <row r="8" spans="2:7" x14ac:dyDescent="0.25">
      <c r="B8" s="6" t="s">
        <v>9</v>
      </c>
      <c r="C8" s="1" t="s">
        <v>5</v>
      </c>
      <c r="D8" s="1" t="s">
        <v>10</v>
      </c>
      <c r="E8" s="1" t="s">
        <v>6</v>
      </c>
      <c r="F8" s="1" t="s">
        <v>11</v>
      </c>
      <c r="G8" s="1" t="s">
        <v>12</v>
      </c>
    </row>
    <row r="9" spans="2:7" x14ac:dyDescent="0.25">
      <c r="B9" s="6"/>
      <c r="C9" s="2">
        <v>0</v>
      </c>
      <c r="D9" s="2">
        <v>90</v>
      </c>
      <c r="E9" s="2">
        <v>110</v>
      </c>
      <c r="F9" s="2">
        <v>130</v>
      </c>
      <c r="G9" s="2">
        <v>185</v>
      </c>
    </row>
    <row r="10" spans="2:7" x14ac:dyDescent="0.25">
      <c r="B10" s="6" t="s">
        <v>13</v>
      </c>
      <c r="C10" s="1" t="s">
        <v>14</v>
      </c>
      <c r="D10" s="1" t="s">
        <v>15</v>
      </c>
      <c r="E10" s="1" t="s">
        <v>16</v>
      </c>
    </row>
    <row r="11" spans="2:7" x14ac:dyDescent="0.25">
      <c r="B11" s="6"/>
      <c r="C11" s="36">
        <v>0</v>
      </c>
      <c r="D11" s="36">
        <v>10</v>
      </c>
      <c r="E11" s="36">
        <v>15</v>
      </c>
    </row>
    <row r="13" spans="2:7" ht="23.25" x14ac:dyDescent="0.35">
      <c r="B13" s="8" t="s">
        <v>17</v>
      </c>
      <c r="C13" s="8"/>
      <c r="D13" s="8"/>
    </row>
    <row r="15" spans="2:7" x14ac:dyDescent="0.25">
      <c r="B15" s="3" t="s">
        <v>18</v>
      </c>
      <c r="C15" s="2">
        <v>160</v>
      </c>
    </row>
    <row r="16" spans="2:7" x14ac:dyDescent="0.25">
      <c r="B16" s="3" t="s">
        <v>19</v>
      </c>
      <c r="C16" s="2">
        <v>300</v>
      </c>
    </row>
    <row r="17" spans="2:5" x14ac:dyDescent="0.25">
      <c r="B17" s="3" t="s">
        <v>20</v>
      </c>
      <c r="C17" s="2">
        <v>100</v>
      </c>
    </row>
    <row r="18" spans="2:5" x14ac:dyDescent="0.25">
      <c r="B18" s="3" t="s">
        <v>21</v>
      </c>
      <c r="C18" s="2">
        <v>70</v>
      </c>
    </row>
    <row r="20" spans="2:5" x14ac:dyDescent="0.25">
      <c r="B20" s="5" t="s">
        <v>13</v>
      </c>
      <c r="C20" s="4" t="s">
        <v>22</v>
      </c>
      <c r="D20" s="4" t="s">
        <v>23</v>
      </c>
      <c r="E20" s="4" t="s">
        <v>24</v>
      </c>
    </row>
    <row r="21" spans="2:5" x14ac:dyDescent="0.25">
      <c r="B21" s="5"/>
      <c r="C21" s="2">
        <v>1600</v>
      </c>
      <c r="D21" s="2">
        <v>2200</v>
      </c>
      <c r="E21" s="2">
        <v>3200</v>
      </c>
    </row>
  </sheetData>
  <mergeCells count="7">
    <mergeCell ref="B20:B21"/>
    <mergeCell ref="B4:B5"/>
    <mergeCell ref="B2:D2"/>
    <mergeCell ref="B6:B7"/>
    <mergeCell ref="B8:B9"/>
    <mergeCell ref="B10:B11"/>
    <mergeCell ref="B13:D1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30047-0CEE-474B-AC88-FEBBA61121D9}">
  <sheetPr codeName="Hoja3"/>
  <dimension ref="B1:K25"/>
  <sheetViews>
    <sheetView showGridLines="0" workbookViewId="0">
      <selection activeCell="B25" sqref="B25"/>
    </sheetView>
  </sheetViews>
  <sheetFormatPr baseColWidth="10" defaultRowHeight="15" x14ac:dyDescent="0.25"/>
  <cols>
    <col min="1" max="1" width="4.85546875" customWidth="1"/>
    <col min="2" max="2" width="19.5703125" customWidth="1"/>
    <col min="3" max="9" width="4.85546875" customWidth="1"/>
    <col min="10" max="10" width="0.85546875" customWidth="1"/>
    <col min="11" max="11" width="11.5703125" customWidth="1"/>
  </cols>
  <sheetData>
    <row r="1" spans="3:11" ht="93.75" customHeight="1" x14ac:dyDescent="0.25"/>
    <row r="2" spans="3:11" x14ac:dyDescent="0.25">
      <c r="C2" s="24" t="str">
        <f>Ingreso!C2</f>
        <v>David</v>
      </c>
      <c r="D2" s="24"/>
      <c r="E2" s="24"/>
      <c r="I2" s="32">
        <f>Ingreso!C3</f>
        <v>44374</v>
      </c>
      <c r="J2" s="32"/>
      <c r="K2" s="32"/>
    </row>
    <row r="3" spans="3:11" ht="21" customHeight="1" x14ac:dyDescent="0.25"/>
    <row r="4" spans="3:11" x14ac:dyDescent="0.25">
      <c r="C4" s="33">
        <f>Ingreso!K7</f>
        <v>4.1666666666666664E-2</v>
      </c>
      <c r="D4" s="33">
        <f>Ingreso!K8</f>
        <v>6.9444444444444448E-2</v>
      </c>
      <c r="E4" s="33">
        <f>Ingreso!K9</f>
        <v>8.3333333333333329E-2</v>
      </c>
      <c r="F4" s="33">
        <f>Ingreso!K10</f>
        <v>4.1666666666666664E-2</v>
      </c>
      <c r="G4" s="33">
        <f>Ingreso!K11</f>
        <v>4.1666666666666664E-2</v>
      </c>
      <c r="H4" s="33">
        <f>Ingreso!K12</f>
        <v>6.9444444444444448E-2</v>
      </c>
      <c r="I4" s="33">
        <f>Ingreso!K13</f>
        <v>4.8611111111111105E-2</v>
      </c>
      <c r="J4" s="34"/>
      <c r="K4" s="35">
        <f>Ingreso!N14</f>
        <v>16730</v>
      </c>
    </row>
    <row r="5" spans="3:11" x14ac:dyDescent="0.25">
      <c r="C5" s="34" t="str">
        <f>IF(Ingreso!O7&gt;0,"Si","No")</f>
        <v>No</v>
      </c>
      <c r="D5" s="34" t="str">
        <f>IF(Ingreso!O8&gt;0,"Si","No")</f>
        <v>No</v>
      </c>
      <c r="E5" s="34" t="str">
        <f>IF(Ingreso!O9&gt;0,"Si","No")</f>
        <v>No</v>
      </c>
      <c r="F5" s="34" t="str">
        <f>IF(Ingreso!O10&gt;0,"Si","No")</f>
        <v>No</v>
      </c>
      <c r="G5" s="34" t="str">
        <f>IF(Ingreso!O11&gt;0,"Si","No")</f>
        <v>No</v>
      </c>
      <c r="H5" s="34" t="str">
        <f>IF(Ingreso!O12&gt;0,"Si","No")</f>
        <v>Si</v>
      </c>
      <c r="I5" s="34" t="str">
        <f>IF(Ingreso!O13&gt;0,"Si","No")</f>
        <v>Si</v>
      </c>
      <c r="J5" s="34"/>
      <c r="K5" s="35">
        <f>Ingreso!O14</f>
        <v>763</v>
      </c>
    </row>
    <row r="6" spans="3:11" x14ac:dyDescent="0.25">
      <c r="C6" s="34" t="str">
        <f>IF(Ingreso!E7='Lista de Precios'!$C$6,"N",IF(Ingreso!E7='Lista de Precios'!$D$6,"B",IF(Ingreso!E7='Lista de Precios'!$E$6,"C",IF(Ingreso!E7='Lista de Precios'!$F$6,"P",0))))</f>
        <v>N</v>
      </c>
      <c r="D6" s="34" t="str">
        <f>IF(Ingreso!E8='Lista de Precios'!$C$6,"N",IF(Ingreso!E8='Lista de Precios'!$D$6,"B",IF(Ingreso!E8='Lista de Precios'!$E$6,"C",IF(Ingreso!E8='Lista de Precios'!$F$6,"P",0))))</f>
        <v>C</v>
      </c>
      <c r="E6" s="34" t="str">
        <f>IF(Ingreso!E9='Lista de Precios'!$C$6,"N",IF(Ingreso!E9='Lista de Precios'!$D$6,"B",IF(Ingreso!E9='Lista de Precios'!$E$6,"C",IF(Ingreso!E9='Lista de Precios'!$F$6,"P",0))))</f>
        <v>P</v>
      </c>
      <c r="F6" s="34" t="str">
        <f>IF(Ingreso!E10='Lista de Precios'!$C$6,"N",IF(Ingreso!E10='Lista de Precios'!$D$6,"B",IF(Ingreso!E10='Lista de Precios'!$E$6,"C",IF(Ingreso!E10='Lista de Precios'!$F$6,"P",0))))</f>
        <v>C</v>
      </c>
      <c r="G6" s="34" t="str">
        <f>IF(Ingreso!E11='Lista de Precios'!$C$6,"N",IF(Ingreso!E11='Lista de Precios'!$D$6,"B",IF(Ingreso!E11='Lista de Precios'!$E$6,"C",IF(Ingreso!E11='Lista de Precios'!$F$6,"P",0))))</f>
        <v>B</v>
      </c>
      <c r="H6" s="34" t="str">
        <f>IF(Ingreso!E12='Lista de Precios'!$C$6,"N",IF(Ingreso!E12='Lista de Precios'!$D$6,"B",IF(Ingreso!E12='Lista de Precios'!$E$6,"C",IF(Ingreso!E12='Lista de Precios'!$F$6,"P",0))))</f>
        <v>C</v>
      </c>
      <c r="I6" s="34" t="str">
        <f>IF(Ingreso!E13='Lista de Precios'!$C$6,"N",IF(Ingreso!E13='Lista de Precios'!$D$6,"B",IF(Ingreso!E13='Lista de Precios'!$E$6,"C",IF(Ingreso!E13='Lista de Precios'!$F$6,"P",0))))</f>
        <v>N</v>
      </c>
      <c r="J6" s="34"/>
      <c r="K6" s="35">
        <f>Ingreso!Q14</f>
        <v>6030</v>
      </c>
    </row>
    <row r="7" spans="3:11" x14ac:dyDescent="0.25">
      <c r="C7" s="34" t="str">
        <f>IF(Ingreso!F7='Lista de Precios'!$C$8,"N",IF(Ingreso!F7='Lista de Precios'!$D$8,"M",IF(Ingreso!F7='Lista de Precios'!$E$8,"B",IF(Ingreso!F7='Lista de Precios'!$F$8,"A",IF(Ingreso!F7='Lista de Precios'!$G$8,"C",0)))))</f>
        <v>M</v>
      </c>
      <c r="D7" s="34" t="str">
        <f>IF(Ingreso!F8='Lista de Precios'!$C$8,"N",IF(Ingreso!F8='Lista de Precios'!$D$8,"M",IF(Ingreso!F8='Lista de Precios'!$E$8,"B",IF(Ingreso!F8='Lista de Precios'!$F$8,"A",IF(Ingreso!F8='Lista de Precios'!$G$8,"C",0)))))</f>
        <v>B</v>
      </c>
      <c r="E7" s="34" t="str">
        <f>IF(Ingreso!F9='Lista de Precios'!$C$8,"N",IF(Ingreso!F9='Lista de Precios'!$D$8,"M",IF(Ingreso!F9='Lista de Precios'!$E$8,"B",IF(Ingreso!F9='Lista de Precios'!$F$8,"A",IF(Ingreso!F9='Lista de Precios'!$G$8,"C",0)))))</f>
        <v>A</v>
      </c>
      <c r="F7" s="34" t="str">
        <f>IF(Ingreso!F10='Lista de Precios'!$C$8,"N",IF(Ingreso!F10='Lista de Precios'!$D$8,"M",IF(Ingreso!F10='Lista de Precios'!$E$8,"B",IF(Ingreso!F10='Lista de Precios'!$F$8,"A",IF(Ingreso!F10='Lista de Precios'!$G$8,"C",0)))))</f>
        <v>C</v>
      </c>
      <c r="G7" s="34" t="str">
        <f>IF(Ingreso!F11='Lista de Precios'!$C$8,"N",IF(Ingreso!F11='Lista de Precios'!$D$8,"M",IF(Ingreso!F11='Lista de Precios'!$E$8,"B",IF(Ingreso!F11='Lista de Precios'!$F$8,"A",IF(Ingreso!F11='Lista de Precios'!$G$8,"C",0)))))</f>
        <v>N</v>
      </c>
      <c r="H7" s="34" t="str">
        <f>IF(Ingreso!F12='Lista de Precios'!$C$8,"N",IF(Ingreso!F12='Lista de Precios'!$D$8,"M",IF(Ingreso!F12='Lista de Precios'!$E$8,"B",IF(Ingreso!F12='Lista de Precios'!$F$8,"A",IF(Ingreso!F12='Lista de Precios'!$G$8,"C",0)))))</f>
        <v>N</v>
      </c>
      <c r="I7" s="34" t="str">
        <f>IF(Ingreso!F13='Lista de Precios'!$C$8,"N",IF(Ingreso!F13='Lista de Precios'!$D$8,"M",IF(Ingreso!F13='Lista de Precios'!$E$8,"B",IF(Ingreso!F13='Lista de Precios'!$F$8,"A",IF(Ingreso!F13='Lista de Precios'!$G$8,"C",0)))))</f>
        <v>N</v>
      </c>
      <c r="J7" s="34"/>
      <c r="K7" s="35">
        <f>Ingreso!R14</f>
        <v>6425</v>
      </c>
    </row>
    <row r="8" spans="3:11" x14ac:dyDescent="0.25">
      <c r="C8" s="41">
        <f>Ingreso!T7</f>
        <v>0</v>
      </c>
      <c r="D8" s="41">
        <f>Ingreso!T8</f>
        <v>10</v>
      </c>
      <c r="E8" s="41">
        <f>Ingreso!T9</f>
        <v>10</v>
      </c>
      <c r="F8" s="41">
        <f>Ingreso!T10</f>
        <v>10</v>
      </c>
      <c r="G8" s="41">
        <f>Ingreso!T11</f>
        <v>10</v>
      </c>
      <c r="H8" s="41">
        <f>Ingreso!T12</f>
        <v>15</v>
      </c>
      <c r="I8" s="41">
        <f>Ingreso!T13</f>
        <v>10</v>
      </c>
      <c r="J8" s="34"/>
      <c r="K8" s="35">
        <f>Ingreso!U14</f>
        <v>3331.3</v>
      </c>
    </row>
    <row r="9" spans="3:11" x14ac:dyDescent="0.25">
      <c r="K9" s="43">
        <f>K4+K5+K6+K7-K8</f>
        <v>26616.7</v>
      </c>
    </row>
    <row r="10" spans="3:11" ht="4.5" customHeight="1" x14ac:dyDescent="0.25"/>
    <row r="11" spans="3:11" x14ac:dyDescent="0.25">
      <c r="C11" s="44">
        <f>IF(Ingreso!K22=1,'Lista de Precios'!C21,IF(Ingreso!K22=2,'Lista de Precios'!E21,IF(Ingreso!K22=3,'Lista de Precios'!D21,0)))</f>
        <v>2200</v>
      </c>
      <c r="D11" s="44"/>
      <c r="E11" s="44"/>
      <c r="K11" s="45">
        <f>IF(Ingreso!K19=TRUE,'Lista de Precios'!C17,0)</f>
        <v>100</v>
      </c>
    </row>
    <row r="12" spans="3:11" x14ac:dyDescent="0.25">
      <c r="C12" s="44">
        <f>IF(Ingreso!K17=TRUE,'Lista de Precios'!C15,0)</f>
        <v>160</v>
      </c>
      <c r="D12" s="44"/>
      <c r="E12" s="44"/>
      <c r="K12" s="45">
        <f>IF(Ingreso!K20=TRUE,'Lista de Precios'!C18,0)</f>
        <v>70</v>
      </c>
    </row>
    <row r="13" spans="3:11" x14ac:dyDescent="0.25">
      <c r="C13" s="44">
        <f>IF(Ingreso!K18=TRUE,'Lista de Precios'!C16,0)</f>
        <v>300</v>
      </c>
      <c r="D13" s="44"/>
      <c r="E13" s="44"/>
    </row>
    <row r="14" spans="3:11" x14ac:dyDescent="0.25">
      <c r="K14" s="31">
        <f>SUM(C11,C12,C13,K11,K12)</f>
        <v>2830</v>
      </c>
    </row>
    <row r="15" spans="3:11" ht="4.5" customHeight="1" x14ac:dyDescent="0.25"/>
    <row r="17" spans="2:11" x14ac:dyDescent="0.25">
      <c r="B17" s="46" t="str">
        <f>Ingreso!K23</f>
        <v>El dia de hoy se ha danado el motor de la heladera, el tecnico vendra manana</v>
      </c>
      <c r="C17" s="46"/>
      <c r="D17" s="46"/>
      <c r="E17" s="46"/>
      <c r="F17" s="46"/>
      <c r="G17" s="46"/>
      <c r="H17" s="46"/>
      <c r="I17" s="46"/>
      <c r="J17" s="46"/>
      <c r="K17" s="46"/>
    </row>
    <row r="18" spans="2:11" x14ac:dyDescent="0.25">
      <c r="B18" s="46"/>
      <c r="C18" s="46"/>
      <c r="D18" s="46"/>
      <c r="E18" s="46"/>
      <c r="F18" s="46"/>
      <c r="G18" s="46"/>
      <c r="H18" s="46"/>
      <c r="I18" s="46"/>
      <c r="J18" s="46"/>
      <c r="K18" s="46"/>
    </row>
    <row r="19" spans="2:11" ht="6.75" customHeight="1" x14ac:dyDescent="0.25"/>
    <row r="21" spans="2:11" x14ac:dyDescent="0.25">
      <c r="B21" s="47" t="str">
        <f>"El dia de hoy han habido ingresos por un total de "&amp;TEXT(K9,"$0,00")&amp;", y egresos por un total de "&amp;TEXT(K14,"$0")&amp;". Por lo tanto el saldo final del dia de la fecha "&amp;TEXT(I2,"dd/mm/aaaa")&amp;" ha sido de "&amp;TEXT(K9-K14,"$0")</f>
        <v>El dia de hoy han habido ingresos por un total de $26,617, y egresos por un total de $2830. Por lo tanto el saldo final del dia de la fecha 27/06/2021 ha sido de $23787</v>
      </c>
      <c r="C21" s="47"/>
      <c r="D21" s="47"/>
      <c r="E21" s="47"/>
      <c r="F21" s="47"/>
      <c r="G21" s="47"/>
      <c r="H21" s="47"/>
      <c r="I21" s="47"/>
      <c r="J21" s="47"/>
      <c r="K21" s="47"/>
    </row>
    <row r="22" spans="2:11" x14ac:dyDescent="0.25">
      <c r="B22" s="47"/>
      <c r="C22" s="47"/>
      <c r="D22" s="47"/>
      <c r="E22" s="47"/>
      <c r="F22" s="47"/>
      <c r="G22" s="47"/>
      <c r="H22" s="47"/>
      <c r="I22" s="47"/>
      <c r="J22" s="47"/>
      <c r="K22" s="47"/>
    </row>
    <row r="23" spans="2:11" x14ac:dyDescent="0.25">
      <c r="B23" s="47"/>
      <c r="C23" s="47"/>
      <c r="D23" s="47"/>
      <c r="E23" s="47"/>
      <c r="F23" s="47"/>
      <c r="G23" s="47"/>
      <c r="H23" s="47"/>
      <c r="I23" s="47"/>
      <c r="J23" s="47"/>
      <c r="K23" s="47"/>
    </row>
    <row r="24" spans="2:11" x14ac:dyDescent="0.25">
      <c r="B24" s="47"/>
      <c r="C24" s="47"/>
      <c r="D24" s="47"/>
      <c r="E24" s="47"/>
      <c r="F24" s="47"/>
      <c r="G24" s="47"/>
      <c r="H24" s="47"/>
      <c r="I24" s="47"/>
      <c r="J24" s="47"/>
      <c r="K24" s="47"/>
    </row>
    <row r="25" spans="2:11" x14ac:dyDescent="0.25">
      <c r="C25" s="24"/>
      <c r="D25" s="24"/>
      <c r="E25" s="24"/>
      <c r="F25" s="24"/>
      <c r="G25" s="24"/>
      <c r="H25" s="24"/>
      <c r="I25" s="24"/>
      <c r="J25" s="24"/>
      <c r="K25" s="24"/>
    </row>
  </sheetData>
  <mergeCells count="8">
    <mergeCell ref="B21:K24"/>
    <mergeCell ref="C25:K25"/>
    <mergeCell ref="C2:E2"/>
    <mergeCell ref="I2:K2"/>
    <mergeCell ref="C11:E11"/>
    <mergeCell ref="C12:E12"/>
    <mergeCell ref="C13:E13"/>
    <mergeCell ref="B17:K18"/>
  </mergeCells>
  <conditionalFormatting sqref="K4">
    <cfRule type="cellIs" dxfId="1" priority="4" operator="greaterThan">
      <formula>15000</formula>
    </cfRule>
  </conditionalFormatting>
  <conditionalFormatting sqref="C4:I4">
    <cfRule type="top10" dxfId="0" priority="1" rank="1"/>
  </conditionalFormatting>
  <pageMargins left="0.7" right="0.7" top="0.75" bottom="0.75" header="0.3" footer="0.3"/>
  <picture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Ingreso</vt:lpstr>
      <vt:lpstr>Lista de Precios</vt:lpstr>
      <vt:lpstr>Resumen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FedeG</dc:creator>
  <cp:lastModifiedBy>David Cisneros</cp:lastModifiedBy>
  <dcterms:created xsi:type="dcterms:W3CDTF">2020-07-02T17:13:41Z</dcterms:created>
  <dcterms:modified xsi:type="dcterms:W3CDTF">2020-09-16T06:06:36Z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56215628-6b3f-4134-a048-f904462c3a93</vt:lpwstr>
  </property>
</Properties>
</file>