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000\Presupuestos\"/>
    </mc:Choice>
  </mc:AlternateContent>
  <xr:revisionPtr revIDLastSave="0" documentId="13_ncr:1_{177F513A-BE8A-4D48-B24E-8738DBE4A5E0}" xr6:coauthVersionLast="45" xr6:coauthVersionMax="45" xr10:uidLastSave="{00000000-0000-0000-0000-000000000000}"/>
  <bookViews>
    <workbookView xWindow="3525" yWindow="4185" windowWidth="21600" windowHeight="11385" activeTab="2" xr2:uid="{00000000-000D-0000-FFFF-FFFF00000000}"/>
  </bookViews>
  <sheets>
    <sheet name="Presupuestos" sheetId="1" r:id="rId1"/>
    <sheet name="Cobrar,Pagar,Caja" sheetId="2" r:id="rId2"/>
    <sheet name="Balance Gener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C71" i="1"/>
  <c r="D40" i="3"/>
  <c r="D48" i="3"/>
  <c r="F32" i="3"/>
  <c r="H51" i="2"/>
  <c r="B45" i="3"/>
  <c r="B43" i="3"/>
  <c r="B47" i="3"/>
  <c r="B35" i="3"/>
  <c r="B34" i="3"/>
  <c r="B33" i="3"/>
  <c r="B32" i="3"/>
  <c r="F36" i="3"/>
  <c r="D90" i="2"/>
  <c r="C90" i="2"/>
  <c r="D88" i="2"/>
  <c r="C88" i="2"/>
  <c r="D41" i="2"/>
  <c r="C36" i="2"/>
  <c r="B68" i="1"/>
  <c r="C68" i="1"/>
  <c r="D68" i="1"/>
  <c r="C47" i="1"/>
  <c r="D47" i="1"/>
  <c r="B47" i="1"/>
  <c r="B71" i="1"/>
  <c r="C74" i="2"/>
  <c r="C86" i="1"/>
  <c r="D86" i="1"/>
  <c r="B86" i="1"/>
  <c r="B69" i="2"/>
  <c r="C69" i="2"/>
  <c r="D69" i="2"/>
  <c r="B55" i="2"/>
  <c r="B24" i="1"/>
  <c r="D24" i="1"/>
  <c r="C24" i="1"/>
  <c r="B22" i="1"/>
  <c r="C22" i="1"/>
  <c r="C31" i="1"/>
  <c r="D31" i="1"/>
  <c r="B31" i="1"/>
  <c r="D38" i="1"/>
  <c r="C38" i="1"/>
  <c r="B38" i="1"/>
  <c r="F68" i="2"/>
  <c r="C10" i="2"/>
  <c r="C34" i="2"/>
  <c r="A41" i="2" s="1"/>
  <c r="D34" i="2"/>
  <c r="A42" i="2" s="1"/>
  <c r="E34" i="2"/>
  <c r="A43" i="2" s="1"/>
  <c r="F34" i="2"/>
  <c r="A44" i="2" s="1"/>
  <c r="G34" i="2"/>
  <c r="A45" i="2" s="1"/>
  <c r="H34" i="2"/>
  <c r="A46" i="2" s="1"/>
  <c r="B34" i="2"/>
  <c r="A40" i="2" s="1"/>
  <c r="E21" i="1"/>
  <c r="D22" i="1" s="1"/>
  <c r="E19" i="1"/>
  <c r="D14" i="1"/>
  <c r="C14" i="1"/>
  <c r="E11" i="1"/>
  <c r="C12" i="1"/>
  <c r="D12" i="1"/>
  <c r="B12" i="1"/>
  <c r="B24" i="2"/>
  <c r="E10" i="2"/>
  <c r="F10" i="2"/>
  <c r="D10" i="2"/>
  <c r="A15" i="2"/>
  <c r="H50" i="2"/>
  <c r="A21" i="2"/>
  <c r="A20" i="2"/>
  <c r="A19" i="2"/>
  <c r="A18" i="2"/>
  <c r="A17" i="2"/>
  <c r="A16" i="2"/>
  <c r="C64" i="2" l="1"/>
  <c r="D64" i="2"/>
  <c r="C70" i="2"/>
  <c r="D70" i="2"/>
  <c r="C7" i="1"/>
  <c r="C81" i="1" s="1"/>
  <c r="D7" i="1"/>
  <c r="D81" i="1" s="1"/>
  <c r="C10" i="1"/>
  <c r="C44" i="1" s="1"/>
  <c r="D10" i="1"/>
  <c r="D44" i="1" s="1"/>
  <c r="C11" i="1"/>
  <c r="D11" i="1"/>
  <c r="D13" i="1" s="1"/>
  <c r="D15" i="1" s="1"/>
  <c r="C13" i="1"/>
  <c r="C15" i="1" s="1"/>
  <c r="C18" i="1"/>
  <c r="C62" i="1" s="1"/>
  <c r="D18" i="1"/>
  <c r="C33" i="1"/>
  <c r="D33" i="1"/>
  <c r="C49" i="1"/>
  <c r="C65" i="1" s="1"/>
  <c r="D49" i="1"/>
  <c r="D65" i="1" s="1"/>
  <c r="C52" i="1"/>
  <c r="D52" i="1"/>
  <c r="C53" i="1"/>
  <c r="D53" i="1"/>
  <c r="D55" i="1" s="1"/>
  <c r="C55" i="1"/>
  <c r="C58" i="1"/>
  <c r="D58" i="1"/>
  <c r="D62" i="1"/>
  <c r="C80" i="1"/>
  <c r="D80" i="1"/>
  <c r="C68" i="2" l="1"/>
  <c r="D68" i="2"/>
  <c r="D30" i="1"/>
  <c r="D32" i="1" s="1"/>
  <c r="D34" i="1" s="1"/>
  <c r="D19" i="1"/>
  <c r="D21" i="1" s="1"/>
  <c r="D23" i="1" s="1"/>
  <c r="D25" i="1" s="1"/>
  <c r="D27" i="1" s="1"/>
  <c r="D37" i="1"/>
  <c r="D39" i="1" s="1"/>
  <c r="D67" i="1"/>
  <c r="C19" i="1"/>
  <c r="C21" i="1" s="1"/>
  <c r="C23" i="1" s="1"/>
  <c r="C25" i="1" s="1"/>
  <c r="C27" i="1" s="1"/>
  <c r="C37" i="1"/>
  <c r="C39" i="1" s="1"/>
  <c r="C67" i="1"/>
  <c r="C30" i="1"/>
  <c r="C32" i="1" s="1"/>
  <c r="C34" i="1" s="1"/>
  <c r="D22" i="3"/>
  <c r="H39" i="3"/>
  <c r="F38" i="3"/>
  <c r="E11" i="2"/>
  <c r="F11" i="2"/>
  <c r="E12" i="2"/>
  <c r="C58" i="2" s="1"/>
  <c r="F12" i="2"/>
  <c r="D58" i="2" s="1"/>
  <c r="B37" i="2"/>
  <c r="C37" i="2"/>
  <c r="B36" i="2"/>
  <c r="D56" i="1" l="1"/>
  <c r="D57" i="1" s="1"/>
  <c r="D59" i="1" s="1"/>
  <c r="D63" i="1" s="1"/>
  <c r="D66" i="1" s="1"/>
  <c r="D72" i="1" s="1"/>
  <c r="D73" i="1" s="1"/>
  <c r="F35" i="2"/>
  <c r="C56" i="1"/>
  <c r="C57" i="1" s="1"/>
  <c r="C59" i="1" s="1"/>
  <c r="C63" i="1" s="1"/>
  <c r="C66" i="1" s="1"/>
  <c r="C72" i="1" s="1"/>
  <c r="C73" i="1" s="1"/>
  <c r="E35" i="2"/>
  <c r="H19" i="2"/>
  <c r="H24" i="2" s="1"/>
  <c r="G19" i="2"/>
  <c r="G18" i="2"/>
  <c r="G24" i="2" s="1"/>
  <c r="H25" i="2" s="1"/>
  <c r="F18" i="2"/>
  <c r="D41" i="1"/>
  <c r="D45" i="1"/>
  <c r="C41" i="1"/>
  <c r="C45" i="1"/>
  <c r="H14" i="3"/>
  <c r="F35" i="3"/>
  <c r="F33" i="3"/>
  <c r="B44" i="3"/>
  <c r="F46" i="3"/>
  <c r="F45" i="3"/>
  <c r="B46" i="3"/>
  <c r="B42" i="3"/>
  <c r="D15" i="3"/>
  <c r="B50" i="2"/>
  <c r="C50" i="2"/>
  <c r="D50" i="2"/>
  <c r="B66" i="2" s="1"/>
  <c r="B80" i="1"/>
  <c r="B33" i="1"/>
  <c r="C12" i="2"/>
  <c r="C11" i="2"/>
  <c r="B12" i="2"/>
  <c r="B11" i="2"/>
  <c r="D15" i="2" l="1"/>
  <c r="D24" i="2" s="1"/>
  <c r="B59" i="2" s="1"/>
  <c r="C15" i="2"/>
  <c r="C24" i="2" s="1"/>
  <c r="E16" i="2"/>
  <c r="D16" i="2"/>
  <c r="C74" i="1"/>
  <c r="C91" i="1" s="1"/>
  <c r="E36" i="2"/>
  <c r="F43" i="2" s="1"/>
  <c r="F50" i="2" s="1"/>
  <c r="D66" i="2" s="1"/>
  <c r="E37" i="2"/>
  <c r="C65" i="2" s="1"/>
  <c r="D74" i="1"/>
  <c r="D91" i="1" s="1"/>
  <c r="F37" i="2"/>
  <c r="D65" i="2" s="1"/>
  <c r="F36" i="2"/>
  <c r="G44" i="2" s="1"/>
  <c r="G50" i="2" s="1"/>
  <c r="D64" i="1"/>
  <c r="D67" i="2"/>
  <c r="C64" i="1"/>
  <c r="C67" i="2"/>
  <c r="D23" i="3"/>
  <c r="B49" i="1"/>
  <c r="B68" i="2" s="1"/>
  <c r="D71" i="2" l="1"/>
  <c r="D76" i="2" s="1"/>
  <c r="C75" i="1"/>
  <c r="C82" i="1" s="1"/>
  <c r="C83" i="1" s="1"/>
  <c r="C87" i="1" s="1"/>
  <c r="C88" i="1" s="1"/>
  <c r="D75" i="1"/>
  <c r="D82" i="1" s="1"/>
  <c r="D83" i="1" s="1"/>
  <c r="D87" i="1" s="1"/>
  <c r="D88" i="1" s="1"/>
  <c r="D89" i="1" s="1"/>
  <c r="B58" i="1"/>
  <c r="C89" i="1" l="1"/>
  <c r="E89" i="1" s="1"/>
  <c r="F47" i="3" s="1"/>
  <c r="H48" i="3" s="1"/>
  <c r="E88" i="1"/>
  <c r="F34" i="3" s="1"/>
  <c r="H36" i="3" s="1"/>
  <c r="A49" i="1"/>
  <c r="B53" i="1"/>
  <c r="H11" i="3" l="1"/>
  <c r="H15" i="3" s="1"/>
  <c r="B64" i="2"/>
  <c r="A24" i="2"/>
  <c r="A50" i="2"/>
  <c r="G21" i="3"/>
  <c r="G23" i="3" l="1"/>
  <c r="E25" i="3" s="1"/>
  <c r="B55" i="1" l="1"/>
  <c r="E18" i="1" l="1"/>
  <c r="E10" i="1"/>
  <c r="A75" i="1" l="1"/>
  <c r="A59" i="1"/>
  <c r="B52" i="1"/>
  <c r="A41" i="1"/>
  <c r="A37" i="1"/>
  <c r="A34" i="1"/>
  <c r="A30" i="1"/>
  <c r="A27" i="1"/>
  <c r="A22" i="1"/>
  <c r="B18" i="1"/>
  <c r="B62" i="1" s="1"/>
  <c r="A15" i="1"/>
  <c r="A11" i="1"/>
  <c r="B10" i="1"/>
  <c r="B44" i="1" s="1"/>
  <c r="B7" i="1"/>
  <c r="B70" i="2" s="1"/>
  <c r="B11" i="1"/>
  <c r="D12" i="2" l="1"/>
  <c r="B58" i="2" s="1"/>
  <c r="B60" i="2" s="1"/>
  <c r="B62" i="2" s="1"/>
  <c r="B81" i="1"/>
  <c r="D11" i="2" l="1"/>
  <c r="B13" i="1"/>
  <c r="B15" i="1" s="1"/>
  <c r="E17" i="2" l="1"/>
  <c r="E24" i="2" s="1"/>
  <c r="C59" i="2" s="1"/>
  <c r="C60" i="2" s="1"/>
  <c r="F17" i="2"/>
  <c r="F24" i="2" s="1"/>
  <c r="D59" i="2" s="1"/>
  <c r="D60" i="2" s="1"/>
  <c r="B67" i="1"/>
  <c r="B37" i="1"/>
  <c r="B39" i="1" s="1"/>
  <c r="B45" i="1" s="1"/>
  <c r="B30" i="1"/>
  <c r="B32" i="1" s="1"/>
  <c r="B34" i="1" s="1"/>
  <c r="B19" i="1"/>
  <c r="B41" i="1" l="1"/>
  <c r="B67" i="2" s="1"/>
  <c r="B21" i="1"/>
  <c r="B23" i="1" s="1"/>
  <c r="B25" i="1" s="1"/>
  <c r="B27" i="1" l="1"/>
  <c r="D35" i="2" s="1"/>
  <c r="D37" i="2" s="1"/>
  <c r="B65" i="2" s="1"/>
  <c r="B65" i="1"/>
  <c r="B64" i="1"/>
  <c r="B56" i="1" l="1"/>
  <c r="B57" i="1" s="1"/>
  <c r="B59" i="1" s="1"/>
  <c r="B63" i="1" s="1"/>
  <c r="B66" i="1" s="1"/>
  <c r="B72" i="1" s="1"/>
  <c r="B73" i="1" s="1"/>
  <c r="D36" i="2"/>
  <c r="E50" i="2" l="1"/>
  <c r="E42" i="2"/>
  <c r="B71" i="2"/>
  <c r="B76" i="2" s="1"/>
  <c r="B78" i="2" s="1"/>
  <c r="B89" i="2" s="1"/>
  <c r="B91" i="2" s="1"/>
  <c r="B80" i="2" s="1"/>
  <c r="B74" i="1"/>
  <c r="B75" i="1" s="1"/>
  <c r="C66" i="2" l="1"/>
  <c r="C71" i="2" s="1"/>
  <c r="C76" i="2" s="1"/>
  <c r="B83" i="2"/>
  <c r="B91" i="1"/>
  <c r="D49" i="3" l="1"/>
  <c r="C55" i="2"/>
  <c r="C62" i="2" s="1"/>
  <c r="C78" i="2" s="1"/>
  <c r="C89" i="2" s="1"/>
  <c r="C91" i="2" s="1"/>
  <c r="C80" i="2" s="1"/>
  <c r="C83" i="2" s="1"/>
  <c r="D55" i="2" s="1"/>
  <c r="D62" i="2" s="1"/>
  <c r="D78" i="2" s="1"/>
  <c r="D89" i="2" s="1"/>
  <c r="D91" i="2" s="1"/>
  <c r="D80" i="2" s="1"/>
  <c r="D83" i="2" s="1"/>
  <c r="B82" i="1"/>
  <c r="B83" i="1" s="1"/>
  <c r="B87" i="1" s="1"/>
  <c r="B88" i="1" l="1"/>
  <c r="H40" i="3" l="1"/>
  <c r="B89" i="1"/>
  <c r="H49" i="3" l="1"/>
  <c r="E5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12" authorId="0" shapeId="0" xr:uid="{A002DE17-FB01-4723-BF88-A7FA57562BB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producto terminado</t>
        </r>
      </text>
    </comment>
    <comment ref="A22" authorId="0" shapeId="0" xr:uid="{5068C12B-14CA-4481-BE91-BB50F7E759C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de producto terminado</t>
        </r>
      </text>
    </comment>
    <comment ref="A46" authorId="0" shapeId="0" xr:uid="{61C7C439-4509-48B7-8D9D-AE494E8386F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Si no lo dan plantear una ecuación.
Son todos los costos variables especificados en el enunciado.</t>
        </r>
      </text>
    </comment>
    <comment ref="A48" authorId="0" shapeId="0" xr:uid="{30284CBB-BC75-47EA-905A-C2919BD3105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Todos los costos fijos.</t>
        </r>
      </text>
    </comment>
    <comment ref="A54" authorId="0" shapeId="0" xr:uid="{E69FE55F-4074-4504-86DC-C1E5088922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Si no lo dan, mirar el balance general e intentar plantear una ecuación.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55" authorId="0" shapeId="0" xr:uid="{679EC236-3747-4620-AE7B-4968E62DD57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O te lo dan, o es caja y bancos del balance general. </t>
        </r>
      </text>
    </comment>
    <comment ref="A59" authorId="0" shapeId="0" xr:uid="{E936DB7F-1FC0-4286-8649-64E8A2F1914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Total del mes, AGUAS!</t>
        </r>
      </text>
    </comment>
    <comment ref="A64" authorId="0" shapeId="0" xr:uid="{042F545F-4AAC-4E5B-893F-D9F969F2617E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RECORDAR DEPRECIACIÓN</t>
        </r>
      </text>
    </comment>
    <comment ref="G68" authorId="0" shapeId="0" xr:uid="{9E8BD22A-6604-4A47-AC65-E7D611865E0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Costos indirectos de fabricación depreciación.</t>
        </r>
      </text>
    </comment>
    <comment ref="G69" authorId="0" shapeId="0" xr:uid="{0520F14D-9A6D-48FA-9422-D24E1A257C5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Gastos de administración.</t>
        </r>
      </text>
    </comment>
    <comment ref="A73" authorId="0" shapeId="0" xr:uid="{6FC5363A-D187-4102-801A-BE06E7DCB4E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Aca se ponene lo prestamos en cuyo caso haya.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33" authorId="0" shapeId="0" xr:uid="{0B1BAB15-5F46-4199-A2E5-C9E5E090E60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Es el pendiente, el total de los otros meses.</t>
        </r>
      </text>
    </comment>
    <comment ref="E34" authorId="0" shapeId="0" xr:uid="{46C13BCF-9A0D-4B3B-897B-E9C94D381B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Agarrar la suma de los meses en cuestión.</t>
        </r>
      </text>
    </comment>
    <comment ref="A43" authorId="0" shapeId="0" xr:uid="{1B86C20F-2440-4579-A9A9-3C4CD87B5282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Mulitplicar la depreciación por el número de meses, en este caso 3</t>
        </r>
      </text>
    </comment>
  </commentList>
</comments>
</file>

<file path=xl/sharedStrings.xml><?xml version="1.0" encoding="utf-8"?>
<sst xmlns="http://schemas.openxmlformats.org/spreadsheetml/2006/main" count="194" uniqueCount="142">
  <si>
    <t>Presupuesto de Ventas</t>
  </si>
  <si>
    <t>Octubre</t>
  </si>
  <si>
    <t>Noviembre</t>
  </si>
  <si>
    <t>Diciembre</t>
  </si>
  <si>
    <t>Enero</t>
  </si>
  <si>
    <t>Unidades a Producir</t>
  </si>
  <si>
    <t>Precio por Unidad</t>
  </si>
  <si>
    <t>Presupuesto de Produccion en Units</t>
  </si>
  <si>
    <t>(+)Inv. Final Deseado</t>
  </si>
  <si>
    <t>Necesidades en Units</t>
  </si>
  <si>
    <t>(-)Inv. Inicial Deseado</t>
  </si>
  <si>
    <t>Presupuesto de Compra de Materiales Directos</t>
  </si>
  <si>
    <t>Presupuesto de Produccion</t>
  </si>
  <si>
    <t>Unidades de Material Requerido</t>
  </si>
  <si>
    <t>Materiales para la Produccion</t>
  </si>
  <si>
    <t>Presupuesto de Compra en Units</t>
  </si>
  <si>
    <t>Costo por Unidad</t>
  </si>
  <si>
    <t>Presupuesto de Consumo de Materiales Directos</t>
  </si>
  <si>
    <t>Presupuesto de Mano de Obra Directa</t>
  </si>
  <si>
    <t>HH necesarias para producir</t>
  </si>
  <si>
    <t>Total HH para producir</t>
  </si>
  <si>
    <t>Costo por H</t>
  </si>
  <si>
    <t>Presupuesto Costos Indirectos de Fabricacion</t>
  </si>
  <si>
    <t>Horas Hombres Necesarias</t>
  </si>
  <si>
    <t>Costo por HH de Costos y Gastos Variables</t>
  </si>
  <si>
    <t>Total de Costos y Gastos Variables</t>
  </si>
  <si>
    <t>(+) Costos y Gastos Fijos</t>
  </si>
  <si>
    <t>Presupuesto Costo de Materiales Directos</t>
  </si>
  <si>
    <t>Produccion de Materiles Directos</t>
  </si>
  <si>
    <t>Precio de Compra</t>
  </si>
  <si>
    <t>Inventario Inicial de Materiales Directos</t>
  </si>
  <si>
    <t>(+) Compras</t>
  </si>
  <si>
    <t>Materiales Directos Disponibles</t>
  </si>
  <si>
    <t>(-)Inv. Final Deseado</t>
  </si>
  <si>
    <t>Presupuesto Costo de Produccion</t>
  </si>
  <si>
    <t>Presupuesto costo mat. Directo</t>
  </si>
  <si>
    <t>Presupuesto de MOD</t>
  </si>
  <si>
    <t>Presupuesto de Costos Ind. De Fab</t>
  </si>
  <si>
    <t>Costo de Produccion por Unidad</t>
  </si>
  <si>
    <t>Presupuesto de Costo de Ventas</t>
  </si>
  <si>
    <t>Inventario Inicial de Producto Terminado</t>
  </si>
  <si>
    <t>Presupuesto de Costo de Produccion</t>
  </si>
  <si>
    <t>Diponible para la Venta</t>
  </si>
  <si>
    <t>(-) Inv. Final Deseado de Producto Terminado</t>
  </si>
  <si>
    <t>ESTADO DE RESULTADOS PROYECTADO</t>
  </si>
  <si>
    <t>Ventas</t>
  </si>
  <si>
    <t>(-) Costo de ventas</t>
  </si>
  <si>
    <t>Utilidad Bruta en ventas</t>
  </si>
  <si>
    <t>(-) Gastos de Operacion</t>
  </si>
  <si>
    <t>Gastos de Venta</t>
  </si>
  <si>
    <t>Utilidad en Operacion</t>
  </si>
  <si>
    <t>ISR</t>
  </si>
  <si>
    <t>Utilidades Netas</t>
  </si>
  <si>
    <t>Valor del Inventario Final de Productos Terminados</t>
  </si>
  <si>
    <t>Presupuesto de Cuentas por Cobrar</t>
  </si>
  <si>
    <t>Presupuesto de Caja</t>
  </si>
  <si>
    <t>Saldo Inicial</t>
  </si>
  <si>
    <t>Presupuesto en ventas</t>
  </si>
  <si>
    <t>Entradas</t>
  </si>
  <si>
    <t>Ventas al credito</t>
  </si>
  <si>
    <t>Ventas al contado</t>
  </si>
  <si>
    <t>Cobros</t>
  </si>
  <si>
    <t>Total de ingresos</t>
  </si>
  <si>
    <t>DISPONIBLE</t>
  </si>
  <si>
    <t>Egresos</t>
  </si>
  <si>
    <t>PAGO PROVEEDORES CONTADO</t>
  </si>
  <si>
    <t>PAGO PROVEEDORES CREDITO</t>
  </si>
  <si>
    <t>Mano de obra directa</t>
  </si>
  <si>
    <t>Costos indirectos de fabricacion</t>
  </si>
  <si>
    <t xml:space="preserve">Gastos de administracion </t>
  </si>
  <si>
    <t>Presupuesto de Cuentas por Pagar</t>
  </si>
  <si>
    <t>Gastos de venta</t>
  </si>
  <si>
    <t>TOTAL DE EGRESOS</t>
  </si>
  <si>
    <t>Presupuesto en compras</t>
  </si>
  <si>
    <t>OTROS GASTOS</t>
  </si>
  <si>
    <t>Cuentas por pagar</t>
  </si>
  <si>
    <t>Pagos</t>
  </si>
  <si>
    <t>SALDO DE CAJA</t>
  </si>
  <si>
    <t>SALDO FINAL DE CAJA</t>
  </si>
  <si>
    <t>Balance general</t>
  </si>
  <si>
    <t>Activo</t>
  </si>
  <si>
    <t>Pasivo</t>
  </si>
  <si>
    <t>Corriente</t>
  </si>
  <si>
    <t>Caja y bancos</t>
  </si>
  <si>
    <t>Cuentas por cobrar</t>
  </si>
  <si>
    <t>Proveedores</t>
  </si>
  <si>
    <t>Inventario producto terminado</t>
  </si>
  <si>
    <t>Inventario material directo</t>
  </si>
  <si>
    <t>No corriente</t>
  </si>
  <si>
    <t>Total Pasivo</t>
  </si>
  <si>
    <t>Fábrica</t>
  </si>
  <si>
    <t>(-) Dep. Acum. Fab y maquinaria</t>
  </si>
  <si>
    <t>Mobiliario y equipo</t>
  </si>
  <si>
    <t>Capital</t>
  </si>
  <si>
    <t>(-) dep. Acum. Mobiliario y eq</t>
  </si>
  <si>
    <t>Capital pagado</t>
  </si>
  <si>
    <t>Utilidades retenidas</t>
  </si>
  <si>
    <t>Total Pasivo y Capital</t>
  </si>
  <si>
    <t>ISR por pagar</t>
  </si>
  <si>
    <t>Acreedores</t>
  </si>
  <si>
    <t>Cuentas por Pagar</t>
  </si>
  <si>
    <t>Prestamos a favor</t>
  </si>
  <si>
    <t>Gastos Anticipados</t>
  </si>
  <si>
    <t>compras al credito</t>
  </si>
  <si>
    <t>compras al contado</t>
  </si>
  <si>
    <t>Febrero</t>
  </si>
  <si>
    <t>Problemas, SA</t>
  </si>
  <si>
    <t>al 30 de Noviembre de 2019</t>
  </si>
  <si>
    <t>Contado:</t>
  </si>
  <si>
    <t>Crédito:</t>
  </si>
  <si>
    <t xml:space="preserve">Gastos de Administracion </t>
  </si>
  <si>
    <t>** por q sólo proveedores y no cxc??</t>
  </si>
  <si>
    <t>verificar si prestamos van aquí</t>
  </si>
  <si>
    <t>PRESTAMOS SI ES MENOR</t>
  </si>
  <si>
    <t xml:space="preserve">Por lo menos: </t>
  </si>
  <si>
    <t xml:space="preserve">Tiene que sacar prestamo: </t>
  </si>
  <si>
    <t xml:space="preserve">Total de activo corriente: </t>
  </si>
  <si>
    <t>Total de activo no corriente:</t>
  </si>
  <si>
    <t>Total Activo:</t>
  </si>
  <si>
    <t>Préstamos socios</t>
  </si>
  <si>
    <t xml:space="preserve">Total de pasivo no corriente: </t>
  </si>
  <si>
    <t xml:space="preserve">Total de pasivo corriente: </t>
  </si>
  <si>
    <t>al 30 de Diciembre de 2019</t>
  </si>
  <si>
    <t>Utilidad neta</t>
  </si>
  <si>
    <t xml:space="preserve">Total de capital: </t>
  </si>
  <si>
    <t>Costo Produccion por Unidad Noviembre</t>
  </si>
  <si>
    <t>PxP Pendiente:</t>
  </si>
  <si>
    <t>CxC Pendiente:</t>
  </si>
  <si>
    <t>CIF depreciación</t>
  </si>
  <si>
    <t>GA depreciación</t>
  </si>
  <si>
    <t>Multiplos de:</t>
  </si>
  <si>
    <t>Poner 1000 si dice mil, dejar blanco sino</t>
  </si>
  <si>
    <t>Total Prestamo:</t>
  </si>
  <si>
    <t>-</t>
  </si>
  <si>
    <t xml:space="preserve">Enero </t>
  </si>
  <si>
    <t xml:space="preserve">Agosto </t>
  </si>
  <si>
    <t>Septiembre</t>
  </si>
  <si>
    <t>Cost Materia Prima</t>
  </si>
  <si>
    <t>Vehículo</t>
  </si>
  <si>
    <t>Prestamos bancarios</t>
  </si>
  <si>
    <t>Vehículos</t>
  </si>
  <si>
    <t>Cantidad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</si>
</sst>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1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1" applyNumberFormat="1" applyFont="1" applyFill="1"/>
    <xf numFmtId="2" fontId="3" fillId="0" borderId="0" xfId="0" applyNumberFormat="1" applyFont="1"/>
    <xf numFmtId="0" fontId="2" fillId="0" borderId="0" xfId="0" applyFont="1" applyBorder="1"/>
    <xf numFmtId="0" fontId="2" fillId="0" borderId="0" xfId="0" applyFont="1" applyFill="1"/>
    <xf numFmtId="0" fontId="2" fillId="0" borderId="1" xfId="0" applyFont="1" applyFill="1" applyBorder="1"/>
    <xf numFmtId="0" fontId="5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6" fillId="0" borderId="5" xfId="0" applyFont="1" applyBorder="1"/>
    <xf numFmtId="0" fontId="6" fillId="0" borderId="0" xfId="0" applyFont="1" applyAlignment="1">
      <alignment horizontal="right"/>
    </xf>
    <xf numFmtId="0" fontId="2" fillId="0" borderId="6" xfId="0" applyFont="1" applyBorder="1"/>
    <xf numFmtId="0" fontId="2" fillId="0" borderId="5" xfId="0" applyFont="1" applyBorder="1"/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7" xfId="0" applyFont="1" applyBorder="1"/>
    <xf numFmtId="0" fontId="5" fillId="0" borderId="1" xfId="0" applyFont="1" applyBorder="1" applyAlignment="1">
      <alignment horizontal="right"/>
    </xf>
    <xf numFmtId="0" fontId="2" fillId="0" borderId="8" xfId="0" applyFont="1" applyBorder="1"/>
    <xf numFmtId="0" fontId="7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right"/>
    </xf>
    <xf numFmtId="0" fontId="2" fillId="0" borderId="2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0" borderId="0" xfId="0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3" fillId="0" borderId="10" xfId="0" applyFont="1" applyBorder="1"/>
    <xf numFmtId="2" fontId="2" fillId="0" borderId="0" xfId="0" applyNumberFormat="1" applyFont="1" applyBorder="1"/>
    <xf numFmtId="0" fontId="3" fillId="0" borderId="0" xfId="0" applyFont="1" applyBorder="1"/>
    <xf numFmtId="2" fontId="2" fillId="0" borderId="6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3" fillId="0" borderId="0" xfId="0" applyFont="1" applyAlignment="1">
      <alignment wrapText="1"/>
    </xf>
    <xf numFmtId="0" fontId="2" fillId="0" borderId="3" xfId="0" applyFont="1" applyFill="1" applyBorder="1"/>
    <xf numFmtId="0" fontId="11" fillId="2" borderId="0" xfId="0" applyFont="1" applyFill="1"/>
    <xf numFmtId="0" fontId="12" fillId="2" borderId="0" xfId="0" applyFont="1" applyFill="1"/>
    <xf numFmtId="2" fontId="2" fillId="0" borderId="3" xfId="0" applyNumberFormat="1" applyFont="1" applyBorder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2" fillId="2" borderId="0" xfId="0" applyNumberFormat="1" applyFont="1" applyFill="1"/>
    <xf numFmtId="2" fontId="3" fillId="2" borderId="0" xfId="0" applyNumberFormat="1" applyFont="1" applyFill="1"/>
    <xf numFmtId="2" fontId="2" fillId="0" borderId="1" xfId="0" applyNumberFormat="1" applyFont="1" applyBorder="1"/>
    <xf numFmtId="2" fontId="2" fillId="0" borderId="1" xfId="0" applyNumberFormat="1" applyFont="1" applyFill="1" applyBorder="1"/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opLeftCell="A67" zoomScale="97" workbookViewId="0">
      <selection activeCell="C71" sqref="C71:D71"/>
    </sheetView>
  </sheetViews>
  <sheetFormatPr baseColWidth="10" defaultColWidth="12.42578125" defaultRowHeight="15.75" x14ac:dyDescent="0.25"/>
  <cols>
    <col min="1" max="1" width="44.7109375" style="1" customWidth="1"/>
    <col min="2" max="2" width="18.85546875" style="2" customWidth="1"/>
    <col min="3" max="3" width="17.85546875" style="2" customWidth="1"/>
    <col min="4" max="4" width="17.5703125" style="2" customWidth="1"/>
    <col min="5" max="5" width="17.28515625" style="2" customWidth="1"/>
    <col min="6" max="6" width="12.42578125" style="3"/>
    <col min="7" max="16384" width="12.42578125" style="1"/>
  </cols>
  <sheetData>
    <row r="1" spans="1:7" x14ac:dyDescent="0.25">
      <c r="B1" s="55"/>
      <c r="C1" s="55"/>
      <c r="D1" s="55"/>
    </row>
    <row r="3" spans="1:7" x14ac:dyDescent="0.25">
      <c r="A3" s="31" t="s">
        <v>0</v>
      </c>
      <c r="B3" s="56"/>
      <c r="C3" s="56"/>
      <c r="D3" s="56"/>
    </row>
    <row r="4" spans="1:7" x14ac:dyDescent="0.25">
      <c r="B4" s="8" t="s">
        <v>1</v>
      </c>
      <c r="C4" s="8" t="s">
        <v>2</v>
      </c>
      <c r="D4" s="8" t="s">
        <v>3</v>
      </c>
      <c r="E4" s="8" t="s">
        <v>4</v>
      </c>
      <c r="G4" s="1" t="s">
        <v>141</v>
      </c>
    </row>
    <row r="5" spans="1:7" x14ac:dyDescent="0.25">
      <c r="A5" s="1" t="s">
        <v>5</v>
      </c>
      <c r="B5" s="54">
        <v>86300</v>
      </c>
      <c r="C5" s="54">
        <v>90250</v>
      </c>
      <c r="D5" s="54">
        <v>102460</v>
      </c>
      <c r="E5" s="2">
        <v>98750</v>
      </c>
      <c r="G5" s="1">
        <v>3</v>
      </c>
    </row>
    <row r="6" spans="1:7" x14ac:dyDescent="0.25">
      <c r="A6" s="4" t="s">
        <v>6</v>
      </c>
      <c r="B6" s="44">
        <v>45</v>
      </c>
      <c r="C6" s="44">
        <v>45</v>
      </c>
      <c r="D6" s="44">
        <v>45</v>
      </c>
    </row>
    <row r="7" spans="1:7" x14ac:dyDescent="0.25">
      <c r="A7" s="3" t="s">
        <v>0</v>
      </c>
      <c r="B7" s="48">
        <f>B6*B5</f>
        <v>3883500</v>
      </c>
      <c r="C7" s="48">
        <f t="shared" ref="C7:D7" si="0">C6*C5</f>
        <v>4061250</v>
      </c>
      <c r="D7" s="48">
        <f t="shared" si="0"/>
        <v>4610700</v>
      </c>
    </row>
    <row r="9" spans="1:7" x14ac:dyDescent="0.25">
      <c r="A9" s="31" t="s">
        <v>7</v>
      </c>
      <c r="B9" s="56"/>
      <c r="C9" s="56"/>
      <c r="D9" s="56"/>
    </row>
    <row r="10" spans="1:7" x14ac:dyDescent="0.25">
      <c r="B10" s="8" t="str">
        <f t="shared" ref="B10" si="1">B4</f>
        <v>Octubre</v>
      </c>
      <c r="C10" s="8" t="str">
        <f t="shared" ref="C10:D10" si="2">C4</f>
        <v>Noviembre</v>
      </c>
      <c r="D10" s="8" t="str">
        <f t="shared" si="2"/>
        <v>Diciembre</v>
      </c>
      <c r="E10" s="8" t="str">
        <f>E4</f>
        <v>Enero</v>
      </c>
    </row>
    <row r="11" spans="1:7" x14ac:dyDescent="0.25">
      <c r="A11" s="1" t="str">
        <f>A5</f>
        <v>Unidades a Producir</v>
      </c>
      <c r="B11" s="2">
        <f>B5</f>
        <v>86300</v>
      </c>
      <c r="C11" s="2">
        <f t="shared" ref="C11:D11" si="3">C5</f>
        <v>90250</v>
      </c>
      <c r="D11" s="2">
        <f t="shared" si="3"/>
        <v>102460</v>
      </c>
      <c r="E11" s="2">
        <f>E5</f>
        <v>98750</v>
      </c>
    </row>
    <row r="12" spans="1:7" x14ac:dyDescent="0.25">
      <c r="A12" s="4" t="s">
        <v>8</v>
      </c>
      <c r="B12" s="44">
        <f>C5*0.6</f>
        <v>54150</v>
      </c>
      <c r="C12" s="44">
        <f t="shared" ref="C12:D12" si="4">D5*0.6</f>
        <v>61476</v>
      </c>
      <c r="D12" s="44">
        <f t="shared" si="4"/>
        <v>59250</v>
      </c>
    </row>
    <row r="13" spans="1:7" x14ac:dyDescent="0.25">
      <c r="A13" s="1" t="s">
        <v>9</v>
      </c>
      <c r="B13" s="53">
        <f>B11+B12</f>
        <v>140450</v>
      </c>
      <c r="C13" s="53">
        <f t="shared" ref="C13:D13" si="5">C11+C12</f>
        <v>151726</v>
      </c>
      <c r="D13" s="53">
        <f t="shared" si="5"/>
        <v>161710</v>
      </c>
    </row>
    <row r="14" spans="1:7" x14ac:dyDescent="0.25">
      <c r="A14" s="4" t="s">
        <v>10</v>
      </c>
      <c r="B14" s="44">
        <v>51800</v>
      </c>
      <c r="C14" s="44">
        <f>B12</f>
        <v>54150</v>
      </c>
      <c r="D14" s="44">
        <f>C12</f>
        <v>61476</v>
      </c>
    </row>
    <row r="15" spans="1:7" x14ac:dyDescent="0.25">
      <c r="A15" s="3" t="str">
        <f>A9</f>
        <v>Presupuesto de Produccion en Units</v>
      </c>
      <c r="B15" s="48">
        <f>B13-B14</f>
        <v>88650</v>
      </c>
      <c r="C15" s="48">
        <f t="shared" ref="C15:D15" si="6">C13-C14</f>
        <v>97576</v>
      </c>
      <c r="D15" s="48">
        <f t="shared" si="6"/>
        <v>100234</v>
      </c>
      <c r="E15" s="2">
        <v>97175</v>
      </c>
    </row>
    <row r="17" spans="1:6" x14ac:dyDescent="0.25">
      <c r="A17" s="31" t="s">
        <v>11</v>
      </c>
      <c r="B17" s="57"/>
      <c r="C17" s="57"/>
      <c r="D17" s="57"/>
    </row>
    <row r="18" spans="1:6" x14ac:dyDescent="0.25">
      <c r="B18" s="8" t="str">
        <f>B4</f>
        <v>Octubre</v>
      </c>
      <c r="C18" s="8" t="str">
        <f t="shared" ref="C18:D18" si="7">C4</f>
        <v>Noviembre</v>
      </c>
      <c r="D18" s="8" t="str">
        <f t="shared" si="7"/>
        <v>Diciembre</v>
      </c>
      <c r="E18" s="8" t="str">
        <f>E4</f>
        <v>Enero</v>
      </c>
    </row>
    <row r="19" spans="1:6" x14ac:dyDescent="0.25">
      <c r="A19" s="1" t="s">
        <v>12</v>
      </c>
      <c r="B19" s="2">
        <f>B15</f>
        <v>88650</v>
      </c>
      <c r="C19" s="2">
        <f t="shared" ref="C19:D19" si="8">C15</f>
        <v>97576</v>
      </c>
      <c r="D19" s="2">
        <f t="shared" si="8"/>
        <v>100234</v>
      </c>
      <c r="E19" s="2">
        <f>E15</f>
        <v>97175</v>
      </c>
    </row>
    <row r="20" spans="1:6" x14ac:dyDescent="0.25">
      <c r="A20" s="4" t="s">
        <v>13</v>
      </c>
      <c r="B20" s="58">
        <v>2</v>
      </c>
      <c r="C20" s="58">
        <v>2</v>
      </c>
      <c r="D20" s="58">
        <v>2</v>
      </c>
      <c r="E20" s="58">
        <v>2</v>
      </c>
    </row>
    <row r="21" spans="1:6" x14ac:dyDescent="0.25">
      <c r="A21" s="1" t="s">
        <v>14</v>
      </c>
      <c r="B21" s="2">
        <f>B20*B19</f>
        <v>177300</v>
      </c>
      <c r="C21" s="2">
        <f t="shared" ref="C21:E21" si="9">C20*C19</f>
        <v>195152</v>
      </c>
      <c r="D21" s="2">
        <f t="shared" si="9"/>
        <v>200468</v>
      </c>
      <c r="E21" s="44">
        <f>E20*E19</f>
        <v>194350</v>
      </c>
    </row>
    <row r="22" spans="1:6" x14ac:dyDescent="0.25">
      <c r="A22" s="4" t="str">
        <f>A12</f>
        <v>(+)Inv. Final Deseado</v>
      </c>
      <c r="B22" s="44">
        <f>ROUNDUP(C21*0.7,0)</f>
        <v>136607</v>
      </c>
      <c r="C22" s="44">
        <f t="shared" ref="C22:D22" si="10">ROUNDUP(D21*0.7,0)</f>
        <v>140328</v>
      </c>
      <c r="D22" s="44">
        <f>ROUNDUP(E21*0.7,0)</f>
        <v>136045</v>
      </c>
    </row>
    <row r="23" spans="1:6" x14ac:dyDescent="0.25">
      <c r="A23" s="1" t="s">
        <v>9</v>
      </c>
      <c r="B23" s="53">
        <f>B21+B22</f>
        <v>313907</v>
      </c>
      <c r="C23" s="53">
        <f t="shared" ref="C23:E23" si="11">C21+C22</f>
        <v>335480</v>
      </c>
      <c r="D23" s="53">
        <f t="shared" si="11"/>
        <v>336513</v>
      </c>
      <c r="F23" s="3" t="s">
        <v>137</v>
      </c>
    </row>
    <row r="24" spans="1:6" x14ac:dyDescent="0.25">
      <c r="A24" s="4" t="s">
        <v>10</v>
      </c>
      <c r="B24" s="44">
        <f>'Balance General'!B10/F24</f>
        <v>124100</v>
      </c>
      <c r="C24" s="44">
        <f>B22</f>
        <v>136607</v>
      </c>
      <c r="D24" s="44">
        <f>C22</f>
        <v>140328</v>
      </c>
      <c r="F24" s="3">
        <v>16</v>
      </c>
    </row>
    <row r="25" spans="1:6" x14ac:dyDescent="0.25">
      <c r="A25" s="1" t="s">
        <v>15</v>
      </c>
      <c r="B25" s="53">
        <f>B23-B24</f>
        <v>189807</v>
      </c>
      <c r="C25" s="53">
        <f t="shared" ref="C25:E25" si="12">C23-C24</f>
        <v>198873</v>
      </c>
      <c r="D25" s="53">
        <f t="shared" si="12"/>
        <v>196185</v>
      </c>
    </row>
    <row r="26" spans="1:6" x14ac:dyDescent="0.25">
      <c r="A26" s="4" t="s">
        <v>16</v>
      </c>
      <c r="B26" s="44">
        <v>16.5</v>
      </c>
      <c r="C26" s="44">
        <v>16.5</v>
      </c>
      <c r="D26" s="44">
        <v>16.5</v>
      </c>
    </row>
    <row r="27" spans="1:6" x14ac:dyDescent="0.25">
      <c r="A27" s="3" t="str">
        <f>A17</f>
        <v>Presupuesto de Compra de Materiales Directos</v>
      </c>
      <c r="B27" s="48">
        <f>ROUND(B26*B25, 0)</f>
        <v>3131816</v>
      </c>
      <c r="C27" s="48">
        <f t="shared" ref="C27:E27" si="13">ROUND(C26*C25, 0)</f>
        <v>3281405</v>
      </c>
      <c r="D27" s="48">
        <f t="shared" si="13"/>
        <v>3237053</v>
      </c>
    </row>
    <row r="29" spans="1:6" x14ac:dyDescent="0.25">
      <c r="A29" s="31" t="s">
        <v>17</v>
      </c>
      <c r="B29" s="57"/>
      <c r="C29" s="57"/>
      <c r="D29" s="57"/>
    </row>
    <row r="30" spans="1:6" x14ac:dyDescent="0.25">
      <c r="A30" s="1" t="str">
        <f>A5</f>
        <v>Unidades a Producir</v>
      </c>
      <c r="B30" s="2">
        <f>B15</f>
        <v>88650</v>
      </c>
      <c r="C30" s="2">
        <f t="shared" ref="C30:D30" si="14">C15</f>
        <v>97576</v>
      </c>
      <c r="D30" s="2">
        <f t="shared" si="14"/>
        <v>100234</v>
      </c>
    </row>
    <row r="31" spans="1:6" x14ac:dyDescent="0.25">
      <c r="A31" s="4" t="s">
        <v>13</v>
      </c>
      <c r="B31" s="44">
        <f>B20</f>
        <v>2</v>
      </c>
      <c r="C31" s="44">
        <f t="shared" ref="C31:D31" si="15">C20</f>
        <v>2</v>
      </c>
      <c r="D31" s="44">
        <f t="shared" si="15"/>
        <v>2</v>
      </c>
    </row>
    <row r="32" spans="1:6" x14ac:dyDescent="0.25">
      <c r="A32" s="1" t="s">
        <v>14</v>
      </c>
      <c r="B32" s="53">
        <f>B31*B30</f>
        <v>177300</v>
      </c>
      <c r="C32" s="53">
        <f t="shared" ref="C32:D32" si="16">C31*C30</f>
        <v>195152</v>
      </c>
      <c r="D32" s="53">
        <f t="shared" si="16"/>
        <v>200468</v>
      </c>
    </row>
    <row r="33" spans="1:4" x14ac:dyDescent="0.25">
      <c r="A33" s="4" t="s">
        <v>16</v>
      </c>
      <c r="B33" s="44">
        <f>B26</f>
        <v>16.5</v>
      </c>
      <c r="C33" s="44">
        <f t="shared" ref="C33:D33" si="17">C26</f>
        <v>16.5</v>
      </c>
      <c r="D33" s="44">
        <f t="shared" si="17"/>
        <v>16.5</v>
      </c>
    </row>
    <row r="34" spans="1:4" x14ac:dyDescent="0.25">
      <c r="A34" s="3" t="str">
        <f>A29</f>
        <v>Presupuesto de Consumo de Materiales Directos</v>
      </c>
      <c r="B34" s="48">
        <f>ROUND(B33*B32, 0)</f>
        <v>2925450</v>
      </c>
      <c r="C34" s="48">
        <f t="shared" ref="C34:D34" si="18">ROUND(C33*C32, 0)</f>
        <v>3220008</v>
      </c>
      <c r="D34" s="48">
        <f t="shared" si="18"/>
        <v>3307722</v>
      </c>
    </row>
    <row r="36" spans="1:4" x14ac:dyDescent="0.25">
      <c r="A36" s="31" t="s">
        <v>18</v>
      </c>
      <c r="B36" s="57"/>
      <c r="C36" s="57"/>
      <c r="D36" s="57"/>
    </row>
    <row r="37" spans="1:4" x14ac:dyDescent="0.25">
      <c r="A37" s="1" t="str">
        <f>A5</f>
        <v>Unidades a Producir</v>
      </c>
      <c r="B37" s="2">
        <f>B15</f>
        <v>88650</v>
      </c>
      <c r="C37" s="2">
        <f t="shared" ref="C37:D37" si="19">C15</f>
        <v>97576</v>
      </c>
      <c r="D37" s="2">
        <f t="shared" si="19"/>
        <v>100234</v>
      </c>
    </row>
    <row r="38" spans="1:4" x14ac:dyDescent="0.25">
      <c r="A38" s="4" t="s">
        <v>19</v>
      </c>
      <c r="B38" s="44">
        <f>1/2</f>
        <v>0.5</v>
      </c>
      <c r="C38" s="44">
        <f>1/2</f>
        <v>0.5</v>
      </c>
      <c r="D38" s="44">
        <f>1/2</f>
        <v>0.5</v>
      </c>
    </row>
    <row r="39" spans="1:4" x14ac:dyDescent="0.25">
      <c r="A39" s="1" t="s">
        <v>20</v>
      </c>
      <c r="B39" s="53">
        <f>ROUND(B38*B37,0)</f>
        <v>44325</v>
      </c>
      <c r="C39" s="53">
        <f t="shared" ref="C39:D39" si="20">ROUND(C38*C37,0)</f>
        <v>48788</v>
      </c>
      <c r="D39" s="53">
        <f t="shared" si="20"/>
        <v>50117</v>
      </c>
    </row>
    <row r="40" spans="1:4" x14ac:dyDescent="0.25">
      <c r="A40" s="4" t="s">
        <v>21</v>
      </c>
      <c r="B40" s="44">
        <v>8.5</v>
      </c>
      <c r="C40" s="44">
        <v>8.5</v>
      </c>
      <c r="D40" s="44">
        <v>8.5</v>
      </c>
    </row>
    <row r="41" spans="1:4" x14ac:dyDescent="0.25">
      <c r="A41" s="3" t="str">
        <f>A36</f>
        <v>Presupuesto de Mano de Obra Directa</v>
      </c>
      <c r="B41" s="48">
        <f>ROUND(B39*B40, 0)</f>
        <v>376763</v>
      </c>
      <c r="C41" s="48">
        <f t="shared" ref="C41:D41" si="21">ROUND(C39*C40, 0)</f>
        <v>414698</v>
      </c>
      <c r="D41" s="48">
        <f t="shared" si="21"/>
        <v>425995</v>
      </c>
    </row>
    <row r="43" spans="1:4" x14ac:dyDescent="0.25">
      <c r="A43" s="31" t="s">
        <v>22</v>
      </c>
      <c r="B43" s="57"/>
      <c r="C43" s="57"/>
      <c r="D43" s="57"/>
    </row>
    <row r="44" spans="1:4" x14ac:dyDescent="0.25">
      <c r="A44" s="9"/>
      <c r="B44" s="8" t="str">
        <f>B10</f>
        <v>Octubre</v>
      </c>
      <c r="C44" s="8" t="str">
        <f t="shared" ref="C44:D44" si="22">C10</f>
        <v>Noviembre</v>
      </c>
      <c r="D44" s="8" t="str">
        <f t="shared" si="22"/>
        <v>Diciembre</v>
      </c>
    </row>
    <row r="45" spans="1:4" x14ac:dyDescent="0.25">
      <c r="A45" s="1" t="s">
        <v>23</v>
      </c>
      <c r="B45" s="2">
        <f>B39</f>
        <v>44325</v>
      </c>
      <c r="C45" s="2">
        <f t="shared" ref="C45:D45" si="23">C39</f>
        <v>48788</v>
      </c>
      <c r="D45" s="2">
        <f t="shared" si="23"/>
        <v>50117</v>
      </c>
    </row>
    <row r="46" spans="1:4" x14ac:dyDescent="0.25">
      <c r="A46" s="4" t="s">
        <v>24</v>
      </c>
      <c r="B46" s="58">
        <v>0.75</v>
      </c>
      <c r="C46" s="58">
        <v>0.75</v>
      </c>
      <c r="D46" s="58">
        <v>0.75</v>
      </c>
    </row>
    <row r="47" spans="1:4" x14ac:dyDescent="0.25">
      <c r="A47" s="1" t="s">
        <v>25</v>
      </c>
      <c r="B47" s="2">
        <f>B45*B46</f>
        <v>33243.75</v>
      </c>
      <c r="C47" s="2">
        <f t="shared" ref="C47:D47" si="24">C45*C46</f>
        <v>36591</v>
      </c>
      <c r="D47" s="2">
        <f t="shared" si="24"/>
        <v>37587.75</v>
      </c>
    </row>
    <row r="48" spans="1:4" x14ac:dyDescent="0.25">
      <c r="A48" s="11" t="s">
        <v>26</v>
      </c>
      <c r="B48" s="59">
        <v>85000</v>
      </c>
      <c r="C48" s="59">
        <v>85000</v>
      </c>
      <c r="D48" s="59">
        <v>85000</v>
      </c>
    </row>
    <row r="49" spans="1:5" x14ac:dyDescent="0.25">
      <c r="A49" s="3" t="str">
        <f>A43</f>
        <v>Presupuesto Costos Indirectos de Fabricacion</v>
      </c>
      <c r="B49" s="8">
        <f>B47+B48</f>
        <v>118243.75</v>
      </c>
      <c r="C49" s="8">
        <f t="shared" ref="C49:D49" si="25">C47+C48</f>
        <v>121591</v>
      </c>
      <c r="D49" s="8">
        <f t="shared" si="25"/>
        <v>122587.75</v>
      </c>
      <c r="E49" s="8"/>
    </row>
    <row r="51" spans="1:5" x14ac:dyDescent="0.25">
      <c r="A51" s="31" t="s">
        <v>27</v>
      </c>
      <c r="B51" s="57"/>
      <c r="C51" s="57"/>
      <c r="D51" s="57"/>
    </row>
    <row r="52" spans="1:5" x14ac:dyDescent="0.25">
      <c r="B52" s="8" t="str">
        <f>B4</f>
        <v>Octubre</v>
      </c>
      <c r="C52" s="8" t="str">
        <f t="shared" ref="C52:D52" si="26">C4</f>
        <v>Noviembre</v>
      </c>
      <c r="D52" s="8" t="str">
        <f t="shared" si="26"/>
        <v>Diciembre</v>
      </c>
    </row>
    <row r="53" spans="1:5" x14ac:dyDescent="0.25">
      <c r="A53" s="1" t="s">
        <v>28</v>
      </c>
      <c r="B53" s="2">
        <f>B24</f>
        <v>124100</v>
      </c>
      <c r="C53" s="2">
        <f t="shared" ref="C53:D53" si="27">C24</f>
        <v>136607</v>
      </c>
      <c r="D53" s="2">
        <f t="shared" si="27"/>
        <v>140328</v>
      </c>
    </row>
    <row r="54" spans="1:5" x14ac:dyDescent="0.25">
      <c r="A54" s="4" t="s">
        <v>29</v>
      </c>
      <c r="B54" s="58">
        <v>16</v>
      </c>
      <c r="C54" s="58">
        <v>16.5</v>
      </c>
      <c r="D54" s="58">
        <v>16.5</v>
      </c>
    </row>
    <row r="55" spans="1:5" x14ac:dyDescent="0.25">
      <c r="A55" s="1" t="s">
        <v>30</v>
      </c>
      <c r="B55" s="2">
        <f>ROUND(B54*B53,0)</f>
        <v>1985600</v>
      </c>
      <c r="C55" s="2">
        <f t="shared" ref="C55:D55" si="28">ROUND(C54*C53,0)</f>
        <v>2254016</v>
      </c>
      <c r="D55" s="2">
        <f t="shared" si="28"/>
        <v>2315412</v>
      </c>
    </row>
    <row r="56" spans="1:5" x14ac:dyDescent="0.25">
      <c r="A56" s="4" t="s">
        <v>31</v>
      </c>
      <c r="B56" s="58">
        <f>B27</f>
        <v>3131816</v>
      </c>
      <c r="C56" s="58">
        <f t="shared" ref="C56:D56" si="29">C27</f>
        <v>3281405</v>
      </c>
      <c r="D56" s="58">
        <f t="shared" si="29"/>
        <v>3237053</v>
      </c>
    </row>
    <row r="57" spans="1:5" x14ac:dyDescent="0.25">
      <c r="A57" s="1" t="s">
        <v>32</v>
      </c>
      <c r="B57" s="2">
        <f>B56+B55</f>
        <v>5117416</v>
      </c>
      <c r="C57" s="2">
        <f t="shared" ref="C57:D57" si="30">C56+C55</f>
        <v>5535421</v>
      </c>
      <c r="D57" s="2">
        <f t="shared" si="30"/>
        <v>5552465</v>
      </c>
    </row>
    <row r="58" spans="1:5" x14ac:dyDescent="0.25">
      <c r="A58" s="4" t="s">
        <v>33</v>
      </c>
      <c r="B58" s="58">
        <f>ROUND(B22*B26,0)</f>
        <v>2254016</v>
      </c>
      <c r="C58" s="58">
        <f t="shared" ref="C58:D58" si="31">ROUND(C22*C26,0)</f>
        <v>2315412</v>
      </c>
      <c r="D58" s="58">
        <f t="shared" si="31"/>
        <v>2244743</v>
      </c>
    </row>
    <row r="59" spans="1:5" x14ac:dyDescent="0.25">
      <c r="A59" s="3" t="str">
        <f>A51</f>
        <v>Presupuesto Costo de Materiales Directos</v>
      </c>
      <c r="B59" s="8">
        <f>B57-B58</f>
        <v>2863400</v>
      </c>
      <c r="C59" s="8">
        <f t="shared" ref="C59:D59" si="32">C57-C58</f>
        <v>3220009</v>
      </c>
      <c r="D59" s="8">
        <f t="shared" si="32"/>
        <v>3307722</v>
      </c>
    </row>
    <row r="61" spans="1:5" x14ac:dyDescent="0.25">
      <c r="A61" s="31" t="s">
        <v>34</v>
      </c>
      <c r="B61" s="57"/>
      <c r="C61" s="57"/>
      <c r="D61" s="57"/>
    </row>
    <row r="62" spans="1:5" x14ac:dyDescent="0.25">
      <c r="B62" s="8" t="str">
        <f>B18</f>
        <v>Octubre</v>
      </c>
      <c r="C62" s="8" t="str">
        <f t="shared" ref="C62:D62" si="33">C18</f>
        <v>Noviembre</v>
      </c>
      <c r="D62" s="8" t="str">
        <f t="shared" si="33"/>
        <v>Diciembre</v>
      </c>
    </row>
    <row r="63" spans="1:5" x14ac:dyDescent="0.25">
      <c r="A63" s="1" t="s">
        <v>35</v>
      </c>
      <c r="B63" s="2">
        <f>B59</f>
        <v>2863400</v>
      </c>
      <c r="C63" s="2">
        <f t="shared" ref="C63:D63" si="34">C59</f>
        <v>3220009</v>
      </c>
      <c r="D63" s="2">
        <f t="shared" si="34"/>
        <v>3307722</v>
      </c>
    </row>
    <row r="64" spans="1:5" x14ac:dyDescent="0.25">
      <c r="A64" s="1" t="s">
        <v>36</v>
      </c>
      <c r="B64" s="2">
        <f>B41</f>
        <v>376763</v>
      </c>
      <c r="C64" s="2">
        <f t="shared" ref="C64:D64" si="35">C41</f>
        <v>414698</v>
      </c>
      <c r="D64" s="2">
        <f t="shared" si="35"/>
        <v>425995</v>
      </c>
    </row>
    <row r="65" spans="1:6" x14ac:dyDescent="0.25">
      <c r="A65" s="4" t="s">
        <v>37</v>
      </c>
      <c r="B65" s="58">
        <f>B49</f>
        <v>118243.75</v>
      </c>
      <c r="C65" s="58">
        <f t="shared" ref="C65:D65" si="36">C49</f>
        <v>121591</v>
      </c>
      <c r="D65" s="58">
        <f t="shared" si="36"/>
        <v>122587.75</v>
      </c>
    </row>
    <row r="66" spans="1:6" x14ac:dyDescent="0.25">
      <c r="A66" s="1" t="s">
        <v>34</v>
      </c>
      <c r="B66" s="2">
        <f>SUM(B63:B65)</f>
        <v>3358406.75</v>
      </c>
      <c r="C66" s="2">
        <f t="shared" ref="C66:D66" si="37">SUM(C63:C65)</f>
        <v>3756298</v>
      </c>
      <c r="D66" s="2">
        <f t="shared" si="37"/>
        <v>3856304.75</v>
      </c>
    </row>
    <row r="67" spans="1:6" x14ac:dyDescent="0.25">
      <c r="A67" s="4" t="s">
        <v>5</v>
      </c>
      <c r="B67" s="58">
        <f>B15</f>
        <v>88650</v>
      </c>
      <c r="C67" s="58">
        <f t="shared" ref="C67:D67" si="38">C15</f>
        <v>97576</v>
      </c>
      <c r="D67" s="58">
        <f t="shared" si="38"/>
        <v>100234</v>
      </c>
    </row>
    <row r="68" spans="1:6" x14ac:dyDescent="0.25">
      <c r="A68" s="3" t="s">
        <v>38</v>
      </c>
      <c r="B68" s="8">
        <f>ROUND(B66/B67,2)</f>
        <v>37.880000000000003</v>
      </c>
      <c r="C68" s="8">
        <f t="shared" ref="C68:D68" si="39">ROUND(C66/C67,2)</f>
        <v>38.5</v>
      </c>
      <c r="D68" s="8">
        <f t="shared" si="39"/>
        <v>38.47</v>
      </c>
    </row>
    <row r="70" spans="1:6" x14ac:dyDescent="0.25">
      <c r="A70" s="31" t="s">
        <v>39</v>
      </c>
      <c r="B70" s="57"/>
      <c r="C70" s="57"/>
      <c r="D70" s="57"/>
      <c r="F70" s="3" t="s">
        <v>125</v>
      </c>
    </row>
    <row r="71" spans="1:6" x14ac:dyDescent="0.25">
      <c r="A71" s="6" t="s">
        <v>40</v>
      </c>
      <c r="B71" s="2">
        <f>ROUND(B14*$F$71,0)</f>
        <v>1955450</v>
      </c>
      <c r="C71" s="2">
        <f>ROUND(C14*B68,0)</f>
        <v>2051202</v>
      </c>
      <c r="D71" s="2">
        <f>ROUND(D14*C68,0)</f>
        <v>2366826</v>
      </c>
      <c r="F71" s="3">
        <v>37.75</v>
      </c>
    </row>
    <row r="72" spans="1:6" x14ac:dyDescent="0.25">
      <c r="A72" s="4" t="s">
        <v>41</v>
      </c>
      <c r="B72" s="58">
        <f>B66</f>
        <v>3358406.75</v>
      </c>
      <c r="C72" s="58">
        <f t="shared" ref="C72:D72" si="40">C66</f>
        <v>3756298</v>
      </c>
      <c r="D72" s="58">
        <f t="shared" si="40"/>
        <v>3856304.75</v>
      </c>
    </row>
    <row r="73" spans="1:6" x14ac:dyDescent="0.25">
      <c r="A73" s="1" t="s">
        <v>42</v>
      </c>
      <c r="B73" s="2">
        <f>B71+B72</f>
        <v>5313856.75</v>
      </c>
      <c r="C73" s="2">
        <f t="shared" ref="C73:D73" si="41">C71+C72</f>
        <v>5807500</v>
      </c>
      <c r="D73" s="2">
        <f t="shared" si="41"/>
        <v>6223130.75</v>
      </c>
    </row>
    <row r="74" spans="1:6" x14ac:dyDescent="0.25">
      <c r="A74" s="4" t="s">
        <v>43</v>
      </c>
      <c r="B74" s="58">
        <f>ROUND(B12*B68,0)</f>
        <v>2051202</v>
      </c>
      <c r="C74" s="58">
        <f t="shared" ref="C74:D74" si="42">ROUND(C12*C68,0)</f>
        <v>2366826</v>
      </c>
      <c r="D74" s="58">
        <f t="shared" si="42"/>
        <v>2279348</v>
      </c>
    </row>
    <row r="75" spans="1:6" x14ac:dyDescent="0.25">
      <c r="A75" s="3" t="str">
        <f>A70</f>
        <v>Presupuesto de Costo de Ventas</v>
      </c>
      <c r="B75" s="8">
        <f>B73-B74</f>
        <v>3262654.75</v>
      </c>
      <c r="C75" s="8">
        <f t="shared" ref="C75:D75" si="43">C73-C74</f>
        <v>3440674</v>
      </c>
      <c r="D75" s="8">
        <f t="shared" si="43"/>
        <v>3943782.75</v>
      </c>
    </row>
    <row r="79" spans="1:6" ht="18.75" x14ac:dyDescent="0.3">
      <c r="A79" s="33" t="s">
        <v>44</v>
      </c>
      <c r="B79" s="56"/>
      <c r="C79" s="56"/>
      <c r="D79" s="56"/>
    </row>
    <row r="80" spans="1:6" x14ac:dyDescent="0.25">
      <c r="B80" s="8" t="str">
        <f>B4</f>
        <v>Octubre</v>
      </c>
      <c r="C80" s="8" t="str">
        <f t="shared" ref="C80:D80" si="44">C4</f>
        <v>Noviembre</v>
      </c>
      <c r="D80" s="8" t="str">
        <f t="shared" si="44"/>
        <v>Diciembre</v>
      </c>
    </row>
    <row r="81" spans="1:6" x14ac:dyDescent="0.25">
      <c r="A81" s="1" t="s">
        <v>45</v>
      </c>
      <c r="B81" s="2">
        <f>B7</f>
        <v>3883500</v>
      </c>
      <c r="C81" s="2">
        <f t="shared" ref="C81:D81" si="45">C7</f>
        <v>4061250</v>
      </c>
      <c r="D81" s="2">
        <f t="shared" si="45"/>
        <v>4610700</v>
      </c>
    </row>
    <row r="82" spans="1:6" x14ac:dyDescent="0.25">
      <c r="A82" s="4" t="s">
        <v>46</v>
      </c>
      <c r="B82" s="58">
        <f>B75</f>
        <v>3262654.75</v>
      </c>
      <c r="C82" s="58">
        <f t="shared" ref="C82:D82" si="46">C75</f>
        <v>3440674</v>
      </c>
      <c r="D82" s="58">
        <f t="shared" si="46"/>
        <v>3943782.75</v>
      </c>
    </row>
    <row r="83" spans="1:6" x14ac:dyDescent="0.25">
      <c r="A83" s="1" t="s">
        <v>47</v>
      </c>
      <c r="B83" s="2">
        <f>B81-B82</f>
        <v>620845.25</v>
      </c>
      <c r="C83" s="2">
        <f t="shared" ref="C83:D83" si="47">C81-C82</f>
        <v>620576</v>
      </c>
      <c r="D83" s="2">
        <f t="shared" si="47"/>
        <v>666917.25</v>
      </c>
    </row>
    <row r="84" spans="1:6" x14ac:dyDescent="0.25">
      <c r="A84" s="10" t="s">
        <v>48</v>
      </c>
    </row>
    <row r="85" spans="1:6" x14ac:dyDescent="0.25">
      <c r="A85" s="10" t="s">
        <v>110</v>
      </c>
      <c r="B85" s="44">
        <v>150000</v>
      </c>
      <c r="C85" s="44">
        <v>150000</v>
      </c>
      <c r="D85" s="44">
        <v>150000</v>
      </c>
      <c r="F85" s="1"/>
    </row>
    <row r="86" spans="1:6" x14ac:dyDescent="0.25">
      <c r="A86" s="11" t="s">
        <v>49</v>
      </c>
      <c r="B86" s="58">
        <f>12500+(B7*0.05)</f>
        <v>206675</v>
      </c>
      <c r="C86" s="58">
        <f t="shared" ref="C86:D86" si="48">12500+(C7*0.05)</f>
        <v>215562.5</v>
      </c>
      <c r="D86" s="58">
        <f t="shared" si="48"/>
        <v>243035</v>
      </c>
    </row>
    <row r="87" spans="1:6" x14ac:dyDescent="0.25">
      <c r="A87" s="1" t="s">
        <v>50</v>
      </c>
      <c r="B87" s="7">
        <f>B83-SUM(B85:B86)</f>
        <v>264170.25</v>
      </c>
      <c r="C87" s="7">
        <f t="shared" ref="C87:D87" si="49">C83-SUM(C85:C86)</f>
        <v>255013.5</v>
      </c>
      <c r="D87" s="7">
        <f t="shared" si="49"/>
        <v>273882.25</v>
      </c>
    </row>
    <row r="88" spans="1:6" x14ac:dyDescent="0.25">
      <c r="A88" s="4" t="s">
        <v>51</v>
      </c>
      <c r="B88" s="58">
        <f>ROUND(B87*25%,0)</f>
        <v>66043</v>
      </c>
      <c r="C88" s="58">
        <f t="shared" ref="C88:D88" si="50">ROUND(C87*25%,0)</f>
        <v>63753</v>
      </c>
      <c r="D88" s="58">
        <f t="shared" si="50"/>
        <v>68471</v>
      </c>
      <c r="E88" s="8">
        <f>SUM(B88:D88)</f>
        <v>198267</v>
      </c>
    </row>
    <row r="89" spans="1:6" x14ac:dyDescent="0.25">
      <c r="A89" s="3" t="s">
        <v>52</v>
      </c>
      <c r="B89" s="8">
        <f>B87-B88</f>
        <v>198127.25</v>
      </c>
      <c r="C89" s="8">
        <f t="shared" ref="C89:D89" si="51">C87-C88</f>
        <v>191260.5</v>
      </c>
      <c r="D89" s="8">
        <f t="shared" si="51"/>
        <v>205411.25</v>
      </c>
      <c r="E89" s="8">
        <f>SUM(B89:D89)</f>
        <v>594799</v>
      </c>
    </row>
    <row r="91" spans="1:6" x14ac:dyDescent="0.25">
      <c r="A91" s="3" t="s">
        <v>53</v>
      </c>
      <c r="B91" s="8">
        <f>B74</f>
        <v>2051202</v>
      </c>
      <c r="C91" s="8">
        <f t="shared" ref="C91:D91" si="52">C74</f>
        <v>2366826</v>
      </c>
      <c r="D91" s="8">
        <f t="shared" si="52"/>
        <v>2279348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F556-FA0D-4DFE-B1AB-4AE797774521}">
  <dimension ref="A2:N91"/>
  <sheetViews>
    <sheetView topLeftCell="B23" zoomScale="103" workbookViewId="0">
      <selection activeCell="H51" sqref="H51"/>
    </sheetView>
  </sheetViews>
  <sheetFormatPr baseColWidth="10" defaultColWidth="12.42578125" defaultRowHeight="15.75" x14ac:dyDescent="0.25"/>
  <cols>
    <col min="1" max="1" width="36" style="1" bestFit="1" customWidth="1"/>
    <col min="2" max="3" width="15.7109375" style="1" customWidth="1"/>
    <col min="4" max="4" width="14.7109375" style="1" customWidth="1"/>
    <col min="5" max="5" width="18.28515625" style="1" customWidth="1"/>
    <col min="6" max="6" width="19" style="1" customWidth="1"/>
    <col min="7" max="8" width="15.42578125" style="3" customWidth="1"/>
    <col min="9" max="9" width="25.7109375" style="1" customWidth="1"/>
    <col min="10" max="10" width="34.7109375" style="1" bestFit="1" customWidth="1"/>
    <col min="11" max="11" width="12.5703125" style="1" bestFit="1" customWidth="1"/>
    <col min="12" max="13" width="12.7109375" style="1" bestFit="1" customWidth="1"/>
    <col min="14" max="14" width="12.42578125" style="3"/>
    <col min="15" max="16384" width="12.42578125" style="1"/>
  </cols>
  <sheetData>
    <row r="2" spans="1:9" x14ac:dyDescent="0.25">
      <c r="A2" s="1" t="s">
        <v>108</v>
      </c>
    </row>
    <row r="3" spans="1:9" x14ac:dyDescent="0.25">
      <c r="A3" s="1">
        <v>0.6</v>
      </c>
    </row>
    <row r="4" spans="1:9" x14ac:dyDescent="0.25">
      <c r="A4" s="1" t="s">
        <v>109</v>
      </c>
    </row>
    <row r="5" spans="1:9" x14ac:dyDescent="0.25">
      <c r="A5" s="1">
        <v>0.4</v>
      </c>
    </row>
    <row r="8" spans="1:9" ht="18.75" x14ac:dyDescent="0.3">
      <c r="A8" s="33" t="s">
        <v>54</v>
      </c>
      <c r="B8" s="33"/>
      <c r="C8" s="33"/>
      <c r="D8" s="31"/>
      <c r="E8" s="31"/>
      <c r="F8" s="31"/>
      <c r="G8" s="51"/>
      <c r="H8" s="51"/>
    </row>
    <row r="9" spans="1:9" x14ac:dyDescent="0.25">
      <c r="B9" s="1" t="s">
        <v>135</v>
      </c>
      <c r="C9" s="1" t="s">
        <v>136</v>
      </c>
      <c r="D9" s="3" t="s">
        <v>1</v>
      </c>
      <c r="E9" s="1" t="s">
        <v>2</v>
      </c>
      <c r="F9" s="1" t="s">
        <v>3</v>
      </c>
      <c r="G9" s="3" t="s">
        <v>134</v>
      </c>
      <c r="H9" s="3" t="s">
        <v>105</v>
      </c>
      <c r="I9" s="3"/>
    </row>
    <row r="10" spans="1:9" x14ac:dyDescent="0.25">
      <c r="A10" s="1" t="s">
        <v>57</v>
      </c>
      <c r="B10" s="1">
        <v>3590010</v>
      </c>
      <c r="C10" s="1">
        <f>3748500</f>
        <v>3748500</v>
      </c>
      <c r="D10" s="1">
        <f>Presupuestos!B7</f>
        <v>3883500</v>
      </c>
      <c r="E10" s="1">
        <f>Presupuestos!C7</f>
        <v>4061250</v>
      </c>
      <c r="F10" s="1">
        <f>Presupuestos!D7</f>
        <v>4610700</v>
      </c>
      <c r="I10" s="3"/>
    </row>
    <row r="11" spans="1:9" x14ac:dyDescent="0.25">
      <c r="A11" s="1" t="s">
        <v>59</v>
      </c>
      <c r="B11" s="1">
        <f>B10*$A$5</f>
        <v>1436004</v>
      </c>
      <c r="C11" s="1">
        <f t="shared" ref="C11:D11" si="0">C10*$A$5</f>
        <v>1499400</v>
      </c>
      <c r="D11" s="1">
        <f t="shared" si="0"/>
        <v>1553400</v>
      </c>
      <c r="E11" s="1">
        <f t="shared" ref="E11:F11" si="1">E10*$A$5</f>
        <v>1624500</v>
      </c>
      <c r="F11" s="1">
        <f t="shared" si="1"/>
        <v>1844280</v>
      </c>
      <c r="I11" s="3"/>
    </row>
    <row r="12" spans="1:9" x14ac:dyDescent="0.25">
      <c r="A12" s="1" t="s">
        <v>60</v>
      </c>
      <c r="B12" s="1">
        <f>B10*$A$3</f>
        <v>2154006</v>
      </c>
      <c r="C12" s="1">
        <f t="shared" ref="C12" si="2">C10*$A$3</f>
        <v>2249100</v>
      </c>
      <c r="D12" s="1">
        <f>D10*$A$3</f>
        <v>2330100</v>
      </c>
      <c r="E12" s="1">
        <f t="shared" ref="E12:F12" si="3">E10*$A$3</f>
        <v>2436750</v>
      </c>
      <c r="F12" s="1">
        <f t="shared" si="3"/>
        <v>2766420</v>
      </c>
      <c r="I12" s="3"/>
    </row>
    <row r="13" spans="1:9" x14ac:dyDescent="0.25">
      <c r="I13" s="3"/>
    </row>
    <row r="14" spans="1:9" x14ac:dyDescent="0.25">
      <c r="A14" s="1" t="s">
        <v>61</v>
      </c>
      <c r="I14" s="3"/>
    </row>
    <row r="15" spans="1:9" x14ac:dyDescent="0.25">
      <c r="A15" s="13" t="str">
        <f>"Ventas de "&amp;B9</f>
        <v xml:space="preserve">Ventas de Agosto </v>
      </c>
      <c r="B15" s="50"/>
      <c r="C15" s="50">
        <f>B11*0.7</f>
        <v>1005202.7999999999</v>
      </c>
      <c r="D15" s="50">
        <f>B11*0.3</f>
        <v>430801.2</v>
      </c>
      <c r="E15" s="13"/>
      <c r="F15" s="13"/>
      <c r="G15" s="47"/>
      <c r="H15" s="47"/>
      <c r="I15" s="49"/>
    </row>
    <row r="16" spans="1:9" x14ac:dyDescent="0.25">
      <c r="A16" s="1" t="str">
        <f>"Ventas de "&amp;C9</f>
        <v>Ventas de Septiembre</v>
      </c>
      <c r="B16" s="10"/>
      <c r="C16" s="10"/>
      <c r="D16" s="10">
        <f>C11*0.7</f>
        <v>1049580</v>
      </c>
      <c r="E16" s="10">
        <f>C11*0.3</f>
        <v>449820</v>
      </c>
      <c r="F16" s="10"/>
      <c r="I16" s="49"/>
    </row>
    <row r="17" spans="1:9" x14ac:dyDescent="0.25">
      <c r="A17" s="1" t="str">
        <f>"Ventas de "&amp;D9</f>
        <v>Ventas de Octubre</v>
      </c>
      <c r="B17" s="10"/>
      <c r="C17" s="10"/>
      <c r="E17" s="10">
        <f>D11*0.7</f>
        <v>1087380</v>
      </c>
      <c r="F17" s="10">
        <f>D11*0.3</f>
        <v>466020</v>
      </c>
      <c r="G17" s="1"/>
      <c r="I17" s="49"/>
    </row>
    <row r="18" spans="1:9" x14ac:dyDescent="0.25">
      <c r="A18" s="1" t="str">
        <f>"Ventas de "&amp;E9</f>
        <v>Ventas de Noviembre</v>
      </c>
      <c r="B18" s="10"/>
      <c r="C18" s="10"/>
      <c r="F18" s="1">
        <f>E11*0.7</f>
        <v>1137150</v>
      </c>
      <c r="G18" s="1">
        <f>E11*0.3</f>
        <v>487350</v>
      </c>
      <c r="H18" s="1"/>
      <c r="I18" s="49"/>
    </row>
    <row r="19" spans="1:9" x14ac:dyDescent="0.25">
      <c r="A19" s="1" t="str">
        <f>"Ventas de "&amp;F9</f>
        <v>Ventas de Diciembre</v>
      </c>
      <c r="B19" s="10"/>
      <c r="C19" s="10"/>
      <c r="G19" s="1">
        <f>F11*0.7</f>
        <v>1290996</v>
      </c>
      <c r="H19" s="1">
        <f>F11*0.3</f>
        <v>553284</v>
      </c>
      <c r="I19" s="49"/>
    </row>
    <row r="20" spans="1:9" x14ac:dyDescent="0.25">
      <c r="A20" s="1" t="str">
        <f>"Ventas de "&amp;G9</f>
        <v xml:space="preserve">Ventas de Enero </v>
      </c>
    </row>
    <row r="21" spans="1:9" x14ac:dyDescent="0.25">
      <c r="A21" s="1" t="str">
        <f>"Ventas de "&amp;H9</f>
        <v>Ventas de Febrero</v>
      </c>
    </row>
    <row r="23" spans="1:9" ht="16.5" thickBot="1" x14ac:dyDescent="0.3"/>
    <row r="24" spans="1:9" ht="16.5" thickBot="1" x14ac:dyDescent="0.3">
      <c r="A24" s="28" t="str">
        <f>A8</f>
        <v>Presupuesto de Cuentas por Cobrar</v>
      </c>
      <c r="B24" s="29">
        <f>SUM(B15:B21)</f>
        <v>0</v>
      </c>
      <c r="C24" s="29">
        <f t="shared" ref="C24:H24" si="4">SUM(C15:C21)</f>
        <v>1005202.7999999999</v>
      </c>
      <c r="D24" s="29">
        <f t="shared" si="4"/>
        <v>1480381.2</v>
      </c>
      <c r="E24" s="29">
        <f t="shared" si="4"/>
        <v>1537200</v>
      </c>
      <c r="F24" s="29">
        <f t="shared" si="4"/>
        <v>1603170</v>
      </c>
      <c r="G24" s="29">
        <f t="shared" si="4"/>
        <v>1778346</v>
      </c>
      <c r="H24" s="29">
        <f t="shared" si="4"/>
        <v>553284</v>
      </c>
    </row>
    <row r="25" spans="1:9" x14ac:dyDescent="0.25">
      <c r="G25" s="1" t="s">
        <v>127</v>
      </c>
      <c r="H25" s="3">
        <f>SUM(G24:H24)</f>
        <v>2331630</v>
      </c>
    </row>
    <row r="27" spans="1:9" x14ac:dyDescent="0.25">
      <c r="A27" s="1" t="s">
        <v>108</v>
      </c>
    </row>
    <row r="28" spans="1:9" x14ac:dyDescent="0.25">
      <c r="A28" s="1">
        <v>0.25</v>
      </c>
      <c r="G28" s="1"/>
      <c r="H28" s="1"/>
    </row>
    <row r="29" spans="1:9" x14ac:dyDescent="0.25">
      <c r="A29" s="1" t="s">
        <v>109</v>
      </c>
      <c r="G29" s="1"/>
      <c r="H29" s="1"/>
    </row>
    <row r="30" spans="1:9" x14ac:dyDescent="0.25">
      <c r="A30" s="1">
        <v>0.75</v>
      </c>
      <c r="G30" s="1"/>
      <c r="H30" s="1"/>
    </row>
    <row r="31" spans="1:9" x14ac:dyDescent="0.25">
      <c r="G31" s="1"/>
      <c r="H31" s="1"/>
    </row>
    <row r="32" spans="1:9" x14ac:dyDescent="0.25">
      <c r="G32" s="1"/>
      <c r="H32" s="1"/>
    </row>
    <row r="33" spans="1:14" ht="18.75" x14ac:dyDescent="0.3">
      <c r="A33" s="34" t="s">
        <v>70</v>
      </c>
      <c r="B33" s="34"/>
      <c r="C33" s="34"/>
      <c r="D33" s="35"/>
      <c r="E33" s="35"/>
      <c r="F33" s="35"/>
      <c r="G33" s="52"/>
      <c r="H33" s="52"/>
    </row>
    <row r="34" spans="1:14" x14ac:dyDescent="0.25">
      <c r="B34" s="1" t="str">
        <f>B9</f>
        <v xml:space="preserve">Agosto </v>
      </c>
      <c r="C34" s="1" t="str">
        <f t="shared" ref="C34:H34" si="5">C9</f>
        <v>Septiembre</v>
      </c>
      <c r="D34" s="1" t="str">
        <f t="shared" si="5"/>
        <v>Octubre</v>
      </c>
      <c r="E34" s="1" t="str">
        <f t="shared" si="5"/>
        <v>Noviembre</v>
      </c>
      <c r="F34" s="1" t="str">
        <f t="shared" si="5"/>
        <v>Diciembre</v>
      </c>
      <c r="G34" s="1" t="str">
        <f t="shared" si="5"/>
        <v xml:space="preserve">Enero </v>
      </c>
      <c r="H34" s="1" t="str">
        <f t="shared" si="5"/>
        <v>Febrero</v>
      </c>
    </row>
    <row r="35" spans="1:14" x14ac:dyDescent="0.25">
      <c r="A35" s="1" t="s">
        <v>73</v>
      </c>
      <c r="D35" s="1">
        <f>Presupuestos!B27</f>
        <v>3131816</v>
      </c>
      <c r="E35" s="1">
        <f>Presupuestos!C27</f>
        <v>3281405</v>
      </c>
      <c r="F35" s="1">
        <f>Presupuestos!D27</f>
        <v>3237053</v>
      </c>
      <c r="G35" s="1"/>
      <c r="H35" s="1"/>
    </row>
    <row r="36" spans="1:14" x14ac:dyDescent="0.25">
      <c r="A36" s="1" t="s">
        <v>103</v>
      </c>
      <c r="B36" s="1">
        <f t="shared" ref="B36:C36" si="6">B35*$A$30</f>
        <v>0</v>
      </c>
      <c r="C36" s="1">
        <f>'Balance General'!F7</f>
        <v>2178000</v>
      </c>
      <c r="D36" s="1">
        <f>D35*$A$30</f>
        <v>2348862</v>
      </c>
      <c r="E36" s="1">
        <f t="shared" ref="E36:F36" si="7">E35*$A$30</f>
        <v>2461053.75</v>
      </c>
      <c r="F36" s="1">
        <f t="shared" si="7"/>
        <v>2427789.75</v>
      </c>
      <c r="G36" s="1"/>
      <c r="H36" s="1"/>
    </row>
    <row r="37" spans="1:14" x14ac:dyDescent="0.25">
      <c r="A37" s="1" t="s">
        <v>104</v>
      </c>
      <c r="B37" s="1">
        <f t="shared" ref="B37:F37" si="8">B35*$A$28</f>
        <v>0</v>
      </c>
      <c r="C37" s="1">
        <f t="shared" si="8"/>
        <v>0</v>
      </c>
      <c r="D37" s="1">
        <f>D35*$A$28</f>
        <v>782954</v>
      </c>
      <c r="E37" s="1">
        <f t="shared" si="8"/>
        <v>820351.25</v>
      </c>
      <c r="F37" s="1">
        <f t="shared" si="8"/>
        <v>809263.25</v>
      </c>
      <c r="G37" s="1"/>
      <c r="H37" s="1"/>
    </row>
    <row r="38" spans="1:14" x14ac:dyDescent="0.25">
      <c r="E38" s="3"/>
      <c r="G38" s="1"/>
      <c r="H38" s="1"/>
    </row>
    <row r="39" spans="1:14" x14ac:dyDescent="0.25">
      <c r="A39" s="1" t="s">
        <v>76</v>
      </c>
      <c r="E39" s="3"/>
      <c r="G39" s="1"/>
      <c r="H39" s="1"/>
    </row>
    <row r="40" spans="1:14" x14ac:dyDescent="0.25">
      <c r="A40" s="13" t="str">
        <f>"Compras de "&amp;B34</f>
        <v xml:space="preserve">Compras de Agosto </v>
      </c>
      <c r="B40" s="13"/>
      <c r="C40" s="13"/>
      <c r="D40" s="13"/>
      <c r="H40" s="13"/>
      <c r="I40" s="3" t="s">
        <v>111</v>
      </c>
    </row>
    <row r="41" spans="1:14" x14ac:dyDescent="0.25">
      <c r="A41" s="1" t="str">
        <f>"Compras de "&amp;C34</f>
        <v>Compras de Septiembre</v>
      </c>
      <c r="D41" s="1">
        <f>C36</f>
        <v>2178000</v>
      </c>
      <c r="H41" s="1"/>
    </row>
    <row r="42" spans="1:14" x14ac:dyDescent="0.25">
      <c r="A42" s="1" t="str">
        <f>"Compras de "&amp;D34</f>
        <v>Compras de Octubre</v>
      </c>
      <c r="E42" s="9">
        <f>D36</f>
        <v>2348862</v>
      </c>
      <c r="F42" s="9"/>
      <c r="G42" s="9"/>
      <c r="H42" s="1"/>
      <c r="N42" s="1"/>
    </row>
    <row r="43" spans="1:14" x14ac:dyDescent="0.25">
      <c r="A43" s="1" t="str">
        <f>"Compras de "&amp;E34</f>
        <v>Compras de Noviembre</v>
      </c>
      <c r="F43" s="1">
        <f>E36</f>
        <v>2461053.75</v>
      </c>
      <c r="G43" s="1"/>
    </row>
    <row r="44" spans="1:14" x14ac:dyDescent="0.25">
      <c r="A44" s="1" t="str">
        <f>"Compras de "&amp;F34</f>
        <v>Compras de Diciembre</v>
      </c>
      <c r="G44" s="1">
        <f>F36</f>
        <v>2427789.75</v>
      </c>
    </row>
    <row r="45" spans="1:14" x14ac:dyDescent="0.25">
      <c r="A45" s="1" t="str">
        <f>"Compras de "&amp;G34</f>
        <v xml:space="preserve">Compras de Enero </v>
      </c>
      <c r="F45" s="3"/>
    </row>
    <row r="46" spans="1:14" x14ac:dyDescent="0.25">
      <c r="A46" s="1" t="str">
        <f>"Compras de "&amp;H34</f>
        <v>Compras de Febrero</v>
      </c>
      <c r="F46" s="3"/>
    </row>
    <row r="47" spans="1:14" x14ac:dyDescent="0.25">
      <c r="F47" s="3"/>
    </row>
    <row r="48" spans="1:14" x14ac:dyDescent="0.25">
      <c r="F48" s="3"/>
    </row>
    <row r="49" spans="1:8" ht="16.5" thickBot="1" x14ac:dyDescent="0.3">
      <c r="F49" s="3"/>
    </row>
    <row r="50" spans="1:8" ht="16.5" thickBot="1" x14ac:dyDescent="0.3">
      <c r="A50" s="28" t="str">
        <f>A33</f>
        <v>Presupuesto de Cuentas por Pagar</v>
      </c>
      <c r="B50" s="29">
        <f>SUM(B40:B45)</f>
        <v>0</v>
      </c>
      <c r="C50" s="29">
        <f>SUM(C40:C45)</f>
        <v>0</v>
      </c>
      <c r="D50" s="43">
        <f>SUM(D40:D45)</f>
        <v>2178000</v>
      </c>
      <c r="E50" s="29">
        <f>SUM(E42:E45)</f>
        <v>2348862</v>
      </c>
      <c r="F50" s="29">
        <f>SUM(F42:F45)</f>
        <v>2461053.75</v>
      </c>
      <c r="G50" s="29">
        <f>SUM(G42:G45)</f>
        <v>2427789.75</v>
      </c>
      <c r="H50" s="30">
        <f t="shared" ref="G50:H50" si="9">SUM(H40:H45)</f>
        <v>0</v>
      </c>
    </row>
    <row r="51" spans="1:8" x14ac:dyDescent="0.25">
      <c r="F51" s="3"/>
      <c r="G51" s="1" t="s">
        <v>126</v>
      </c>
      <c r="H51" s="3">
        <f>SUM(G50)</f>
        <v>2427789.75</v>
      </c>
    </row>
    <row r="52" spans="1:8" x14ac:dyDescent="0.25">
      <c r="A52" s="3"/>
      <c r="B52" s="3"/>
      <c r="C52" s="3"/>
    </row>
    <row r="53" spans="1:8" x14ac:dyDescent="0.25">
      <c r="A53" s="3"/>
      <c r="B53" s="3"/>
      <c r="C53" s="3"/>
    </row>
    <row r="54" spans="1:8" ht="18.75" x14ac:dyDescent="0.3">
      <c r="A54" s="33" t="s">
        <v>55</v>
      </c>
      <c r="B54" s="31"/>
      <c r="C54" s="32"/>
      <c r="D54" s="32"/>
      <c r="E54" s="32"/>
      <c r="F54" s="32"/>
    </row>
    <row r="55" spans="1:8" x14ac:dyDescent="0.25">
      <c r="A55" s="3" t="s">
        <v>56</v>
      </c>
      <c r="B55" s="1">
        <f>'Balance General'!B7</f>
        <v>286350</v>
      </c>
      <c r="C55" s="1">
        <f>B83</f>
        <v>292695.45000000019</v>
      </c>
      <c r="D55" s="1">
        <f>C83</f>
        <v>250080.70000000019</v>
      </c>
    </row>
    <row r="56" spans="1:8" x14ac:dyDescent="0.25">
      <c r="A56" s="3" t="s">
        <v>58</v>
      </c>
    </row>
    <row r="57" spans="1:8" x14ac:dyDescent="0.25">
      <c r="B57" s="1" t="s">
        <v>1</v>
      </c>
      <c r="C57" s="1" t="s">
        <v>2</v>
      </c>
      <c r="D57" s="1" t="s">
        <v>3</v>
      </c>
    </row>
    <row r="58" spans="1:8" x14ac:dyDescent="0.25">
      <c r="A58" s="1" t="s">
        <v>60</v>
      </c>
      <c r="B58" s="1">
        <f>D12</f>
        <v>2330100</v>
      </c>
      <c r="C58" s="1">
        <f>E12</f>
        <v>2436750</v>
      </c>
      <c r="D58" s="1">
        <f>F12</f>
        <v>2766420</v>
      </c>
    </row>
    <row r="59" spans="1:8" x14ac:dyDescent="0.25">
      <c r="A59" s="4" t="s">
        <v>59</v>
      </c>
      <c r="B59" s="4">
        <f>D24</f>
        <v>1480381.2</v>
      </c>
      <c r="C59" s="4">
        <f>E24</f>
        <v>1537200</v>
      </c>
      <c r="D59" s="4">
        <f>F24</f>
        <v>1603170</v>
      </c>
    </row>
    <row r="60" spans="1:8" x14ac:dyDescent="0.25">
      <c r="A60" s="1" t="s">
        <v>62</v>
      </c>
      <c r="B60" s="1">
        <f>SUM(B58:B59)</f>
        <v>3810481.2</v>
      </c>
      <c r="C60" s="1">
        <f t="shared" ref="C60:D60" si="10">SUM(C58:C59)</f>
        <v>3973950</v>
      </c>
      <c r="D60" s="1">
        <f t="shared" si="10"/>
        <v>4369590</v>
      </c>
    </row>
    <row r="62" spans="1:8" x14ac:dyDescent="0.25">
      <c r="A62" s="1" t="s">
        <v>63</v>
      </c>
      <c r="B62" s="1">
        <f>B60+B55</f>
        <v>4096831.2</v>
      </c>
      <c r="C62" s="1">
        <f t="shared" ref="C62:D62" si="11">C60+C55</f>
        <v>4266645.45</v>
      </c>
      <c r="D62" s="1">
        <f t="shared" si="11"/>
        <v>4619670.7</v>
      </c>
    </row>
    <row r="63" spans="1:8" x14ac:dyDescent="0.25">
      <c r="A63" s="3" t="s">
        <v>64</v>
      </c>
    </row>
    <row r="64" spans="1:8" x14ac:dyDescent="0.25">
      <c r="B64" s="1" t="str">
        <f>B57</f>
        <v>Octubre</v>
      </c>
      <c r="C64" s="1" t="str">
        <f t="shared" ref="C64:D64" si="12">C57</f>
        <v>Noviembre</v>
      </c>
      <c r="D64" s="1" t="str">
        <f t="shared" si="12"/>
        <v>Diciembre</v>
      </c>
    </row>
    <row r="65" spans="1:7" x14ac:dyDescent="0.25">
      <c r="A65" s="1" t="s">
        <v>65</v>
      </c>
      <c r="B65" s="1">
        <f>D37</f>
        <v>782954</v>
      </c>
      <c r="C65" s="1">
        <f>E37</f>
        <v>820351.25</v>
      </c>
      <c r="D65" s="1">
        <f>F37</f>
        <v>809263.25</v>
      </c>
    </row>
    <row r="66" spans="1:7" x14ac:dyDescent="0.25">
      <c r="A66" s="1" t="s">
        <v>66</v>
      </c>
      <c r="B66" s="1">
        <f>D50</f>
        <v>2178000</v>
      </c>
      <c r="C66" s="1">
        <f t="shared" ref="C66:D66" si="13">E50</f>
        <v>2348862</v>
      </c>
      <c r="D66" s="1">
        <f t="shared" si="13"/>
        <v>2461053.75</v>
      </c>
    </row>
    <row r="67" spans="1:7" x14ac:dyDescent="0.25">
      <c r="A67" s="1" t="s">
        <v>67</v>
      </c>
      <c r="B67" s="2">
        <f>Presupuestos!B41</f>
        <v>376763</v>
      </c>
      <c r="C67" s="2">
        <f>Presupuestos!C41</f>
        <v>414698</v>
      </c>
      <c r="D67" s="2">
        <f>Presupuestos!D41</f>
        <v>425995</v>
      </c>
    </row>
    <row r="68" spans="1:7" x14ac:dyDescent="0.25">
      <c r="A68" s="1" t="s">
        <v>68</v>
      </c>
      <c r="B68" s="2">
        <f>Presupuestos!B49-$F$68</f>
        <v>113243.75</v>
      </c>
      <c r="C68" s="2">
        <f>Presupuestos!C49-$F$68</f>
        <v>116591</v>
      </c>
      <c r="D68" s="2">
        <f>Presupuestos!D49-$F$68</f>
        <v>117587.75</v>
      </c>
      <c r="F68" s="2">
        <f>2000+3000</f>
        <v>5000</v>
      </c>
      <c r="G68" s="1" t="s">
        <v>128</v>
      </c>
    </row>
    <row r="69" spans="1:7" x14ac:dyDescent="0.25">
      <c r="A69" s="1" t="s">
        <v>69</v>
      </c>
      <c r="B69" s="1">
        <f>Presupuestos!B85-$F$69</f>
        <v>146500</v>
      </c>
      <c r="C69" s="1">
        <f>Presupuestos!C85-$F$69</f>
        <v>146500</v>
      </c>
      <c r="D69" s="1">
        <f>Presupuestos!D85-$F$69</f>
        <v>146500</v>
      </c>
      <c r="F69" s="1">
        <v>3500</v>
      </c>
      <c r="G69" s="1" t="s">
        <v>129</v>
      </c>
    </row>
    <row r="70" spans="1:7" x14ac:dyDescent="0.25">
      <c r="A70" s="4" t="s">
        <v>71</v>
      </c>
      <c r="B70" s="4">
        <f>Presupuestos!B86</f>
        <v>206675</v>
      </c>
      <c r="C70" s="4">
        <f>Presupuestos!C86</f>
        <v>215562.5</v>
      </c>
      <c r="D70" s="4">
        <f>Presupuestos!D86</f>
        <v>243035</v>
      </c>
    </row>
    <row r="71" spans="1:7" x14ac:dyDescent="0.25">
      <c r="A71" s="1" t="s">
        <v>72</v>
      </c>
      <c r="B71" s="1">
        <f>SUM(B65:B70)</f>
        <v>3804135.75</v>
      </c>
      <c r="C71" s="1">
        <f t="shared" ref="C71:D71" si="14">SUM(C65:C70)</f>
        <v>4062564.75</v>
      </c>
      <c r="D71" s="1">
        <f t="shared" si="14"/>
        <v>4203434.75</v>
      </c>
    </row>
    <row r="73" spans="1:7" x14ac:dyDescent="0.25">
      <c r="A73" s="3" t="s">
        <v>74</v>
      </c>
      <c r="B73" s="3"/>
      <c r="C73" s="3"/>
      <c r="D73" s="3" t="s">
        <v>112</v>
      </c>
    </row>
    <row r="74" spans="1:7" x14ac:dyDescent="0.25">
      <c r="A74" s="1" t="s">
        <v>100</v>
      </c>
      <c r="C74" s="1">
        <f>'Balance General'!F9</f>
        <v>45000</v>
      </c>
    </row>
    <row r="75" spans="1:7" x14ac:dyDescent="0.25">
      <c r="A75" s="4" t="s">
        <v>138</v>
      </c>
      <c r="B75" s="4"/>
      <c r="C75" s="4"/>
      <c r="D75" s="4">
        <v>85000</v>
      </c>
    </row>
    <row r="76" spans="1:7" x14ac:dyDescent="0.25">
      <c r="A76" s="1" t="s">
        <v>72</v>
      </c>
      <c r="B76" s="1">
        <f>B71+B74+B75</f>
        <v>3804135.75</v>
      </c>
      <c r="C76" s="1">
        <f>C71+C74+C75</f>
        <v>4107564.75</v>
      </c>
      <c r="D76" s="1">
        <f t="shared" ref="D76" si="15">D71+D74+D75</f>
        <v>4288434.75</v>
      </c>
    </row>
    <row r="78" spans="1:7" x14ac:dyDescent="0.25">
      <c r="A78" s="3" t="s">
        <v>77</v>
      </c>
      <c r="B78" s="3">
        <f>B62-B76</f>
        <v>292695.45000000019</v>
      </c>
      <c r="C78" s="3">
        <f t="shared" ref="C78:D78" si="16">C62-C76</f>
        <v>159080.70000000019</v>
      </c>
      <c r="D78" s="3">
        <f t="shared" si="16"/>
        <v>331235.95000000019</v>
      </c>
    </row>
    <row r="80" spans="1:7" x14ac:dyDescent="0.25">
      <c r="A80" s="1" t="s">
        <v>101</v>
      </c>
      <c r="B80" s="1">
        <f>B91</f>
        <v>0</v>
      </c>
      <c r="C80" s="1">
        <f t="shared" ref="C80:D80" si="17">C91</f>
        <v>91000</v>
      </c>
      <c r="D80" s="1">
        <f t="shared" si="17"/>
        <v>0</v>
      </c>
    </row>
    <row r="83" spans="1:5" x14ac:dyDescent="0.25">
      <c r="A83" s="3" t="s">
        <v>78</v>
      </c>
      <c r="B83" s="3">
        <f>B78+B80</f>
        <v>292695.45000000019</v>
      </c>
      <c r="C83" s="3">
        <f t="shared" ref="C83:D83" si="18">C78+C80</f>
        <v>250080.70000000019</v>
      </c>
      <c r="D83" s="3">
        <f t="shared" si="18"/>
        <v>331235.95000000019</v>
      </c>
    </row>
    <row r="87" spans="1:5" x14ac:dyDescent="0.25">
      <c r="A87" s="1" t="s">
        <v>113</v>
      </c>
    </row>
    <row r="88" spans="1:5" x14ac:dyDescent="0.25">
      <c r="A88" s="1" t="s">
        <v>114</v>
      </c>
      <c r="B88" s="1">
        <v>250000</v>
      </c>
      <c r="C88" s="1">
        <f>B88</f>
        <v>250000</v>
      </c>
      <c r="D88" s="1">
        <f>C88</f>
        <v>250000</v>
      </c>
    </row>
    <row r="89" spans="1:5" x14ac:dyDescent="0.25">
      <c r="A89" s="1" t="s">
        <v>115</v>
      </c>
      <c r="B89" s="1" t="str">
        <f>IF(B78&lt;=B88,B88-B78,"No")</f>
        <v>No</v>
      </c>
      <c r="C89" s="1">
        <f t="shared" ref="C89:D89" si="19">IF(C78&lt;=C88,C88-C78,"No")</f>
        <v>90919.299999999814</v>
      </c>
      <c r="D89" s="1" t="str">
        <f t="shared" si="19"/>
        <v>No</v>
      </c>
    </row>
    <row r="90" spans="1:5" x14ac:dyDescent="0.25">
      <c r="A90" s="1" t="s">
        <v>130</v>
      </c>
      <c r="B90" s="1">
        <v>1000</v>
      </c>
      <c r="C90" s="1">
        <f>B90</f>
        <v>1000</v>
      </c>
      <c r="D90" s="1">
        <f>C90</f>
        <v>1000</v>
      </c>
      <c r="E90" s="45" t="s">
        <v>131</v>
      </c>
    </row>
    <row r="91" spans="1:5" x14ac:dyDescent="0.25">
      <c r="A91" s="1" t="s">
        <v>132</v>
      </c>
      <c r="B91" s="1">
        <f>IF(B89&lt;&gt;"No",IF(B90=0,B89,ROUNDUP(B89/B90,0)*B90),0)</f>
        <v>0</v>
      </c>
      <c r="C91" s="1">
        <f t="shared" ref="C91:D91" si="20">IF(C89&lt;&gt;"No",IF(C90=0,C89,ROUNDUP(C89/C90,0)*C90),0)</f>
        <v>91000</v>
      </c>
      <c r="D91" s="1">
        <f t="shared" si="20"/>
        <v>0</v>
      </c>
    </row>
  </sheetData>
  <mergeCells count="1">
    <mergeCell ref="I15:I1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5F34-D04F-497A-97BA-EF714A3D7701}">
  <dimension ref="A1:H52"/>
  <sheetViews>
    <sheetView tabSelected="1" topLeftCell="A23" zoomScale="107" workbookViewId="0">
      <selection activeCell="C43" sqref="C43"/>
    </sheetView>
  </sheetViews>
  <sheetFormatPr baseColWidth="10" defaultColWidth="14.42578125" defaultRowHeight="15.75" x14ac:dyDescent="0.25"/>
  <cols>
    <col min="1" max="1" width="30.7109375" style="1" bestFit="1" customWidth="1"/>
    <col min="2" max="2" width="16.140625" style="1" bestFit="1" customWidth="1"/>
    <col min="3" max="3" width="31.42578125" style="1" customWidth="1"/>
    <col min="4" max="4" width="12" style="1" bestFit="1" customWidth="1"/>
    <col min="5" max="5" width="22.5703125" style="1" customWidth="1"/>
    <col min="6" max="6" width="19.28515625" style="1" customWidth="1"/>
    <col min="7" max="7" width="29.140625" style="1" customWidth="1"/>
    <col min="8" max="8" width="14.42578125" style="1"/>
    <col min="9" max="9" width="14.7109375" style="1" bestFit="1" customWidth="1"/>
    <col min="10" max="16384" width="14.42578125" style="1"/>
  </cols>
  <sheetData>
    <row r="1" spans="1:8" ht="18.75" x14ac:dyDescent="0.3">
      <c r="A1" s="60" t="s">
        <v>106</v>
      </c>
      <c r="B1" s="60"/>
      <c r="C1" s="60"/>
      <c r="D1" s="60"/>
      <c r="E1" s="60"/>
      <c r="F1" s="60"/>
      <c r="G1" s="60"/>
      <c r="H1" s="60"/>
    </row>
    <row r="2" spans="1:8" ht="18.75" x14ac:dyDescent="0.3">
      <c r="A2" s="61" t="s">
        <v>79</v>
      </c>
      <c r="B2" s="61"/>
      <c r="C2" s="61"/>
      <c r="D2" s="61"/>
      <c r="E2" s="61"/>
      <c r="F2" s="61"/>
      <c r="G2" s="61"/>
      <c r="H2" s="61"/>
    </row>
    <row r="3" spans="1:8" x14ac:dyDescent="0.25">
      <c r="A3" s="62" t="s">
        <v>107</v>
      </c>
      <c r="B3" s="62"/>
      <c r="C3" s="62"/>
      <c r="D3" s="62"/>
      <c r="E3" s="62"/>
      <c r="F3" s="62"/>
      <c r="G3" s="62"/>
      <c r="H3" s="62"/>
    </row>
    <row r="5" spans="1:8" x14ac:dyDescent="0.25">
      <c r="B5" s="24" t="s">
        <v>80</v>
      </c>
      <c r="F5" s="24" t="s">
        <v>81</v>
      </c>
    </row>
    <row r="6" spans="1:8" x14ac:dyDescent="0.25">
      <c r="A6" s="12" t="s">
        <v>82</v>
      </c>
      <c r="B6" s="13"/>
      <c r="C6" s="13"/>
      <c r="D6" s="13"/>
      <c r="E6" s="12" t="s">
        <v>82</v>
      </c>
      <c r="F6" s="13"/>
      <c r="G6" s="13"/>
      <c r="H6" s="14"/>
    </row>
    <row r="7" spans="1:8" x14ac:dyDescent="0.25">
      <c r="A7" s="15" t="s">
        <v>83</v>
      </c>
      <c r="B7" s="1">
        <v>286350</v>
      </c>
      <c r="E7" s="15" t="s">
        <v>85</v>
      </c>
      <c r="F7" s="39">
        <v>2178000</v>
      </c>
      <c r="G7" s="9"/>
      <c r="H7" s="17"/>
    </row>
    <row r="8" spans="1:8" x14ac:dyDescent="0.25">
      <c r="A8" s="15" t="s">
        <v>84</v>
      </c>
      <c r="B8" s="1">
        <v>1930201</v>
      </c>
      <c r="E8" s="15" t="s">
        <v>99</v>
      </c>
      <c r="F8" s="39">
        <v>55000</v>
      </c>
      <c r="G8" s="9"/>
      <c r="H8" s="17"/>
    </row>
    <row r="9" spans="1:8" x14ac:dyDescent="0.25">
      <c r="A9" s="15" t="s">
        <v>86</v>
      </c>
      <c r="B9" s="1">
        <v>1955450</v>
      </c>
      <c r="E9" s="15" t="s">
        <v>75</v>
      </c>
      <c r="F9" s="39">
        <v>45000</v>
      </c>
      <c r="G9" s="39"/>
      <c r="H9" s="17"/>
    </row>
    <row r="10" spans="1:8" x14ac:dyDescent="0.25">
      <c r="A10" s="15" t="s">
        <v>87</v>
      </c>
      <c r="B10" s="1">
        <v>1985600</v>
      </c>
      <c r="C10" s="16"/>
      <c r="E10" s="15" t="s">
        <v>119</v>
      </c>
      <c r="F10" s="39">
        <v>48000</v>
      </c>
      <c r="G10" s="9"/>
      <c r="H10" s="17"/>
    </row>
    <row r="11" spans="1:8" x14ac:dyDescent="0.25">
      <c r="E11" s="18"/>
      <c r="F11" s="9"/>
      <c r="G11" s="9" t="s">
        <v>121</v>
      </c>
      <c r="H11" s="41">
        <f>SUM(F7:F10)</f>
        <v>2326000</v>
      </c>
    </row>
    <row r="12" spans="1:8" x14ac:dyDescent="0.25">
      <c r="E12" s="19" t="s">
        <v>88</v>
      </c>
      <c r="F12" s="9"/>
      <c r="G12" s="9"/>
      <c r="H12" s="17"/>
    </row>
    <row r="13" spans="1:8" x14ac:dyDescent="0.25">
      <c r="A13" s="18"/>
      <c r="E13" s="20" t="s">
        <v>133</v>
      </c>
      <c r="F13" s="39" t="s">
        <v>133</v>
      </c>
      <c r="G13" s="39"/>
      <c r="H13" s="17"/>
    </row>
    <row r="14" spans="1:8" x14ac:dyDescent="0.25">
      <c r="A14" s="19"/>
      <c r="E14" s="18"/>
      <c r="F14" s="9"/>
      <c r="G14" s="9" t="s">
        <v>120</v>
      </c>
      <c r="H14" s="17">
        <f>SUM(F13)</f>
        <v>0</v>
      </c>
    </row>
    <row r="15" spans="1:8" x14ac:dyDescent="0.25">
      <c r="A15" s="19"/>
      <c r="C15" s="1" t="s">
        <v>116</v>
      </c>
      <c r="D15" s="1">
        <f>SUM(B7:B10)</f>
        <v>6157601</v>
      </c>
      <c r="E15" s="21"/>
      <c r="F15" s="4"/>
      <c r="G15" s="22" t="s">
        <v>89</v>
      </c>
      <c r="H15" s="42">
        <f>H11+H14</f>
        <v>2326000</v>
      </c>
    </row>
    <row r="16" spans="1:8" x14ac:dyDescent="0.25">
      <c r="A16" s="12" t="s">
        <v>88</v>
      </c>
      <c r="B16" s="13"/>
      <c r="C16" s="13"/>
      <c r="D16" s="14"/>
      <c r="E16" s="13"/>
      <c r="F16" s="13"/>
      <c r="G16" s="13"/>
      <c r="H16" s="14"/>
    </row>
    <row r="17" spans="1:8" x14ac:dyDescent="0.25">
      <c r="A17" s="15" t="s">
        <v>90</v>
      </c>
      <c r="B17" s="1">
        <v>238000</v>
      </c>
      <c r="D17" s="17"/>
      <c r="H17" s="17"/>
    </row>
    <row r="18" spans="1:8" x14ac:dyDescent="0.25">
      <c r="A18" s="15" t="s">
        <v>91</v>
      </c>
      <c r="B18" s="16">
        <v>45000</v>
      </c>
      <c r="D18" s="17"/>
      <c r="H18" s="17"/>
    </row>
    <row r="19" spans="1:8" x14ac:dyDescent="0.25">
      <c r="A19" s="15" t="s">
        <v>92</v>
      </c>
      <c r="B19" s="1">
        <v>83000</v>
      </c>
      <c r="D19" s="17"/>
      <c r="F19" s="24" t="s">
        <v>93</v>
      </c>
      <c r="H19" s="17"/>
    </row>
    <row r="20" spans="1:8" x14ac:dyDescent="0.25">
      <c r="A20" s="15" t="s">
        <v>94</v>
      </c>
      <c r="B20" s="16">
        <v>17500</v>
      </c>
      <c r="D20" s="17"/>
      <c r="E20" s="25" t="s">
        <v>95</v>
      </c>
      <c r="F20" s="16">
        <v>3000000</v>
      </c>
      <c r="H20" s="17"/>
    </row>
    <row r="21" spans="1:8" x14ac:dyDescent="0.25">
      <c r="A21" s="15" t="s">
        <v>102</v>
      </c>
      <c r="B21" s="16">
        <v>12000</v>
      </c>
      <c r="C21" s="16"/>
      <c r="D21" s="17"/>
      <c r="E21" s="25" t="s">
        <v>96</v>
      </c>
      <c r="F21" s="16">
        <v>1102101</v>
      </c>
      <c r="G21" s="16">
        <f>SUM(F20:F21)</f>
        <v>4102101</v>
      </c>
      <c r="H21" s="17"/>
    </row>
    <row r="22" spans="1:8" x14ac:dyDescent="0.25">
      <c r="A22" s="15"/>
      <c r="B22" s="16"/>
      <c r="C22" s="16" t="s">
        <v>117</v>
      </c>
      <c r="D22" s="17">
        <f>B17-B18+B19-B20+B21</f>
        <v>270500</v>
      </c>
      <c r="E22" s="25"/>
      <c r="F22" s="16"/>
      <c r="G22" s="16"/>
      <c r="H22" s="17"/>
    </row>
    <row r="23" spans="1:8" x14ac:dyDescent="0.25">
      <c r="A23" s="26"/>
      <c r="B23" s="4"/>
      <c r="C23" s="22" t="s">
        <v>118</v>
      </c>
      <c r="D23" s="23">
        <f>D22+D15</f>
        <v>6428101</v>
      </c>
      <c r="E23" s="4"/>
      <c r="F23" s="22" t="s">
        <v>97</v>
      </c>
      <c r="G23" s="22">
        <f>H15+G21</f>
        <v>6428101</v>
      </c>
      <c r="H23" s="23"/>
    </row>
    <row r="25" spans="1:8" x14ac:dyDescent="0.25">
      <c r="E25" s="1">
        <f>D23-G23</f>
        <v>0</v>
      </c>
    </row>
    <row r="26" spans="1:8" ht="18.75" x14ac:dyDescent="0.3">
      <c r="A26" s="63" t="s">
        <v>106</v>
      </c>
      <c r="B26" s="63"/>
      <c r="C26" s="63"/>
      <c r="D26" s="63"/>
      <c r="E26" s="63"/>
      <c r="F26" s="63"/>
      <c r="G26" s="63"/>
      <c r="H26" s="63"/>
    </row>
    <row r="27" spans="1:8" ht="18.75" x14ac:dyDescent="0.3">
      <c r="A27" s="64" t="s">
        <v>79</v>
      </c>
      <c r="B27" s="64"/>
      <c r="C27" s="64"/>
      <c r="D27" s="64"/>
      <c r="E27" s="64"/>
      <c r="F27" s="64"/>
      <c r="G27" s="64"/>
      <c r="H27" s="64"/>
    </row>
    <row r="28" spans="1:8" x14ac:dyDescent="0.25">
      <c r="A28" s="65" t="s">
        <v>122</v>
      </c>
      <c r="B28" s="65"/>
      <c r="C28" s="65"/>
      <c r="D28" s="65"/>
      <c r="E28" s="65"/>
      <c r="F28" s="65"/>
      <c r="G28" s="65"/>
      <c r="H28" s="65"/>
    </row>
    <row r="30" spans="1:8" x14ac:dyDescent="0.25">
      <c r="B30" s="24" t="s">
        <v>80</v>
      </c>
      <c r="F30" s="24" t="s">
        <v>81</v>
      </c>
    </row>
    <row r="31" spans="1:8" x14ac:dyDescent="0.25">
      <c r="A31" s="12" t="s">
        <v>82</v>
      </c>
      <c r="B31" s="13"/>
      <c r="C31" s="13"/>
      <c r="D31" s="13"/>
      <c r="E31" s="12" t="s">
        <v>82</v>
      </c>
      <c r="F31" s="13"/>
      <c r="G31" s="13"/>
      <c r="H31" s="14"/>
    </row>
    <row r="32" spans="1:8" x14ac:dyDescent="0.25">
      <c r="A32" s="15" t="s">
        <v>83</v>
      </c>
      <c r="B32" s="1">
        <f>'Cobrar,Pagar,Caja'!D83</f>
        <v>331235.95000000019</v>
      </c>
      <c r="E32" s="15" t="s">
        <v>85</v>
      </c>
      <c r="F32" s="39">
        <f>'Cobrar,Pagar,Caja'!H51</f>
        <v>2427789.75</v>
      </c>
      <c r="G32" s="9"/>
      <c r="H32" s="17"/>
    </row>
    <row r="33" spans="1:8" ht="18.75" customHeight="1" x14ac:dyDescent="0.25">
      <c r="A33" s="15" t="s">
        <v>84</v>
      </c>
      <c r="B33" s="1">
        <f>'Cobrar,Pagar,Caja'!H25</f>
        <v>2331630</v>
      </c>
      <c r="E33" s="15" t="s">
        <v>99</v>
      </c>
      <c r="F33" s="39">
        <f>F8</f>
        <v>55000</v>
      </c>
      <c r="G33" s="9"/>
      <c r="H33" s="17"/>
    </row>
    <row r="34" spans="1:8" x14ac:dyDescent="0.25">
      <c r="A34" s="15" t="s">
        <v>86</v>
      </c>
      <c r="B34" s="2">
        <f>Presupuestos!D91</f>
        <v>2279348</v>
      </c>
      <c r="E34" s="15" t="s">
        <v>98</v>
      </c>
      <c r="F34" s="40">
        <f>Presupuestos!E88</f>
        <v>198267</v>
      </c>
      <c r="G34" s="39"/>
      <c r="H34" s="17"/>
    </row>
    <row r="35" spans="1:8" x14ac:dyDescent="0.25">
      <c r="A35" s="15" t="s">
        <v>87</v>
      </c>
      <c r="B35" s="5">
        <f>Presupuestos!D58</f>
        <v>2244743</v>
      </c>
      <c r="C35" s="16"/>
      <c r="E35" s="15" t="s">
        <v>119</v>
      </c>
      <c r="F35" s="39">
        <f>F10</f>
        <v>48000</v>
      </c>
      <c r="G35" s="9"/>
      <c r="H35" s="17"/>
    </row>
    <row r="36" spans="1:8" x14ac:dyDescent="0.25">
      <c r="E36" s="18" t="s">
        <v>139</v>
      </c>
      <c r="F36" s="9">
        <f>'Cobrar,Pagar,Caja'!C80</f>
        <v>91000</v>
      </c>
      <c r="G36" s="9" t="s">
        <v>121</v>
      </c>
      <c r="H36" s="41">
        <f>SUM(F32:F36)</f>
        <v>2820056.75</v>
      </c>
    </row>
    <row r="37" spans="1:8" x14ac:dyDescent="0.25">
      <c r="E37" s="19" t="s">
        <v>88</v>
      </c>
      <c r="F37" s="9"/>
      <c r="G37" s="9"/>
      <c r="H37" s="17"/>
    </row>
    <row r="38" spans="1:8" x14ac:dyDescent="0.25">
      <c r="A38" s="18"/>
      <c r="E38" s="39"/>
      <c r="F38" s="39" t="str">
        <f>F13</f>
        <v>-</v>
      </c>
      <c r="G38" s="39"/>
      <c r="H38" s="17"/>
    </row>
    <row r="39" spans="1:8" x14ac:dyDescent="0.25">
      <c r="A39" s="19"/>
      <c r="E39" s="18"/>
      <c r="F39" s="9"/>
      <c r="G39" s="9" t="s">
        <v>120</v>
      </c>
      <c r="H39" s="17">
        <f>SUM(F38)</f>
        <v>0</v>
      </c>
    </row>
    <row r="40" spans="1:8" x14ac:dyDescent="0.25">
      <c r="A40" s="19"/>
      <c r="C40" s="1" t="s">
        <v>116</v>
      </c>
      <c r="D40" s="1">
        <f>SUM(B32:B35)</f>
        <v>7186956.9500000002</v>
      </c>
      <c r="E40" s="21"/>
      <c r="F40" s="4"/>
      <c r="G40" s="22" t="s">
        <v>89</v>
      </c>
      <c r="H40" s="42">
        <f>H36+H39</f>
        <v>2820056.75</v>
      </c>
    </row>
    <row r="41" spans="1:8" x14ac:dyDescent="0.25">
      <c r="A41" s="12" t="s">
        <v>88</v>
      </c>
      <c r="B41" s="13"/>
      <c r="C41" s="13"/>
      <c r="D41" s="14"/>
      <c r="E41" s="27"/>
      <c r="F41" s="13"/>
      <c r="G41" s="13"/>
      <c r="H41" s="14"/>
    </row>
    <row r="42" spans="1:8" x14ac:dyDescent="0.25">
      <c r="A42" s="15" t="s">
        <v>90</v>
      </c>
      <c r="B42" s="1">
        <f>B17</f>
        <v>238000</v>
      </c>
      <c r="D42" s="17"/>
      <c r="E42" s="18"/>
      <c r="F42" s="9"/>
      <c r="G42" s="9"/>
      <c r="H42" s="17"/>
    </row>
    <row r="43" spans="1:8" x14ac:dyDescent="0.25">
      <c r="A43" s="15" t="s">
        <v>91</v>
      </c>
      <c r="B43" s="37">
        <f>B18+('Cobrar,Pagar,Caja'!F68*Presupuestos!G5)</f>
        <v>60000</v>
      </c>
      <c r="D43" s="17"/>
      <c r="E43" s="18"/>
      <c r="F43" s="9"/>
      <c r="G43" s="9"/>
      <c r="H43" s="17"/>
    </row>
    <row r="44" spans="1:8" x14ac:dyDescent="0.25">
      <c r="A44" s="15" t="s">
        <v>92</v>
      </c>
      <c r="B44" s="16">
        <f>B19</f>
        <v>83000</v>
      </c>
      <c r="D44" s="17"/>
      <c r="E44" s="18"/>
      <c r="F44" s="38" t="s">
        <v>93</v>
      </c>
      <c r="G44" s="9"/>
      <c r="H44" s="17"/>
    </row>
    <row r="45" spans="1:8" x14ac:dyDescent="0.25">
      <c r="A45" s="15" t="s">
        <v>94</v>
      </c>
      <c r="B45" s="16">
        <f>B20+('Cobrar,Pagar,Caja'!F69*Presupuestos!G5)</f>
        <v>28000</v>
      </c>
      <c r="D45" s="17"/>
      <c r="E45" s="15" t="s">
        <v>95</v>
      </c>
      <c r="F45" s="39">
        <f>F20</f>
        <v>3000000</v>
      </c>
      <c r="G45" s="9"/>
      <c r="H45" s="17"/>
    </row>
    <row r="46" spans="1:8" x14ac:dyDescent="0.25">
      <c r="A46" s="15" t="s">
        <v>102</v>
      </c>
      <c r="B46" s="16">
        <f t="shared" ref="B46" si="0">B21</f>
        <v>12000</v>
      </c>
      <c r="C46" s="16"/>
      <c r="D46" s="17"/>
      <c r="E46" s="15" t="s">
        <v>96</v>
      </c>
      <c r="F46" s="39">
        <f>F21</f>
        <v>1102101</v>
      </c>
      <c r="G46" s="9"/>
      <c r="H46" s="17"/>
    </row>
    <row r="47" spans="1:8" x14ac:dyDescent="0.25">
      <c r="A47" s="15" t="s">
        <v>140</v>
      </c>
      <c r="B47" s="16">
        <f>'Cobrar,Pagar,Caja'!D75</f>
        <v>85000</v>
      </c>
      <c r="C47" s="16"/>
      <c r="D47" s="17"/>
      <c r="E47" s="15" t="s">
        <v>123</v>
      </c>
      <c r="F47" s="40">
        <f>Presupuestos!E89</f>
        <v>594799</v>
      </c>
      <c r="G47" s="39"/>
      <c r="H47" s="17"/>
    </row>
    <row r="48" spans="1:8" x14ac:dyDescent="0.25">
      <c r="A48" s="15"/>
      <c r="B48" s="16"/>
      <c r="C48" s="16" t="s">
        <v>117</v>
      </c>
      <c r="D48" s="46">
        <f>B42-B43+B44-B45+B46+B47</f>
        <v>330000</v>
      </c>
      <c r="E48" s="15"/>
      <c r="F48" s="39"/>
      <c r="G48" s="36" t="s">
        <v>124</v>
      </c>
      <c r="H48" s="41">
        <f>SUM(F45:F47)</f>
        <v>4696900</v>
      </c>
    </row>
    <row r="49" spans="1:8" x14ac:dyDescent="0.25">
      <c r="A49" s="26"/>
      <c r="B49" s="4"/>
      <c r="C49" s="22" t="s">
        <v>118</v>
      </c>
      <c r="D49" s="23">
        <f>D48+D40</f>
        <v>7516956.9500000002</v>
      </c>
      <c r="E49" s="21"/>
      <c r="F49" s="4"/>
      <c r="G49" s="22" t="s">
        <v>97</v>
      </c>
      <c r="H49" s="42">
        <f>H40+H48</f>
        <v>7516956.75</v>
      </c>
    </row>
    <row r="51" spans="1:8" x14ac:dyDescent="0.25">
      <c r="E51" s="1">
        <f>D49-H49</f>
        <v>0.20000000018626451</v>
      </c>
    </row>
    <row r="52" spans="1:8" x14ac:dyDescent="0.25">
      <c r="E52" s="2"/>
    </row>
  </sheetData>
  <mergeCells count="6">
    <mergeCell ref="A26:H26"/>
    <mergeCell ref="A27:H27"/>
    <mergeCell ref="A28:H28"/>
    <mergeCell ref="A1:H1"/>
    <mergeCell ref="A2:H2"/>
    <mergeCell ref="A3:H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Presupuestos</vt:lpstr>
      <vt:lpstr>Cobrar,Pagar,Caja</vt:lpstr>
      <vt:lpstr>Balance General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J</dc:creator>
  <cp:keywords/>
  <dc:description/>
  <cp:lastModifiedBy>DAVID CORZO</cp:lastModifiedBy>
  <cp:revision/>
  <cp:lastPrinted>2020-05-10T23:08:03Z</cp:lastPrinted>
  <dcterms:created xsi:type="dcterms:W3CDTF">2020-04-20T23:48:27Z</dcterms:created>
  <dcterms:modified xsi:type="dcterms:W3CDTF">2020-05-11T01:46:53Z</dcterms:modified>
  <cp:category/>
  <cp:contentStatus/>
</cp:coreProperties>
</file>