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7703DB6E-8BC8-4530-84A0-88745416402C}" xr6:coauthVersionLast="45" xr6:coauthVersionMax="45" xr10:uidLastSave="{00000000-0000-0000-0000-000000000000}"/>
  <bookViews>
    <workbookView xWindow="3510" yWindow="3510" windowWidth="21600" windowHeight="11385" activeTab="1" xr2:uid="{00000000-000D-0000-FFFF-FFFF00000000}"/>
  </bookViews>
  <sheets>
    <sheet name="Ejercicio#10" sheetId="1" r:id="rId1"/>
    <sheet name="Ejercicio#8" sheetId="2" r:id="rId2"/>
    <sheet name="Ejercicio#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2" l="1"/>
  <c r="D52" i="2"/>
  <c r="D44" i="2"/>
  <c r="E44" i="2"/>
  <c r="C44" i="2"/>
  <c r="D43" i="2"/>
  <c r="E43" i="2"/>
  <c r="C43" i="2"/>
  <c r="D8" i="2"/>
  <c r="C8" i="2"/>
  <c r="C97" i="1"/>
  <c r="D97" i="1"/>
  <c r="B97" i="1"/>
  <c r="B95" i="1"/>
  <c r="C88" i="1"/>
  <c r="D88" i="1"/>
  <c r="C87" i="1"/>
  <c r="D87" i="1"/>
  <c r="B87" i="1"/>
  <c r="C78" i="1"/>
  <c r="B78" i="1"/>
  <c r="B80" i="1" s="1"/>
  <c r="C81" i="1"/>
  <c r="D81" i="1"/>
  <c r="B81" i="1"/>
  <c r="D78" i="1"/>
  <c r="B82" i="1" l="1"/>
  <c r="B88" i="1" s="1"/>
  <c r="B89" i="1" s="1"/>
  <c r="B93" i="1" s="1"/>
  <c r="D80" i="1"/>
  <c r="D82" i="1" s="1"/>
  <c r="C80" i="1"/>
  <c r="C82" i="1" s="1"/>
  <c r="C92" i="1"/>
  <c r="D92" i="1"/>
  <c r="B92" i="1"/>
  <c r="C79" i="1"/>
  <c r="D79" i="1"/>
  <c r="B79" i="1"/>
  <c r="C53" i="1"/>
  <c r="D53" i="1"/>
  <c r="B53" i="1"/>
  <c r="C51" i="1"/>
  <c r="D51" i="1"/>
  <c r="B51" i="1"/>
  <c r="C46" i="1"/>
  <c r="B46" i="1"/>
  <c r="D44" i="1"/>
  <c r="C44" i="1"/>
  <c r="B44" i="1"/>
  <c r="D26" i="1"/>
  <c r="D18" i="1"/>
  <c r="C18" i="1"/>
  <c r="D9" i="1"/>
  <c r="D15" i="1" s="1"/>
  <c r="D17" i="1" s="1"/>
  <c r="D19" i="1" s="1"/>
  <c r="L9" i="1"/>
  <c r="C9" i="1" s="1"/>
  <c r="L10" i="1"/>
  <c r="L8" i="1"/>
  <c r="B9" i="1" s="1"/>
  <c r="C89" i="1" l="1"/>
  <c r="C93" i="1" s="1"/>
  <c r="C94" i="1" s="1"/>
  <c r="C95" i="1" s="1"/>
  <c r="B94" i="1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D63" i="1"/>
  <c r="F5" i="3"/>
  <c r="F7" i="3" s="1"/>
  <c r="D28" i="1" l="1"/>
  <c r="D58" i="1" s="1"/>
  <c r="D60" i="1" s="1"/>
  <c r="C26" i="1"/>
  <c r="C63" i="1" s="1"/>
  <c r="D25" i="1"/>
  <c r="D27" i="1" s="1"/>
  <c r="D29" i="1" s="1"/>
  <c r="D31" i="1" s="1"/>
  <c r="D61" i="1" s="1"/>
  <c r="D73" i="1"/>
  <c r="D37" i="1"/>
  <c r="D39" i="1" s="1"/>
  <c r="D50" i="1"/>
  <c r="D52" i="1" s="1"/>
  <c r="D54" i="1" s="1"/>
  <c r="D71" i="1" s="1"/>
  <c r="D47" i="1"/>
  <c r="D70" i="1" s="1"/>
  <c r="C35" i="1"/>
  <c r="C43" i="1"/>
  <c r="C45" i="1" s="1"/>
  <c r="C23" i="1"/>
  <c r="B23" i="1"/>
  <c r="B35" i="1"/>
  <c r="B43" i="1"/>
  <c r="B45" i="1" s="1"/>
  <c r="H18" i="3"/>
  <c r="B16" i="3"/>
  <c r="B14" i="3"/>
  <c r="B15" i="3"/>
  <c r="B6" i="3"/>
  <c r="B5" i="3"/>
  <c r="B73" i="1" l="1"/>
  <c r="B37" i="1"/>
  <c r="B39" i="1" s="1"/>
  <c r="C50" i="1"/>
  <c r="C52" i="1" s="1"/>
  <c r="C54" i="1" s="1"/>
  <c r="C71" i="1" s="1"/>
  <c r="C47" i="1"/>
  <c r="C70" i="1" s="1"/>
  <c r="C73" i="1"/>
  <c r="C37" i="1"/>
  <c r="C39" i="1" s="1"/>
  <c r="B28" i="1"/>
  <c r="B25" i="1"/>
  <c r="B27" i="1" s="1"/>
  <c r="B26" i="1"/>
  <c r="B63" i="1" s="1"/>
  <c r="C25" i="1"/>
  <c r="C27" i="1" s="1"/>
  <c r="C28" i="1"/>
  <c r="C58" i="1" s="1"/>
  <c r="C60" i="1" s="1"/>
  <c r="B47" i="1"/>
  <c r="B70" i="1" s="1"/>
  <c r="B50" i="1"/>
  <c r="B52" i="1" s="1"/>
  <c r="B54" i="1" s="1"/>
  <c r="B71" i="1" s="1"/>
  <c r="D62" i="1"/>
  <c r="D65" i="1" s="1"/>
  <c r="D69" i="1" s="1"/>
  <c r="E65" i="2"/>
  <c r="E60" i="2"/>
  <c r="E59" i="2"/>
  <c r="E66" i="2" s="1"/>
  <c r="E68" i="2" s="1"/>
  <c r="E52" i="2"/>
  <c r="C29" i="1" l="1"/>
  <c r="C31" i="1" s="1"/>
  <c r="C61" i="1" s="1"/>
  <c r="C62" i="1" s="1"/>
  <c r="C65" i="1" s="1"/>
  <c r="C69" i="1" s="1"/>
  <c r="C72" i="1" s="1"/>
  <c r="C74" i="1" s="1"/>
  <c r="B29" i="1"/>
  <c r="B31" i="1" s="1"/>
  <c r="B61" i="1" s="1"/>
  <c r="B58" i="1"/>
  <c r="B60" i="1" s="1"/>
  <c r="B62" i="1" s="1"/>
  <c r="B65" i="1" s="1"/>
  <c r="B69" i="1" s="1"/>
  <c r="B72" i="1" s="1"/>
  <c r="B74" i="1" s="1"/>
  <c r="B8" i="3" l="1"/>
  <c r="B7" i="3"/>
  <c r="D11" i="1"/>
  <c r="D8" i="3" l="1"/>
  <c r="B13" i="3" l="1"/>
  <c r="D18" i="3" s="1"/>
  <c r="B19" i="3" s="1"/>
  <c r="D72" i="1" l="1"/>
  <c r="D74" i="1" s="1"/>
  <c r="D89" i="1" l="1"/>
  <c r="D93" i="1" s="1"/>
  <c r="D94" i="1" l="1"/>
  <c r="D95" i="1" s="1"/>
  <c r="F8" i="3" l="1"/>
  <c r="H9" i="3" s="1"/>
  <c r="F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B28" authorId="0" shapeId="0" xr:uid="{A96C08C6-FFA8-4FCB-9827-1B872D6764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nada que halar, será el 55% del mes siguiente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E34" authorId="0" shapeId="0" xr:uid="{7541AAA3-9B47-42FB-BACD-DD50E976592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ha decidido que se no se tendrán cantidades menores a 200,000 en caja
</t>
        </r>
      </text>
    </comment>
    <comment ref="E60" authorId="0" shapeId="0" xr:uid="{022C8872-78BF-4B97-8A56-F902C034B0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al contado, todo se compró al crédito</t>
        </r>
      </text>
    </comment>
    <comment ref="E66" authorId="0" shapeId="0" xr:uid="{E04BB81A-3915-4856-921C-1E00616011B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En noviembre se pagará el 50%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6" authorId="0" shapeId="0" xr:uid="{ABFE4674-A3D7-4717-93C0-5930E6859FE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<sst xmlns="http://schemas.openxmlformats.org/spreadsheetml/2006/main" count="196" uniqueCount="132">
  <si>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</si>
  <si>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</si>
  <si>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</si>
  <si>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</si>
  <si>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</si>
  <si>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</si>
  <si>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</si>
  <si>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</si>
  <si>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</si>
  <si>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</si>
  <si>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</si>
  <si>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</si>
  <si>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</si>
  <si>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</si>
  <si>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</si>
  <si>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</si>
  <si>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</si>
  <si>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</si>
  <si>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</si>
  <si>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</si>
  <si>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</si>
  <si>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</si>
  <si>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</si>
  <si>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</si>
  <si>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</si>
  <si>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</si>
  <si>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</si>
  <si>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</si>
  <si>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</si>
  <si>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</si>
  <si>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</si>
  <si>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</si>
  <si>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</si>
  <si>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</si>
  <si>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</si>
  <si>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</si>
  <si>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</si>
  <si>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</si>
  <si>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</si>
  <si>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</si>
  <si>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</si>
  <si>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</si>
  <si>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</si>
  <si>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</si>
  <si>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</si>
  <si>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</si>
  <si>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</si>
  <si>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</si>
  <si>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</si>
  <si>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</si>
  <si>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</si>
  <si>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Saldo inicial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</si>
  <si>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</si>
  <si>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</si>
  <si>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</si>
  <si>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</si>
  <si>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</si>
  <si>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</si>
  <si>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</si>
  <si>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</si>
  <si>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</si>
  <si>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Costos indirectos de fabricación</t>
  </si>
  <si>
    <t>Gastos de fabricación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</si>
  <si>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</si>
  <si>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</si>
  <si>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</si>
  <si>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</si>
  <si>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</si>
  <si>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</si>
  <si>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</si>
  <si>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</si>
  <si>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</si>
  <si>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</si>
  <si>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Pagos diciembre</t>
  </si>
  <si>
    <t>Presupuesto de pagos</t>
  </si>
  <si>
    <t>Otros gastos</t>
  </si>
  <si>
    <t>Total de egresos</t>
  </si>
  <si>
    <t>Cuenta de ahorro</t>
  </si>
  <si>
    <t>Otros Saldo final en caja</t>
  </si>
  <si>
    <t>Saldo en caja</t>
  </si>
  <si>
    <t>Empresa Dudas S.A.</t>
  </si>
  <si>
    <t>Balance general al 30 de Noviembre de 2019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</si>
  <si>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</si>
  <si>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</si>
  <si>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</si>
  <si>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</si>
  <si>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</si>
  <si>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</si>
  <si>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</si>
  <si>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</si>
  <si>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</si>
  <si>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</si>
  <si>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</si>
  <si>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</si>
  <si>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</si>
  <si>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Gastos anticipados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</si>
  <si>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</si>
  <si>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</si>
  <si>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</si>
  <si>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</si>
  <si>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</si>
  <si>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</si>
  <si>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</si>
  <si>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Impuestos por pagar</t>
  </si>
  <si>
    <t>Total de pasivos corrientes:</t>
  </si>
  <si>
    <t>Capital:</t>
  </si>
  <si>
    <t>Capital pagado</t>
  </si>
  <si>
    <t>Utilidades retenidas</t>
  </si>
  <si>
    <t>Pagos al crédito</t>
  </si>
  <si>
    <t>Pagos al contado</t>
  </si>
  <si>
    <t>Sector 1</t>
  </si>
  <si>
    <t>Sector 2</t>
  </si>
  <si>
    <t>Sector 3</t>
  </si>
  <si>
    <t xml:space="preserve">Sector 4 </t>
  </si>
  <si>
    <t>Sector 5</t>
  </si>
  <si>
    <t>Enero</t>
  </si>
  <si>
    <t>Febrero</t>
  </si>
  <si>
    <t>Marzo</t>
  </si>
  <si>
    <t>Total de costos y gastos variables</t>
  </si>
  <si>
    <t>Costos por HH de costos y gastos variables</t>
  </si>
  <si>
    <t>*** por que del inventario inicial</t>
  </si>
  <si>
    <t>Precio de compra de ese inventario</t>
  </si>
  <si>
    <t xml:space="preserve">Enero </t>
  </si>
  <si>
    <t>Total de ventas</t>
  </si>
  <si>
    <t>Ventas enero</t>
  </si>
  <si>
    <t>Ventas febrero</t>
  </si>
  <si>
    <t>Ventas marzo</t>
  </si>
  <si>
    <t>Ventas abril</t>
  </si>
  <si>
    <t>Pagos enero</t>
  </si>
  <si>
    <t>Pagos febrero</t>
  </si>
  <si>
    <t>Pagos marzo</t>
  </si>
  <si>
    <t>Pagos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</si>
</sst>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1" fillId="0" borderId="12" xfId="0" applyFont="1" applyBorder="1"/>
    <xf numFmtId="0" fontId="0" fillId="0" borderId="12" xfId="0" applyBorder="1"/>
    <xf numFmtId="164" fontId="1" fillId="0" borderId="13" xfId="0" applyNumberFormat="1" applyFont="1" applyBorder="1"/>
    <xf numFmtId="164" fontId="0" fillId="0" borderId="13" xfId="0" applyNumberFormat="1" applyBorder="1"/>
    <xf numFmtId="0" fontId="7" fillId="0" borderId="16" xfId="0" applyFont="1" applyBorder="1"/>
    <xf numFmtId="0" fontId="0" fillId="0" borderId="17" xfId="0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164" fontId="0" fillId="0" borderId="17" xfId="0" applyNumberFormat="1" applyBorder="1"/>
    <xf numFmtId="0" fontId="7" fillId="0" borderId="18" xfId="0" applyFont="1" applyBorder="1"/>
    <xf numFmtId="0" fontId="7" fillId="0" borderId="17" xfId="0" applyFont="1" applyBorder="1"/>
    <xf numFmtId="0" fontId="1" fillId="0" borderId="22" xfId="0" applyFont="1" applyBorder="1"/>
    <xf numFmtId="164" fontId="1" fillId="0" borderId="23" xfId="0" applyNumberFormat="1" applyFont="1" applyBorder="1"/>
    <xf numFmtId="0" fontId="7" fillId="0" borderId="24" xfId="0" applyFont="1" applyBorder="1"/>
    <xf numFmtId="164" fontId="1" fillId="0" borderId="25" xfId="0" applyNumberFormat="1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7" xfId="0" applyBorder="1"/>
    <xf numFmtId="0" fontId="0" fillId="0" borderId="16" xfId="0" applyBorder="1"/>
    <xf numFmtId="164" fontId="0" fillId="0" borderId="1" xfId="0" applyNumberFormat="1" applyBorder="1"/>
    <xf numFmtId="164" fontId="0" fillId="0" borderId="27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ont="1" applyBorder="1"/>
    <xf numFmtId="0" fontId="8" fillId="0" borderId="0" xfId="0" applyFo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164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32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3" fillId="2" borderId="26" xfId="0" applyFont="1" applyFill="1" applyBorder="1"/>
    <xf numFmtId="0" fontId="0" fillId="0" borderId="34" xfId="0" applyBorder="1"/>
    <xf numFmtId="0" fontId="0" fillId="0" borderId="34" xfId="0" applyFill="1" applyBorder="1"/>
    <xf numFmtId="0" fontId="1" fillId="0" borderId="33" xfId="0" applyFont="1" applyFill="1" applyBorder="1"/>
    <xf numFmtId="0" fontId="13" fillId="2" borderId="26" xfId="0" applyFont="1" applyFill="1" applyBorder="1" applyAlignment="1">
      <alignment horizontal="center"/>
    </xf>
    <xf numFmtId="0" fontId="0" fillId="0" borderId="0" xfId="0" applyFont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3" xfId="0" applyNumberFormat="1" applyFont="1" applyBorder="1"/>
    <xf numFmtId="3" fontId="0" fillId="0" borderId="34" xfId="0" applyNumberFormat="1" applyBorder="1"/>
    <xf numFmtId="3" fontId="1" fillId="0" borderId="33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3" xfId="0" applyNumberFormat="1" applyFont="1" applyFill="1" applyBorder="1"/>
    <xf numFmtId="164" fontId="0" fillId="0" borderId="34" xfId="0" applyNumberFormat="1" applyBorder="1"/>
    <xf numFmtId="164" fontId="1" fillId="0" borderId="0" xfId="0" applyNumberFormat="1" applyFont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" fillId="0" borderId="28" xfId="0" applyFont="1" applyBorder="1"/>
    <xf numFmtId="0" fontId="7" fillId="0" borderId="1" xfId="0" applyFont="1" applyBorder="1"/>
    <xf numFmtId="0" fontId="1" fillId="0" borderId="35" xfId="0" applyFont="1" applyBorder="1"/>
    <xf numFmtId="0" fontId="1" fillId="0" borderId="36" xfId="0" applyFont="1" applyBorder="1"/>
    <xf numFmtId="0" fontId="7" fillId="0" borderId="35" xfId="0" applyFont="1" applyBorder="1"/>
    <xf numFmtId="0" fontId="1" fillId="0" borderId="37" xfId="0" applyFont="1" applyBorder="1"/>
    <xf numFmtId="0" fontId="7" fillId="0" borderId="38" xfId="0" applyFont="1" applyBorder="1"/>
    <xf numFmtId="0" fontId="10" fillId="0" borderId="26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28" xfId="0" applyBorder="1"/>
    <xf numFmtId="0" fontId="1" fillId="0" borderId="0" xfId="0" applyFont="1" applyBorder="1"/>
    <xf numFmtId="0" fontId="0" fillId="0" borderId="5" xfId="0" applyFont="1" applyBorder="1"/>
    <xf numFmtId="0" fontId="0" fillId="0" borderId="12" xfId="0" applyFont="1" applyBorder="1"/>
    <xf numFmtId="164" fontId="1" fillId="0" borderId="3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opLeftCell="A66" zoomScaleNormal="100" workbookViewId="0">
      <selection activeCell="D97" sqref="D97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12" max="12" width="11.85546875" bestFit="1" customWidth="1"/>
  </cols>
  <sheetData>
    <row r="6" spans="1:12" ht="15.75" thickBot="1" x14ac:dyDescent="0.3"/>
    <row r="7" spans="1:12" ht="18.75" x14ac:dyDescent="0.3">
      <c r="A7" s="6" t="s">
        <v>0</v>
      </c>
      <c r="B7" s="87"/>
      <c r="C7" s="87"/>
      <c r="D7" s="7"/>
      <c r="G7" t="s">
        <v>110</v>
      </c>
      <c r="H7" t="s">
        <v>111</v>
      </c>
      <c r="I7" t="s">
        <v>112</v>
      </c>
      <c r="J7" t="s">
        <v>113</v>
      </c>
      <c r="K7" t="s">
        <v>114</v>
      </c>
    </row>
    <row r="8" spans="1:12" x14ac:dyDescent="0.25">
      <c r="A8" s="1"/>
      <c r="B8" s="45" t="s">
        <v>115</v>
      </c>
      <c r="C8" s="45" t="s">
        <v>116</v>
      </c>
      <c r="D8" s="2" t="s">
        <v>117</v>
      </c>
      <c r="F8" t="s">
        <v>115</v>
      </c>
      <c r="G8" s="93">
        <v>67500</v>
      </c>
      <c r="H8" s="93">
        <v>80000</v>
      </c>
      <c r="I8" s="93">
        <v>35000</v>
      </c>
      <c r="J8" s="93">
        <v>101000</v>
      </c>
      <c r="K8" s="93">
        <v>91500</v>
      </c>
      <c r="L8" s="93">
        <f>SUM(G8:K8)</f>
        <v>375000</v>
      </c>
    </row>
    <row r="9" spans="1:12" x14ac:dyDescent="0.25">
      <c r="A9" s="1" t="s">
        <v>0</v>
      </c>
      <c r="B9" s="94">
        <f>L8</f>
        <v>375000</v>
      </c>
      <c r="C9" s="94">
        <f>L9</f>
        <v>379500</v>
      </c>
      <c r="D9" s="95">
        <f>L10</f>
        <v>408500</v>
      </c>
      <c r="F9" t="s">
        <v>116</v>
      </c>
      <c r="G9" s="93">
        <v>64000</v>
      </c>
      <c r="H9" s="93">
        <v>89500</v>
      </c>
      <c r="I9" s="93">
        <v>41000</v>
      </c>
      <c r="J9" s="93">
        <v>97500</v>
      </c>
      <c r="K9" s="93">
        <v>87500</v>
      </c>
      <c r="L9" s="93">
        <f t="shared" ref="L9:L10" si="0">SUM(G9:K9)</f>
        <v>379500</v>
      </c>
    </row>
    <row r="10" spans="1:12" ht="15.75" thickBot="1" x14ac:dyDescent="0.3">
      <c r="A10" s="1" t="s">
        <v>1</v>
      </c>
      <c r="B10" s="15">
        <v>56</v>
      </c>
      <c r="C10" s="15">
        <v>56</v>
      </c>
      <c r="D10" s="10">
        <v>56</v>
      </c>
      <c r="F10" t="s">
        <v>117</v>
      </c>
      <c r="G10" s="93">
        <v>70500</v>
      </c>
      <c r="H10" s="93">
        <v>86000</v>
      </c>
      <c r="I10" s="93">
        <v>29500</v>
      </c>
      <c r="J10" s="93">
        <v>112000</v>
      </c>
      <c r="K10" s="93">
        <v>110500</v>
      </c>
      <c r="L10" s="93">
        <f t="shared" si="0"/>
        <v>408500</v>
      </c>
    </row>
    <row r="11" spans="1:12" ht="16.5" thickTop="1" thickBot="1" x14ac:dyDescent="0.3">
      <c r="A11" s="8" t="s">
        <v>2</v>
      </c>
      <c r="B11" s="9">
        <f>B9*B10</f>
        <v>21000000</v>
      </c>
      <c r="C11" s="9">
        <f>C9*C10</f>
        <v>21252000</v>
      </c>
      <c r="D11" s="9">
        <f>D9*D10</f>
        <v>22876000</v>
      </c>
    </row>
    <row r="12" spans="1:12" ht="15.75" thickBot="1" x14ac:dyDescent="0.3"/>
    <row r="13" spans="1:12" ht="18.75" x14ac:dyDescent="0.3">
      <c r="A13" s="6" t="s">
        <v>3</v>
      </c>
      <c r="B13" s="87"/>
      <c r="C13" s="87"/>
      <c r="D13" s="7"/>
    </row>
    <row r="14" spans="1:12" x14ac:dyDescent="0.25">
      <c r="A14" s="3" t="s">
        <v>3</v>
      </c>
      <c r="B14" s="45" t="s">
        <v>115</v>
      </c>
      <c r="C14" s="45" t="s">
        <v>116</v>
      </c>
      <c r="D14" s="2" t="s">
        <v>117</v>
      </c>
    </row>
    <row r="15" spans="1:12" x14ac:dyDescent="0.25">
      <c r="A15" s="1" t="s">
        <v>4</v>
      </c>
      <c r="B15" s="94">
        <f>B9</f>
        <v>375000</v>
      </c>
      <c r="C15" s="94">
        <f t="shared" ref="C15:D15" si="1">C9</f>
        <v>379500</v>
      </c>
      <c r="D15" s="94">
        <f t="shared" si="1"/>
        <v>408500</v>
      </c>
    </row>
    <row r="16" spans="1:12" ht="15.75" thickBot="1" x14ac:dyDescent="0.3">
      <c r="A16" s="1" t="s">
        <v>5</v>
      </c>
      <c r="B16" s="45">
        <v>201500</v>
      </c>
      <c r="C16" s="45">
        <v>195900</v>
      </c>
      <c r="D16" s="2">
        <v>206100</v>
      </c>
    </row>
    <row r="17" spans="1:4" ht="15.75" thickTop="1" x14ac:dyDescent="0.25">
      <c r="A17" s="4" t="s">
        <v>6</v>
      </c>
      <c r="B17" s="97">
        <f>B15+B16</f>
        <v>576500</v>
      </c>
      <c r="C17" s="97">
        <f t="shared" ref="C17:D17" si="2">C15+C16</f>
        <v>575400</v>
      </c>
      <c r="D17" s="97">
        <f t="shared" si="2"/>
        <v>614600</v>
      </c>
    </row>
    <row r="18" spans="1:4" ht="15.75" thickBot="1" x14ac:dyDescent="0.3">
      <c r="A18" s="1" t="s">
        <v>7</v>
      </c>
      <c r="B18" s="45">
        <v>204650</v>
      </c>
      <c r="C18" s="45">
        <f>B16</f>
        <v>201500</v>
      </c>
      <c r="D18" s="45">
        <f>C16</f>
        <v>195900</v>
      </c>
    </row>
    <row r="19" spans="1:4" ht="16.5" thickTop="1" thickBot="1" x14ac:dyDescent="0.3">
      <c r="A19" s="8" t="s">
        <v>8</v>
      </c>
      <c r="B19" s="98">
        <f>B17-B18</f>
        <v>371850</v>
      </c>
      <c r="C19" s="98">
        <f>C17-C18</f>
        <v>373900</v>
      </c>
      <c r="D19" s="99">
        <f>D17-D18</f>
        <v>418700</v>
      </c>
    </row>
    <row r="20" spans="1:4" ht="15.75" thickBot="1" x14ac:dyDescent="0.3"/>
    <row r="21" spans="1:4" ht="18.75" x14ac:dyDescent="0.3">
      <c r="A21" s="6" t="s">
        <v>9</v>
      </c>
      <c r="B21" s="87"/>
      <c r="C21" s="87"/>
      <c r="D21" s="11"/>
    </row>
    <row r="22" spans="1:4" x14ac:dyDescent="0.25">
      <c r="A22" s="1"/>
      <c r="B22" s="45" t="s">
        <v>115</v>
      </c>
      <c r="C22" s="45" t="s">
        <v>116</v>
      </c>
      <c r="D22" s="2" t="s">
        <v>117</v>
      </c>
    </row>
    <row r="23" spans="1:4" x14ac:dyDescent="0.25">
      <c r="A23" s="1" t="s">
        <v>8</v>
      </c>
      <c r="B23" s="94">
        <f>B19</f>
        <v>371850</v>
      </c>
      <c r="C23" s="94">
        <f t="shared" ref="C23:D23" si="3">C19</f>
        <v>373900</v>
      </c>
      <c r="D23" s="94">
        <f t="shared" si="3"/>
        <v>418700</v>
      </c>
    </row>
    <row r="24" spans="1:4" ht="15.75" thickBot="1" x14ac:dyDescent="0.3">
      <c r="A24" s="1" t="s">
        <v>12</v>
      </c>
      <c r="B24" s="45">
        <v>1</v>
      </c>
      <c r="C24" s="45">
        <v>1</v>
      </c>
      <c r="D24" s="2">
        <v>1</v>
      </c>
    </row>
    <row r="25" spans="1:4" ht="15.75" thickTop="1" x14ac:dyDescent="0.25">
      <c r="A25" s="4" t="s">
        <v>11</v>
      </c>
      <c r="B25" s="88">
        <f>B23*B24</f>
        <v>371850</v>
      </c>
      <c r="C25" s="88">
        <f t="shared" ref="C25:D25" si="4">C23*C24</f>
        <v>373900</v>
      </c>
      <c r="D25" s="88">
        <f t="shared" si="4"/>
        <v>418700</v>
      </c>
    </row>
    <row r="26" spans="1:4" ht="15.75" thickBot="1" x14ac:dyDescent="0.3">
      <c r="A26" s="12" t="s">
        <v>5</v>
      </c>
      <c r="B26" s="46">
        <f>0.55*C23</f>
        <v>205645.00000000003</v>
      </c>
      <c r="C26" s="46">
        <f>0.55*D23</f>
        <v>230285.00000000003</v>
      </c>
      <c r="D26" s="2">
        <f>ROUNDUP(0.55*216710,0)</f>
        <v>119191</v>
      </c>
    </row>
    <row r="27" spans="1:4" ht="15.75" thickTop="1" x14ac:dyDescent="0.25">
      <c r="A27" s="13" t="s">
        <v>6</v>
      </c>
      <c r="B27" s="89">
        <f>B25+B26</f>
        <v>577495</v>
      </c>
      <c r="C27" s="89">
        <f t="shared" ref="C27" si="5">C25+C26</f>
        <v>604185</v>
      </c>
      <c r="D27" s="89">
        <f>ROUNDUP(D25+D26,0)</f>
        <v>537891</v>
      </c>
    </row>
    <row r="28" spans="1:4" ht="15.75" thickBot="1" x14ac:dyDescent="0.3">
      <c r="A28" s="12" t="s">
        <v>7</v>
      </c>
      <c r="B28" s="46">
        <f>ROUNDUP(B23*0.55,0)</f>
        <v>204518</v>
      </c>
      <c r="C28" s="46">
        <f t="shared" ref="C28:D28" si="6">ROUNDUP(C23*0.55,0)</f>
        <v>205645</v>
      </c>
      <c r="D28" s="46">
        <f t="shared" si="6"/>
        <v>230285</v>
      </c>
    </row>
    <row r="29" spans="1:4" ht="15.75" thickTop="1" x14ac:dyDescent="0.25">
      <c r="A29" s="13" t="s">
        <v>13</v>
      </c>
      <c r="B29" s="89">
        <f>B27-B28</f>
        <v>372977</v>
      </c>
      <c r="C29" s="89">
        <f t="shared" ref="C29:D29" si="7">C27-C28</f>
        <v>398540</v>
      </c>
      <c r="D29" s="89">
        <f t="shared" si="7"/>
        <v>307606</v>
      </c>
    </row>
    <row r="30" spans="1:4" ht="15.75" thickBot="1" x14ac:dyDescent="0.3">
      <c r="A30" s="12" t="s">
        <v>14</v>
      </c>
      <c r="B30" s="100">
        <v>44</v>
      </c>
      <c r="C30" s="100">
        <v>44</v>
      </c>
      <c r="D30" s="10">
        <v>44</v>
      </c>
    </row>
    <row r="31" spans="1:4" ht="16.5" thickTop="1" thickBot="1" x14ac:dyDescent="0.3">
      <c r="A31" s="14" t="s">
        <v>15</v>
      </c>
      <c r="B31" s="101">
        <f>B29*B30</f>
        <v>16410988</v>
      </c>
      <c r="C31" s="101">
        <f t="shared" ref="C31:D31" si="8">C29*C30</f>
        <v>17535760</v>
      </c>
      <c r="D31" s="101">
        <f t="shared" si="8"/>
        <v>13534664</v>
      </c>
    </row>
    <row r="32" spans="1:4" ht="15.75" thickBot="1" x14ac:dyDescent="0.3"/>
    <row r="33" spans="1:4" ht="18.75" x14ac:dyDescent="0.3">
      <c r="A33" s="6" t="s">
        <v>16</v>
      </c>
      <c r="B33" s="87"/>
      <c r="C33" s="87"/>
      <c r="D33" s="7"/>
    </row>
    <row r="34" spans="1:4" x14ac:dyDescent="0.25">
      <c r="A34" s="1"/>
      <c r="B34" s="45" t="s">
        <v>115</v>
      </c>
      <c r="C34" s="45" t="s">
        <v>116</v>
      </c>
      <c r="D34" s="2" t="s">
        <v>117</v>
      </c>
    </row>
    <row r="35" spans="1:4" x14ac:dyDescent="0.25">
      <c r="A35" s="1" t="s">
        <v>4</v>
      </c>
      <c r="B35" s="94">
        <f>B19</f>
        <v>371850</v>
      </c>
      <c r="C35" s="94">
        <f t="shared" ref="C35:D35" si="9">C19</f>
        <v>373900</v>
      </c>
      <c r="D35" s="94">
        <f t="shared" si="9"/>
        <v>418700</v>
      </c>
    </row>
    <row r="36" spans="1:4" ht="15.75" thickBot="1" x14ac:dyDescent="0.3">
      <c r="A36" s="1" t="s">
        <v>10</v>
      </c>
      <c r="B36" s="45">
        <v>1</v>
      </c>
      <c r="C36" s="45">
        <v>1</v>
      </c>
      <c r="D36" s="2">
        <v>1</v>
      </c>
    </row>
    <row r="37" spans="1:4" ht="15.75" thickTop="1" x14ac:dyDescent="0.25">
      <c r="A37" s="4" t="s">
        <v>11</v>
      </c>
      <c r="B37" s="88">
        <f>B35*B36</f>
        <v>371850</v>
      </c>
      <c r="C37" s="88">
        <f t="shared" ref="C37:D37" si="10">C35*C36</f>
        <v>373900</v>
      </c>
      <c r="D37" s="88">
        <f t="shared" si="10"/>
        <v>418700</v>
      </c>
    </row>
    <row r="38" spans="1:4" ht="15.75" thickBot="1" x14ac:dyDescent="0.3">
      <c r="A38" s="1" t="s">
        <v>14</v>
      </c>
      <c r="B38" s="15">
        <v>44</v>
      </c>
      <c r="C38" s="15">
        <v>44</v>
      </c>
      <c r="D38" s="15">
        <v>44</v>
      </c>
    </row>
    <row r="39" spans="1:4" ht="16.5" thickTop="1" thickBot="1" x14ac:dyDescent="0.3">
      <c r="A39" s="8" t="s">
        <v>16</v>
      </c>
      <c r="B39" s="96">
        <f>B37*B38</f>
        <v>16361400</v>
      </c>
      <c r="C39" s="96">
        <f>C37*C38</f>
        <v>16451600</v>
      </c>
      <c r="D39" s="96">
        <f t="shared" ref="D39" si="11">D37*D38</f>
        <v>18422800</v>
      </c>
    </row>
    <row r="40" spans="1:4" ht="15.75" thickBot="1" x14ac:dyDescent="0.3"/>
    <row r="41" spans="1:4" ht="18.75" x14ac:dyDescent="0.3">
      <c r="A41" s="6" t="s">
        <v>17</v>
      </c>
      <c r="B41" s="87"/>
      <c r="C41" s="87"/>
      <c r="D41" s="11"/>
    </row>
    <row r="42" spans="1:4" x14ac:dyDescent="0.25">
      <c r="A42" s="1"/>
      <c r="B42" s="45" t="s">
        <v>115</v>
      </c>
      <c r="C42" s="45" t="s">
        <v>116</v>
      </c>
      <c r="D42" s="2" t="s">
        <v>117</v>
      </c>
    </row>
    <row r="43" spans="1:4" x14ac:dyDescent="0.25">
      <c r="A43" s="1" t="s">
        <v>4</v>
      </c>
      <c r="B43" s="94">
        <f>B19</f>
        <v>371850</v>
      </c>
      <c r="C43" s="94">
        <f t="shared" ref="C43:D43" si="12">C19</f>
        <v>373900</v>
      </c>
      <c r="D43" s="94">
        <f t="shared" si="12"/>
        <v>418700</v>
      </c>
    </row>
    <row r="44" spans="1:4" ht="15.75" thickBot="1" x14ac:dyDescent="0.3">
      <c r="A44" s="1" t="s">
        <v>18</v>
      </c>
      <c r="B44" s="45">
        <f>0.834409</f>
        <v>0.83440899999999996</v>
      </c>
      <c r="C44" s="45">
        <f>0.830115</f>
        <v>0.83011500000000005</v>
      </c>
      <c r="D44" s="2">
        <f>0.856078</f>
        <v>0.85607800000000001</v>
      </c>
    </row>
    <row r="45" spans="1:4" ht="15.75" thickTop="1" x14ac:dyDescent="0.25">
      <c r="A45" s="4" t="s">
        <v>19</v>
      </c>
      <c r="B45" s="88">
        <f>B43*B44</f>
        <v>310274.98664999998</v>
      </c>
      <c r="C45" s="88">
        <f t="shared" ref="C45:D45" si="13">C43*C44</f>
        <v>310379.99850000005</v>
      </c>
      <c r="D45" s="88">
        <f t="shared" si="13"/>
        <v>358439.85859999998</v>
      </c>
    </row>
    <row r="46" spans="1:4" ht="15.75" thickBot="1" x14ac:dyDescent="0.3">
      <c r="A46" s="1" t="s">
        <v>20</v>
      </c>
      <c r="B46" s="15">
        <f>3.595359</f>
        <v>3.5953590000000002</v>
      </c>
      <c r="C46" s="15">
        <f>3.613957</f>
        <v>3.6139570000000001</v>
      </c>
      <c r="D46" s="15">
        <v>3.5043519999999999</v>
      </c>
    </row>
    <row r="47" spans="1:4" ht="16.5" thickTop="1" thickBot="1" x14ac:dyDescent="0.3">
      <c r="A47" s="8" t="s">
        <v>21</v>
      </c>
      <c r="B47" s="96">
        <f>ROUNDUP(B45*B46,0)</f>
        <v>1115550</v>
      </c>
      <c r="C47" s="96">
        <f t="shared" ref="C47:D47" si="14">ROUNDUP(C45*C46,0)</f>
        <v>1121700</v>
      </c>
      <c r="D47" s="96">
        <f t="shared" si="14"/>
        <v>1256100</v>
      </c>
    </row>
    <row r="48" spans="1:4" ht="15.75" thickBot="1" x14ac:dyDescent="0.3"/>
    <row r="49" spans="1:5" ht="18.75" x14ac:dyDescent="0.3">
      <c r="A49" s="6" t="s">
        <v>22</v>
      </c>
      <c r="B49" s="87"/>
      <c r="C49" s="87"/>
      <c r="D49" s="11"/>
    </row>
    <row r="50" spans="1:5" x14ac:dyDescent="0.25">
      <c r="A50" s="1" t="s">
        <v>18</v>
      </c>
      <c r="B50" s="94">
        <f>B45</f>
        <v>310274.98664999998</v>
      </c>
      <c r="C50" s="94">
        <f t="shared" ref="C50:D50" si="15">C45</f>
        <v>310379.99850000005</v>
      </c>
      <c r="D50" s="94">
        <f t="shared" si="15"/>
        <v>358439.85859999998</v>
      </c>
    </row>
    <row r="51" spans="1:5" ht="15.75" thickBot="1" x14ac:dyDescent="0.3">
      <c r="A51" s="1" t="s">
        <v>119</v>
      </c>
      <c r="B51" s="45">
        <f>0.5+0.2+0.25+0.05+0.1+0.02</f>
        <v>1.1200000000000001</v>
      </c>
      <c r="C51" s="45">
        <f t="shared" ref="C51:D51" si="16">0.5+0.2+0.25+0.05+0.1+0.02</f>
        <v>1.1200000000000001</v>
      </c>
      <c r="D51" s="45">
        <f t="shared" si="16"/>
        <v>1.1200000000000001</v>
      </c>
    </row>
    <row r="52" spans="1:5" ht="15.75" thickTop="1" x14ac:dyDescent="0.25">
      <c r="A52" s="4" t="s">
        <v>118</v>
      </c>
      <c r="B52" s="88">
        <f>B50*B51</f>
        <v>347507.985048</v>
      </c>
      <c r="C52" s="88">
        <f t="shared" ref="C52:D52" si="17">C50*C51</f>
        <v>347625.59832000011</v>
      </c>
      <c r="D52" s="88">
        <f t="shared" si="17"/>
        <v>401452.64163199998</v>
      </c>
    </row>
    <row r="53" spans="1:5" ht="15.75" thickBot="1" x14ac:dyDescent="0.3">
      <c r="A53" s="12" t="s">
        <v>29</v>
      </c>
      <c r="B53" s="100">
        <f>34000+6500+28000+2500+2500+5000+1000+700+1500+700+950+600+750</f>
        <v>84700</v>
      </c>
      <c r="C53" s="100">
        <f t="shared" ref="C53:D53" si="18">34000+6500+28000+2500+2500+5000+1000+700+1500+700+950+600+750</f>
        <v>84700</v>
      </c>
      <c r="D53" s="100">
        <f t="shared" si="18"/>
        <v>84700</v>
      </c>
    </row>
    <row r="54" spans="1:5" ht="16.5" thickTop="1" thickBot="1" x14ac:dyDescent="0.3">
      <c r="A54" s="14" t="s">
        <v>22</v>
      </c>
      <c r="B54" s="101">
        <f>ROUNDUP(B52+B53,0)</f>
        <v>432208</v>
      </c>
      <c r="C54" s="101">
        <f t="shared" ref="C54:D54" si="19">ROUNDUP(C52+C53,0)</f>
        <v>432326</v>
      </c>
      <c r="D54" s="101">
        <f t="shared" si="19"/>
        <v>486153</v>
      </c>
    </row>
    <row r="55" spans="1:5" ht="15.75" thickBot="1" x14ac:dyDescent="0.3"/>
    <row r="56" spans="1:5" ht="18.75" x14ac:dyDescent="0.3">
      <c r="A56" s="6" t="s">
        <v>28</v>
      </c>
      <c r="B56" s="87"/>
      <c r="C56" s="87"/>
      <c r="D56" s="11"/>
    </row>
    <row r="57" spans="1:5" x14ac:dyDescent="0.25">
      <c r="A57" s="1"/>
      <c r="B57" s="45" t="s">
        <v>115</v>
      </c>
      <c r="C57" s="45" t="s">
        <v>116</v>
      </c>
      <c r="D57" s="2" t="s">
        <v>117</v>
      </c>
    </row>
    <row r="58" spans="1:5" x14ac:dyDescent="0.25">
      <c r="A58" s="1" t="s">
        <v>30</v>
      </c>
      <c r="B58" s="45">
        <f>B28</f>
        <v>204518</v>
      </c>
      <c r="C58" s="45">
        <f t="shared" ref="C58:D58" si="20">C28</f>
        <v>205645</v>
      </c>
      <c r="D58" s="45">
        <f t="shared" si="20"/>
        <v>230285</v>
      </c>
      <c r="E58" t="s">
        <v>120</v>
      </c>
    </row>
    <row r="59" spans="1:5" ht="15.75" thickBot="1" x14ac:dyDescent="0.3">
      <c r="A59" s="1" t="s">
        <v>25</v>
      </c>
      <c r="B59" s="15">
        <v>44</v>
      </c>
      <c r="C59" s="15">
        <v>44</v>
      </c>
      <c r="D59" s="10">
        <v>44</v>
      </c>
    </row>
    <row r="60" spans="1:5" ht="15.75" thickTop="1" x14ac:dyDescent="0.25">
      <c r="A60" s="4" t="s">
        <v>23</v>
      </c>
      <c r="B60" s="102">
        <f>B58*B59</f>
        <v>8998792</v>
      </c>
      <c r="C60" s="102">
        <f t="shared" ref="C60:D60" si="21">C58*C59</f>
        <v>9048380</v>
      </c>
      <c r="D60" s="102">
        <f t="shared" si="21"/>
        <v>10132540</v>
      </c>
    </row>
    <row r="61" spans="1:5" ht="15.75" thickBot="1" x14ac:dyDescent="0.3">
      <c r="A61" s="1" t="s">
        <v>24</v>
      </c>
      <c r="B61" s="15">
        <f>B31</f>
        <v>16410988</v>
      </c>
      <c r="C61" s="15">
        <f t="shared" ref="C61:D61" si="22">C31</f>
        <v>17535760</v>
      </c>
      <c r="D61" s="15">
        <f t="shared" si="22"/>
        <v>13534664</v>
      </c>
    </row>
    <row r="62" spans="1:5" ht="15.75" thickTop="1" x14ac:dyDescent="0.25">
      <c r="A62" s="4" t="s">
        <v>26</v>
      </c>
      <c r="B62" s="102">
        <f>B60+B61</f>
        <v>25409780</v>
      </c>
      <c r="C62" s="102">
        <f t="shared" ref="C62:D62" si="23">C60+C61</f>
        <v>26584140</v>
      </c>
      <c r="D62" s="102">
        <f t="shared" si="23"/>
        <v>23667204</v>
      </c>
    </row>
    <row r="63" spans="1:5" x14ac:dyDescent="0.25">
      <c r="A63" s="1" t="s">
        <v>27</v>
      </c>
      <c r="B63" s="45">
        <f>B26</f>
        <v>205645.00000000003</v>
      </c>
      <c r="C63" s="45">
        <f t="shared" ref="C63:D63" si="24">C26</f>
        <v>230285.00000000003</v>
      </c>
      <c r="D63" s="45">
        <f t="shared" si="24"/>
        <v>119191</v>
      </c>
    </row>
    <row r="64" spans="1:5" ht="15.75" thickBot="1" x14ac:dyDescent="0.3">
      <c r="A64" s="1" t="s">
        <v>121</v>
      </c>
      <c r="B64" s="45">
        <v>44</v>
      </c>
      <c r="C64" s="45">
        <v>44</v>
      </c>
      <c r="D64" s="45">
        <v>44</v>
      </c>
    </row>
    <row r="65" spans="1:4" ht="16.5" thickTop="1" thickBot="1" x14ac:dyDescent="0.3">
      <c r="A65" s="8" t="s">
        <v>28</v>
      </c>
      <c r="B65" s="96">
        <f>B62-B63*B64</f>
        <v>16361399.999999998</v>
      </c>
      <c r="C65" s="96">
        <f t="shared" ref="C65:D65" si="25">C62-C63*C64</f>
        <v>16451599.999999998</v>
      </c>
      <c r="D65" s="96">
        <f t="shared" si="25"/>
        <v>18422800</v>
      </c>
    </row>
    <row r="66" spans="1:4" ht="15.75" thickBot="1" x14ac:dyDescent="0.3"/>
    <row r="67" spans="1:4" ht="18.75" x14ac:dyDescent="0.3">
      <c r="A67" s="6" t="s">
        <v>31</v>
      </c>
      <c r="B67" s="87"/>
      <c r="C67" s="87"/>
      <c r="D67" s="11"/>
    </row>
    <row r="68" spans="1:4" x14ac:dyDescent="0.25">
      <c r="A68" s="1"/>
      <c r="B68" s="45" t="s">
        <v>115</v>
      </c>
      <c r="C68" s="45" t="s">
        <v>116</v>
      </c>
      <c r="D68" s="2" t="s">
        <v>117</v>
      </c>
    </row>
    <row r="69" spans="1:4" x14ac:dyDescent="0.25">
      <c r="A69" s="1" t="s">
        <v>32</v>
      </c>
      <c r="B69" s="15">
        <f>B65</f>
        <v>16361399.999999998</v>
      </c>
      <c r="C69" s="15">
        <f t="shared" ref="C69:D69" si="26">C65</f>
        <v>16451599.999999998</v>
      </c>
      <c r="D69" s="15">
        <f t="shared" si="26"/>
        <v>18422800</v>
      </c>
    </row>
    <row r="70" spans="1:4" x14ac:dyDescent="0.25">
      <c r="A70" s="1" t="s">
        <v>33</v>
      </c>
      <c r="B70" s="15">
        <f>B47</f>
        <v>1115550</v>
      </c>
      <c r="C70" s="15">
        <f t="shared" ref="C70:D70" si="27">C47</f>
        <v>1121700</v>
      </c>
      <c r="D70" s="15">
        <f t="shared" si="27"/>
        <v>1256100</v>
      </c>
    </row>
    <row r="71" spans="1:4" ht="15.75" thickBot="1" x14ac:dyDescent="0.3">
      <c r="A71" s="1" t="s">
        <v>22</v>
      </c>
      <c r="B71" s="15">
        <f>B54</f>
        <v>432208</v>
      </c>
      <c r="C71" s="15">
        <f t="shared" ref="C71:D71" si="28">C54</f>
        <v>432326</v>
      </c>
      <c r="D71" s="15">
        <f t="shared" si="28"/>
        <v>486153</v>
      </c>
    </row>
    <row r="72" spans="1:4" ht="15.75" thickTop="1" x14ac:dyDescent="0.25">
      <c r="A72" s="4" t="s">
        <v>34</v>
      </c>
      <c r="B72" s="102">
        <f>SUM(B69:B71)</f>
        <v>17909158</v>
      </c>
      <c r="C72" s="102">
        <f>SUM(C69:C71)</f>
        <v>18005626</v>
      </c>
      <c r="D72" s="16">
        <f>SUM(D69:D71)</f>
        <v>20165053</v>
      </c>
    </row>
    <row r="73" spans="1:4" ht="15.75" thickBot="1" x14ac:dyDescent="0.3">
      <c r="A73" s="1" t="s">
        <v>4</v>
      </c>
      <c r="B73" s="94">
        <f>B35</f>
        <v>371850</v>
      </c>
      <c r="C73" s="94">
        <f t="shared" ref="C73:D73" si="29">C35</f>
        <v>373900</v>
      </c>
      <c r="D73" s="94">
        <f t="shared" si="29"/>
        <v>418700</v>
      </c>
    </row>
    <row r="74" spans="1:4" ht="16.5" thickTop="1" thickBot="1" x14ac:dyDescent="0.3">
      <c r="A74" s="8" t="s">
        <v>35</v>
      </c>
      <c r="B74" s="96">
        <f>B72/B73</f>
        <v>48.162318139034554</v>
      </c>
      <c r="C74" s="96">
        <f t="shared" ref="C74:D74" si="30">C72/C73</f>
        <v>48.156261032361591</v>
      </c>
      <c r="D74" s="96">
        <f t="shared" si="30"/>
        <v>48.161101026988298</v>
      </c>
    </row>
    <row r="75" spans="1:4" ht="15.75" thickBot="1" x14ac:dyDescent="0.3"/>
    <row r="76" spans="1:4" ht="18.75" x14ac:dyDescent="0.3">
      <c r="A76" s="6" t="s">
        <v>36</v>
      </c>
      <c r="B76" s="87"/>
      <c r="C76" s="87"/>
      <c r="D76" s="11"/>
    </row>
    <row r="77" spans="1:4" x14ac:dyDescent="0.25">
      <c r="B77" s="45" t="s">
        <v>115</v>
      </c>
      <c r="C77" s="45" t="s">
        <v>116</v>
      </c>
      <c r="D77" t="s">
        <v>117</v>
      </c>
    </row>
    <row r="78" spans="1:4" x14ac:dyDescent="0.25">
      <c r="A78" s="1" t="s">
        <v>37</v>
      </c>
      <c r="B78" s="15">
        <f>9618550</f>
        <v>9618550</v>
      </c>
      <c r="C78" s="15">
        <f>B18*B74</f>
        <v>9856418.407153422</v>
      </c>
      <c r="D78" s="15">
        <f>C18*C74</f>
        <v>9703486.5980208609</v>
      </c>
    </row>
    <row r="79" spans="1:4" ht="15.75" thickBot="1" x14ac:dyDescent="0.3">
      <c r="A79" s="1" t="s">
        <v>31</v>
      </c>
      <c r="B79" s="15">
        <f>B72</f>
        <v>17909158</v>
      </c>
      <c r="C79" s="15">
        <f t="shared" ref="C79:D79" si="31">C72</f>
        <v>18005626</v>
      </c>
      <c r="D79" s="15">
        <f t="shared" si="31"/>
        <v>20165053</v>
      </c>
    </row>
    <row r="80" spans="1:4" ht="15.75" thickTop="1" x14ac:dyDescent="0.25">
      <c r="A80" s="4" t="s">
        <v>38</v>
      </c>
      <c r="B80" s="102">
        <f>B78+B79</f>
        <v>27527708</v>
      </c>
      <c r="C80" s="102">
        <f t="shared" ref="C80:D80" si="32">C78+C79</f>
        <v>27862044.40715342</v>
      </c>
      <c r="D80" s="102">
        <f t="shared" si="32"/>
        <v>29868539.598020859</v>
      </c>
    </row>
    <row r="81" spans="1:4" ht="15.75" thickBot="1" x14ac:dyDescent="0.3">
      <c r="A81" s="1" t="s">
        <v>39</v>
      </c>
      <c r="B81" s="15">
        <f>B16*B74</f>
        <v>9704707.1050154623</v>
      </c>
      <c r="C81" s="15">
        <f t="shared" ref="C81:D81" si="33">C16*C74</f>
        <v>9433811.5362396352</v>
      </c>
      <c r="D81" s="15">
        <f t="shared" si="33"/>
        <v>9926002.9216622878</v>
      </c>
    </row>
    <row r="82" spans="1:4" ht="16.5" thickTop="1" thickBot="1" x14ac:dyDescent="0.3">
      <c r="A82" s="8" t="s">
        <v>36</v>
      </c>
      <c r="B82" s="96">
        <f>ROUNDUP(B80-B81,0)</f>
        <v>17823001</v>
      </c>
      <c r="C82" s="96">
        <f t="shared" ref="C82:D82" si="34">ROUNDUP(C80-C81,0)</f>
        <v>18428233</v>
      </c>
      <c r="D82" s="96">
        <f t="shared" si="34"/>
        <v>19942537</v>
      </c>
    </row>
    <row r="84" spans="1:4" ht="15.75" thickBot="1" x14ac:dyDescent="0.3"/>
    <row r="85" spans="1:4" ht="21" x14ac:dyDescent="0.35">
      <c r="A85" s="85" t="s">
        <v>40</v>
      </c>
      <c r="B85" s="91"/>
      <c r="C85" s="91"/>
      <c r="D85" s="86"/>
    </row>
    <row r="86" spans="1:4" x14ac:dyDescent="0.25">
      <c r="A86" s="1"/>
      <c r="B86" s="45" t="s">
        <v>115</v>
      </c>
      <c r="C86" s="45" t="s">
        <v>116</v>
      </c>
      <c r="D86" s="2" t="s">
        <v>117</v>
      </c>
    </row>
    <row r="87" spans="1:4" x14ac:dyDescent="0.25">
      <c r="A87" s="1" t="s">
        <v>41</v>
      </c>
      <c r="B87" s="15">
        <f>B11</f>
        <v>21000000</v>
      </c>
      <c r="C87" s="15">
        <f t="shared" ref="C87:D87" si="35">C11</f>
        <v>21252000</v>
      </c>
      <c r="D87" s="15">
        <f t="shared" si="35"/>
        <v>22876000</v>
      </c>
    </row>
    <row r="88" spans="1:4" ht="15.75" thickBot="1" x14ac:dyDescent="0.3">
      <c r="A88" s="17" t="s">
        <v>42</v>
      </c>
      <c r="B88" s="10">
        <f t="shared" ref="B88:D88" si="36">B82</f>
        <v>17823001</v>
      </c>
      <c r="C88" s="10">
        <f t="shared" si="36"/>
        <v>18428233</v>
      </c>
      <c r="D88" s="10">
        <f t="shared" si="36"/>
        <v>19942537</v>
      </c>
    </row>
    <row r="89" spans="1:4" ht="15.75" thickTop="1" x14ac:dyDescent="0.25">
      <c r="A89" s="4" t="s">
        <v>43</v>
      </c>
      <c r="B89" s="16">
        <f t="shared" ref="B89:C89" si="37">B87-B88</f>
        <v>3176999</v>
      </c>
      <c r="C89" s="16">
        <f t="shared" si="37"/>
        <v>2823767</v>
      </c>
      <c r="D89" s="16">
        <f>D87-D88</f>
        <v>2933463</v>
      </c>
    </row>
    <row r="90" spans="1:4" x14ac:dyDescent="0.25">
      <c r="A90" s="1" t="s">
        <v>44</v>
      </c>
      <c r="B90" s="45">
        <v>0</v>
      </c>
      <c r="C90" s="45">
        <v>0</v>
      </c>
      <c r="D90" s="10">
        <v>0</v>
      </c>
    </row>
    <row r="91" spans="1:4" x14ac:dyDescent="0.25">
      <c r="A91" s="1" t="s">
        <v>45</v>
      </c>
      <c r="B91" s="15"/>
      <c r="C91" s="15"/>
      <c r="D91" s="47"/>
    </row>
    <row r="92" spans="1:4" ht="15.75" thickBot="1" x14ac:dyDescent="0.3">
      <c r="A92" s="1" t="s">
        <v>46</v>
      </c>
      <c r="B92" s="15">
        <f>B87*0.04+B87*0.02+B87*0.03+B87*0.01</f>
        <v>2100000</v>
      </c>
      <c r="C92" s="15">
        <f t="shared" ref="C92:D92" si="38">C87*0.04+C87*0.02+C87*0.03+C87*0.01</f>
        <v>2125200</v>
      </c>
      <c r="D92" s="15">
        <f t="shared" si="38"/>
        <v>2287600</v>
      </c>
    </row>
    <row r="93" spans="1:4" ht="15.75" thickTop="1" x14ac:dyDescent="0.25">
      <c r="A93" s="4" t="s">
        <v>47</v>
      </c>
      <c r="B93" s="102">
        <f>B89-SUM(B90:B92)</f>
        <v>1076999</v>
      </c>
      <c r="C93" s="102">
        <f t="shared" ref="C93:D93" si="39">C89-SUM(C90:C92)</f>
        <v>698567</v>
      </c>
      <c r="D93" s="102">
        <f>D89-SUM(D90:D92)</f>
        <v>645863</v>
      </c>
    </row>
    <row r="94" spans="1:4" ht="15.75" thickBot="1" x14ac:dyDescent="0.3">
      <c r="A94" s="1" t="s">
        <v>48</v>
      </c>
      <c r="B94" s="15">
        <f>B93*0.25</f>
        <v>269249.75</v>
      </c>
      <c r="C94" s="15">
        <f t="shared" ref="C94:D94" si="40">C93*0.25</f>
        <v>174641.75</v>
      </c>
      <c r="D94" s="15">
        <f t="shared" si="40"/>
        <v>161465.75</v>
      </c>
    </row>
    <row r="95" spans="1:4" ht="16.5" thickTop="1" thickBot="1" x14ac:dyDescent="0.3">
      <c r="A95" s="8" t="s">
        <v>49</v>
      </c>
      <c r="B95" s="96">
        <f>B93-B94</f>
        <v>807749.25</v>
      </c>
      <c r="C95" s="96">
        <f t="shared" ref="C95:D95" si="41">C93-C94</f>
        <v>523925.25</v>
      </c>
      <c r="D95" s="96">
        <f t="shared" si="41"/>
        <v>484397.25</v>
      </c>
    </row>
    <row r="97" spans="1:4" x14ac:dyDescent="0.25">
      <c r="A97" t="s">
        <v>50</v>
      </c>
      <c r="B97" s="103">
        <f>ROUNDUP(B81,0)</f>
        <v>9704708</v>
      </c>
      <c r="C97" s="103">
        <f t="shared" ref="C97:D97" si="42">ROUNDUP(C81,0)</f>
        <v>9433812</v>
      </c>
      <c r="D97" s="103">
        <f t="shared" si="42"/>
        <v>9926003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F68"/>
  <sheetViews>
    <sheetView tabSelected="1" topLeftCell="A16" zoomScaleNormal="100" workbookViewId="0">
      <selection activeCell="C26" sqref="C26"/>
    </sheetView>
  </sheetViews>
  <sheetFormatPr baseColWidth="10" defaultRowHeight="15" x14ac:dyDescent="0.25"/>
  <cols>
    <col min="2" max="2" width="38.7109375" customWidth="1"/>
    <col min="3" max="3" width="15.42578125" customWidth="1"/>
    <col min="4" max="4" width="13.85546875" customWidth="1"/>
    <col min="5" max="5" width="14.140625" bestFit="1" customWidth="1"/>
  </cols>
  <sheetData>
    <row r="1" spans="2:6" ht="15" customHeight="1" x14ac:dyDescent="0.5">
      <c r="B1" s="49" t="s">
        <v>64</v>
      </c>
      <c r="C1" s="104"/>
      <c r="D1" s="104"/>
      <c r="E1" s="50"/>
      <c r="F1" s="18"/>
    </row>
    <row r="2" spans="2:6" ht="15" customHeight="1" thickBot="1" x14ac:dyDescent="0.55000000000000004">
      <c r="B2" s="51"/>
      <c r="C2" s="105"/>
      <c r="D2" s="105"/>
      <c r="E2" s="52"/>
      <c r="F2" s="18"/>
    </row>
    <row r="3" spans="2:6" ht="15.75" thickBot="1" x14ac:dyDescent="0.3">
      <c r="B3" s="1"/>
      <c r="C3" s="45"/>
      <c r="D3" s="45"/>
      <c r="E3" s="2"/>
    </row>
    <row r="4" spans="2:6" ht="16.5" thickTop="1" thickBot="1" x14ac:dyDescent="0.3">
      <c r="B4" s="19" t="s">
        <v>51</v>
      </c>
      <c r="C4" s="106"/>
      <c r="D4" s="106"/>
      <c r="E4" s="21"/>
    </row>
    <row r="5" spans="2:6" ht="15.75" thickTop="1" x14ac:dyDescent="0.25">
      <c r="B5" s="1"/>
      <c r="C5" s="45"/>
      <c r="D5" s="45"/>
      <c r="E5" s="2"/>
    </row>
    <row r="6" spans="2:6" ht="21" x14ac:dyDescent="0.35">
      <c r="B6" s="23" t="s">
        <v>52</v>
      </c>
      <c r="C6" s="107"/>
      <c r="D6" s="107"/>
      <c r="E6" s="24"/>
    </row>
    <row r="7" spans="2:6" x14ac:dyDescent="0.25">
      <c r="B7" s="1"/>
      <c r="C7" s="116" t="s">
        <v>122</v>
      </c>
      <c r="D7" s="116" t="s">
        <v>116</v>
      </c>
      <c r="E7" s="36" t="s">
        <v>117</v>
      </c>
    </row>
    <row r="8" spans="2:6" x14ac:dyDescent="0.25">
      <c r="B8" s="1" t="s">
        <v>123</v>
      </c>
      <c r="C8" s="92">
        <f>19880800</f>
        <v>19880800</v>
      </c>
      <c r="D8" s="92">
        <f>20216000</f>
        <v>20216000</v>
      </c>
      <c r="E8" s="117">
        <v>22960000</v>
      </c>
    </row>
    <row r="9" spans="2:6" x14ac:dyDescent="0.25">
      <c r="B9" s="1" t="s">
        <v>53</v>
      </c>
    </row>
    <row r="10" spans="2:6" x14ac:dyDescent="0.25">
      <c r="B10" s="1" t="s">
        <v>54</v>
      </c>
    </row>
    <row r="11" spans="2:6" x14ac:dyDescent="0.25">
      <c r="B11" s="25" t="s">
        <v>55</v>
      </c>
    </row>
    <row r="12" spans="2:6" x14ac:dyDescent="0.25">
      <c r="B12" s="1"/>
      <c r="C12" s="45"/>
      <c r="D12" s="45"/>
      <c r="E12" s="2"/>
    </row>
    <row r="13" spans="2:6" x14ac:dyDescent="0.25">
      <c r="B13" s="25" t="s">
        <v>56</v>
      </c>
      <c r="C13" s="108"/>
      <c r="D13" s="108"/>
      <c r="E13" s="26"/>
    </row>
    <row r="14" spans="2:6" x14ac:dyDescent="0.25">
      <c r="B14" s="1"/>
      <c r="C14" s="45"/>
      <c r="D14" s="45"/>
      <c r="E14" s="2"/>
    </row>
    <row r="15" spans="2:6" ht="21" x14ac:dyDescent="0.35">
      <c r="B15" s="23" t="s">
        <v>57</v>
      </c>
      <c r="C15" s="107"/>
      <c r="D15" s="107"/>
      <c r="E15" s="24"/>
    </row>
    <row r="16" spans="2:6" x14ac:dyDescent="0.25">
      <c r="B16" s="1"/>
      <c r="C16" s="116" t="s">
        <v>122</v>
      </c>
      <c r="D16" s="116" t="s">
        <v>116</v>
      </c>
      <c r="E16" s="36" t="s">
        <v>117</v>
      </c>
    </row>
    <row r="17" spans="2:5" x14ac:dyDescent="0.25">
      <c r="B17" s="1" t="s">
        <v>58</v>
      </c>
      <c r="C17" s="45"/>
      <c r="D17" s="45"/>
      <c r="E17" s="10"/>
    </row>
    <row r="18" spans="2:5" x14ac:dyDescent="0.25">
      <c r="B18" s="1" t="s">
        <v>59</v>
      </c>
      <c r="C18" s="45"/>
      <c r="D18" s="45"/>
      <c r="E18" s="10"/>
    </row>
    <row r="19" spans="2:5" x14ac:dyDescent="0.25">
      <c r="B19" s="1" t="s">
        <v>60</v>
      </c>
      <c r="C19" s="45"/>
      <c r="D19" s="45"/>
      <c r="E19" s="10"/>
    </row>
    <row r="20" spans="2:5" x14ac:dyDescent="0.25">
      <c r="B20" s="1" t="s">
        <v>61</v>
      </c>
      <c r="C20" s="45"/>
      <c r="D20" s="45"/>
      <c r="E20" s="10"/>
    </row>
    <row r="21" spans="2:5" x14ac:dyDescent="0.25">
      <c r="B21" s="1" t="s">
        <v>62</v>
      </c>
      <c r="C21" s="45"/>
      <c r="D21" s="45"/>
      <c r="E21" s="10"/>
    </row>
    <row r="22" spans="2:5" x14ac:dyDescent="0.25">
      <c r="B22" s="1" t="s">
        <v>45</v>
      </c>
      <c r="C22" s="45"/>
      <c r="D22" s="45"/>
      <c r="E22" s="10"/>
    </row>
    <row r="23" spans="2:5" ht="15.75" thickBot="1" x14ac:dyDescent="0.3">
      <c r="B23" s="1" t="s">
        <v>46</v>
      </c>
      <c r="C23" s="45"/>
      <c r="D23" s="45"/>
      <c r="E23" s="10"/>
    </row>
    <row r="24" spans="2:5" ht="15.75" thickTop="1" x14ac:dyDescent="0.25">
      <c r="B24" s="27" t="s">
        <v>63</v>
      </c>
      <c r="C24" s="109"/>
      <c r="D24" s="109"/>
      <c r="E24" s="28"/>
    </row>
    <row r="25" spans="2:5" x14ac:dyDescent="0.25">
      <c r="B25" s="1"/>
      <c r="C25" s="45"/>
      <c r="D25" s="45"/>
      <c r="E25" s="10"/>
    </row>
    <row r="26" spans="2:5" ht="21" x14ac:dyDescent="0.35">
      <c r="B26" s="23" t="s">
        <v>75</v>
      </c>
      <c r="C26" s="107"/>
      <c r="D26" s="107"/>
      <c r="E26" s="29"/>
    </row>
    <row r="27" spans="2:5" x14ac:dyDescent="0.25">
      <c r="B27" s="1" t="s">
        <v>48</v>
      </c>
      <c r="C27" s="45"/>
      <c r="D27" s="45"/>
      <c r="E27" s="10"/>
    </row>
    <row r="28" spans="2:5" ht="15.75" thickBot="1" x14ac:dyDescent="0.3">
      <c r="B28" s="1" t="s">
        <v>70</v>
      </c>
      <c r="C28" s="45"/>
      <c r="D28" s="45"/>
      <c r="E28" s="10"/>
    </row>
    <row r="29" spans="2:5" ht="15.75" thickTop="1" x14ac:dyDescent="0.25">
      <c r="B29" s="27" t="s">
        <v>76</v>
      </c>
      <c r="C29" s="109"/>
      <c r="D29" s="109"/>
      <c r="E29" s="28"/>
    </row>
    <row r="30" spans="2:5" x14ac:dyDescent="0.25">
      <c r="B30" s="1"/>
      <c r="C30" s="45"/>
      <c r="D30" s="45"/>
      <c r="E30" s="10"/>
    </row>
    <row r="31" spans="2:5" ht="21" x14ac:dyDescent="0.35">
      <c r="B31" s="30" t="s">
        <v>79</v>
      </c>
      <c r="C31" s="110"/>
      <c r="D31" s="110"/>
      <c r="E31" s="26"/>
    </row>
    <row r="32" spans="2:5" x14ac:dyDescent="0.25">
      <c r="B32" s="1"/>
      <c r="C32" s="45"/>
      <c r="D32" s="45"/>
      <c r="E32" s="10"/>
    </row>
    <row r="33" spans="2:5" ht="21" x14ac:dyDescent="0.35">
      <c r="B33" s="23" t="s">
        <v>75</v>
      </c>
      <c r="C33" s="107"/>
      <c r="D33" s="107"/>
      <c r="E33" s="31"/>
    </row>
    <row r="34" spans="2:5" x14ac:dyDescent="0.25">
      <c r="B34" s="32" t="s">
        <v>77</v>
      </c>
      <c r="C34" s="111"/>
      <c r="D34" s="111"/>
      <c r="E34" s="33"/>
    </row>
    <row r="35" spans="2:5" x14ac:dyDescent="0.25">
      <c r="B35" s="1"/>
      <c r="C35" s="45"/>
      <c r="D35" s="45"/>
      <c r="E35" s="10"/>
    </row>
    <row r="36" spans="2:5" ht="21.75" thickBot="1" x14ac:dyDescent="0.4">
      <c r="B36" s="34" t="s">
        <v>78</v>
      </c>
      <c r="C36" s="112"/>
      <c r="D36" s="112"/>
      <c r="E36" s="35"/>
    </row>
    <row r="38" spans="2:5" ht="15.75" thickBot="1" x14ac:dyDescent="0.3"/>
    <row r="39" spans="2:5" x14ac:dyDescent="0.25">
      <c r="B39" s="53" t="s">
        <v>65</v>
      </c>
      <c r="C39" s="113"/>
      <c r="D39" s="113"/>
      <c r="E39" s="54"/>
    </row>
    <row r="40" spans="2:5" ht="15.75" thickBot="1" x14ac:dyDescent="0.3">
      <c r="B40" s="55"/>
      <c r="C40" s="114"/>
      <c r="D40" s="114"/>
      <c r="E40" s="56"/>
    </row>
    <row r="41" spans="2:5" ht="15.75" thickTop="1" x14ac:dyDescent="0.25">
      <c r="B41" s="4"/>
      <c r="C41" s="116" t="s">
        <v>122</v>
      </c>
      <c r="D41" s="116" t="s">
        <v>116</v>
      </c>
      <c r="E41" s="36" t="s">
        <v>117</v>
      </c>
    </row>
    <row r="42" spans="2:5" x14ac:dyDescent="0.25">
      <c r="B42" s="1" t="s">
        <v>66</v>
      </c>
      <c r="C42" s="15">
        <v>19880800</v>
      </c>
      <c r="D42" s="15">
        <v>20216000</v>
      </c>
      <c r="E42" s="15">
        <v>22960000</v>
      </c>
    </row>
    <row r="43" spans="2:5" ht="15.75" thickBot="1" x14ac:dyDescent="0.3">
      <c r="B43" s="1" t="s">
        <v>54</v>
      </c>
      <c r="C43" s="15">
        <f>C42*0.65</f>
        <v>12922520</v>
      </c>
      <c r="D43" s="15">
        <f t="shared" ref="D43:E43" si="0">D42*0.65</f>
        <v>13140400</v>
      </c>
      <c r="E43" s="15">
        <f t="shared" si="0"/>
        <v>14924000</v>
      </c>
    </row>
    <row r="44" spans="2:5" ht="16.5" thickTop="1" thickBot="1" x14ac:dyDescent="0.3">
      <c r="B44" s="118" t="s">
        <v>53</v>
      </c>
      <c r="C44" s="119">
        <f>C42*0.35</f>
        <v>6958280</v>
      </c>
      <c r="D44" s="119">
        <f t="shared" ref="D44:E44" si="1">D42*0.35</f>
        <v>7075600</v>
      </c>
      <c r="E44" s="119">
        <f t="shared" si="1"/>
        <v>8035999.9999999991</v>
      </c>
    </row>
    <row r="45" spans="2:5" ht="16.5" thickTop="1" thickBot="1" x14ac:dyDescent="0.3">
      <c r="B45" s="1"/>
      <c r="C45" s="45"/>
      <c r="D45" s="45"/>
      <c r="E45" s="2"/>
    </row>
    <row r="46" spans="2:5" ht="15.75" thickTop="1" x14ac:dyDescent="0.25">
      <c r="B46" s="4" t="s">
        <v>67</v>
      </c>
      <c r="C46" s="88"/>
      <c r="D46" s="88"/>
      <c r="E46" s="5"/>
    </row>
    <row r="47" spans="2:5" x14ac:dyDescent="0.25">
      <c r="B47" s="1" t="s">
        <v>68</v>
      </c>
      <c r="C47" s="15">
        <v>0</v>
      </c>
      <c r="D47" s="15">
        <v>0</v>
      </c>
      <c r="E47" s="10">
        <v>0</v>
      </c>
    </row>
    <row r="48" spans="2:5" x14ac:dyDescent="0.25">
      <c r="B48" s="1" t="s">
        <v>124</v>
      </c>
      <c r="C48" s="15">
        <v>0</v>
      </c>
      <c r="D48" s="15">
        <v>0</v>
      </c>
      <c r="E48" s="10">
        <v>0</v>
      </c>
    </row>
    <row r="49" spans="2:5" x14ac:dyDescent="0.25">
      <c r="B49" s="1" t="s">
        <v>125</v>
      </c>
      <c r="C49" s="15">
        <v>0</v>
      </c>
      <c r="D49" s="15">
        <v>0</v>
      </c>
      <c r="E49" s="10">
        <v>0</v>
      </c>
    </row>
    <row r="50" spans="2:5" x14ac:dyDescent="0.25">
      <c r="B50" s="1" t="s">
        <v>126</v>
      </c>
      <c r="C50" s="15">
        <v>0</v>
      </c>
      <c r="D50" s="100">
        <v>0</v>
      </c>
      <c r="E50" s="10">
        <v>0</v>
      </c>
    </row>
    <row r="51" spans="2:5" ht="15.75" thickBot="1" x14ac:dyDescent="0.3">
      <c r="B51" s="1" t="s">
        <v>127</v>
      </c>
      <c r="C51" s="15">
        <v>0</v>
      </c>
      <c r="D51" s="15">
        <v>0</v>
      </c>
      <c r="E51" s="10">
        <v>0</v>
      </c>
    </row>
    <row r="52" spans="2:5" ht="16.5" thickTop="1" thickBot="1" x14ac:dyDescent="0.3">
      <c r="B52" s="8" t="s">
        <v>69</v>
      </c>
      <c r="C52" s="9">
        <f t="shared" ref="C52:D52" si="2">SUM(C47:C51)</f>
        <v>0</v>
      </c>
      <c r="D52" s="9">
        <f t="shared" si="2"/>
        <v>0</v>
      </c>
      <c r="E52" s="9">
        <f>SUM(E47:E51)</f>
        <v>0</v>
      </c>
    </row>
    <row r="54" spans="2:5" ht="15.75" thickBot="1" x14ac:dyDescent="0.3"/>
    <row r="55" spans="2:5" x14ac:dyDescent="0.25">
      <c r="B55" s="53" t="s">
        <v>70</v>
      </c>
      <c r="C55" s="113"/>
      <c r="D55" s="113"/>
      <c r="E55" s="54"/>
    </row>
    <row r="56" spans="2:5" ht="15.75" thickBot="1" x14ac:dyDescent="0.3">
      <c r="B56" s="55"/>
      <c r="C56" s="114"/>
      <c r="D56" s="114"/>
      <c r="E56" s="56"/>
    </row>
    <row r="57" spans="2:5" ht="15.75" thickTop="1" x14ac:dyDescent="0.25">
      <c r="B57" s="4"/>
      <c r="C57" s="45" t="s">
        <v>122</v>
      </c>
      <c r="D57" s="45" t="s">
        <v>116</v>
      </c>
      <c r="E57" s="2" t="s">
        <v>117</v>
      </c>
    </row>
    <row r="58" spans="2:5" x14ac:dyDescent="0.25">
      <c r="B58" s="1" t="s">
        <v>71</v>
      </c>
      <c r="C58" s="45"/>
      <c r="D58" s="45"/>
      <c r="E58" s="10">
        <v>364000</v>
      </c>
    </row>
    <row r="59" spans="2:5" ht="15.75" thickBot="1" x14ac:dyDescent="0.3">
      <c r="B59" s="1" t="s">
        <v>108</v>
      </c>
      <c r="C59" s="45"/>
      <c r="D59" s="45"/>
      <c r="E59" s="10">
        <f>E58</f>
        <v>364000</v>
      </c>
    </row>
    <row r="60" spans="2:5" ht="16.5" thickTop="1" thickBot="1" x14ac:dyDescent="0.3">
      <c r="B60" s="20" t="s">
        <v>109</v>
      </c>
      <c r="C60" s="115"/>
      <c r="D60" s="115"/>
      <c r="E60" s="22">
        <f>0</f>
        <v>0</v>
      </c>
    </row>
    <row r="61" spans="2:5" ht="16.5" thickTop="1" thickBot="1" x14ac:dyDescent="0.3">
      <c r="B61" s="1"/>
      <c r="C61" s="45"/>
      <c r="D61" s="45"/>
      <c r="E61" s="2"/>
    </row>
    <row r="62" spans="2:5" ht="15.75" thickTop="1" x14ac:dyDescent="0.25">
      <c r="B62" s="4" t="s">
        <v>72</v>
      </c>
      <c r="C62" s="88"/>
      <c r="D62" s="88"/>
      <c r="E62" s="5"/>
    </row>
    <row r="63" spans="2:5" x14ac:dyDescent="0.25">
      <c r="B63" s="1" t="s">
        <v>73</v>
      </c>
      <c r="C63" s="45"/>
      <c r="D63" s="45"/>
      <c r="E63" s="10">
        <v>0</v>
      </c>
    </row>
    <row r="64" spans="2:5" x14ac:dyDescent="0.25">
      <c r="B64" s="1" t="s">
        <v>128</v>
      </c>
      <c r="C64" s="45"/>
      <c r="D64" s="45"/>
      <c r="E64" s="10">
        <v>0</v>
      </c>
    </row>
    <row r="65" spans="2:5" x14ac:dyDescent="0.25">
      <c r="B65" s="1" t="s">
        <v>129</v>
      </c>
      <c r="C65" s="45"/>
      <c r="D65" s="45"/>
      <c r="E65" s="10">
        <f>110000</f>
        <v>110000</v>
      </c>
    </row>
    <row r="66" spans="2:5" x14ac:dyDescent="0.25">
      <c r="B66" s="1" t="s">
        <v>130</v>
      </c>
      <c r="C66" s="45"/>
      <c r="D66" s="45"/>
      <c r="E66" s="10">
        <f>E59*0.5</f>
        <v>182000</v>
      </c>
    </row>
    <row r="67" spans="2:5" ht="15.75" thickBot="1" x14ac:dyDescent="0.3">
      <c r="B67" s="1" t="s">
        <v>131</v>
      </c>
      <c r="C67" s="45"/>
      <c r="D67" s="45"/>
      <c r="E67" s="10">
        <v>0</v>
      </c>
    </row>
    <row r="68" spans="2:5" ht="16.5" thickTop="1" thickBot="1" x14ac:dyDescent="0.3">
      <c r="B68" s="14" t="s">
        <v>74</v>
      </c>
      <c r="C68" s="90"/>
      <c r="D68" s="90"/>
      <c r="E68" s="9">
        <f>SUM(E63:E67)</f>
        <v>292000</v>
      </c>
    </row>
  </sheetData>
  <mergeCells count="3">
    <mergeCell ref="B1:E2"/>
    <mergeCell ref="B39:E40"/>
    <mergeCell ref="B55:E5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2"/>
  <sheetViews>
    <sheetView zoomScaleNormal="100" workbookViewId="0">
      <selection activeCell="C15" sqref="C15"/>
    </sheetView>
  </sheetViews>
  <sheetFormatPr baseColWidth="10" defaultRowHeight="15" x14ac:dyDescent="0.25"/>
  <cols>
    <col min="1" max="1" width="45.85546875" customWidth="1"/>
    <col min="4" max="4" width="11.5703125" customWidth="1"/>
    <col min="5" max="5" width="50.85546875" customWidth="1"/>
  </cols>
  <sheetData>
    <row r="1" spans="1:11" x14ac:dyDescent="0.25">
      <c r="A1" s="65" t="s">
        <v>80</v>
      </c>
      <c r="B1" s="66"/>
      <c r="C1" s="66"/>
      <c r="D1" s="66"/>
      <c r="E1" s="66"/>
      <c r="F1" s="66"/>
      <c r="G1" s="66"/>
      <c r="H1" s="67"/>
      <c r="I1" s="37"/>
      <c r="J1" s="37"/>
      <c r="K1" s="37"/>
    </row>
    <row r="2" spans="1:11" ht="15.75" thickBot="1" x14ac:dyDescent="0.3">
      <c r="A2" s="62" t="s">
        <v>81</v>
      </c>
      <c r="B2" s="63"/>
      <c r="C2" s="63"/>
      <c r="D2" s="63"/>
      <c r="E2" s="63"/>
      <c r="F2" s="63"/>
      <c r="G2" s="63"/>
      <c r="H2" s="64"/>
      <c r="I2" s="37"/>
      <c r="J2" s="37"/>
      <c r="K2" s="37"/>
    </row>
    <row r="3" spans="1:11" ht="27" thickBot="1" x14ac:dyDescent="0.45">
      <c r="A3" s="68" t="s">
        <v>82</v>
      </c>
      <c r="B3" s="69"/>
      <c r="C3" s="69"/>
      <c r="D3" s="69"/>
      <c r="E3" s="70" t="s">
        <v>83</v>
      </c>
      <c r="F3" s="71"/>
      <c r="G3" s="71"/>
      <c r="H3" s="72"/>
    </row>
    <row r="4" spans="1:11" ht="16.5" thickTop="1" thickBot="1" x14ac:dyDescent="0.3">
      <c r="A4" s="73" t="s">
        <v>85</v>
      </c>
      <c r="B4" s="74"/>
      <c r="C4" s="74"/>
      <c r="D4" s="74"/>
      <c r="E4" s="75" t="s">
        <v>84</v>
      </c>
      <c r="F4" s="76"/>
      <c r="G4" s="76"/>
      <c r="H4" s="77"/>
    </row>
    <row r="5" spans="1:11" ht="15.75" thickTop="1" x14ac:dyDescent="0.25">
      <c r="A5" s="1" t="s">
        <v>86</v>
      </c>
      <c r="B5" s="15">
        <f>'Ejercicio#8'!E4</f>
        <v>0</v>
      </c>
      <c r="C5" s="15"/>
      <c r="D5" s="15"/>
      <c r="E5" s="1" t="s">
        <v>101</v>
      </c>
      <c r="F5" s="15">
        <f>'Ejercicio#8'!E66</f>
        <v>182000</v>
      </c>
      <c r="G5" s="15"/>
      <c r="H5" s="10"/>
    </row>
    <row r="6" spans="1:11" x14ac:dyDescent="0.25">
      <c r="A6" s="1" t="s">
        <v>87</v>
      </c>
      <c r="B6" s="15">
        <f>'Ejercicio#8'!E49</f>
        <v>0</v>
      </c>
      <c r="C6" s="15"/>
      <c r="D6" s="15"/>
      <c r="E6" s="1" t="s">
        <v>102</v>
      </c>
      <c r="F6" s="15">
        <v>58300</v>
      </c>
      <c r="G6" s="15"/>
      <c r="H6" s="10"/>
    </row>
    <row r="7" spans="1:11" x14ac:dyDescent="0.25">
      <c r="A7" s="1" t="s">
        <v>88</v>
      </c>
      <c r="B7" s="15">
        <f>'Ejercicio#10'!D78</f>
        <v>9703486.5980208609</v>
      </c>
      <c r="C7" s="15"/>
      <c r="D7" s="15"/>
      <c r="E7" s="1" t="s">
        <v>70</v>
      </c>
      <c r="F7" s="15">
        <f>'Ejercicio#8'!E68-'Ejercicio#9'!F5</f>
        <v>110000</v>
      </c>
      <c r="G7" s="15"/>
      <c r="H7" s="10"/>
    </row>
    <row r="8" spans="1:11" x14ac:dyDescent="0.25">
      <c r="A8" s="1" t="s">
        <v>89</v>
      </c>
      <c r="B8" s="15">
        <f>'Ejercicio#10'!D97</f>
        <v>9926003</v>
      </c>
      <c r="C8" s="15"/>
      <c r="D8" s="15">
        <f>SUM(B5:B8)</f>
        <v>19629489.598020859</v>
      </c>
      <c r="E8" s="1" t="s">
        <v>103</v>
      </c>
      <c r="F8" s="15">
        <f>'Ejercicio#10'!D94</f>
        <v>161465.75</v>
      </c>
      <c r="G8" s="15"/>
      <c r="H8" s="10"/>
    </row>
    <row r="9" spans="1:11" ht="15.75" thickBot="1" x14ac:dyDescent="0.3">
      <c r="A9" s="40" t="s">
        <v>97</v>
      </c>
      <c r="B9" s="41"/>
      <c r="C9" s="41"/>
      <c r="D9" s="41"/>
      <c r="E9" s="1" t="s">
        <v>104</v>
      </c>
      <c r="F9" s="15"/>
      <c r="G9" s="15"/>
      <c r="H9" s="10">
        <f>SUM(F5:F8)</f>
        <v>511765.75</v>
      </c>
    </row>
    <row r="10" spans="1:11" ht="16.5" thickTop="1" thickBot="1" x14ac:dyDescent="0.3">
      <c r="A10" s="1"/>
      <c r="B10" s="15"/>
      <c r="C10" s="15"/>
      <c r="D10" s="15"/>
      <c r="E10" s="75" t="s">
        <v>96</v>
      </c>
      <c r="F10" s="76"/>
      <c r="G10" s="76"/>
      <c r="H10" s="77"/>
    </row>
    <row r="11" spans="1:11" ht="16.5" thickTop="1" thickBot="1" x14ac:dyDescent="0.3">
      <c r="A11" s="1"/>
      <c r="B11" s="15"/>
      <c r="C11" s="15"/>
      <c r="D11" s="15"/>
      <c r="E11" s="1"/>
      <c r="F11" s="15"/>
      <c r="G11" s="15"/>
      <c r="H11" s="10"/>
    </row>
    <row r="12" spans="1:11" ht="27.75" thickTop="1" thickBot="1" x14ac:dyDescent="0.45">
      <c r="A12" s="73" t="s">
        <v>90</v>
      </c>
      <c r="B12" s="74"/>
      <c r="C12" s="74"/>
      <c r="D12" s="74"/>
      <c r="E12" s="59" t="s">
        <v>105</v>
      </c>
      <c r="F12" s="60"/>
      <c r="G12" s="60"/>
      <c r="H12" s="61"/>
    </row>
    <row r="13" spans="1:11" ht="15.75" thickTop="1" x14ac:dyDescent="0.25">
      <c r="A13" s="1" t="s">
        <v>91</v>
      </c>
      <c r="B13" s="15">
        <f>'Ejercicio#10'!D25</f>
        <v>418700</v>
      </c>
      <c r="C13" s="15"/>
      <c r="D13" s="15"/>
      <c r="E13" s="1" t="s">
        <v>106</v>
      </c>
      <c r="F13" s="15">
        <v>350000</v>
      </c>
      <c r="G13" s="15"/>
      <c r="H13" s="10"/>
    </row>
    <row r="14" spans="1:11" x14ac:dyDescent="0.25">
      <c r="A14" s="1" t="s">
        <v>94</v>
      </c>
      <c r="B14" s="15">
        <f>-95000</f>
        <v>-95000</v>
      </c>
      <c r="C14" s="15"/>
      <c r="D14" s="15"/>
      <c r="E14" s="1" t="s">
        <v>107</v>
      </c>
      <c r="F14" s="15">
        <v>205000</v>
      </c>
      <c r="G14" s="15"/>
      <c r="H14" s="10"/>
    </row>
    <row r="15" spans="1:11" x14ac:dyDescent="0.25">
      <c r="A15" s="1" t="s">
        <v>92</v>
      </c>
      <c r="B15" s="15">
        <f>88000</f>
        <v>88000</v>
      </c>
      <c r="C15" s="15"/>
      <c r="D15" s="15"/>
      <c r="E15" s="1"/>
      <c r="F15" s="15"/>
      <c r="G15" s="15"/>
      <c r="H15" s="10"/>
    </row>
    <row r="16" spans="1:11" x14ac:dyDescent="0.25">
      <c r="A16" s="1" t="s">
        <v>93</v>
      </c>
      <c r="B16" s="15">
        <f>-54600</f>
        <v>-54600</v>
      </c>
      <c r="C16" s="15"/>
      <c r="D16" s="15"/>
      <c r="E16" s="1"/>
      <c r="F16" s="15"/>
      <c r="G16" s="15"/>
      <c r="H16" s="10"/>
    </row>
    <row r="17" spans="1:8" x14ac:dyDescent="0.25">
      <c r="A17" s="1" t="s">
        <v>95</v>
      </c>
      <c r="B17" s="15">
        <v>5000</v>
      </c>
      <c r="C17" s="15"/>
      <c r="D17" s="15"/>
      <c r="E17" s="1"/>
      <c r="F17" s="15"/>
      <c r="G17" s="15"/>
      <c r="H17" s="10"/>
    </row>
    <row r="18" spans="1:8" ht="15.75" thickBot="1" x14ac:dyDescent="0.3">
      <c r="A18" s="38" t="s">
        <v>99</v>
      </c>
      <c r="B18" s="42"/>
      <c r="C18" s="42"/>
      <c r="D18" s="42">
        <f>SUM(B13:B17)</f>
        <v>362100</v>
      </c>
      <c r="E18" s="38"/>
      <c r="F18" s="42"/>
      <c r="G18" s="42"/>
      <c r="H18" s="43">
        <f>SUM(F13:F17)</f>
        <v>555000</v>
      </c>
    </row>
    <row r="19" spans="1:8" ht="15.75" thickBot="1" x14ac:dyDescent="0.3">
      <c r="A19" s="44" t="s">
        <v>98</v>
      </c>
      <c r="B19" s="57">
        <f>SUM(D8+D18)</f>
        <v>19991589.598020859</v>
      </c>
      <c r="C19" s="58"/>
      <c r="D19" s="58"/>
      <c r="E19" s="39" t="s">
        <v>100</v>
      </c>
      <c r="F19" s="78">
        <f>H9+H18</f>
        <v>1066765.75</v>
      </c>
      <c r="G19" s="78"/>
      <c r="H19" s="79"/>
    </row>
    <row r="21" spans="1:8" x14ac:dyDescent="0.25">
      <c r="D21" s="48"/>
    </row>
    <row r="22" spans="1:8" x14ac:dyDescent="0.25">
      <c r="A22" s="45"/>
      <c r="B22" s="45"/>
      <c r="C22" s="45"/>
      <c r="D22" s="45"/>
      <c r="E22" s="45"/>
      <c r="F22" s="45"/>
      <c r="G22" s="45"/>
      <c r="H22" s="45"/>
    </row>
    <row r="23" spans="1:8" x14ac:dyDescent="0.25">
      <c r="A23" s="63"/>
      <c r="B23" s="63"/>
      <c r="C23" s="63"/>
      <c r="D23" s="63"/>
      <c r="E23" s="63"/>
      <c r="F23" s="63"/>
      <c r="G23" s="63"/>
      <c r="H23" s="63"/>
    </row>
    <row r="24" spans="1:8" x14ac:dyDescent="0.25">
      <c r="A24" s="63"/>
      <c r="B24" s="63"/>
      <c r="C24" s="63"/>
      <c r="D24" s="63"/>
      <c r="E24" s="63"/>
      <c r="F24" s="63"/>
      <c r="G24" s="63"/>
      <c r="H24" s="63"/>
    </row>
    <row r="25" spans="1:8" ht="26.25" x14ac:dyDescent="0.4">
      <c r="A25" s="81"/>
      <c r="B25" s="81"/>
      <c r="C25" s="81"/>
      <c r="D25" s="81"/>
      <c r="E25" s="81"/>
      <c r="F25" s="81"/>
      <c r="G25" s="81"/>
      <c r="H25" s="81"/>
    </row>
    <row r="26" spans="1:8" x14ac:dyDescent="0.25">
      <c r="A26" s="80"/>
      <c r="B26" s="80"/>
      <c r="C26" s="80"/>
      <c r="D26" s="80"/>
      <c r="E26" s="84"/>
      <c r="F26" s="84"/>
      <c r="G26" s="84"/>
      <c r="H26" s="84"/>
    </row>
    <row r="27" spans="1:8" x14ac:dyDescent="0.25">
      <c r="A27" s="45"/>
      <c r="B27" s="15"/>
      <c r="C27" s="15"/>
      <c r="D27" s="15"/>
      <c r="E27" s="45"/>
      <c r="F27" s="15"/>
      <c r="G27" s="15"/>
      <c r="H27" s="15"/>
    </row>
    <row r="28" spans="1:8" x14ac:dyDescent="0.25">
      <c r="A28" s="45"/>
      <c r="B28" s="15"/>
      <c r="C28" s="15"/>
      <c r="D28" s="15"/>
      <c r="E28" s="45"/>
      <c r="F28" s="15"/>
      <c r="G28" s="15"/>
      <c r="H28" s="15"/>
    </row>
    <row r="29" spans="1:8" x14ac:dyDescent="0.25">
      <c r="A29" s="45"/>
      <c r="B29" s="15"/>
      <c r="C29" s="15"/>
      <c r="D29" s="15"/>
      <c r="E29" s="45"/>
      <c r="F29" s="15"/>
      <c r="G29" s="15"/>
      <c r="H29" s="15"/>
    </row>
    <row r="30" spans="1:8" x14ac:dyDescent="0.25">
      <c r="A30" s="45"/>
      <c r="B30" s="15"/>
      <c r="C30" s="15"/>
      <c r="D30" s="15"/>
      <c r="E30" s="45"/>
      <c r="F30" s="15"/>
      <c r="G30" s="15"/>
      <c r="H30" s="15"/>
    </row>
    <row r="31" spans="1:8" x14ac:dyDescent="0.25">
      <c r="A31" s="45"/>
      <c r="B31" s="15"/>
      <c r="C31" s="15"/>
      <c r="D31" s="15"/>
      <c r="E31" s="45"/>
      <c r="F31" s="15"/>
      <c r="G31" s="15"/>
      <c r="H31" s="15"/>
    </row>
    <row r="32" spans="1:8" x14ac:dyDescent="0.25">
      <c r="A32" s="45"/>
      <c r="B32" s="15"/>
      <c r="C32" s="15"/>
      <c r="D32" s="15"/>
      <c r="E32" s="84"/>
      <c r="F32" s="84"/>
      <c r="G32" s="84"/>
      <c r="H32" s="84"/>
    </row>
    <row r="33" spans="1:8" x14ac:dyDescent="0.25">
      <c r="A33" s="45"/>
      <c r="B33" s="15"/>
      <c r="C33" s="15"/>
      <c r="D33" s="15"/>
      <c r="E33" s="45"/>
      <c r="F33" s="15"/>
      <c r="G33" s="15"/>
      <c r="H33" s="15"/>
    </row>
    <row r="34" spans="1:8" ht="26.25" x14ac:dyDescent="0.4">
      <c r="A34" s="80"/>
      <c r="B34" s="80"/>
      <c r="C34" s="80"/>
      <c r="D34" s="80"/>
      <c r="E34" s="81"/>
      <c r="F34" s="81"/>
      <c r="G34" s="81"/>
      <c r="H34" s="81"/>
    </row>
    <row r="35" spans="1:8" x14ac:dyDescent="0.25">
      <c r="A35" s="45"/>
      <c r="B35" s="15"/>
      <c r="C35" s="15"/>
      <c r="D35" s="15"/>
      <c r="E35" s="45"/>
      <c r="F35" s="15"/>
      <c r="G35" s="15"/>
      <c r="H35" s="15"/>
    </row>
    <row r="36" spans="1:8" x14ac:dyDescent="0.25">
      <c r="A36" s="45"/>
      <c r="B36" s="15"/>
      <c r="C36" s="15"/>
      <c r="D36" s="15"/>
      <c r="E36" s="45"/>
      <c r="F36" s="15"/>
      <c r="G36" s="15"/>
      <c r="H36" s="15"/>
    </row>
    <row r="37" spans="1:8" x14ac:dyDescent="0.25">
      <c r="A37" s="45"/>
      <c r="B37" s="15"/>
      <c r="C37" s="15"/>
      <c r="D37" s="15"/>
      <c r="E37" s="45"/>
      <c r="F37" s="15"/>
      <c r="G37" s="15"/>
      <c r="H37" s="15"/>
    </row>
    <row r="38" spans="1:8" x14ac:dyDescent="0.25">
      <c r="A38" s="45"/>
      <c r="B38" s="15"/>
      <c r="C38" s="15"/>
      <c r="D38" s="15"/>
      <c r="E38" s="45"/>
      <c r="F38" s="15"/>
      <c r="G38" s="15"/>
      <c r="H38" s="15"/>
    </row>
    <row r="39" spans="1:8" x14ac:dyDescent="0.25">
      <c r="A39" s="45"/>
      <c r="B39" s="15"/>
      <c r="C39" s="15"/>
      <c r="D39" s="15"/>
      <c r="E39" s="45"/>
      <c r="F39" s="15"/>
      <c r="G39" s="15"/>
      <c r="H39" s="15"/>
    </row>
    <row r="40" spans="1:8" x14ac:dyDescent="0.25">
      <c r="A40" s="45"/>
      <c r="B40" s="15"/>
      <c r="C40" s="15"/>
      <c r="D40" s="15"/>
      <c r="E40" s="45"/>
      <c r="F40" s="15"/>
      <c r="G40" s="15"/>
      <c r="H40" s="15"/>
    </row>
    <row r="41" spans="1:8" x14ac:dyDescent="0.25">
      <c r="A41" s="46"/>
      <c r="B41" s="82"/>
      <c r="C41" s="83"/>
      <c r="D41" s="83"/>
      <c r="E41" s="45"/>
      <c r="F41" s="47"/>
      <c r="G41" s="45"/>
      <c r="H41" s="45"/>
    </row>
    <row r="42" spans="1:8" x14ac:dyDescent="0.25">
      <c r="A42" s="45"/>
      <c r="B42" s="45"/>
      <c r="C42" s="45"/>
      <c r="D42" s="45"/>
      <c r="E42" s="45"/>
      <c r="F42" s="45"/>
      <c r="G42" s="45"/>
      <c r="H42" s="45"/>
    </row>
  </sheetData>
  <mergeCells count="21">
    <mergeCell ref="A34:D34"/>
    <mergeCell ref="E34:H34"/>
    <mergeCell ref="B41:D41"/>
    <mergeCell ref="A24:H24"/>
    <mergeCell ref="A25:D25"/>
    <mergeCell ref="E25:H25"/>
    <mergeCell ref="A26:D26"/>
    <mergeCell ref="E26:H26"/>
    <mergeCell ref="E32:H32"/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Ejercicio#10</vt:lpstr>
      <vt:lpstr>Ejercicio#8</vt:lpstr>
      <vt:lpstr>Ejercicio#9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2020-04-09T05:40:34Z</dcterms:modified>
</cp:coreProperties>
</file>