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___UFM-Cursos___\3_Semestre-[Enero-Mayo-2020]\____SumaDeCursosUFM2.1____\___Cost_Analysis-Notas___\Final\"/>
    </mc:Choice>
  </mc:AlternateContent>
  <xr:revisionPtr revIDLastSave="0" documentId="13_ncr:1_{79C486BB-45C2-4FFE-9E1D-25224529B4D0}" xr6:coauthVersionLast="45" xr6:coauthVersionMax="45" xr10:uidLastSave="{00000000-0000-0000-0000-000000000000}"/>
  <bookViews>
    <workbookView xWindow="2145" yWindow="2805" windowWidth="21600" windowHeight="11385" activeTab="2" xr2:uid="{00000000-000D-0000-FFFF-FFFF00000000}"/>
  </bookViews>
  <sheets>
    <sheet name="Presupuestos" sheetId="1" r:id="rId1"/>
    <sheet name="Cobrar,Pagar,Caja" sheetId="2" r:id="rId2"/>
    <sheet name="Balance General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8" i="3" l="1"/>
  <c r="F34" i="3"/>
  <c r="H14" i="3"/>
  <c r="H15" i="3" s="1"/>
  <c r="H39" i="3"/>
  <c r="F35" i="3"/>
  <c r="F33" i="3"/>
  <c r="D48" i="3"/>
  <c r="B47" i="3"/>
  <c r="B44" i="3"/>
  <c r="B45" i="3"/>
  <c r="B43" i="3"/>
  <c r="F46" i="3"/>
  <c r="F45" i="3"/>
  <c r="B46" i="3"/>
  <c r="B42" i="3"/>
  <c r="D22" i="3"/>
  <c r="D15" i="3"/>
  <c r="B63" i="2"/>
  <c r="B58" i="2"/>
  <c r="B42" i="2"/>
  <c r="A35" i="2"/>
  <c r="A33" i="2"/>
  <c r="A34" i="2"/>
  <c r="A32" i="2"/>
  <c r="A31" i="2"/>
  <c r="F37" i="2"/>
  <c r="B37" i="2"/>
  <c r="C37" i="2"/>
  <c r="C25" i="2"/>
  <c r="D25" i="2"/>
  <c r="E25" i="2"/>
  <c r="F25" i="2"/>
  <c r="B25" i="2"/>
  <c r="D37" i="2"/>
  <c r="B53" i="2" s="1"/>
  <c r="B85" i="1"/>
  <c r="B80" i="1"/>
  <c r="B48" i="1"/>
  <c r="B47" i="1"/>
  <c r="B33" i="1"/>
  <c r="B31" i="1"/>
  <c r="C12" i="2"/>
  <c r="C11" i="2"/>
  <c r="D16" i="2" s="1"/>
  <c r="B12" i="2"/>
  <c r="B11" i="2"/>
  <c r="C15" i="2" s="1"/>
  <c r="C21" i="2" s="1"/>
  <c r="B21" i="2"/>
  <c r="D23" i="3" l="1"/>
  <c r="D15" i="2"/>
  <c r="D21" i="2" s="1"/>
  <c r="B46" i="2" s="1"/>
  <c r="B49" i="1"/>
  <c r="B56" i="2" s="1"/>
  <c r="E16" i="2"/>
  <c r="B71" i="1"/>
  <c r="B58" i="1" l="1"/>
  <c r="B35" i="3" s="1"/>
  <c r="A49" i="1" l="1"/>
  <c r="B53" i="1"/>
  <c r="B54" i="1" s="1"/>
  <c r="H11" i="3" l="1"/>
  <c r="B51" i="2"/>
  <c r="A21" i="2"/>
  <c r="A37" i="2"/>
  <c r="G21" i="3"/>
  <c r="G23" i="3" l="1"/>
  <c r="E25" i="3" s="1"/>
  <c r="B55" i="1" l="1"/>
  <c r="C21" i="1" l="1"/>
  <c r="C18" i="1"/>
  <c r="C10" i="1"/>
  <c r="A75" i="1" l="1"/>
  <c r="A59" i="1"/>
  <c r="B52" i="1"/>
  <c r="A41" i="1"/>
  <c r="A37" i="1"/>
  <c r="A34" i="1"/>
  <c r="A30" i="1"/>
  <c r="A27" i="1"/>
  <c r="A22" i="1"/>
  <c r="B18" i="1"/>
  <c r="B62" i="1" s="1"/>
  <c r="A15" i="1"/>
  <c r="A11" i="1"/>
  <c r="B10" i="1"/>
  <c r="B44" i="1" s="1"/>
  <c r="B7" i="1"/>
  <c r="B86" i="1" s="1"/>
  <c r="B59" i="2" s="1"/>
  <c r="B11" i="1"/>
  <c r="D10" i="2" l="1"/>
  <c r="D12" i="2" s="1"/>
  <c r="B45" i="2" s="1"/>
  <c r="B47" i="2" s="1"/>
  <c r="B49" i="2" s="1"/>
  <c r="B81" i="1"/>
  <c r="D11" i="2" l="1"/>
  <c r="F17" i="2" s="1"/>
  <c r="F21" i="2" s="1"/>
  <c r="B13" i="1"/>
  <c r="B15" i="1" s="1"/>
  <c r="E17" i="2" l="1"/>
  <c r="E21" i="2" s="1"/>
  <c r="F22" i="2" s="1"/>
  <c r="B33" i="3" s="1"/>
  <c r="B67" i="1"/>
  <c r="B37" i="1"/>
  <c r="B39" i="1" s="1"/>
  <c r="B45" i="1" s="1"/>
  <c r="B46" i="1" s="1"/>
  <c r="B30" i="1"/>
  <c r="B32" i="1" s="1"/>
  <c r="B34" i="1" s="1"/>
  <c r="B19" i="1"/>
  <c r="B41" i="1" l="1"/>
  <c r="B54" i="2" s="1"/>
  <c r="B21" i="1"/>
  <c r="B23" i="1" s="1"/>
  <c r="B25" i="1" s="1"/>
  <c r="B27" i="1" s="1"/>
  <c r="D26" i="2" s="1"/>
  <c r="D28" i="2" l="1"/>
  <c r="B52" i="2" s="1"/>
  <c r="D27" i="2"/>
  <c r="E32" i="2" s="1"/>
  <c r="E37" i="2" s="1"/>
  <c r="F38" i="2" s="1"/>
  <c r="F32" i="3" s="1"/>
  <c r="B65" i="1"/>
  <c r="B56" i="1"/>
  <c r="B57" i="1" s="1"/>
  <c r="B59" i="1" s="1"/>
  <c r="B63" i="1" s="1"/>
  <c r="B64" i="1"/>
  <c r="B66" i="1" l="1"/>
  <c r="B60" i="2" l="1"/>
  <c r="B65" i="2" s="1"/>
  <c r="B67" i="2" s="1"/>
  <c r="B78" i="2" s="1"/>
  <c r="B72" i="1"/>
  <c r="B68" i="1"/>
  <c r="B72" i="2" l="1"/>
  <c r="B32" i="3" s="1"/>
  <c r="B73" i="1"/>
  <c r="B74" i="1"/>
  <c r="B91" i="1" s="1"/>
  <c r="B34" i="3" s="1"/>
  <c r="D40" i="3" l="1"/>
  <c r="D49" i="3" s="1"/>
  <c r="B75" i="1"/>
  <c r="B82" i="1" s="1"/>
  <c r="B83" i="1" s="1"/>
  <c r="B87" i="1" s="1"/>
  <c r="B88" i="1" l="1"/>
  <c r="H36" i="3" l="1"/>
  <c r="H40" i="3" s="1"/>
  <c r="H49" i="3" s="1"/>
  <c r="E51" i="3" s="1"/>
  <c r="C88" i="1"/>
  <c r="B89" i="1"/>
  <c r="C89" i="1" s="1"/>
  <c r="F47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DAVID CORZO</author>
  </authors>
  <commentList>
    <comment ref="A22" authorId="0" shapeId="0" xr:uid="{5068C12B-14CA-4481-BE91-BB50F7E759C8}">
      <text>
        <r>
          <rPr>
            <b/>
            <sz val="9"/>
            <color indexed="81"/>
            <rFont val="Tahoma"/>
            <family val="2"/>
          </rPr>
          <t>DAVID CORZO:</t>
        </r>
        <r>
          <rPr>
            <sz val="9"/>
            <color indexed="81"/>
            <rFont val="Tahoma"/>
            <family val="2"/>
          </rPr>
          <t xml:space="preserve">
Inventario de producto terminado</t>
        </r>
      </text>
    </comment>
    <comment ref="A46" authorId="0" shapeId="0" xr:uid="{61C7C439-4509-48B7-8D9D-AE494E8386FF}">
      <text>
        <r>
          <rPr>
            <b/>
            <sz val="9"/>
            <color indexed="81"/>
            <rFont val="Tahoma"/>
            <family val="2"/>
          </rPr>
          <t>DAVID CORZO:</t>
        </r>
        <r>
          <rPr>
            <sz val="9"/>
            <color indexed="81"/>
            <rFont val="Tahoma"/>
            <family val="2"/>
          </rPr>
          <t xml:space="preserve">
Si no lo dan plantear una ecuación.
Son todos los costos variables especificados en el enunciado.</t>
        </r>
      </text>
    </comment>
    <comment ref="A48" authorId="0" shapeId="0" xr:uid="{30284CBB-BC75-47EA-905A-C2919BD31056}">
      <text>
        <r>
          <rPr>
            <b/>
            <sz val="9"/>
            <color indexed="81"/>
            <rFont val="Tahoma"/>
            <family val="2"/>
          </rPr>
          <t>DAVID CORZO:</t>
        </r>
        <r>
          <rPr>
            <sz val="9"/>
            <color indexed="81"/>
            <rFont val="Tahoma"/>
            <family val="2"/>
          </rPr>
          <t xml:space="preserve">
Todos los costos fijos.</t>
        </r>
      </text>
    </comment>
    <comment ref="A54" authorId="0" shapeId="0" xr:uid="{E69FE55F-4074-4504-86DC-C1E508892271}">
      <text>
        <r>
          <rPr>
            <b/>
            <sz val="9"/>
            <color indexed="81"/>
            <rFont val="Tahoma"/>
            <family val="2"/>
          </rPr>
          <t>DAVID CORZO:</t>
        </r>
        <r>
          <rPr>
            <sz val="9"/>
            <color indexed="81"/>
            <rFont val="Tahoma"/>
            <family val="2"/>
          </rPr>
          <t xml:space="preserve">
Si no lo dan, mirar el balance general e intentar plantear una ecuación.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DAVID CORZO</author>
  </authors>
  <commentList>
    <comment ref="A42" authorId="0" shapeId="0" xr:uid="{679EC236-3747-4620-AE7B-4968E62DD578}">
      <text>
        <r>
          <rPr>
            <b/>
            <sz val="9"/>
            <color indexed="81"/>
            <rFont val="Tahoma"/>
            <family val="2"/>
          </rPr>
          <t>DAVID CORZO:</t>
        </r>
        <r>
          <rPr>
            <sz val="9"/>
            <color indexed="81"/>
            <rFont val="Tahoma"/>
            <family val="2"/>
          </rPr>
          <t xml:space="preserve">
O te lo dan, o es caja y bancos del balance general. </t>
        </r>
      </text>
    </comment>
    <comment ref="A46" authorId="0" shapeId="0" xr:uid="{E936DB7F-1FC0-4286-8649-64E8A2F1914A}">
      <text>
        <r>
          <rPr>
            <b/>
            <sz val="9"/>
            <color indexed="81"/>
            <rFont val="Tahoma"/>
            <family val="2"/>
          </rPr>
          <t>DAVID CORZO:</t>
        </r>
        <r>
          <rPr>
            <sz val="9"/>
            <color indexed="81"/>
            <rFont val="Tahoma"/>
            <family val="2"/>
          </rPr>
          <t xml:space="preserve">
Total del mes, AGUAS!</t>
        </r>
      </text>
    </comment>
    <comment ref="A51" authorId="0" shapeId="0" xr:uid="{042F545F-4AAC-4E5B-893F-D9F969F2617E}">
      <text>
        <r>
          <rPr>
            <b/>
            <sz val="9"/>
            <color indexed="81"/>
            <rFont val="Tahoma"/>
            <family val="2"/>
          </rPr>
          <t>DAVID CORZO:</t>
        </r>
        <r>
          <rPr>
            <sz val="9"/>
            <color indexed="81"/>
            <rFont val="Tahoma"/>
            <family val="2"/>
          </rPr>
          <t xml:space="preserve">
RECORDAR DEPRECIACIÓN</t>
        </r>
      </text>
    </comment>
    <comment ref="A55" authorId="0" shapeId="0" xr:uid="{9E8BD22A-6604-4A47-AC65-E7D611865E08}">
      <text>
        <r>
          <rPr>
            <b/>
            <sz val="9"/>
            <color indexed="81"/>
            <rFont val="Tahoma"/>
            <family val="2"/>
          </rPr>
          <t>DAVID CORZO:</t>
        </r>
        <r>
          <rPr>
            <sz val="9"/>
            <color indexed="81"/>
            <rFont val="Tahoma"/>
            <family val="2"/>
          </rPr>
          <t xml:space="preserve">
Costos indirectos de fabricación depreciación.</t>
        </r>
      </text>
    </comment>
    <comment ref="A57" authorId="0" shapeId="0" xr:uid="{0520F14D-9A6D-48FA-9422-D24E1A257C59}">
      <text>
        <r>
          <rPr>
            <b/>
            <sz val="9"/>
            <color indexed="81"/>
            <rFont val="Tahoma"/>
            <family val="2"/>
          </rPr>
          <t>DAVID CORZO:</t>
        </r>
        <r>
          <rPr>
            <sz val="9"/>
            <color indexed="81"/>
            <rFont val="Tahoma"/>
            <family val="2"/>
          </rPr>
          <t xml:space="preserve">
Gastos de administración.</t>
        </r>
      </text>
    </comment>
    <comment ref="A62" authorId="0" shapeId="0" xr:uid="{6FC5363A-D187-4102-801A-BE06E7DCB4E3}">
      <text>
        <r>
          <rPr>
            <b/>
            <sz val="9"/>
            <color indexed="81"/>
            <rFont val="Tahoma"/>
            <family val="2"/>
          </rPr>
          <t>DAVID CORZO:</t>
        </r>
        <r>
          <rPr>
            <sz val="9"/>
            <color indexed="81"/>
            <rFont val="Tahoma"/>
            <family val="2"/>
          </rPr>
          <t xml:space="preserve">
Aca se ponene lo prestamos en cuyo caso haya.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DAVID CORZO</author>
  </authors>
  <commentList>
    <comment ref="A33" authorId="0" shapeId="0" xr:uid="{0B1BAB15-5F46-4199-A2E5-C9E5E090E608}">
      <text>
        <r>
          <rPr>
            <b/>
            <sz val="9"/>
            <color indexed="81"/>
            <rFont val="Tahoma"/>
            <family val="2"/>
          </rPr>
          <t>DAVID CORZO:</t>
        </r>
        <r>
          <rPr>
            <sz val="9"/>
            <color indexed="81"/>
            <rFont val="Tahoma"/>
            <family val="2"/>
          </rPr>
          <t xml:space="preserve">
Es el pendiente, el total de los otros meses.</t>
        </r>
      </text>
    </comment>
  </commentList>
</comments>
</file>

<file path=xl/sharedStrings.xml><?xml version="1.0" encoding="utf-8"?>
<sst xmlns="http://schemas.openxmlformats.org/spreadsheetml/2006/main" count="183" uniqueCount="137">
  <si>
    <t>Presupuesto de Ventas</t>
  </si>
  <si>
    <t>Octubre</t>
  </si>
  <si>
    <t>Noviembre</t>
  </si>
  <si>
    <t>Diciembre</t>
  </si>
  <si>
    <t>Enero</t>
  </si>
  <si>
    <t>Unidades a Producir</t>
  </si>
  <si>
    <t>Precio por Unidad</t>
  </si>
  <si>
    <t>Presupuesto de Produccion en Units</t>
  </si>
  <si>
    <t>(+)Inv. Final Deseado</t>
  </si>
  <si>
    <t>Necesidades en Units</t>
  </si>
  <si>
    <t>(-)Inv. Inicial Deseado</t>
  </si>
  <si>
    <t>Presupuesto de Compra de Materiales Directos</t>
  </si>
  <si>
    <t>Presupuesto de Produccion</t>
  </si>
  <si>
    <t>Unidades de Material Requerido</t>
  </si>
  <si>
    <t>Materiales para la Produccion</t>
  </si>
  <si>
    <t>Presupuesto de Compra en Units</t>
  </si>
  <si>
    <t>Costo por Unidad</t>
  </si>
  <si>
    <t>Presupuesto de Consumo de Materiales Directos</t>
  </si>
  <si>
    <t>Presupuesto de Mano de Obra Directa</t>
  </si>
  <si>
    <t>HH necesarias para producir</t>
  </si>
  <si>
    <t>Total HH para producir</t>
  </si>
  <si>
    <t>Costo por H</t>
  </si>
  <si>
    <t>Presupuesto Costos Indirectos de Fabricacion</t>
  </si>
  <si>
    <t>Horas Hombres Necesarias</t>
  </si>
  <si>
    <t>Costo por HH de Costos y Gastos Variables</t>
  </si>
  <si>
    <t>Total de Costos y Gastos Variables</t>
  </si>
  <si>
    <t>(+) Costos y Gastos Fijos</t>
  </si>
  <si>
    <t>Presupuesto Costo de Materiales Directos</t>
  </si>
  <si>
    <t>Produccion de Materiles Directos</t>
  </si>
  <si>
    <t>Precio de Compra</t>
  </si>
  <si>
    <t>Inventario Inicial de Materiales Directos</t>
  </si>
  <si>
    <t>(+) Compras</t>
  </si>
  <si>
    <t>Materiales Directos Disponibles</t>
  </si>
  <si>
    <t>(-)Inv. Final Deseado</t>
  </si>
  <si>
    <t>Presupuesto Costo de Produccion</t>
  </si>
  <si>
    <t>Presupuesto costo mat. Directo</t>
  </si>
  <si>
    <t>Presupuesto de MOD</t>
  </si>
  <si>
    <t>Presupuesto de Costos Ind. De Fab</t>
  </si>
  <si>
    <t>Costo de Produccion por Unidad</t>
  </si>
  <si>
    <t>Presupuesto de Costo de Ventas</t>
  </si>
  <si>
    <t>Inventario Inicial de Producto Terminado</t>
  </si>
  <si>
    <t>Presupuesto de Costo de Produccion</t>
  </si>
  <si>
    <t>Diponible para la Venta</t>
  </si>
  <si>
    <t>(-) Inv. Final Deseado de Producto Terminado</t>
  </si>
  <si>
    <t>ESTADO DE RESULTADOS PROYECTADO</t>
  </si>
  <si>
    <t>Ventas</t>
  </si>
  <si>
    <t>(-) Costo de ventas</t>
  </si>
  <si>
    <t>Utilidad Bruta en ventas</t>
  </si>
  <si>
    <t>(-) Gastos de Operacion</t>
  </si>
  <si>
    <t>Gastos de Venta</t>
  </si>
  <si>
    <t>Utilidad en Operacion</t>
  </si>
  <si>
    <t>ISR</t>
  </si>
  <si>
    <t>Utilidades Netas</t>
  </si>
  <si>
    <t>Valor del Inventario Final de Productos Terminados</t>
  </si>
  <si>
    <t>Presupuesto de Cuentas por Cobrar</t>
  </si>
  <si>
    <t>Presupuesto de Caja</t>
  </si>
  <si>
    <t>Saldo Inicial</t>
  </si>
  <si>
    <t>Presupuesto en ventas</t>
  </si>
  <si>
    <t>Entradas</t>
  </si>
  <si>
    <t>Ventas al credito</t>
  </si>
  <si>
    <t>Ventas al contado</t>
  </si>
  <si>
    <t>Cobros</t>
  </si>
  <si>
    <t>Total de ingresos</t>
  </si>
  <si>
    <t>DISPONIBLE</t>
  </si>
  <si>
    <t>Egresos</t>
  </si>
  <si>
    <t>PAGO PROVEEDORES CONTADO</t>
  </si>
  <si>
    <t>PAGO PROVEEDORES CREDITO</t>
  </si>
  <si>
    <t>Mano de obra directa</t>
  </si>
  <si>
    <t>Costos indirectos de fabricacion</t>
  </si>
  <si>
    <t xml:space="preserve">Gastos de administracion </t>
  </si>
  <si>
    <t>Presupuesto de Cuentas por Pagar</t>
  </si>
  <si>
    <t>Gastos de venta</t>
  </si>
  <si>
    <t>TOTAL DE EGRESOS</t>
  </si>
  <si>
    <t>Presupuesto en compras</t>
  </si>
  <si>
    <t>OTROS GASTOS</t>
  </si>
  <si>
    <t>Cuentas por pagar</t>
  </si>
  <si>
    <t>Pagos</t>
  </si>
  <si>
    <t>SALDO DE CAJA</t>
  </si>
  <si>
    <t>SALDO FINAL DE CAJA</t>
  </si>
  <si>
    <t>Balance general</t>
  </si>
  <si>
    <t>Activo</t>
  </si>
  <si>
    <t>Pasivo</t>
  </si>
  <si>
    <t>Corriente</t>
  </si>
  <si>
    <t>Caja y bancos</t>
  </si>
  <si>
    <t>Cuentas por cobrar</t>
  </si>
  <si>
    <t>Proveedores</t>
  </si>
  <si>
    <t>Inventario producto terminado</t>
  </si>
  <si>
    <t>Inventario material directo</t>
  </si>
  <si>
    <t>No corriente</t>
  </si>
  <si>
    <t>Total Pasivo</t>
  </si>
  <si>
    <t>Fábrica</t>
  </si>
  <si>
    <t>(-) Dep. Acum. Fab y maquinaria</t>
  </si>
  <si>
    <t>Mobiliario y equipo</t>
  </si>
  <si>
    <t>Capital</t>
  </si>
  <si>
    <t>(-) dep. Acum. Mobiliario y eq</t>
  </si>
  <si>
    <t>Capital pagado</t>
  </si>
  <si>
    <t>Utilidades retenidas</t>
  </si>
  <si>
    <t>Total Pasivo y Capital</t>
  </si>
  <si>
    <t>ISR por pagar</t>
  </si>
  <si>
    <t>Acreedores</t>
  </si>
  <si>
    <t>Cuentas por Pagar</t>
  </si>
  <si>
    <t>Prestamos a favor</t>
  </si>
  <si>
    <t>Gastos Anticipados</t>
  </si>
  <si>
    <t>compras al credito</t>
  </si>
  <si>
    <t>compras al contado</t>
  </si>
  <si>
    <t>Febrero</t>
  </si>
  <si>
    <t>Prox Mes</t>
  </si>
  <si>
    <t>Problemas, SA</t>
  </si>
  <si>
    <t>al 30 de Noviembre de 2019</t>
  </si>
  <si>
    <t>Maquinaria</t>
  </si>
  <si>
    <t>Contado:</t>
  </si>
  <si>
    <t>Crédito:</t>
  </si>
  <si>
    <t>ventas de Octubre</t>
  </si>
  <si>
    <t xml:space="preserve">Gastos de Administracion </t>
  </si>
  <si>
    <t>Cxc de todo lo pendiente:</t>
  </si>
  <si>
    <t>** por q sólo proveedores y no cxc??</t>
  </si>
  <si>
    <t xml:space="preserve">Pendientes: </t>
  </si>
  <si>
    <t>ventas de Noviembre</t>
  </si>
  <si>
    <t>ventas de Diciembre</t>
  </si>
  <si>
    <t>ventas de Enero</t>
  </si>
  <si>
    <t>ventas de Febrero</t>
  </si>
  <si>
    <t>GDA depreciación</t>
  </si>
  <si>
    <t>CIDF depreciación</t>
  </si>
  <si>
    <t>verificar si prestamos van aquí</t>
  </si>
  <si>
    <t>PRESTAMOS SI ES MENOR</t>
  </si>
  <si>
    <t xml:space="preserve">Por lo menos: </t>
  </si>
  <si>
    <t xml:space="preserve">Tiene que sacar prestamo: </t>
  </si>
  <si>
    <t xml:space="preserve">Préstamo: </t>
  </si>
  <si>
    <t xml:space="preserve">Total de activo corriente: </t>
  </si>
  <si>
    <t>Total de activo no corriente:</t>
  </si>
  <si>
    <t>Total Activo:</t>
  </si>
  <si>
    <t>Préstamos socios</t>
  </si>
  <si>
    <t xml:space="preserve">Total de pasivo no corriente: </t>
  </si>
  <si>
    <t xml:space="preserve">Total de pasivo corriente: </t>
  </si>
  <si>
    <t>al 30 de Diciembre de 2019</t>
  </si>
  <si>
    <t>Utilidad neta</t>
  </si>
  <si>
    <t xml:space="preserve">Total de capital: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</si>
</sst>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4"/>
      <color theme="1"/>
      <name val="Times New Roman"/>
      <family val="1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b/>
      <u/>
      <sz val="12"/>
      <color rgb="FF000000"/>
      <name val="Times New Roman"/>
      <family val="1"/>
    </font>
    <font>
      <b/>
      <sz val="14"/>
      <color rgb="FF000000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53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2" fontId="2" fillId="0" borderId="0" xfId="0" applyNumberFormat="1" applyFont="1"/>
    <xf numFmtId="0" fontId="3" fillId="0" borderId="0" xfId="0" applyFont="1"/>
    <xf numFmtId="0" fontId="2" fillId="0" borderId="0" xfId="0" applyFont="1" applyAlignment="1">
      <alignment horizontal="right"/>
    </xf>
    <xf numFmtId="0" fontId="2" fillId="0" borderId="1" xfId="0" applyFont="1" applyBorder="1"/>
    <xf numFmtId="1" fontId="2" fillId="0" borderId="1" xfId="0" applyNumberFormat="1" applyFont="1" applyBorder="1"/>
    <xf numFmtId="1" fontId="2" fillId="0" borderId="0" xfId="0" applyNumberFormat="1" applyFont="1"/>
    <xf numFmtId="0" fontId="2" fillId="0" borderId="0" xfId="0" applyFont="1" applyAlignment="1">
      <alignment vertical="center"/>
    </xf>
    <xf numFmtId="2" fontId="2" fillId="0" borderId="0" xfId="1" applyNumberFormat="1" applyFont="1" applyFill="1"/>
    <xf numFmtId="2" fontId="3" fillId="0" borderId="0" xfId="0" applyNumberFormat="1" applyFont="1"/>
    <xf numFmtId="2" fontId="2" fillId="0" borderId="1" xfId="0" applyNumberFormat="1" applyFont="1" applyBorder="1"/>
    <xf numFmtId="0" fontId="2" fillId="0" borderId="2" xfId="0" applyFont="1" applyBorder="1"/>
    <xf numFmtId="0" fontId="2" fillId="0" borderId="0" xfId="0" applyFont="1" applyBorder="1"/>
    <xf numFmtId="0" fontId="2" fillId="0" borderId="0" xfId="0" applyFont="1" applyFill="1"/>
    <xf numFmtId="0" fontId="2" fillId="0" borderId="1" xfId="0" applyFont="1" applyFill="1" applyBorder="1"/>
    <xf numFmtId="0" fontId="5" fillId="0" borderId="3" xfId="0" applyFont="1" applyBorder="1" applyAlignment="1">
      <alignment horizontal="center"/>
    </xf>
    <xf numFmtId="0" fontId="2" fillId="0" borderId="4" xfId="0" applyFont="1" applyBorder="1"/>
    <xf numFmtId="0" fontId="2" fillId="0" borderId="5" xfId="0" applyFont="1" applyBorder="1"/>
    <xf numFmtId="0" fontId="6" fillId="0" borderId="6" xfId="0" applyFont="1" applyBorder="1"/>
    <xf numFmtId="0" fontId="6" fillId="0" borderId="0" xfId="0" applyFont="1" applyAlignment="1">
      <alignment horizontal="right"/>
    </xf>
    <xf numFmtId="0" fontId="2" fillId="0" borderId="7" xfId="0" applyFont="1" applyBorder="1"/>
    <xf numFmtId="0" fontId="2" fillId="0" borderId="6" xfId="0" applyFont="1" applyBorder="1"/>
    <xf numFmtId="0" fontId="5" fillId="0" borderId="6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2" fillId="0" borderId="8" xfId="0" applyFont="1" applyBorder="1"/>
    <xf numFmtId="0" fontId="5" fillId="0" borderId="1" xfId="0" applyFont="1" applyBorder="1" applyAlignment="1">
      <alignment horizontal="right"/>
    </xf>
    <xf numFmtId="0" fontId="2" fillId="0" borderId="9" xfId="0" applyFont="1" applyBorder="1"/>
    <xf numFmtId="0" fontId="7" fillId="0" borderId="0" xfId="0" applyFont="1" applyAlignment="1">
      <alignment horizontal="center"/>
    </xf>
    <xf numFmtId="0" fontId="6" fillId="0" borderId="0" xfId="0" applyFont="1"/>
    <xf numFmtId="0" fontId="5" fillId="0" borderId="8" xfId="0" applyFont="1" applyBorder="1" applyAlignment="1">
      <alignment horizontal="right"/>
    </xf>
    <xf numFmtId="0" fontId="2" fillId="0" borderId="3" xfId="0" applyFont="1" applyBorder="1"/>
    <xf numFmtId="0" fontId="3" fillId="0" borderId="0" xfId="0" applyFont="1" applyAlignment="1"/>
    <xf numFmtId="0" fontId="3" fillId="0" borderId="0" xfId="0" applyFont="1" applyAlignment="1">
      <alignment wrapText="1"/>
    </xf>
    <xf numFmtId="0" fontId="8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10" xfId="0" applyFont="1" applyBorder="1"/>
    <xf numFmtId="0" fontId="2" fillId="0" borderId="11" xfId="0" applyFont="1" applyBorder="1"/>
    <xf numFmtId="0" fontId="2" fillId="0" borderId="12" xfId="0" applyFont="1" applyBorder="1"/>
    <xf numFmtId="0" fontId="3" fillId="2" borderId="0" xfId="0" applyFont="1" applyFill="1"/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Border="1"/>
    <xf numFmtId="0" fontId="2" fillId="2" borderId="0" xfId="0" applyFont="1" applyFill="1" applyBorder="1"/>
    <xf numFmtId="0" fontId="5" fillId="0" borderId="0" xfId="0" applyFont="1" applyBorder="1" applyAlignment="1">
      <alignment horizontal="right"/>
    </xf>
    <xf numFmtId="2" fontId="6" fillId="0" borderId="0" xfId="0" applyNumberFormat="1" applyFont="1" applyAlignment="1">
      <alignment horizontal="right"/>
    </xf>
    <xf numFmtId="0" fontId="7" fillId="0" borderId="0" xfId="0" applyFont="1" applyBorder="1" applyAlignment="1">
      <alignment horizontal="center"/>
    </xf>
    <xf numFmtId="0" fontId="6" fillId="0" borderId="0" xfId="0" applyFont="1" applyBorder="1" applyAlignment="1">
      <alignment horizontal="right"/>
    </xf>
    <xf numFmtId="2" fontId="6" fillId="0" borderId="0" xfId="0" applyNumberFormat="1" applyFont="1" applyBorder="1" applyAlignment="1">
      <alignment horizontal="right"/>
    </xf>
    <xf numFmtId="0" fontId="6" fillId="0" borderId="7" xfId="0" applyFont="1" applyBorder="1" applyAlignment="1">
      <alignment horizontal="right"/>
    </xf>
    <xf numFmtId="0" fontId="5" fillId="0" borderId="9" xfId="0" applyFont="1" applyBorder="1" applyAlignment="1">
      <alignment horizontal="right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1"/>
  <sheetViews>
    <sheetView topLeftCell="A61" zoomScale="97" workbookViewId="0">
      <selection activeCell="C61" sqref="C1:C1048576"/>
    </sheetView>
  </sheetViews>
  <sheetFormatPr baseColWidth="10" defaultColWidth="12.42578125" defaultRowHeight="15.75" x14ac:dyDescent="0.25"/>
  <cols>
    <col min="1" max="1" width="44.7109375" style="1" customWidth="1"/>
    <col min="2" max="2" width="14.85546875" style="1" bestFit="1" customWidth="1"/>
    <col min="3" max="3" width="14.7109375" style="1" customWidth="1"/>
    <col min="4" max="4" width="12.42578125" style="4"/>
    <col min="5" max="16384" width="12.42578125" style="1"/>
  </cols>
  <sheetData>
    <row r="1" spans="1:3" x14ac:dyDescent="0.25">
      <c r="B1" s="2"/>
    </row>
    <row r="3" spans="1:3" x14ac:dyDescent="0.25">
      <c r="A3" s="41" t="s">
        <v>0</v>
      </c>
      <c r="B3" s="42"/>
    </row>
    <row r="4" spans="1:3" x14ac:dyDescent="0.25">
      <c r="B4" s="4" t="s">
        <v>3</v>
      </c>
      <c r="C4" s="4" t="s">
        <v>106</v>
      </c>
    </row>
    <row r="5" spans="1:3" x14ac:dyDescent="0.25">
      <c r="A5" s="1" t="s">
        <v>5</v>
      </c>
      <c r="B5" s="5">
        <v>20000</v>
      </c>
    </row>
    <row r="6" spans="1:3" x14ac:dyDescent="0.25">
      <c r="A6" s="6" t="s">
        <v>6</v>
      </c>
      <c r="B6" s="6">
        <v>165</v>
      </c>
    </row>
    <row r="7" spans="1:3" x14ac:dyDescent="0.25">
      <c r="A7" s="4" t="s">
        <v>0</v>
      </c>
      <c r="B7" s="4">
        <f>B6*B5</f>
        <v>3300000</v>
      </c>
    </row>
    <row r="9" spans="1:3" x14ac:dyDescent="0.25">
      <c r="A9" s="41" t="s">
        <v>7</v>
      </c>
      <c r="B9" s="42"/>
    </row>
    <row r="10" spans="1:3" x14ac:dyDescent="0.25">
      <c r="B10" s="4" t="str">
        <f t="shared" ref="B10" si="0">B4</f>
        <v>Diciembre</v>
      </c>
      <c r="C10" s="4" t="str">
        <f>C4</f>
        <v>Prox Mes</v>
      </c>
    </row>
    <row r="11" spans="1:3" x14ac:dyDescent="0.25">
      <c r="A11" s="1" t="str">
        <f>A5</f>
        <v>Unidades a Producir</v>
      </c>
      <c r="B11" s="1">
        <f>B5</f>
        <v>20000</v>
      </c>
    </row>
    <row r="12" spans="1:3" x14ac:dyDescent="0.25">
      <c r="A12" s="6" t="s">
        <v>8</v>
      </c>
      <c r="B12" s="6">
        <v>4400</v>
      </c>
    </row>
    <row r="13" spans="1:3" x14ac:dyDescent="0.25">
      <c r="A13" s="1" t="s">
        <v>9</v>
      </c>
      <c r="B13" s="1">
        <f>B11+B12</f>
        <v>24400</v>
      </c>
    </row>
    <row r="14" spans="1:3" x14ac:dyDescent="0.25">
      <c r="A14" s="6" t="s">
        <v>10</v>
      </c>
      <c r="B14" s="6">
        <v>5600</v>
      </c>
    </row>
    <row r="15" spans="1:3" x14ac:dyDescent="0.25">
      <c r="A15" s="4" t="str">
        <f>A9</f>
        <v>Presupuesto de Produccion en Units</v>
      </c>
      <c r="B15" s="4">
        <f>B13-B14</f>
        <v>18800</v>
      </c>
    </row>
    <row r="17" spans="1:3" x14ac:dyDescent="0.25">
      <c r="A17" s="41" t="s">
        <v>11</v>
      </c>
      <c r="B17" s="41"/>
    </row>
    <row r="18" spans="1:3" x14ac:dyDescent="0.25">
      <c r="B18" s="4" t="str">
        <f>B4</f>
        <v>Diciembre</v>
      </c>
      <c r="C18" s="4" t="str">
        <f>C4</f>
        <v>Prox Mes</v>
      </c>
    </row>
    <row r="19" spans="1:3" x14ac:dyDescent="0.25">
      <c r="A19" s="1" t="s">
        <v>12</v>
      </c>
      <c r="B19" s="1">
        <f>B15</f>
        <v>18800</v>
      </c>
    </row>
    <row r="20" spans="1:3" x14ac:dyDescent="0.25">
      <c r="A20" s="6" t="s">
        <v>13</v>
      </c>
      <c r="B20" s="6">
        <v>12</v>
      </c>
      <c r="C20" s="6"/>
    </row>
    <row r="21" spans="1:3" x14ac:dyDescent="0.25">
      <c r="A21" s="1" t="s">
        <v>14</v>
      </c>
      <c r="B21" s="1">
        <f>B20*B19</f>
        <v>225600</v>
      </c>
      <c r="C21" s="1">
        <f>C20*C19</f>
        <v>0</v>
      </c>
    </row>
    <row r="22" spans="1:3" x14ac:dyDescent="0.25">
      <c r="A22" s="6" t="str">
        <f>A12</f>
        <v>(+)Inv. Final Deseado</v>
      </c>
      <c r="B22" s="7">
        <v>30000</v>
      </c>
    </row>
    <row r="23" spans="1:3" x14ac:dyDescent="0.25">
      <c r="A23" s="1" t="s">
        <v>9</v>
      </c>
      <c r="B23" s="8">
        <f>B21+B22</f>
        <v>255600</v>
      </c>
    </row>
    <row r="24" spans="1:3" x14ac:dyDescent="0.25">
      <c r="A24" s="6" t="s">
        <v>10</v>
      </c>
      <c r="B24" s="6">
        <v>25000</v>
      </c>
    </row>
    <row r="25" spans="1:3" x14ac:dyDescent="0.25">
      <c r="A25" s="1" t="s">
        <v>15</v>
      </c>
      <c r="B25" s="8">
        <f>B23-B24</f>
        <v>230600</v>
      </c>
    </row>
    <row r="26" spans="1:3" x14ac:dyDescent="0.25">
      <c r="A26" s="6" t="s">
        <v>16</v>
      </c>
      <c r="B26" s="12">
        <v>3.8</v>
      </c>
    </row>
    <row r="27" spans="1:3" x14ac:dyDescent="0.25">
      <c r="A27" s="4" t="str">
        <f>A17</f>
        <v>Presupuesto de Compra de Materiales Directos</v>
      </c>
      <c r="B27" s="4">
        <f>ROUND(B26*B25, 0)</f>
        <v>876280</v>
      </c>
    </row>
    <row r="29" spans="1:3" x14ac:dyDescent="0.25">
      <c r="A29" s="41" t="s">
        <v>17</v>
      </c>
      <c r="B29" s="41"/>
    </row>
    <row r="30" spans="1:3" x14ac:dyDescent="0.25">
      <c r="A30" s="1" t="str">
        <f>A5</f>
        <v>Unidades a Producir</v>
      </c>
      <c r="B30" s="1">
        <f>B15</f>
        <v>18800</v>
      </c>
    </row>
    <row r="31" spans="1:3" x14ac:dyDescent="0.25">
      <c r="A31" s="6" t="s">
        <v>13</v>
      </c>
      <c r="B31" s="6">
        <f>B20</f>
        <v>12</v>
      </c>
    </row>
    <row r="32" spans="1:3" x14ac:dyDescent="0.25">
      <c r="A32" s="1" t="s">
        <v>14</v>
      </c>
      <c r="B32" s="1">
        <f>B31*B30</f>
        <v>225600</v>
      </c>
    </row>
    <row r="33" spans="1:2" x14ac:dyDescent="0.25">
      <c r="A33" s="6" t="s">
        <v>16</v>
      </c>
      <c r="B33" s="12">
        <f>B26</f>
        <v>3.8</v>
      </c>
    </row>
    <row r="34" spans="1:2" x14ac:dyDescent="0.25">
      <c r="A34" s="4" t="str">
        <f>A29</f>
        <v>Presupuesto de Consumo de Materiales Directos</v>
      </c>
      <c r="B34" s="4">
        <f>ROUND(B33*B32, 0)</f>
        <v>857280</v>
      </c>
    </row>
    <row r="36" spans="1:2" x14ac:dyDescent="0.25">
      <c r="A36" s="41" t="s">
        <v>18</v>
      </c>
      <c r="B36" s="41"/>
    </row>
    <row r="37" spans="1:2" x14ac:dyDescent="0.25">
      <c r="A37" s="1" t="str">
        <f>A5</f>
        <v>Unidades a Producir</v>
      </c>
      <c r="B37" s="1">
        <f>B15</f>
        <v>18800</v>
      </c>
    </row>
    <row r="38" spans="1:2" x14ac:dyDescent="0.25">
      <c r="A38" s="6" t="s">
        <v>19</v>
      </c>
      <c r="B38" s="13">
        <v>14</v>
      </c>
    </row>
    <row r="39" spans="1:2" x14ac:dyDescent="0.25">
      <c r="A39" s="1" t="s">
        <v>20</v>
      </c>
      <c r="B39" s="1">
        <f>ROUND(B38*B37,0)</f>
        <v>263200</v>
      </c>
    </row>
    <row r="40" spans="1:2" x14ac:dyDescent="0.25">
      <c r="A40" s="6" t="s">
        <v>21</v>
      </c>
      <c r="B40" s="6">
        <v>4</v>
      </c>
    </row>
    <row r="41" spans="1:2" x14ac:dyDescent="0.25">
      <c r="A41" s="4" t="str">
        <f>A36</f>
        <v>Presupuesto de Mano de Obra Directa</v>
      </c>
      <c r="B41" s="11">
        <f>ROUND(B39*B40, 0)</f>
        <v>1052800</v>
      </c>
    </row>
    <row r="43" spans="1:2" x14ac:dyDescent="0.25">
      <c r="A43" s="41" t="s">
        <v>22</v>
      </c>
      <c r="B43" s="41"/>
    </row>
    <row r="44" spans="1:2" x14ac:dyDescent="0.25">
      <c r="A44" s="14"/>
      <c r="B44" s="4" t="str">
        <f>B10</f>
        <v>Diciembre</v>
      </c>
    </row>
    <row r="45" spans="1:2" x14ac:dyDescent="0.25">
      <c r="A45" s="1" t="s">
        <v>23</v>
      </c>
      <c r="B45" s="1">
        <f>B39</f>
        <v>263200</v>
      </c>
    </row>
    <row r="46" spans="1:2" x14ac:dyDescent="0.25">
      <c r="A46" s="6" t="s">
        <v>24</v>
      </c>
      <c r="B46" s="6">
        <f>B47/B45</f>
        <v>0.56990881458966569</v>
      </c>
    </row>
    <row r="47" spans="1:2" x14ac:dyDescent="0.25">
      <c r="A47" s="1" t="s">
        <v>25</v>
      </c>
      <c r="B47" s="1">
        <f>30000+70000+28000+22000</f>
        <v>150000</v>
      </c>
    </row>
    <row r="48" spans="1:2" x14ac:dyDescent="0.25">
      <c r="A48" s="16" t="s">
        <v>26</v>
      </c>
      <c r="B48" s="16">
        <f>6000+4000+32000+3000+18500+1000</f>
        <v>64500</v>
      </c>
    </row>
    <row r="49" spans="1:3" x14ac:dyDescent="0.25">
      <c r="A49" s="4" t="str">
        <f>A43</f>
        <v>Presupuesto Costos Indirectos de Fabricacion</v>
      </c>
      <c r="B49" s="4">
        <f>B47+B48</f>
        <v>214500</v>
      </c>
      <c r="C49" s="4"/>
    </row>
    <row r="51" spans="1:3" x14ac:dyDescent="0.25">
      <c r="A51" s="41" t="s">
        <v>27</v>
      </c>
      <c r="B51" s="41"/>
    </row>
    <row r="52" spans="1:3" x14ac:dyDescent="0.25">
      <c r="B52" s="4" t="str">
        <f>B4</f>
        <v>Diciembre</v>
      </c>
    </row>
    <row r="53" spans="1:3" x14ac:dyDescent="0.25">
      <c r="A53" s="1" t="s">
        <v>28</v>
      </c>
      <c r="B53" s="1">
        <f>B24</f>
        <v>25000</v>
      </c>
    </row>
    <row r="54" spans="1:3" x14ac:dyDescent="0.25">
      <c r="A54" s="6" t="s">
        <v>29</v>
      </c>
      <c r="B54" s="6">
        <f>ROUND(93750/B53,2)</f>
        <v>3.75</v>
      </c>
    </row>
    <row r="55" spans="1:3" x14ac:dyDescent="0.25">
      <c r="A55" s="1" t="s">
        <v>30</v>
      </c>
      <c r="B55" s="1">
        <f>ROUND(B54*B53,0)</f>
        <v>93750</v>
      </c>
    </row>
    <row r="56" spans="1:3" x14ac:dyDescent="0.25">
      <c r="A56" s="6" t="s">
        <v>31</v>
      </c>
      <c r="B56" s="6">
        <f>B27</f>
        <v>876280</v>
      </c>
    </row>
    <row r="57" spans="1:3" x14ac:dyDescent="0.25">
      <c r="A57" s="1" t="s">
        <v>32</v>
      </c>
      <c r="B57" s="1">
        <f>B56+B55</f>
        <v>970030</v>
      </c>
    </row>
    <row r="58" spans="1:3" x14ac:dyDescent="0.25">
      <c r="A58" s="6" t="s">
        <v>33</v>
      </c>
      <c r="B58" s="7">
        <f>ROUND(B22*B26,0)</f>
        <v>114000</v>
      </c>
    </row>
    <row r="59" spans="1:3" x14ac:dyDescent="0.25">
      <c r="A59" s="4" t="str">
        <f>A51</f>
        <v>Presupuesto Costo de Materiales Directos</v>
      </c>
      <c r="B59" s="4">
        <f>B57-B58</f>
        <v>856030</v>
      </c>
    </row>
    <row r="61" spans="1:3" x14ac:dyDescent="0.25">
      <c r="A61" s="41" t="s">
        <v>34</v>
      </c>
      <c r="B61" s="41"/>
    </row>
    <row r="62" spans="1:3" x14ac:dyDescent="0.25">
      <c r="B62" s="4" t="str">
        <f>B18</f>
        <v>Diciembre</v>
      </c>
    </row>
    <row r="63" spans="1:3" x14ac:dyDescent="0.25">
      <c r="A63" s="1" t="s">
        <v>35</v>
      </c>
      <c r="B63" s="1">
        <f>B59</f>
        <v>856030</v>
      </c>
    </row>
    <row r="64" spans="1:3" x14ac:dyDescent="0.25">
      <c r="A64" s="1" t="s">
        <v>36</v>
      </c>
      <c r="B64" s="3">
        <f>B41</f>
        <v>1052800</v>
      </c>
    </row>
    <row r="65" spans="1:2" x14ac:dyDescent="0.25">
      <c r="A65" s="6" t="s">
        <v>37</v>
      </c>
      <c r="B65" s="6">
        <f>B49</f>
        <v>214500</v>
      </c>
    </row>
    <row r="66" spans="1:2" x14ac:dyDescent="0.25">
      <c r="A66" s="1" t="s">
        <v>34</v>
      </c>
      <c r="B66" s="1">
        <f>SUM(B63:B65)</f>
        <v>2123330</v>
      </c>
    </row>
    <row r="67" spans="1:2" x14ac:dyDescent="0.25">
      <c r="A67" s="6" t="s">
        <v>5</v>
      </c>
      <c r="B67" s="6">
        <f>B15</f>
        <v>18800</v>
      </c>
    </row>
    <row r="68" spans="1:2" x14ac:dyDescent="0.25">
      <c r="A68" s="4" t="s">
        <v>38</v>
      </c>
      <c r="B68" s="11">
        <f>ROUND(B66/B67,2)</f>
        <v>112.94</v>
      </c>
    </row>
    <row r="70" spans="1:2" x14ac:dyDescent="0.25">
      <c r="A70" s="41" t="s">
        <v>39</v>
      </c>
      <c r="B70" s="41"/>
    </row>
    <row r="71" spans="1:2" x14ac:dyDescent="0.25">
      <c r="A71" s="9" t="s">
        <v>40</v>
      </c>
      <c r="B71" s="8">
        <f>ROUND(B14*112.9,0)</f>
        <v>632240</v>
      </c>
    </row>
    <row r="72" spans="1:2" x14ac:dyDescent="0.25">
      <c r="A72" s="6" t="s">
        <v>41</v>
      </c>
      <c r="B72" s="7">
        <f>B66</f>
        <v>2123330</v>
      </c>
    </row>
    <row r="73" spans="1:2" x14ac:dyDescent="0.25">
      <c r="A73" s="1" t="s">
        <v>42</v>
      </c>
      <c r="B73" s="1">
        <f>B71+B72</f>
        <v>2755570</v>
      </c>
    </row>
    <row r="74" spans="1:2" x14ac:dyDescent="0.25">
      <c r="A74" s="6" t="s">
        <v>43</v>
      </c>
      <c r="B74" s="6">
        <f>ROUND(B12*B68,0)</f>
        <v>496936</v>
      </c>
    </row>
    <row r="75" spans="1:2" x14ac:dyDescent="0.25">
      <c r="A75" s="4" t="str">
        <f>A70</f>
        <v>Presupuesto de Costo de Ventas</v>
      </c>
      <c r="B75" s="4">
        <f>B73-B74</f>
        <v>2258634</v>
      </c>
    </row>
    <row r="79" spans="1:2" ht="18.75" x14ac:dyDescent="0.3">
      <c r="A79" s="43" t="s">
        <v>44</v>
      </c>
      <c r="B79" s="42"/>
    </row>
    <row r="80" spans="1:2" x14ac:dyDescent="0.25">
      <c r="B80" s="4" t="str">
        <f>B4</f>
        <v>Diciembre</v>
      </c>
    </row>
    <row r="81" spans="1:4" x14ac:dyDescent="0.25">
      <c r="A81" s="1" t="s">
        <v>45</v>
      </c>
      <c r="B81" s="1">
        <f>B7</f>
        <v>3300000</v>
      </c>
    </row>
    <row r="82" spans="1:4" x14ac:dyDescent="0.25">
      <c r="A82" s="6" t="s">
        <v>46</v>
      </c>
      <c r="B82" s="6">
        <f>B75</f>
        <v>2258634</v>
      </c>
    </row>
    <row r="83" spans="1:4" x14ac:dyDescent="0.25">
      <c r="A83" s="1" t="s">
        <v>47</v>
      </c>
      <c r="B83" s="1">
        <f>B81-B82</f>
        <v>1041366</v>
      </c>
    </row>
    <row r="84" spans="1:4" x14ac:dyDescent="0.25">
      <c r="A84" s="15" t="s">
        <v>48</v>
      </c>
    </row>
    <row r="85" spans="1:4" x14ac:dyDescent="0.25">
      <c r="A85" s="15" t="s">
        <v>113</v>
      </c>
      <c r="B85" s="14">
        <f>9500+26000+5000+1500+750</f>
        <v>42750</v>
      </c>
      <c r="D85" s="1"/>
    </row>
    <row r="86" spans="1:4" x14ac:dyDescent="0.25">
      <c r="A86" s="16" t="s">
        <v>49</v>
      </c>
      <c r="B86" s="6">
        <f>(0.02*B7)+15000+12000+2500</f>
        <v>95500</v>
      </c>
    </row>
    <row r="87" spans="1:4" x14ac:dyDescent="0.25">
      <c r="A87" s="1" t="s">
        <v>50</v>
      </c>
      <c r="B87" s="10">
        <f>B83-SUM(B84:B86)</f>
        <v>903116</v>
      </c>
    </row>
    <row r="88" spans="1:4" x14ac:dyDescent="0.25">
      <c r="A88" s="6" t="s">
        <v>51</v>
      </c>
      <c r="B88" s="6">
        <f>ROUND(B87*25%,0)</f>
        <v>225779</v>
      </c>
      <c r="C88" s="11">
        <f>SUM(B88)</f>
        <v>225779</v>
      </c>
    </row>
    <row r="89" spans="1:4" x14ac:dyDescent="0.25">
      <c r="A89" s="4" t="s">
        <v>52</v>
      </c>
      <c r="B89" s="11">
        <f>B87-B88</f>
        <v>677337</v>
      </c>
      <c r="C89" s="11">
        <f>SUM(B89)</f>
        <v>677337</v>
      </c>
    </row>
    <row r="91" spans="1:4" x14ac:dyDescent="0.25">
      <c r="A91" s="4" t="s">
        <v>53</v>
      </c>
      <c r="B91" s="4">
        <f>B74</f>
        <v>496936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5F556-FA0D-4DFE-B1AB-4AE797774521}">
  <dimension ref="A2:N79"/>
  <sheetViews>
    <sheetView topLeftCell="A4" zoomScale="84" workbookViewId="0">
      <selection activeCell="B78" sqref="B78"/>
    </sheetView>
  </sheetViews>
  <sheetFormatPr baseColWidth="10" defaultColWidth="12.42578125" defaultRowHeight="15.75" x14ac:dyDescent="0.25"/>
  <cols>
    <col min="1" max="1" width="36" style="1" bestFit="1" customWidth="1"/>
    <col min="2" max="3" width="15.7109375" style="1" customWidth="1"/>
    <col min="4" max="4" width="14.7109375" style="1" customWidth="1"/>
    <col min="5" max="5" width="18.28515625" style="1" customWidth="1"/>
    <col min="6" max="6" width="19" style="1" customWidth="1"/>
    <col min="7" max="8" width="15.42578125" style="4" customWidth="1"/>
    <col min="9" max="9" width="25.7109375" style="1" customWidth="1"/>
    <col min="10" max="10" width="34.7109375" style="1" bestFit="1" customWidth="1"/>
    <col min="11" max="11" width="12.5703125" style="1" bestFit="1" customWidth="1"/>
    <col min="12" max="13" width="12.7109375" style="1" bestFit="1" customWidth="1"/>
    <col min="14" max="14" width="12.42578125" style="4"/>
    <col min="15" max="16384" width="12.42578125" style="1"/>
  </cols>
  <sheetData>
    <row r="2" spans="1:9" x14ac:dyDescent="0.25">
      <c r="A2" s="1" t="s">
        <v>110</v>
      </c>
    </row>
    <row r="3" spans="1:9" x14ac:dyDescent="0.25">
      <c r="A3" s="1">
        <v>0.3</v>
      </c>
    </row>
    <row r="4" spans="1:9" x14ac:dyDescent="0.25">
      <c r="A4" s="1" t="s">
        <v>111</v>
      </c>
    </row>
    <row r="5" spans="1:9" x14ac:dyDescent="0.25">
      <c r="A5" s="1">
        <v>0.7</v>
      </c>
    </row>
    <row r="8" spans="1:9" ht="18.75" x14ac:dyDescent="0.3">
      <c r="A8" s="43" t="s">
        <v>54</v>
      </c>
      <c r="B8" s="43"/>
      <c r="C8" s="43"/>
      <c r="D8" s="41"/>
      <c r="E8" s="41"/>
      <c r="F8" s="41"/>
    </row>
    <row r="9" spans="1:9" x14ac:dyDescent="0.25">
      <c r="B9" s="1" t="s">
        <v>1</v>
      </c>
      <c r="C9" s="1" t="s">
        <v>2</v>
      </c>
      <c r="D9" s="4" t="s">
        <v>3</v>
      </c>
      <c r="E9" s="4" t="s">
        <v>4</v>
      </c>
      <c r="F9" s="4" t="s">
        <v>105</v>
      </c>
      <c r="I9" s="4"/>
    </row>
    <row r="10" spans="1:9" x14ac:dyDescent="0.25">
      <c r="A10" s="1" t="s">
        <v>57</v>
      </c>
      <c r="B10" s="1">
        <v>2851200</v>
      </c>
      <c r="C10" s="1">
        <v>3105300</v>
      </c>
      <c r="D10" s="1">
        <f>Presupuestos!B7</f>
        <v>3300000</v>
      </c>
      <c r="I10" s="4"/>
    </row>
    <row r="11" spans="1:9" x14ac:dyDescent="0.25">
      <c r="A11" s="1" t="s">
        <v>59</v>
      </c>
      <c r="B11" s="1">
        <f>B10*$A$5</f>
        <v>1995839.9999999998</v>
      </c>
      <c r="C11" s="1">
        <f t="shared" ref="C11:D11" si="0">C10*$A$5</f>
        <v>2173710</v>
      </c>
      <c r="D11" s="1">
        <f t="shared" si="0"/>
        <v>2310000</v>
      </c>
      <c r="I11" s="4"/>
    </row>
    <row r="12" spans="1:9" x14ac:dyDescent="0.25">
      <c r="A12" s="1" t="s">
        <v>60</v>
      </c>
      <c r="B12" s="1">
        <f>B10*$A$3</f>
        <v>855360</v>
      </c>
      <c r="C12" s="1">
        <f t="shared" ref="C12" si="1">C10*$A$3</f>
        <v>931590</v>
      </c>
      <c r="D12" s="1">
        <f>D10*$A$3</f>
        <v>990000</v>
      </c>
      <c r="I12" s="4"/>
    </row>
    <row r="13" spans="1:9" x14ac:dyDescent="0.25">
      <c r="I13" s="4"/>
    </row>
    <row r="14" spans="1:9" x14ac:dyDescent="0.25">
      <c r="A14" s="1" t="s">
        <v>61</v>
      </c>
      <c r="I14" s="4"/>
    </row>
    <row r="15" spans="1:9" x14ac:dyDescent="0.25">
      <c r="A15" s="1" t="s">
        <v>112</v>
      </c>
      <c r="B15" s="15"/>
      <c r="C15" s="15">
        <f>B11*0.5</f>
        <v>997919.99999999988</v>
      </c>
      <c r="D15" s="15">
        <f>B11*0.5</f>
        <v>997919.99999999988</v>
      </c>
      <c r="I15" s="34"/>
    </row>
    <row r="16" spans="1:9" x14ac:dyDescent="0.25">
      <c r="A16" s="1" t="s">
        <v>117</v>
      </c>
      <c r="B16" s="15"/>
      <c r="C16" s="15"/>
      <c r="D16" s="15">
        <f>C11*0.5</f>
        <v>1086855</v>
      </c>
      <c r="E16" s="15">
        <f>C11*0.5</f>
        <v>1086855</v>
      </c>
      <c r="F16" s="15"/>
      <c r="I16" s="34"/>
    </row>
    <row r="17" spans="1:9" x14ac:dyDescent="0.25">
      <c r="A17" s="1" t="s">
        <v>118</v>
      </c>
      <c r="B17" s="15"/>
      <c r="C17" s="15"/>
      <c r="E17" s="15">
        <f>D11*0.5</f>
        <v>1155000</v>
      </c>
      <c r="F17" s="15">
        <f>D11*0.5</f>
        <v>1155000</v>
      </c>
      <c r="G17" s="1"/>
      <c r="I17" s="34"/>
    </row>
    <row r="18" spans="1:9" x14ac:dyDescent="0.25">
      <c r="A18" s="1" t="s">
        <v>119</v>
      </c>
      <c r="B18" s="15"/>
      <c r="C18" s="15"/>
      <c r="G18" s="1"/>
      <c r="H18" s="1"/>
      <c r="I18" s="34"/>
    </row>
    <row r="19" spans="1:9" x14ac:dyDescent="0.25">
      <c r="A19" s="1" t="s">
        <v>120</v>
      </c>
      <c r="B19" s="15"/>
      <c r="C19" s="15"/>
      <c r="G19" s="1"/>
      <c r="H19" s="1"/>
      <c r="I19" s="34"/>
    </row>
    <row r="20" spans="1:9" ht="16.5" thickBot="1" x14ac:dyDescent="0.3"/>
    <row r="21" spans="1:9" ht="16.5" thickBot="1" x14ac:dyDescent="0.3">
      <c r="A21" s="38" t="str">
        <f>A8</f>
        <v>Presupuesto de Cuentas por Cobrar</v>
      </c>
      <c r="B21" s="39">
        <f>SUM(B14:B20)</f>
        <v>0</v>
      </c>
      <c r="C21" s="39">
        <f t="shared" ref="C21:F21" si="2">SUM(C14:C20)</f>
        <v>997919.99999999988</v>
      </c>
      <c r="D21" s="39">
        <f t="shared" si="2"/>
        <v>2084775</v>
      </c>
      <c r="E21" s="39">
        <f t="shared" si="2"/>
        <v>2241855</v>
      </c>
      <c r="F21" s="40">
        <f t="shared" si="2"/>
        <v>1155000</v>
      </c>
      <c r="G21" s="1"/>
      <c r="H21" s="1"/>
    </row>
    <row r="22" spans="1:9" x14ac:dyDescent="0.25">
      <c r="E22" s="1" t="s">
        <v>114</v>
      </c>
      <c r="F22" s="1">
        <f>SUM(E21:F21)</f>
        <v>3396855</v>
      </c>
    </row>
    <row r="24" spans="1:9" ht="18.75" x14ac:dyDescent="0.3">
      <c r="A24" s="44" t="s">
        <v>70</v>
      </c>
      <c r="B24" s="44"/>
      <c r="C24" s="44"/>
      <c r="D24" s="45"/>
      <c r="E24" s="45"/>
      <c r="F24" s="45"/>
    </row>
    <row r="25" spans="1:9" x14ac:dyDescent="0.25">
      <c r="B25" s="1" t="str">
        <f>B9</f>
        <v>Octubre</v>
      </c>
      <c r="C25" s="1" t="str">
        <f t="shared" ref="C25:F25" si="3">C9</f>
        <v>Noviembre</v>
      </c>
      <c r="D25" s="4" t="str">
        <f t="shared" si="3"/>
        <v>Diciembre</v>
      </c>
      <c r="E25" s="4" t="str">
        <f t="shared" si="3"/>
        <v>Enero</v>
      </c>
      <c r="F25" s="4" t="str">
        <f t="shared" si="3"/>
        <v>Febrero</v>
      </c>
      <c r="G25" s="1"/>
      <c r="H25" s="1"/>
    </row>
    <row r="26" spans="1:9" x14ac:dyDescent="0.25">
      <c r="A26" s="1" t="s">
        <v>73</v>
      </c>
      <c r="D26" s="1">
        <f>Presupuestos!B27</f>
        <v>876280</v>
      </c>
      <c r="E26" s="4"/>
      <c r="G26" s="1"/>
      <c r="H26" s="1"/>
    </row>
    <row r="27" spans="1:9" x14ac:dyDescent="0.25">
      <c r="A27" s="1" t="s">
        <v>103</v>
      </c>
      <c r="D27" s="1">
        <f>D26*0.6</f>
        <v>525768</v>
      </c>
      <c r="E27" s="4"/>
      <c r="G27" s="1"/>
      <c r="H27" s="1"/>
    </row>
    <row r="28" spans="1:9" x14ac:dyDescent="0.25">
      <c r="A28" s="1" t="s">
        <v>104</v>
      </c>
      <c r="D28" s="1">
        <f>D26*0.4</f>
        <v>350512</v>
      </c>
      <c r="E28" s="4"/>
      <c r="G28" s="1"/>
      <c r="H28" s="1"/>
    </row>
    <row r="29" spans="1:9" x14ac:dyDescent="0.25">
      <c r="E29" s="4"/>
      <c r="G29" s="1"/>
      <c r="H29" s="1"/>
    </row>
    <row r="30" spans="1:9" x14ac:dyDescent="0.25">
      <c r="A30" s="1" t="s">
        <v>76</v>
      </c>
      <c r="E30" s="4"/>
      <c r="G30" s="1"/>
      <c r="H30" s="1"/>
    </row>
    <row r="31" spans="1:9" x14ac:dyDescent="0.25">
      <c r="A31" s="1" t="str">
        <f>A15</f>
        <v>ventas de Octubre</v>
      </c>
      <c r="D31" s="1">
        <v>494748</v>
      </c>
      <c r="F31" s="4" t="s">
        <v>115</v>
      </c>
      <c r="G31" s="1"/>
      <c r="H31" s="1"/>
    </row>
    <row r="32" spans="1:9" x14ac:dyDescent="0.25">
      <c r="A32" s="1" t="str">
        <f>A16</f>
        <v>ventas de Noviembre</v>
      </c>
      <c r="E32" s="1">
        <f>D27</f>
        <v>525768</v>
      </c>
      <c r="G32" s="1"/>
      <c r="H32" s="1"/>
    </row>
    <row r="33" spans="1:14" x14ac:dyDescent="0.25">
      <c r="A33" s="1" t="str">
        <f t="shared" ref="A33:A35" si="4">A17</f>
        <v>ventas de Diciembre</v>
      </c>
      <c r="G33" s="1"/>
      <c r="H33" s="1"/>
    </row>
    <row r="34" spans="1:14" x14ac:dyDescent="0.25">
      <c r="A34" s="1" t="str">
        <f t="shared" si="4"/>
        <v>ventas de Enero</v>
      </c>
      <c r="G34" s="1"/>
      <c r="H34" s="1"/>
    </row>
    <row r="35" spans="1:14" x14ac:dyDescent="0.25">
      <c r="A35" s="1" t="str">
        <f t="shared" si="4"/>
        <v>ventas de Febrero</v>
      </c>
      <c r="G35" s="1"/>
      <c r="H35" s="1"/>
    </row>
    <row r="36" spans="1:14" x14ac:dyDescent="0.25">
      <c r="F36" s="4"/>
      <c r="G36" s="1"/>
      <c r="H36" s="1"/>
    </row>
    <row r="37" spans="1:14" x14ac:dyDescent="0.25">
      <c r="A37" s="4" t="str">
        <f>A24</f>
        <v>Presupuesto de Cuentas por Pagar</v>
      </c>
      <c r="B37" s="4">
        <f t="shared" ref="B37:C37" si="5">SUM(B31:B36)</f>
        <v>0</v>
      </c>
      <c r="C37" s="4">
        <f t="shared" si="5"/>
        <v>0</v>
      </c>
      <c r="D37" s="4">
        <f>SUM(D31:D36)</f>
        <v>494748</v>
      </c>
      <c r="E37" s="4">
        <f>SUM(E31:E36)</f>
        <v>525768</v>
      </c>
      <c r="F37" s="4">
        <f>SUM(F31:F36)</f>
        <v>0</v>
      </c>
      <c r="G37" s="1"/>
      <c r="H37" s="1"/>
      <c r="N37" s="1"/>
    </row>
    <row r="38" spans="1:14" x14ac:dyDescent="0.25">
      <c r="E38" s="1" t="s">
        <v>116</v>
      </c>
      <c r="F38" s="1">
        <f>E37+F37</f>
        <v>525768</v>
      </c>
    </row>
    <row r="39" spans="1:14" x14ac:dyDescent="0.25">
      <c r="A39" s="4"/>
      <c r="B39" s="4"/>
      <c r="C39" s="4"/>
    </row>
    <row r="40" spans="1:14" x14ac:dyDescent="0.25">
      <c r="A40" s="4"/>
      <c r="B40" s="4"/>
      <c r="C40" s="4"/>
    </row>
    <row r="41" spans="1:14" ht="18.75" x14ac:dyDescent="0.3">
      <c r="A41" s="43" t="s">
        <v>55</v>
      </c>
      <c r="B41" s="41"/>
      <c r="C41" s="42"/>
      <c r="D41" s="42"/>
      <c r="E41" s="42"/>
      <c r="F41" s="42"/>
    </row>
    <row r="42" spans="1:14" x14ac:dyDescent="0.25">
      <c r="A42" s="4" t="s">
        <v>56</v>
      </c>
      <c r="B42" s="1">
        <f>153250</f>
        <v>153250</v>
      </c>
    </row>
    <row r="43" spans="1:14" x14ac:dyDescent="0.25">
      <c r="A43" s="4" t="s">
        <v>58</v>
      </c>
    </row>
    <row r="44" spans="1:14" x14ac:dyDescent="0.25">
      <c r="B44" s="1" t="s">
        <v>3</v>
      </c>
    </row>
    <row r="45" spans="1:14" x14ac:dyDescent="0.25">
      <c r="A45" s="1" t="s">
        <v>60</v>
      </c>
      <c r="B45" s="1">
        <f>D12</f>
        <v>990000</v>
      </c>
    </row>
    <row r="46" spans="1:14" x14ac:dyDescent="0.25">
      <c r="A46" s="6" t="s">
        <v>59</v>
      </c>
      <c r="B46" s="6">
        <f>D21</f>
        <v>2084775</v>
      </c>
      <c r="C46" s="6"/>
      <c r="D46" s="6"/>
    </row>
    <row r="47" spans="1:14" x14ac:dyDescent="0.25">
      <c r="A47" s="1" t="s">
        <v>62</v>
      </c>
      <c r="B47" s="1">
        <f>SUM(B45:B46)</f>
        <v>3074775</v>
      </c>
    </row>
    <row r="49" spans="1:4" x14ac:dyDescent="0.25">
      <c r="A49" s="1" t="s">
        <v>63</v>
      </c>
      <c r="B49" s="1">
        <f>B47+B42</f>
        <v>3228025</v>
      </c>
    </row>
    <row r="50" spans="1:4" x14ac:dyDescent="0.25">
      <c r="A50" s="4" t="s">
        <v>64</v>
      </c>
    </row>
    <row r="51" spans="1:4" x14ac:dyDescent="0.25">
      <c r="B51" s="1" t="str">
        <f>B44</f>
        <v>Diciembre</v>
      </c>
    </row>
    <row r="52" spans="1:4" x14ac:dyDescent="0.25">
      <c r="A52" s="1" t="s">
        <v>65</v>
      </c>
      <c r="B52" s="1">
        <f>D28</f>
        <v>350512</v>
      </c>
    </row>
    <row r="53" spans="1:4" x14ac:dyDescent="0.25">
      <c r="A53" s="1" t="s">
        <v>66</v>
      </c>
      <c r="B53" s="1">
        <f>D37</f>
        <v>494748</v>
      </c>
    </row>
    <row r="54" spans="1:4" x14ac:dyDescent="0.25">
      <c r="A54" s="1" t="s">
        <v>67</v>
      </c>
      <c r="B54" s="3">
        <f>Presupuestos!B41</f>
        <v>1052800</v>
      </c>
      <c r="C54" s="3"/>
      <c r="D54" s="3"/>
    </row>
    <row r="55" spans="1:4" x14ac:dyDescent="0.25">
      <c r="A55" s="1" t="s">
        <v>122</v>
      </c>
      <c r="B55" s="3">
        <v>-32000</v>
      </c>
      <c r="C55" s="3"/>
      <c r="D55" s="3"/>
    </row>
    <row r="56" spans="1:4" x14ac:dyDescent="0.25">
      <c r="A56" s="1" t="s">
        <v>68</v>
      </c>
      <c r="B56" s="1">
        <f>Presupuestos!B49</f>
        <v>214500</v>
      </c>
    </row>
    <row r="57" spans="1:4" x14ac:dyDescent="0.25">
      <c r="A57" s="1" t="s">
        <v>121</v>
      </c>
      <c r="B57" s="1">
        <v>-5000</v>
      </c>
    </row>
    <row r="58" spans="1:4" x14ac:dyDescent="0.25">
      <c r="A58" s="1" t="s">
        <v>69</v>
      </c>
      <c r="B58" s="1">
        <f>Presupuestos!B85</f>
        <v>42750</v>
      </c>
    </row>
    <row r="59" spans="1:4" x14ac:dyDescent="0.25">
      <c r="A59" s="6" t="s">
        <v>71</v>
      </c>
      <c r="B59" s="6">
        <f>Presupuestos!B86</f>
        <v>95500</v>
      </c>
      <c r="C59" s="6"/>
      <c r="D59" s="6"/>
    </row>
    <row r="60" spans="1:4" x14ac:dyDescent="0.25">
      <c r="A60" s="1" t="s">
        <v>72</v>
      </c>
      <c r="B60" s="1">
        <f>SUM(B52:B59)</f>
        <v>2213810</v>
      </c>
    </row>
    <row r="62" spans="1:4" x14ac:dyDescent="0.25">
      <c r="A62" s="4" t="s">
        <v>74</v>
      </c>
      <c r="B62" s="4" t="s">
        <v>123</v>
      </c>
    </row>
    <row r="63" spans="1:4" x14ac:dyDescent="0.25">
      <c r="A63" s="1" t="s">
        <v>100</v>
      </c>
      <c r="B63" s="1">
        <f>124340</f>
        <v>124340</v>
      </c>
    </row>
    <row r="64" spans="1:4" x14ac:dyDescent="0.25">
      <c r="A64" s="6" t="s">
        <v>109</v>
      </c>
      <c r="B64" s="6">
        <v>38000</v>
      </c>
      <c r="C64" s="6"/>
      <c r="D64" s="6"/>
    </row>
    <row r="65" spans="1:3" x14ac:dyDescent="0.25">
      <c r="A65" s="1" t="s">
        <v>72</v>
      </c>
      <c r="B65" s="1">
        <f>B60+B63+B64</f>
        <v>2376150</v>
      </c>
    </row>
    <row r="67" spans="1:3" x14ac:dyDescent="0.25">
      <c r="A67" s="4" t="s">
        <v>77</v>
      </c>
      <c r="B67" s="1">
        <f>B49-B65</f>
        <v>851875</v>
      </c>
      <c r="C67" s="15"/>
    </row>
    <row r="69" spans="1:3" x14ac:dyDescent="0.25">
      <c r="A69" s="1" t="s">
        <v>101</v>
      </c>
      <c r="B69" s="1">
        <v>0</v>
      </c>
    </row>
    <row r="70" spans="1:3" x14ac:dyDescent="0.25">
      <c r="C70" s="4"/>
    </row>
    <row r="72" spans="1:3" x14ac:dyDescent="0.25">
      <c r="A72" s="4" t="s">
        <v>78</v>
      </c>
      <c r="B72" s="1">
        <f>B67+B69</f>
        <v>851875</v>
      </c>
    </row>
    <row r="76" spans="1:3" x14ac:dyDescent="0.25">
      <c r="A76" s="4" t="s">
        <v>124</v>
      </c>
    </row>
    <row r="77" spans="1:3" x14ac:dyDescent="0.25">
      <c r="A77" s="1" t="s">
        <v>125</v>
      </c>
      <c r="B77" s="1">
        <v>50000</v>
      </c>
    </row>
    <row r="78" spans="1:3" x14ac:dyDescent="0.25">
      <c r="A78" s="1" t="s">
        <v>126</v>
      </c>
      <c r="B78" s="1" t="str">
        <f>IF(B67&lt;=B77,"Sí","No")</f>
        <v>No</v>
      </c>
    </row>
    <row r="79" spans="1:3" x14ac:dyDescent="0.25">
      <c r="A79" s="1" t="s">
        <v>127</v>
      </c>
    </row>
  </sheetData>
  <mergeCells count="1">
    <mergeCell ref="I15:I19"/>
  </mergeCell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0E5F34-D04F-497A-97BA-EF714A3D7701}">
  <dimension ref="A1:H52"/>
  <sheetViews>
    <sheetView tabSelected="1" zoomScale="87" workbookViewId="0">
      <selection activeCell="A26" sqref="A26:G26"/>
    </sheetView>
  </sheetViews>
  <sheetFormatPr baseColWidth="10" defaultColWidth="14.42578125" defaultRowHeight="15.75" x14ac:dyDescent="0.25"/>
  <cols>
    <col min="1" max="1" width="30.7109375" style="1" bestFit="1" customWidth="1"/>
    <col min="2" max="2" width="16.140625" style="1" bestFit="1" customWidth="1"/>
    <col min="3" max="3" width="31.42578125" style="1" customWidth="1"/>
    <col min="4" max="4" width="10.7109375" style="1" customWidth="1"/>
    <col min="5" max="5" width="22.5703125" style="1" customWidth="1"/>
    <col min="6" max="6" width="19.28515625" style="1" customWidth="1"/>
    <col min="7" max="7" width="29.140625" style="1" customWidth="1"/>
    <col min="8" max="8" width="14.42578125" style="1"/>
    <col min="9" max="9" width="14.7109375" style="1" bestFit="1" customWidth="1"/>
    <col min="10" max="16384" width="14.42578125" style="1"/>
  </cols>
  <sheetData>
    <row r="1" spans="1:8" ht="18.75" x14ac:dyDescent="0.3">
      <c r="A1" s="37" t="s">
        <v>107</v>
      </c>
      <c r="B1" s="37"/>
      <c r="C1" s="37"/>
      <c r="D1" s="37"/>
      <c r="E1" s="37"/>
      <c r="F1" s="37"/>
      <c r="G1" s="37"/>
      <c r="H1" s="33"/>
    </row>
    <row r="2" spans="1:8" ht="18.75" x14ac:dyDescent="0.3">
      <c r="A2" s="35" t="s">
        <v>79</v>
      </c>
      <c r="B2" s="35"/>
      <c r="C2" s="35"/>
      <c r="D2" s="35"/>
      <c r="E2" s="35"/>
      <c r="F2" s="35"/>
      <c r="G2" s="35"/>
    </row>
    <row r="3" spans="1:8" x14ac:dyDescent="0.25">
      <c r="A3" s="36" t="s">
        <v>108</v>
      </c>
      <c r="B3" s="36"/>
      <c r="C3" s="36"/>
      <c r="D3" s="36"/>
      <c r="E3" s="36"/>
      <c r="F3" s="36"/>
      <c r="G3" s="36"/>
    </row>
    <row r="5" spans="1:8" x14ac:dyDescent="0.25">
      <c r="B5" s="29" t="s">
        <v>80</v>
      </c>
      <c r="F5" s="29" t="s">
        <v>81</v>
      </c>
    </row>
    <row r="6" spans="1:8" x14ac:dyDescent="0.25">
      <c r="A6" s="17" t="s">
        <v>82</v>
      </c>
      <c r="B6" s="18"/>
      <c r="C6" s="18"/>
      <c r="D6" s="18"/>
      <c r="E6" s="17" t="s">
        <v>82</v>
      </c>
      <c r="F6" s="18"/>
      <c r="G6" s="18"/>
      <c r="H6" s="19"/>
    </row>
    <row r="7" spans="1:8" x14ac:dyDescent="0.25">
      <c r="A7" s="20" t="s">
        <v>83</v>
      </c>
      <c r="B7" s="1">
        <v>153250</v>
      </c>
      <c r="E7" s="20" t="s">
        <v>85</v>
      </c>
      <c r="F7" s="49">
        <v>494748</v>
      </c>
      <c r="G7" s="14"/>
      <c r="H7" s="22"/>
    </row>
    <row r="8" spans="1:8" x14ac:dyDescent="0.25">
      <c r="A8" s="20" t="s">
        <v>84</v>
      </c>
      <c r="B8" s="1">
        <v>3171630</v>
      </c>
      <c r="E8" s="20" t="s">
        <v>99</v>
      </c>
      <c r="F8" s="49">
        <v>250000</v>
      </c>
      <c r="G8" s="14"/>
      <c r="H8" s="22"/>
    </row>
    <row r="9" spans="1:8" x14ac:dyDescent="0.25">
      <c r="A9" s="20" t="s">
        <v>86</v>
      </c>
      <c r="B9" s="1">
        <v>93750</v>
      </c>
      <c r="E9" s="20" t="s">
        <v>75</v>
      </c>
      <c r="F9" s="49">
        <v>124340</v>
      </c>
      <c r="G9" s="49"/>
      <c r="H9" s="22"/>
    </row>
    <row r="10" spans="1:8" x14ac:dyDescent="0.25">
      <c r="A10" s="20" t="s">
        <v>87</v>
      </c>
      <c r="B10" s="1">
        <v>632240</v>
      </c>
      <c r="C10" s="21"/>
      <c r="E10" s="20" t="s">
        <v>131</v>
      </c>
      <c r="F10" s="49">
        <v>15000</v>
      </c>
      <c r="G10" s="14"/>
      <c r="H10" s="22"/>
    </row>
    <row r="11" spans="1:8" x14ac:dyDescent="0.25">
      <c r="E11" s="23"/>
      <c r="F11" s="14"/>
      <c r="G11" s="14" t="s">
        <v>133</v>
      </c>
      <c r="H11" s="51">
        <f>SUM(F7:F10)</f>
        <v>884088</v>
      </c>
    </row>
    <row r="12" spans="1:8" x14ac:dyDescent="0.25">
      <c r="E12" s="24" t="s">
        <v>88</v>
      </c>
      <c r="F12" s="14"/>
      <c r="G12" s="14"/>
      <c r="H12" s="22"/>
    </row>
    <row r="13" spans="1:8" x14ac:dyDescent="0.25">
      <c r="A13" s="23"/>
      <c r="E13" s="25"/>
      <c r="F13" s="49"/>
      <c r="G13" s="49"/>
      <c r="H13" s="22"/>
    </row>
    <row r="14" spans="1:8" x14ac:dyDescent="0.25">
      <c r="A14" s="24"/>
      <c r="E14" s="23"/>
      <c r="F14" s="14"/>
      <c r="G14" s="14" t="s">
        <v>132</v>
      </c>
      <c r="H14" s="22">
        <f>SUM(F13)</f>
        <v>0</v>
      </c>
    </row>
    <row r="15" spans="1:8" x14ac:dyDescent="0.25">
      <c r="A15" s="24"/>
      <c r="C15" s="1" t="s">
        <v>128</v>
      </c>
      <c r="D15" s="1">
        <f>SUM(B7:B10)</f>
        <v>4050870</v>
      </c>
      <c r="E15" s="26"/>
      <c r="F15" s="6"/>
      <c r="G15" s="27" t="s">
        <v>89</v>
      </c>
      <c r="H15" s="52">
        <f>H11+H14</f>
        <v>884088</v>
      </c>
    </row>
    <row r="16" spans="1:8" x14ac:dyDescent="0.25">
      <c r="A16" s="17" t="s">
        <v>88</v>
      </c>
      <c r="B16" s="18"/>
      <c r="C16" s="18"/>
      <c r="D16" s="19"/>
      <c r="E16" s="18"/>
      <c r="F16" s="18"/>
      <c r="G16" s="18"/>
      <c r="H16" s="19"/>
    </row>
    <row r="17" spans="1:8" x14ac:dyDescent="0.25">
      <c r="A17" s="20" t="s">
        <v>90</v>
      </c>
      <c r="B17" s="1">
        <v>1500000</v>
      </c>
      <c r="D17" s="22"/>
      <c r="H17" s="22"/>
    </row>
    <row r="18" spans="1:8" x14ac:dyDescent="0.25">
      <c r="A18" s="20" t="s">
        <v>91</v>
      </c>
      <c r="B18" s="21">
        <v>-640000</v>
      </c>
      <c r="D18" s="22"/>
      <c r="H18" s="22"/>
    </row>
    <row r="19" spans="1:8" x14ac:dyDescent="0.25">
      <c r="A19" s="20" t="s">
        <v>92</v>
      </c>
      <c r="B19" s="1">
        <v>125000</v>
      </c>
      <c r="D19" s="22"/>
      <c r="F19" s="29" t="s">
        <v>93</v>
      </c>
      <c r="H19" s="22"/>
    </row>
    <row r="20" spans="1:8" x14ac:dyDescent="0.25">
      <c r="A20" s="20" t="s">
        <v>94</v>
      </c>
      <c r="B20" s="21">
        <v>-40000</v>
      </c>
      <c r="D20" s="22"/>
      <c r="E20" s="30" t="s">
        <v>95</v>
      </c>
      <c r="F20" s="21">
        <v>3000000</v>
      </c>
      <c r="H20" s="22"/>
    </row>
    <row r="21" spans="1:8" x14ac:dyDescent="0.25">
      <c r="A21" s="20" t="s">
        <v>102</v>
      </c>
      <c r="B21" s="21">
        <v>3500</v>
      </c>
      <c r="C21" s="21"/>
      <c r="D21" s="22"/>
      <c r="E21" s="30" t="s">
        <v>96</v>
      </c>
      <c r="F21" s="21">
        <v>1115282</v>
      </c>
      <c r="G21" s="21">
        <f>SUM(F20:F21)</f>
        <v>4115282</v>
      </c>
      <c r="H21" s="22"/>
    </row>
    <row r="22" spans="1:8" x14ac:dyDescent="0.25">
      <c r="A22" s="20"/>
      <c r="B22" s="21"/>
      <c r="C22" s="21" t="s">
        <v>129</v>
      </c>
      <c r="D22" s="22">
        <f>SUM(B17:B21)</f>
        <v>948500</v>
      </c>
      <c r="E22" s="30"/>
      <c r="F22" s="21"/>
      <c r="G22" s="21"/>
      <c r="H22" s="22"/>
    </row>
    <row r="23" spans="1:8" x14ac:dyDescent="0.25">
      <c r="A23" s="31"/>
      <c r="B23" s="6"/>
      <c r="C23" s="27" t="s">
        <v>130</v>
      </c>
      <c r="D23" s="28">
        <f>D22+D15</f>
        <v>4999370</v>
      </c>
      <c r="E23" s="6"/>
      <c r="F23" s="27" t="s">
        <v>97</v>
      </c>
      <c r="G23" s="27">
        <f>H15+G21</f>
        <v>4999370</v>
      </c>
      <c r="H23" s="28"/>
    </row>
    <row r="25" spans="1:8" x14ac:dyDescent="0.25">
      <c r="E25" s="1">
        <f>D23-G23</f>
        <v>0</v>
      </c>
    </row>
    <row r="26" spans="1:8" ht="18.75" x14ac:dyDescent="0.3">
      <c r="A26" s="37" t="s">
        <v>107</v>
      </c>
      <c r="B26" s="37"/>
      <c r="C26" s="37"/>
      <c r="D26" s="37"/>
      <c r="E26" s="37"/>
      <c r="F26" s="37"/>
      <c r="G26" s="37"/>
      <c r="H26" s="33"/>
    </row>
    <row r="27" spans="1:8" ht="18.75" x14ac:dyDescent="0.3">
      <c r="A27" s="35" t="s">
        <v>79</v>
      </c>
      <c r="B27" s="35"/>
      <c r="C27" s="35"/>
      <c r="D27" s="35"/>
      <c r="E27" s="35"/>
      <c r="F27" s="35"/>
      <c r="G27" s="35"/>
    </row>
    <row r="28" spans="1:8" x14ac:dyDescent="0.25">
      <c r="A28" s="36" t="s">
        <v>134</v>
      </c>
      <c r="B28" s="36"/>
      <c r="C28" s="36"/>
      <c r="D28" s="36"/>
      <c r="E28" s="36"/>
      <c r="F28" s="36"/>
      <c r="G28" s="36"/>
    </row>
    <row r="30" spans="1:8" x14ac:dyDescent="0.25">
      <c r="B30" s="29" t="s">
        <v>80</v>
      </c>
      <c r="F30" s="29" t="s">
        <v>81</v>
      </c>
    </row>
    <row r="31" spans="1:8" x14ac:dyDescent="0.25">
      <c r="A31" s="17" t="s">
        <v>82</v>
      </c>
      <c r="B31" s="18"/>
      <c r="C31" s="18"/>
      <c r="D31" s="18"/>
      <c r="E31" s="17" t="s">
        <v>82</v>
      </c>
      <c r="F31" s="18"/>
      <c r="G31" s="18"/>
      <c r="H31" s="19"/>
    </row>
    <row r="32" spans="1:8" x14ac:dyDescent="0.25">
      <c r="A32" s="20" t="s">
        <v>83</v>
      </c>
      <c r="B32" s="1">
        <f>'Cobrar,Pagar,Caja'!B72</f>
        <v>851875</v>
      </c>
      <c r="E32" s="20" t="s">
        <v>85</v>
      </c>
      <c r="F32" s="49">
        <f>'Cobrar,Pagar,Caja'!F38</f>
        <v>525768</v>
      </c>
      <c r="G32" s="14"/>
      <c r="H32" s="22"/>
    </row>
    <row r="33" spans="1:8" ht="18.75" customHeight="1" x14ac:dyDescent="0.25">
      <c r="A33" s="20" t="s">
        <v>84</v>
      </c>
      <c r="B33" s="1">
        <f>'Cobrar,Pagar,Caja'!F22</f>
        <v>3396855</v>
      </c>
      <c r="E33" s="20" t="s">
        <v>99</v>
      </c>
      <c r="F33" s="49">
        <f>F8</f>
        <v>250000</v>
      </c>
      <c r="G33" s="14"/>
      <c r="H33" s="22"/>
    </row>
    <row r="34" spans="1:8" x14ac:dyDescent="0.25">
      <c r="A34" s="20" t="s">
        <v>86</v>
      </c>
      <c r="B34" s="1">
        <f>Presupuestos!B91</f>
        <v>496936</v>
      </c>
      <c r="E34" s="20" t="s">
        <v>98</v>
      </c>
      <c r="F34" s="50">
        <f>Presupuestos!C88</f>
        <v>225779</v>
      </c>
      <c r="G34" s="49"/>
      <c r="H34" s="22"/>
    </row>
    <row r="35" spans="1:8" x14ac:dyDescent="0.25">
      <c r="A35" s="20" t="s">
        <v>87</v>
      </c>
      <c r="B35" s="8">
        <f>Presupuestos!B58</f>
        <v>114000</v>
      </c>
      <c r="C35" s="21"/>
      <c r="E35" s="20" t="s">
        <v>131</v>
      </c>
      <c r="F35" s="49">
        <f>F10</f>
        <v>15000</v>
      </c>
      <c r="G35" s="14"/>
      <c r="H35" s="22"/>
    </row>
    <row r="36" spans="1:8" x14ac:dyDescent="0.25">
      <c r="E36" s="23"/>
      <c r="F36" s="14"/>
      <c r="G36" s="14" t="s">
        <v>133</v>
      </c>
      <c r="H36" s="51">
        <f>SUM(F32:F35)</f>
        <v>1016547</v>
      </c>
    </row>
    <row r="37" spans="1:8" x14ac:dyDescent="0.25">
      <c r="E37" s="24" t="s">
        <v>88</v>
      </c>
      <c r="F37" s="14"/>
      <c r="G37" s="14"/>
      <c r="H37" s="22"/>
    </row>
    <row r="38" spans="1:8" x14ac:dyDescent="0.25">
      <c r="A38" s="23"/>
      <c r="E38" s="25"/>
      <c r="F38" s="49"/>
      <c r="G38" s="49"/>
      <c r="H38" s="22"/>
    </row>
    <row r="39" spans="1:8" x14ac:dyDescent="0.25">
      <c r="A39" s="24"/>
      <c r="E39" s="23"/>
      <c r="F39" s="14"/>
      <c r="G39" s="14" t="s">
        <v>132</v>
      </c>
      <c r="H39" s="22">
        <f>SUM(F38)</f>
        <v>0</v>
      </c>
    </row>
    <row r="40" spans="1:8" x14ac:dyDescent="0.25">
      <c r="A40" s="24"/>
      <c r="C40" s="1" t="s">
        <v>128</v>
      </c>
      <c r="D40" s="1">
        <f>SUM(B32:B35)</f>
        <v>4859666</v>
      </c>
      <c r="E40" s="26"/>
      <c r="F40" s="6"/>
      <c r="G40" s="27" t="s">
        <v>89</v>
      </c>
      <c r="H40" s="52">
        <f>H36+H39</f>
        <v>1016547</v>
      </c>
    </row>
    <row r="41" spans="1:8" x14ac:dyDescent="0.25">
      <c r="A41" s="17" t="s">
        <v>88</v>
      </c>
      <c r="B41" s="18"/>
      <c r="C41" s="18"/>
      <c r="D41" s="19"/>
      <c r="E41" s="32"/>
      <c r="F41" s="18"/>
      <c r="G41" s="18"/>
      <c r="H41" s="19"/>
    </row>
    <row r="42" spans="1:8" x14ac:dyDescent="0.25">
      <c r="A42" s="20" t="s">
        <v>90</v>
      </c>
      <c r="B42" s="1">
        <f>B17</f>
        <v>1500000</v>
      </c>
      <c r="D42" s="22"/>
      <c r="E42" s="23"/>
      <c r="F42" s="14"/>
      <c r="G42" s="14"/>
      <c r="H42" s="22"/>
    </row>
    <row r="43" spans="1:8" x14ac:dyDescent="0.25">
      <c r="A43" s="20" t="s">
        <v>91</v>
      </c>
      <c r="B43" s="47">
        <f>B18+'Cobrar,Pagar,Caja'!B55</f>
        <v>-672000</v>
      </c>
      <c r="D43" s="22"/>
      <c r="E43" s="23"/>
      <c r="F43" s="14"/>
      <c r="G43" s="14"/>
      <c r="H43" s="22"/>
    </row>
    <row r="44" spans="1:8" x14ac:dyDescent="0.25">
      <c r="A44" s="20" t="s">
        <v>92</v>
      </c>
      <c r="B44" s="21">
        <f>B19</f>
        <v>125000</v>
      </c>
      <c r="D44" s="22"/>
      <c r="E44" s="23"/>
      <c r="F44" s="48" t="s">
        <v>93</v>
      </c>
      <c r="G44" s="14"/>
      <c r="H44" s="22"/>
    </row>
    <row r="45" spans="1:8" x14ac:dyDescent="0.25">
      <c r="A45" s="20" t="s">
        <v>94</v>
      </c>
      <c r="B45" s="21">
        <f>B20+'Cobrar,Pagar,Caja'!B57</f>
        <v>-45000</v>
      </c>
      <c r="D45" s="22"/>
      <c r="E45" s="20" t="s">
        <v>95</v>
      </c>
      <c r="F45" s="49">
        <f>F20</f>
        <v>3000000</v>
      </c>
      <c r="G45" s="14"/>
      <c r="H45" s="22"/>
    </row>
    <row r="46" spans="1:8" x14ac:dyDescent="0.25">
      <c r="A46" s="20" t="s">
        <v>102</v>
      </c>
      <c r="B46" s="21">
        <f t="shared" ref="B46" si="0">B21</f>
        <v>3500</v>
      </c>
      <c r="C46" s="21"/>
      <c r="D46" s="22"/>
      <c r="E46" s="20" t="s">
        <v>96</v>
      </c>
      <c r="F46" s="49">
        <f>F21</f>
        <v>1115282</v>
      </c>
      <c r="G46" s="14"/>
      <c r="H46" s="22"/>
    </row>
    <row r="47" spans="1:8" x14ac:dyDescent="0.25">
      <c r="A47" s="20" t="s">
        <v>109</v>
      </c>
      <c r="B47" s="21">
        <f>'Cobrar,Pagar,Caja'!B64</f>
        <v>38000</v>
      </c>
      <c r="C47" s="21"/>
      <c r="D47" s="22"/>
      <c r="E47" s="20" t="s">
        <v>135</v>
      </c>
      <c r="F47" s="50">
        <f>Presupuestos!C89</f>
        <v>677337</v>
      </c>
      <c r="G47" s="49"/>
      <c r="H47" s="22"/>
    </row>
    <row r="48" spans="1:8" x14ac:dyDescent="0.25">
      <c r="A48" s="20"/>
      <c r="B48" s="21"/>
      <c r="C48" s="21" t="s">
        <v>129</v>
      </c>
      <c r="D48" s="22">
        <f>SUM(B42:B47)</f>
        <v>949500</v>
      </c>
      <c r="E48" s="20"/>
      <c r="F48" s="49"/>
      <c r="G48" s="46" t="s">
        <v>136</v>
      </c>
      <c r="H48" s="51">
        <f>SUM(F45:F47)</f>
        <v>4792619</v>
      </c>
    </row>
    <row r="49" spans="1:8" x14ac:dyDescent="0.25">
      <c r="A49" s="31"/>
      <c r="B49" s="6"/>
      <c r="C49" s="27" t="s">
        <v>130</v>
      </c>
      <c r="D49" s="28">
        <f>D48+D40</f>
        <v>5809166</v>
      </c>
      <c r="E49" s="26"/>
      <c r="F49" s="6"/>
      <c r="G49" s="27" t="s">
        <v>97</v>
      </c>
      <c r="H49" s="52">
        <f>H40+H48</f>
        <v>5809166</v>
      </c>
    </row>
    <row r="51" spans="1:8" x14ac:dyDescent="0.25">
      <c r="E51" s="1">
        <f>D49-H49</f>
        <v>0</v>
      </c>
    </row>
    <row r="52" spans="1:8" x14ac:dyDescent="0.25">
      <c r="E52" s="3"/>
    </row>
  </sheetData>
  <mergeCells count="6">
    <mergeCell ref="A2:G2"/>
    <mergeCell ref="A3:G3"/>
    <mergeCell ref="A27:G27"/>
    <mergeCell ref="A28:G28"/>
    <mergeCell ref="A1:G1"/>
    <mergeCell ref="A26:G26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Presupuestos</vt:lpstr>
      <vt:lpstr>Cobrar,Pagar,Caja</vt:lpstr>
      <vt:lpstr>Balance General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Ian J</dc:creator>
  <cp:keywords/>
  <dc:description/>
  <cp:lastModifiedBy>DAVID CORZO</cp:lastModifiedBy>
  <cp:revision/>
  <dcterms:created xsi:type="dcterms:W3CDTF">2020-04-20T23:48:27Z</dcterms:created>
  <dcterms:modified xsi:type="dcterms:W3CDTF">2020-05-10T07:00:02Z</dcterms:modified>
  <cp:category/>
  <cp:contentStatus/>
</cp:coreProperties>
</file>