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CA91ED6D-4AFF-4583-86C4-2466590BBA80}" xr6:coauthVersionLast="45" xr6:coauthVersionMax="45" xr10:uidLastSave="{00000000-0000-0000-0000-000000000000}"/>
  <bookViews>
    <workbookView xWindow="1815" yWindow="1815" windowWidth="21600" windowHeight="11385" activeTab="2" xr2:uid="{00000000-000D-0000-FFFF-FFFF00000000}"/>
  </bookViews>
  <sheets>
    <sheet name="Presupuestos" sheetId="1" r:id="rId1"/>
    <sheet name="Caja,CxC,CxP" sheetId="2" r:id="rId2"/>
    <sheet name="Balance 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  <c r="D25" i="2"/>
  <c r="C20" i="2"/>
  <c r="E19" i="2"/>
  <c r="C19" i="2"/>
  <c r="D19" i="2"/>
  <c r="C18" i="2"/>
  <c r="C9" i="2"/>
  <c r="E16" i="2"/>
  <c r="D16" i="2"/>
  <c r="C16" i="2"/>
  <c r="D9" i="2"/>
  <c r="D96" i="1"/>
  <c r="C96" i="1"/>
  <c r="B96" i="1"/>
  <c r="C81" i="1"/>
  <c r="C79" i="1"/>
  <c r="D79" i="1"/>
  <c r="D80" i="1"/>
  <c r="C80" i="1"/>
  <c r="B80" i="1"/>
  <c r="C77" i="1"/>
  <c r="D77" i="1"/>
  <c r="B77" i="1"/>
  <c r="B71" i="1"/>
  <c r="B68" i="1"/>
  <c r="B69" i="1"/>
  <c r="B70" i="1"/>
  <c r="C64" i="1"/>
  <c r="D64" i="1"/>
  <c r="B64" i="1"/>
  <c r="C63" i="1"/>
  <c r="D63" i="1"/>
  <c r="B63" i="1"/>
  <c r="B62" i="1"/>
  <c r="C62" i="1"/>
  <c r="B44" i="1"/>
  <c r="C44" i="1"/>
  <c r="D44" i="1"/>
  <c r="B46" i="1"/>
  <c r="C46" i="1"/>
  <c r="D15" i="2" l="1"/>
  <c r="E15" i="2"/>
  <c r="C15" i="2"/>
  <c r="C85" i="1"/>
  <c r="D85" i="1"/>
  <c r="B85" i="1"/>
  <c r="C22" i="1"/>
  <c r="D22" i="1"/>
  <c r="C42" i="1"/>
  <c r="D42" i="1"/>
  <c r="C57" i="1"/>
  <c r="D57" i="1"/>
  <c r="C67" i="1"/>
  <c r="D67" i="1"/>
  <c r="D76" i="1"/>
  <c r="C76" i="1"/>
  <c r="B76" i="1"/>
  <c r="B67" i="1"/>
  <c r="B57" i="1"/>
  <c r="B42" i="1"/>
  <c r="B34" i="1"/>
  <c r="B22" i="1"/>
  <c r="B14" i="1"/>
  <c r="D45" i="3" l="1"/>
  <c r="C42" i="3"/>
  <c r="C40" i="3"/>
  <c r="B42" i="3" l="1"/>
  <c r="B41" i="3"/>
  <c r="B40" i="3"/>
  <c r="B39" i="3"/>
  <c r="D18" i="3"/>
  <c r="F19" i="3"/>
  <c r="E26" i="2"/>
  <c r="D28" i="2"/>
  <c r="F27" i="3" s="1"/>
  <c r="C27" i="2"/>
  <c r="D21" i="2"/>
  <c r="E21" i="2"/>
  <c r="C21" i="2"/>
  <c r="C4" i="2"/>
  <c r="I31" i="2"/>
  <c r="C17" i="2" s="1"/>
  <c r="K5" i="2"/>
  <c r="K7" i="2" s="1"/>
  <c r="K6" i="2" s="1"/>
  <c r="M12" i="2" s="1"/>
  <c r="I17" i="2"/>
  <c r="J5" i="2"/>
  <c r="J7" i="2" s="1"/>
  <c r="J6" i="2" s="1"/>
  <c r="I5" i="2"/>
  <c r="I7" i="2" s="1"/>
  <c r="B53" i="1"/>
  <c r="C90" i="1"/>
  <c r="D90" i="1"/>
  <c r="B90" i="1"/>
  <c r="C53" i="1"/>
  <c r="D53" i="1"/>
  <c r="K11" i="2" l="1"/>
  <c r="M11" i="2"/>
  <c r="L11" i="2"/>
  <c r="I6" i="2"/>
  <c r="K10" i="2" l="1"/>
  <c r="K17" i="2" s="1"/>
  <c r="J10" i="2"/>
  <c r="J17" i="2" s="1"/>
  <c r="L10" i="2"/>
  <c r="L12" i="2"/>
  <c r="N12" i="2"/>
  <c r="C51" i="1"/>
  <c r="D51" i="1"/>
  <c r="B51" i="1"/>
  <c r="D26" i="1"/>
  <c r="D18" i="1"/>
  <c r="C18" i="1"/>
  <c r="D9" i="1"/>
  <c r="D15" i="1" s="1"/>
  <c r="D17" i="1" s="1"/>
  <c r="D19" i="1" s="1"/>
  <c r="C9" i="1"/>
  <c r="B9" i="1"/>
  <c r="B30" i="3" l="1"/>
  <c r="L17" i="2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M5" i="2" l="1"/>
  <c r="C86" i="1"/>
  <c r="C91" i="1" s="1"/>
  <c r="D20" i="2" s="1"/>
  <c r="L5" i="2"/>
  <c r="L7" i="2" s="1"/>
  <c r="B86" i="1"/>
  <c r="B91" i="1" s="1"/>
  <c r="D28" i="1"/>
  <c r="D58" i="1" s="1"/>
  <c r="D60" i="1" s="1"/>
  <c r="C26" i="1"/>
  <c r="D25" i="1"/>
  <c r="D27" i="1" s="1"/>
  <c r="D72" i="1"/>
  <c r="D37" i="1"/>
  <c r="D39" i="1" s="1"/>
  <c r="D50" i="1"/>
  <c r="D52" i="1" s="1"/>
  <c r="D54" i="1" s="1"/>
  <c r="D47" i="1"/>
  <c r="C35" i="1"/>
  <c r="C43" i="1"/>
  <c r="C45" i="1" s="1"/>
  <c r="C23" i="1"/>
  <c r="B23" i="1"/>
  <c r="B35" i="1"/>
  <c r="B43" i="1"/>
  <c r="B45" i="1" s="1"/>
  <c r="H18" i="3"/>
  <c r="D29" i="1" l="1"/>
  <c r="D31" i="1" s="1"/>
  <c r="D69" i="1"/>
  <c r="E18" i="2"/>
  <c r="D70" i="1"/>
  <c r="L6" i="2"/>
  <c r="C8" i="2"/>
  <c r="C10" i="2" s="1"/>
  <c r="C12" i="2" s="1"/>
  <c r="M7" i="2"/>
  <c r="D8" i="2" s="1"/>
  <c r="B72" i="1"/>
  <c r="B37" i="1"/>
  <c r="B39" i="1" s="1"/>
  <c r="C50" i="1"/>
  <c r="C52" i="1" s="1"/>
  <c r="C54" i="1" s="1"/>
  <c r="C47" i="1"/>
  <c r="C72" i="1"/>
  <c r="C37" i="1"/>
  <c r="C39" i="1" s="1"/>
  <c r="B28" i="1"/>
  <c r="B25" i="1"/>
  <c r="B26" i="1"/>
  <c r="C25" i="1"/>
  <c r="C27" i="1" s="1"/>
  <c r="C28" i="1"/>
  <c r="C58" i="1" s="1"/>
  <c r="B47" i="1"/>
  <c r="B50" i="1"/>
  <c r="B52" i="1" s="1"/>
  <c r="B54" i="1" s="1"/>
  <c r="M6" i="2" l="1"/>
  <c r="N14" i="2" s="1"/>
  <c r="C60" i="1"/>
  <c r="B27" i="1"/>
  <c r="B29" i="1" s="1"/>
  <c r="B31" i="1" s="1"/>
  <c r="C70" i="1"/>
  <c r="M13" i="2"/>
  <c r="M17" i="2" s="1"/>
  <c r="D10" i="2" s="1"/>
  <c r="N13" i="2"/>
  <c r="C69" i="1"/>
  <c r="D18" i="2"/>
  <c r="D61" i="1"/>
  <c r="D62" i="1" s="1"/>
  <c r="D68" i="1" s="1"/>
  <c r="K23" i="2"/>
  <c r="C29" i="1"/>
  <c r="C31" i="1" s="1"/>
  <c r="B58" i="1"/>
  <c r="B60" i="1" s="1"/>
  <c r="N17" i="2" l="1"/>
  <c r="E9" i="2" s="1"/>
  <c r="B61" i="1"/>
  <c r="I23" i="2"/>
  <c r="C61" i="1"/>
  <c r="C68" i="1" s="1"/>
  <c r="C71" i="1" s="1"/>
  <c r="C73" i="1" s="1"/>
  <c r="J23" i="2"/>
  <c r="K24" i="2"/>
  <c r="F29" i="3" s="1"/>
  <c r="K25" i="2"/>
  <c r="D11" i="1"/>
  <c r="C78" i="1" l="1"/>
  <c r="J24" i="2"/>
  <c r="K29" i="2" s="1"/>
  <c r="K31" i="2" s="1"/>
  <c r="E17" i="2" s="1"/>
  <c r="J25" i="2"/>
  <c r="I24" i="2"/>
  <c r="J28" i="2" s="1"/>
  <c r="J31" i="2" s="1"/>
  <c r="D17" i="2" s="1"/>
  <c r="I25" i="2"/>
  <c r="C22" i="2" s="1"/>
  <c r="C29" i="2" s="1"/>
  <c r="C31" i="2" s="1"/>
  <c r="D4" i="2" s="1"/>
  <c r="D12" i="2" s="1"/>
  <c r="N5" i="2"/>
  <c r="D86" i="1"/>
  <c r="D91" i="1" s="1"/>
  <c r="E20" i="2" s="1"/>
  <c r="B78" i="1" l="1"/>
  <c r="B79" i="1" s="1"/>
  <c r="B73" i="1"/>
  <c r="C87" i="1" s="1"/>
  <c r="C88" i="1" s="1"/>
  <c r="C92" i="1" s="1"/>
  <c r="C93" i="1" s="1"/>
  <c r="E22" i="2"/>
  <c r="N7" i="2"/>
  <c r="E8" i="2" s="1"/>
  <c r="E10" i="2" s="1"/>
  <c r="D22" i="2"/>
  <c r="N6" i="2" l="1"/>
  <c r="B81" i="1"/>
  <c r="B87" i="1" s="1"/>
  <c r="B88" i="1" s="1"/>
  <c r="B92" i="1" s="1"/>
  <c r="B93" i="1" s="1"/>
  <c r="C94" i="1"/>
  <c r="E25" i="2"/>
  <c r="D71" i="1"/>
  <c r="D78" i="1" s="1"/>
  <c r="B94" i="1" l="1"/>
  <c r="D29" i="2"/>
  <c r="D31" i="2" s="1"/>
  <c r="E4" i="2" s="1"/>
  <c r="E12" i="2" s="1"/>
  <c r="E29" i="2"/>
  <c r="D73" i="1"/>
  <c r="E31" i="2" l="1"/>
  <c r="D81" i="1"/>
  <c r="D87" i="1" s="1"/>
  <c r="D88" i="1" s="1"/>
  <c r="D92" i="1" s="1"/>
  <c r="D93" i="1" s="1"/>
  <c r="D94" i="1" l="1"/>
  <c r="F41" i="3" s="1"/>
  <c r="H45" i="3" s="1"/>
  <c r="F28" i="3"/>
  <c r="H32" i="3" s="1"/>
  <c r="E33" i="2"/>
  <c r="H9" i="3"/>
  <c r="E34" i="2" l="1"/>
  <c r="B27" i="3" s="1"/>
  <c r="F35" i="3"/>
  <c r="D8" i="3"/>
  <c r="B19" i="3" s="1"/>
  <c r="B29" i="3"/>
  <c r="F46" i="3" l="1"/>
  <c r="H37" i="3"/>
  <c r="D30" i="3"/>
  <c r="B46" i="3" s="1"/>
  <c r="E4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3" authorId="0" shapeId="0" xr:uid="{36C9D152-2578-479F-A3E3-DF4D9F87FA2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Depreciaciones 
Impuestos
Seguros
Otros gastos indirectos
Mano de obra directa 
Supervisión 
Gastos de mantenimiento
Calefacción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7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7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40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<sst xmlns="http://schemas.openxmlformats.org/spreadsheetml/2006/main" count="252" uniqueCount="189">
  <si>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</si>
  <si>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</si>
  <si>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</si>
  <si>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</si>
  <si>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</si>
  <si>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</si>
  <si>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</si>
  <si>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</si>
  <si>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</si>
  <si>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</si>
  <si>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</si>
  <si>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</si>
  <si>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</si>
  <si>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</si>
  <si>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</si>
  <si>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</si>
  <si>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</si>
  <si>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</si>
  <si>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</si>
  <si>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</si>
  <si>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</si>
  <si>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</si>
  <si>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</si>
  <si>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</si>
  <si>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</si>
  <si>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</si>
  <si>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</si>
  <si>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</si>
  <si>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</si>
  <si>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</si>
  <si>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</si>
  <si>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</si>
  <si>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</si>
  <si>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</si>
  <si>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</si>
  <si>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</si>
  <si>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</si>
  <si>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</si>
  <si>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</si>
  <si>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</si>
  <si>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</si>
  <si>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</si>
  <si>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</si>
  <si>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</si>
  <si>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</si>
  <si>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</si>
  <si>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</si>
  <si>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</si>
  <si>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</si>
  <si>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</si>
  <si>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</si>
  <si>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</si>
  <si>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</si>
  <si>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</si>
  <si>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</si>
  <si>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</si>
  <si>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</si>
  <si>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</si>
  <si>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</si>
  <si>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</si>
  <si>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</si>
  <si>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</si>
  <si>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</si>
  <si>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</si>
  <si>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</si>
  <si>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</si>
  <si>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</si>
  <si>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</si>
  <si>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</si>
  <si>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</si>
  <si>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</si>
  <si>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</si>
  <si>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</si>
  <si>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</si>
  <si>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</si>
  <si>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</si>
  <si>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</si>
  <si>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</si>
  <si>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</si>
  <si>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</si>
  <si>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</si>
  <si>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</si>
  <si>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</si>
  <si>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</si>
  <si>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</si>
  <si>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</si>
  <si>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</si>
  <si>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</si>
  <si>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</si>
  <si>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</si>
  <si>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</si>
  <si>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</si>
  <si>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</si>
  <si>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</si>
  <si>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Total de pasivos corrientes:</t>
  </si>
  <si>
    <t>Capital:</t>
  </si>
  <si>
    <t>Capital pagado</t>
  </si>
  <si>
    <t>Utilidades retenidas</t>
  </si>
  <si>
    <t>Febrero</t>
  </si>
  <si>
    <t>Marzo</t>
  </si>
  <si>
    <t>Total de costos y gastos variables</t>
  </si>
  <si>
    <t>Costos por HH de costos y gastos variables</t>
  </si>
  <si>
    <t xml:space="preserve">Enero </t>
  </si>
  <si>
    <t>Ventas enero</t>
  </si>
  <si>
    <t>Ventas febrero</t>
  </si>
  <si>
    <t>Ventas marzo</t>
  </si>
  <si>
    <t>Ventas abril</t>
  </si>
  <si>
    <t>Pagos enero</t>
  </si>
  <si>
    <t>Pagos febrero</t>
  </si>
  <si>
    <t>Octubre</t>
  </si>
  <si>
    <t>Noviembre</t>
  </si>
  <si>
    <t>Diciembre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</si>
  <si>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</si>
  <si>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</si>
  <si>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</si>
  <si>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</si>
  <si>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</si>
  <si>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</si>
  <si>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</si>
  <si>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</si>
  <si>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*** por que agarrar el del mes siguiente</t>
  </si>
  <si>
    <t>Derecho de llave</t>
  </si>
  <si>
    <t>Prestamos a largo plazo</t>
  </si>
  <si>
    <t>ISR por pagar</t>
  </si>
  <si>
    <t>Utilidades netas</t>
  </si>
  <si>
    <t>Préstamos</t>
  </si>
  <si>
    <t>Saldo Final en caja</t>
  </si>
  <si>
    <t>Prestamos</t>
  </si>
  <si>
    <t>Pagos marzo</t>
  </si>
  <si>
    <t>te lo dan</t>
  </si>
  <si>
    <t>Mes1</t>
  </si>
  <si>
    <t>Mes2</t>
  </si>
  <si>
    <t>Mes3</t>
  </si>
  <si>
    <t>NOMBRE DE LA EMPRESA</t>
  </si>
  <si>
    <t>BALANCE GENERAL AL __________________________________________</t>
  </si>
  <si>
    <t>Mes 1</t>
  </si>
  <si>
    <t>Mes 2</t>
  </si>
  <si>
    <t>Mes 3</t>
  </si>
  <si>
    <t>la del proximo mes te la dan</t>
  </si>
  <si>
    <t>Recordar cambiar porcentaje, siempre usar el round</t>
  </si>
  <si>
    <t>siempre te dan el primer mes</t>
  </si>
  <si>
    <t>te dan el primer mes</t>
  </si>
  <si>
    <t>Recordar de cambiar el porcentaje, según el ejemplo</t>
  </si>
  <si>
    <t>o te dan inicial de primer mes o dividis inventario material directo por valoracion de inv inicial</t>
  </si>
  <si>
    <t>te lo dan, no necesariamente mismo costo por mes</t>
  </si>
  <si>
    <t>TODO lo del presupuesto de MO te lo dan</t>
  </si>
  <si>
    <t>lo halo de hh para procudir</t>
  </si>
  <si>
    <t>NO QUITAR DEPRECIACIÓN</t>
  </si>
  <si>
    <t>Inventario inicial deseado de el presupuesto de compra de mat. Dir</t>
  </si>
  <si>
    <t>Primer mes fue diferente en este caso ya que es inventario inicial y ejemplo de un valor para inicial del primer mes</t>
  </si>
  <si>
    <t>d63 tiene dif formula</t>
  </si>
  <si>
    <t>Te dan el primer mes, sino es caja y bancos del balance general</t>
  </si>
  <si>
    <t>Al contado principio del mes</t>
  </si>
  <si>
    <t>presupuesto de cuentas por cobrar para ese mes</t>
  </si>
  <si>
    <t>Presupuesto de cuentas por cobrar para ese mes</t>
  </si>
  <si>
    <t>presupuesto mod</t>
  </si>
  <si>
    <t>restar depreciaciones</t>
  </si>
  <si>
    <t xml:space="preserve">otros gastos dependen de la info que te dan el mes en que ocurre, </t>
  </si>
  <si>
    <t>se saca este de balance general ya que se cancelan todas las cuentas por pagar pendientes</t>
  </si>
  <si>
    <t>ESTO DEPENDE DEL EJEMPLO, NO NECESARIAMENTE EXISTE ESTA CUENTA SIEMPRE</t>
  </si>
  <si>
    <t>La diferencia de caja entonces se hace préstamo, como se hace en multiplos de mil se redondea a 91,000</t>
  </si>
  <si>
    <t>Incluir meses antes y despues mientras q existan cuentas</t>
  </si>
  <si>
    <t>Total de presupuesto en ventas</t>
  </si>
  <si>
    <t>Te dan el porcentaje</t>
  </si>
  <si>
    <t>Te dan porcentajes y en cuantos días se pagan.</t>
  </si>
  <si>
    <t>Siempre incluir el siguiente mes/meses para proveedores (mientras que aun hayan cuentas originando del ultimo mes del ejemplo, Diciembre)</t>
  </si>
  <si>
    <t>*** Los prestamos no son cuentas por pagar</t>
  </si>
  <si>
    <t>*Proveedores</t>
  </si>
  <si>
    <t>ES EL DEL ULTIMO MES</t>
  </si>
  <si>
    <t>Ventas al credito que cobras en los siguientes meses despues de diciembre (hasta q se acabe lo q podas cobrar)</t>
  </si>
  <si>
    <t>Valor de inventario final, ultimo mes</t>
  </si>
  <si>
    <t>Inv final, costo material directo, ultimo mes</t>
  </si>
  <si>
    <t>Copy paste del balance anterior, si hay una cuenta en el ejemplo se suma</t>
  </si>
  <si>
    <t>5,000 que da el ejemplo, es acumulado por 3 meses</t>
  </si>
  <si>
    <t>Incluye dep por Administracion, 3,500 por 3 meses</t>
  </si>
  <si>
    <t>El total de cuentas por pagar los siguientes meses, mientras todavia hay para pagar, en este caso solo enero.</t>
  </si>
  <si>
    <t>Prestamos socios</t>
  </si>
  <si>
    <t>Prestamos bancarios</t>
  </si>
  <si>
    <t>Total de pasivo corriente:</t>
  </si>
  <si>
    <t xml:space="preserve">Total de pasivo no corriente: </t>
  </si>
  <si>
    <t>Total de capital</t>
  </si>
  <si>
    <t>REVISAR EL NOMBRE DE LAS CUENTAS</t>
  </si>
  <si>
    <t>NO SIEMPRE EXISTEN CUENTAS AQUI, REVISAR</t>
  </si>
  <si>
    <t>Este es trimestral, suma de tres meses</t>
  </si>
  <si>
    <t xml:space="preserve">Diferencia: </t>
  </si>
  <si>
    <t>PONER NOMBRE</t>
  </si>
  <si>
    <t>BALANCE GENERAL AL ____________________________________</t>
  </si>
  <si>
    <t>Gastos anticipados</t>
  </si>
  <si>
    <t>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</si>
</sst>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7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7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3" fillId="2" borderId="23" xfId="0" applyFont="1" applyFill="1" applyBorder="1"/>
    <xf numFmtId="0" fontId="0" fillId="0" borderId="31" xfId="0" applyBorder="1"/>
    <xf numFmtId="0" fontId="0" fillId="0" borderId="31" xfId="0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0" xfId="0" applyNumberFormat="1" applyFont="1" applyBorder="1"/>
    <xf numFmtId="3" fontId="0" fillId="0" borderId="31" xfId="0" applyNumberFormat="1" applyBorder="1"/>
    <xf numFmtId="3" fontId="1" fillId="0" borderId="30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0" xfId="0" applyNumberFormat="1" applyFont="1" applyFill="1" applyBorder="1"/>
    <xf numFmtId="164" fontId="0" fillId="0" borderId="31" xfId="0" applyNumberFormat="1" applyBorder="1"/>
    <xf numFmtId="164" fontId="1" fillId="0" borderId="0" xfId="0" applyNumberFormat="1" applyFont="1"/>
    <xf numFmtId="0" fontId="7" fillId="0" borderId="1" xfId="0" applyFont="1" applyBorder="1"/>
    <xf numFmtId="0" fontId="1" fillId="0" borderId="0" xfId="0" applyFont="1" applyBorder="1"/>
    <xf numFmtId="164" fontId="1" fillId="0" borderId="32" xfId="0" applyNumberFormat="1" applyFont="1" applyBorder="1"/>
    <xf numFmtId="0" fontId="8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 applyBorder="1"/>
    <xf numFmtId="0" fontId="1" fillId="0" borderId="0" xfId="0" applyFont="1" applyFill="1" applyBorder="1"/>
    <xf numFmtId="164" fontId="1" fillId="0" borderId="35" xfId="0" applyNumberFormat="1" applyFont="1" applyBorder="1"/>
    <xf numFmtId="164" fontId="0" fillId="0" borderId="25" xfId="0" applyNumberFormat="1" applyBorder="1"/>
    <xf numFmtId="164" fontId="1" fillId="0" borderId="7" xfId="0" applyNumberFormat="1" applyFont="1" applyFill="1" applyBorder="1"/>
    <xf numFmtId="0" fontId="10" fillId="0" borderId="0" xfId="0" applyFont="1" applyBorder="1" applyAlignment="1"/>
    <xf numFmtId="0" fontId="1" fillId="0" borderId="4" xfId="0" applyFont="1" applyBorder="1"/>
    <xf numFmtId="0" fontId="9" fillId="0" borderId="0" xfId="0" applyFont="1" applyBorder="1" applyAlignment="1"/>
    <xf numFmtId="164" fontId="0" fillId="0" borderId="34" xfId="0" applyNumberForma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0" fillId="0" borderId="22" xfId="0" applyNumberFormat="1" applyBorder="1"/>
    <xf numFmtId="164" fontId="0" fillId="0" borderId="19" xfId="0" applyNumberFormat="1" applyBorder="1"/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7" fillId="0" borderId="4" xfId="0" applyFont="1" applyBorder="1"/>
    <xf numFmtId="164" fontId="7" fillId="0" borderId="5" xfId="0" applyNumberFormat="1" applyFont="1" applyBorder="1"/>
    <xf numFmtId="165" fontId="0" fillId="0" borderId="5" xfId="0" applyNumberFormat="1" applyBorder="1"/>
    <xf numFmtId="0" fontId="7" fillId="0" borderId="10" xfId="0" applyFont="1" applyBorder="1"/>
    <xf numFmtId="164" fontId="7" fillId="0" borderId="24" xfId="0" applyNumberFormat="1" applyFont="1" applyBorder="1"/>
    <xf numFmtId="164" fontId="7" fillId="0" borderId="11" xfId="0" applyNumberFormat="1" applyFont="1" applyBorder="1"/>
    <xf numFmtId="0" fontId="7" fillId="0" borderId="39" xfId="0" applyFont="1" applyBorder="1"/>
    <xf numFmtId="164" fontId="7" fillId="0" borderId="40" xfId="0" applyNumberFormat="1" applyFont="1" applyBorder="1"/>
    <xf numFmtId="164" fontId="7" fillId="0" borderId="41" xfId="0" applyNumberFormat="1" applyFont="1" applyBorder="1"/>
    <xf numFmtId="166" fontId="0" fillId="0" borderId="0" xfId="0" applyNumberFormat="1" applyBorder="1"/>
    <xf numFmtId="0" fontId="0" fillId="0" borderId="0" xfId="0" applyNumberFormat="1" applyBorder="1"/>
    <xf numFmtId="0" fontId="0" fillId="0" borderId="9" xfId="0" applyFill="1" applyBorder="1"/>
    <xf numFmtId="0" fontId="0" fillId="0" borderId="5" xfId="0" applyFill="1" applyBorder="1"/>
    <xf numFmtId="3" fontId="0" fillId="0" borderId="9" xfId="0" applyNumberFormat="1" applyBorder="1"/>
    <xf numFmtId="164" fontId="0" fillId="0" borderId="5" xfId="0" applyNumberFormat="1" applyFill="1" applyBorder="1"/>
    <xf numFmtId="0" fontId="13" fillId="2" borderId="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6" fillId="0" borderId="0" xfId="0" applyFont="1"/>
    <xf numFmtId="0" fontId="9" fillId="0" borderId="0" xfId="0" applyFont="1" applyBorder="1" applyAlignment="1">
      <alignment horizontal="center"/>
    </xf>
    <xf numFmtId="165" fontId="0" fillId="0" borderId="0" xfId="0" applyNumberFormat="1" applyBorder="1"/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42" xfId="0" applyFont="1" applyBorder="1"/>
    <xf numFmtId="2" fontId="16" fillId="0" borderId="42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6"/>
  <sheetViews>
    <sheetView topLeftCell="A68" zoomScaleNormal="100" workbookViewId="0">
      <selection activeCell="D96" sqref="D96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39"/>
      <c r="C7" s="39"/>
      <c r="D7" s="7"/>
    </row>
    <row r="8" spans="1:12" x14ac:dyDescent="0.25">
      <c r="A8" s="1"/>
      <c r="B8" s="36" t="s">
        <v>130</v>
      </c>
      <c r="C8" s="36" t="s">
        <v>131</v>
      </c>
      <c r="D8" s="2" t="s">
        <v>132</v>
      </c>
      <c r="F8" t="s">
        <v>129</v>
      </c>
      <c r="G8" s="42"/>
      <c r="H8" s="42"/>
      <c r="I8" s="42"/>
      <c r="J8" s="42"/>
      <c r="K8" s="42"/>
      <c r="L8" s="42"/>
    </row>
    <row r="9" spans="1:12" x14ac:dyDescent="0.25">
      <c r="A9" s="1" t="s">
        <v>0</v>
      </c>
      <c r="B9" s="43">
        <f>L8</f>
        <v>0</v>
      </c>
      <c r="C9" s="43">
        <f>L9</f>
        <v>0</v>
      </c>
      <c r="D9" s="44">
        <f>L10</f>
        <v>0</v>
      </c>
      <c r="F9" t="s">
        <v>129</v>
      </c>
      <c r="G9" s="42"/>
      <c r="H9" s="42"/>
      <c r="I9" s="42"/>
      <c r="J9" s="42"/>
      <c r="K9" s="42"/>
      <c r="L9" s="42"/>
    </row>
    <row r="10" spans="1:12" ht="15.75" thickBot="1" x14ac:dyDescent="0.3">
      <c r="A10" s="1" t="s">
        <v>1</v>
      </c>
      <c r="B10" s="15"/>
      <c r="C10" s="15"/>
      <c r="D10" s="10"/>
      <c r="G10" s="42"/>
      <c r="H10" s="42"/>
      <c r="I10" s="42"/>
      <c r="J10" s="42"/>
      <c r="K10" s="42"/>
      <c r="L10" s="42"/>
    </row>
    <row r="11" spans="1:12" ht="16.5" thickTop="1" thickBot="1" x14ac:dyDescent="0.3">
      <c r="A11" s="8" t="s">
        <v>2</v>
      </c>
      <c r="B11" s="9">
        <f>B9*B10</f>
        <v>0</v>
      </c>
      <c r="C11" s="9">
        <f>C9*C10</f>
        <v>0</v>
      </c>
      <c r="D11" s="9">
        <f>D9*D10</f>
        <v>0</v>
      </c>
    </row>
    <row r="12" spans="1:12" ht="15.75" thickBot="1" x14ac:dyDescent="0.3"/>
    <row r="13" spans="1:12" ht="18.75" x14ac:dyDescent="0.3">
      <c r="A13" s="6" t="s">
        <v>3</v>
      </c>
      <c r="B13" s="39"/>
      <c r="C13" s="39"/>
      <c r="D13" s="7"/>
    </row>
    <row r="14" spans="1:12" x14ac:dyDescent="0.25">
      <c r="A14" s="3" t="s">
        <v>3</v>
      </c>
      <c r="B14" s="36" t="str">
        <f>B8</f>
        <v>Mes1</v>
      </c>
      <c r="C14" s="36" t="s">
        <v>98</v>
      </c>
      <c r="D14" s="2" t="s">
        <v>99</v>
      </c>
      <c r="F14" t="s">
        <v>138</v>
      </c>
    </row>
    <row r="15" spans="1:12" x14ac:dyDescent="0.25">
      <c r="A15" s="1" t="s">
        <v>4</v>
      </c>
      <c r="B15" s="43">
        <f>B9</f>
        <v>0</v>
      </c>
      <c r="C15" s="43">
        <f t="shared" ref="C15:D15" si="0">C9</f>
        <v>0</v>
      </c>
      <c r="D15" s="44">
        <f t="shared" si="0"/>
        <v>0</v>
      </c>
      <c r="F15" t="s">
        <v>139</v>
      </c>
    </row>
    <row r="16" spans="1:12" ht="15.75" thickBot="1" x14ac:dyDescent="0.3">
      <c r="A16" s="1" t="s">
        <v>5</v>
      </c>
      <c r="B16" s="36">
        <v>0</v>
      </c>
      <c r="C16" s="36">
        <v>0</v>
      </c>
      <c r="D16" s="2">
        <v>0</v>
      </c>
    </row>
    <row r="17" spans="1:6" ht="15.75" thickTop="1" x14ac:dyDescent="0.25">
      <c r="A17" s="4" t="s">
        <v>6</v>
      </c>
      <c r="B17" s="46">
        <f>B15+B16</f>
        <v>0</v>
      </c>
      <c r="C17" s="46">
        <f t="shared" ref="C17:D17" si="1">C15+C16</f>
        <v>0</v>
      </c>
      <c r="D17" s="89">
        <f t="shared" si="1"/>
        <v>0</v>
      </c>
    </row>
    <row r="18" spans="1:6" ht="15.75" thickBot="1" x14ac:dyDescent="0.3">
      <c r="A18" s="1" t="s">
        <v>7</v>
      </c>
      <c r="B18" s="36">
        <v>0</v>
      </c>
      <c r="C18" s="36">
        <f>B16</f>
        <v>0</v>
      </c>
      <c r="D18" s="2">
        <f>C16</f>
        <v>0</v>
      </c>
      <c r="F18" t="s">
        <v>140</v>
      </c>
    </row>
    <row r="19" spans="1:6" ht="16.5" thickTop="1" thickBot="1" x14ac:dyDescent="0.3">
      <c r="A19" s="8" t="s">
        <v>8</v>
      </c>
      <c r="B19" s="47">
        <f>B17-B18</f>
        <v>0</v>
      </c>
      <c r="C19" s="47">
        <f>C17-C18</f>
        <v>0</v>
      </c>
      <c r="D19" s="48">
        <f>D17-D18</f>
        <v>0</v>
      </c>
    </row>
    <row r="20" spans="1:6" ht="15.75" thickBot="1" x14ac:dyDescent="0.3"/>
    <row r="21" spans="1:6" ht="18.75" x14ac:dyDescent="0.3">
      <c r="A21" s="6" t="s">
        <v>9</v>
      </c>
      <c r="B21" s="39"/>
      <c r="C21" s="39"/>
      <c r="D21" s="11"/>
    </row>
    <row r="22" spans="1:6" x14ac:dyDescent="0.25">
      <c r="A22" s="1"/>
      <c r="B22" s="36" t="str">
        <f>B8</f>
        <v>Mes1</v>
      </c>
      <c r="C22" s="36" t="str">
        <f t="shared" ref="C22:D22" si="2">C8</f>
        <v>Mes2</v>
      </c>
      <c r="D22" s="2" t="str">
        <f t="shared" si="2"/>
        <v>Mes3</v>
      </c>
      <c r="F22" t="s">
        <v>141</v>
      </c>
    </row>
    <row r="23" spans="1:6" x14ac:dyDescent="0.25">
      <c r="A23" s="1" t="s">
        <v>8</v>
      </c>
      <c r="B23" s="43">
        <f>B19</f>
        <v>0</v>
      </c>
      <c r="C23" s="43">
        <f t="shared" ref="C23:D23" si="3">C19</f>
        <v>0</v>
      </c>
      <c r="D23" s="44">
        <f t="shared" si="3"/>
        <v>0</v>
      </c>
      <c r="F23" t="s">
        <v>129</v>
      </c>
    </row>
    <row r="24" spans="1:6" ht="15.75" thickBot="1" x14ac:dyDescent="0.3">
      <c r="A24" s="1" t="s">
        <v>12</v>
      </c>
      <c r="B24" s="36"/>
      <c r="C24" s="36"/>
      <c r="D24" s="2"/>
    </row>
    <row r="25" spans="1:6" ht="15.75" thickTop="1" x14ac:dyDescent="0.25">
      <c r="A25" s="4" t="s">
        <v>11</v>
      </c>
      <c r="B25" s="40">
        <f>B23*B24</f>
        <v>0</v>
      </c>
      <c r="C25" s="40">
        <f t="shared" ref="C25:D25" si="4">C23*C24</f>
        <v>0</v>
      </c>
      <c r="D25" s="5">
        <f t="shared" si="4"/>
        <v>0</v>
      </c>
      <c r="F25" t="s">
        <v>142</v>
      </c>
    </row>
    <row r="26" spans="1:6" ht="16.5" thickBot="1" x14ac:dyDescent="0.3">
      <c r="A26" s="12" t="s">
        <v>5</v>
      </c>
      <c r="B26" s="37">
        <f>0.55*C23</f>
        <v>0</v>
      </c>
      <c r="C26" s="37">
        <f>0.55*D23</f>
        <v>0</v>
      </c>
      <c r="D26" s="2">
        <f>ROUNDUP(0.55*216710,0)</f>
        <v>119191</v>
      </c>
      <c r="F26" s="129" t="s">
        <v>143</v>
      </c>
    </row>
    <row r="27" spans="1:6" ht="15.75" thickTop="1" x14ac:dyDescent="0.25">
      <c r="A27" s="13" t="s">
        <v>6</v>
      </c>
      <c r="B27" s="41">
        <f>B25+B26</f>
        <v>0</v>
      </c>
      <c r="C27" s="41">
        <f t="shared" ref="C27" si="5">C25+C26</f>
        <v>0</v>
      </c>
      <c r="D27" s="87">
        <f>ROUNDUP(D25+D26,0)</f>
        <v>119191</v>
      </c>
    </row>
    <row r="28" spans="1:6" ht="15.75" thickBot="1" x14ac:dyDescent="0.3">
      <c r="A28" s="12" t="s">
        <v>7</v>
      </c>
      <c r="B28" s="37">
        <f>ROUNDUP(B23*0.55,0)</f>
        <v>0</v>
      </c>
      <c r="C28" s="37">
        <f t="shared" ref="C28:D28" si="6">ROUNDUP(C23*0.55,0)</f>
        <v>0</v>
      </c>
      <c r="D28" s="88">
        <f t="shared" si="6"/>
        <v>0</v>
      </c>
      <c r="F28" t="s">
        <v>144</v>
      </c>
    </row>
    <row r="29" spans="1:6" ht="15.75" thickTop="1" x14ac:dyDescent="0.25">
      <c r="A29" s="13" t="s">
        <v>13</v>
      </c>
      <c r="B29" s="41">
        <f>B27-B28</f>
        <v>0</v>
      </c>
      <c r="C29" s="41">
        <f t="shared" ref="C29:D29" si="7">C27-C28</f>
        <v>0</v>
      </c>
      <c r="D29" s="87">
        <f t="shared" si="7"/>
        <v>119191</v>
      </c>
    </row>
    <row r="30" spans="1:6" ht="15.75" thickBot="1" x14ac:dyDescent="0.3">
      <c r="A30" s="12" t="s">
        <v>14</v>
      </c>
      <c r="B30" s="49"/>
      <c r="C30" s="49"/>
      <c r="D30" s="10"/>
    </row>
    <row r="31" spans="1:6" ht="16.5" thickTop="1" thickBot="1" x14ac:dyDescent="0.3">
      <c r="A31" s="14" t="s">
        <v>15</v>
      </c>
      <c r="B31" s="50">
        <f>B29*B30</f>
        <v>0</v>
      </c>
      <c r="C31" s="50">
        <f t="shared" ref="C31:D31" si="8">C29*C30</f>
        <v>0</v>
      </c>
      <c r="D31" s="62">
        <f t="shared" si="8"/>
        <v>0</v>
      </c>
    </row>
    <row r="32" spans="1:6" ht="15.75" thickBot="1" x14ac:dyDescent="0.3"/>
    <row r="33" spans="1:6" ht="18.75" x14ac:dyDescent="0.3">
      <c r="A33" s="6" t="s">
        <v>16</v>
      </c>
      <c r="B33" s="39"/>
      <c r="C33" s="39"/>
      <c r="D33" s="7"/>
    </row>
    <row r="34" spans="1:6" x14ac:dyDescent="0.25">
      <c r="A34" s="1"/>
      <c r="B34" s="36" t="str">
        <f>B8</f>
        <v>Mes1</v>
      </c>
      <c r="C34" s="36" t="s">
        <v>98</v>
      </c>
      <c r="D34" s="2" t="s">
        <v>99</v>
      </c>
    </row>
    <row r="35" spans="1:6" x14ac:dyDescent="0.25">
      <c r="A35" s="1" t="s">
        <v>4</v>
      </c>
      <c r="B35" s="43">
        <f>B19</f>
        <v>0</v>
      </c>
      <c r="C35" s="43">
        <f t="shared" ref="C35:D35" si="9">C19</f>
        <v>0</v>
      </c>
      <c r="D35" s="44">
        <f t="shared" si="9"/>
        <v>0</v>
      </c>
    </row>
    <row r="36" spans="1:6" ht="15.75" thickBot="1" x14ac:dyDescent="0.3">
      <c r="A36" s="1" t="s">
        <v>10</v>
      </c>
      <c r="B36" s="36"/>
      <c r="C36" s="36"/>
      <c r="D36" s="2"/>
    </row>
    <row r="37" spans="1:6" ht="15.75" thickTop="1" x14ac:dyDescent="0.25">
      <c r="A37" s="4" t="s">
        <v>11</v>
      </c>
      <c r="B37" s="40">
        <f>B35*B36</f>
        <v>0</v>
      </c>
      <c r="C37" s="40">
        <f t="shared" ref="C37:D37" si="10">C35*C36</f>
        <v>0</v>
      </c>
      <c r="D37" s="5">
        <f t="shared" si="10"/>
        <v>0</v>
      </c>
    </row>
    <row r="38" spans="1:6" ht="15.75" thickBot="1" x14ac:dyDescent="0.3">
      <c r="A38" s="1" t="s">
        <v>14</v>
      </c>
      <c r="B38" s="15"/>
      <c r="C38" s="15"/>
      <c r="D38" s="10"/>
    </row>
    <row r="39" spans="1:6" ht="16.5" thickTop="1" thickBot="1" x14ac:dyDescent="0.3">
      <c r="A39" s="8" t="s">
        <v>16</v>
      </c>
      <c r="B39" s="45">
        <f>B37*B38</f>
        <v>0</v>
      </c>
      <c r="C39" s="45">
        <f>C37*C38</f>
        <v>0</v>
      </c>
      <c r="D39" s="9">
        <f t="shared" ref="D39" si="11">D37*D38</f>
        <v>0</v>
      </c>
    </row>
    <row r="40" spans="1:6" ht="15.75" thickBot="1" x14ac:dyDescent="0.3"/>
    <row r="41" spans="1:6" ht="18.75" x14ac:dyDescent="0.3">
      <c r="A41" s="6" t="s">
        <v>17</v>
      </c>
      <c r="B41" s="39"/>
      <c r="C41" s="39"/>
      <c r="D41" s="11"/>
      <c r="F41" t="s">
        <v>145</v>
      </c>
    </row>
    <row r="42" spans="1:6" x14ac:dyDescent="0.25">
      <c r="A42" s="1"/>
      <c r="B42" s="36" t="str">
        <f>B8</f>
        <v>Mes1</v>
      </c>
      <c r="C42" s="36" t="str">
        <f t="shared" ref="C42:D42" si="12">C8</f>
        <v>Mes2</v>
      </c>
      <c r="D42" s="2" t="str">
        <f t="shared" si="12"/>
        <v>Mes3</v>
      </c>
    </row>
    <row r="43" spans="1:6" x14ac:dyDescent="0.25">
      <c r="A43" s="1" t="s">
        <v>4</v>
      </c>
      <c r="B43" s="43">
        <f>B19</f>
        <v>0</v>
      </c>
      <c r="C43" s="43">
        <f t="shared" ref="C43:D43" si="13">C19</f>
        <v>0</v>
      </c>
      <c r="D43" s="44">
        <f t="shared" si="13"/>
        <v>0</v>
      </c>
    </row>
    <row r="44" spans="1:6" ht="15.75" thickBot="1" x14ac:dyDescent="0.3">
      <c r="A44" s="1" t="s">
        <v>18</v>
      </c>
      <c r="B44" s="36">
        <f>0.834409</f>
        <v>0.83440899999999996</v>
      </c>
      <c r="C44" s="36">
        <f>0.830115</f>
        <v>0.83011500000000005</v>
      </c>
      <c r="D44" s="2">
        <f>0.856078</f>
        <v>0.85607800000000001</v>
      </c>
    </row>
    <row r="45" spans="1:6" ht="15.75" thickTop="1" x14ac:dyDescent="0.25">
      <c r="A45" s="4" t="s">
        <v>19</v>
      </c>
      <c r="B45" s="40">
        <f>B43*B44</f>
        <v>0</v>
      </c>
      <c r="C45" s="40">
        <f t="shared" ref="C45:D45" si="14">C43*C44</f>
        <v>0</v>
      </c>
      <c r="D45" s="5">
        <f t="shared" si="14"/>
        <v>0</v>
      </c>
    </row>
    <row r="46" spans="1:6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0">
        <v>3.5043519999999999</v>
      </c>
    </row>
    <row r="47" spans="1:6" ht="16.5" thickTop="1" thickBot="1" x14ac:dyDescent="0.3">
      <c r="A47" s="8" t="s">
        <v>21</v>
      </c>
      <c r="B47" s="45">
        <f>ROUNDUP(B45*B46,0)</f>
        <v>0</v>
      </c>
      <c r="C47" s="45">
        <f t="shared" ref="C47:D47" si="15">ROUNDUP(C45*C46,0)</f>
        <v>0</v>
      </c>
      <c r="D47" s="9">
        <f t="shared" si="15"/>
        <v>0</v>
      </c>
    </row>
    <row r="48" spans="1:6" ht="15.75" thickBot="1" x14ac:dyDescent="0.3"/>
    <row r="49" spans="1:6" ht="18.75" x14ac:dyDescent="0.3">
      <c r="A49" s="6" t="s">
        <v>22</v>
      </c>
      <c r="B49" s="39"/>
      <c r="C49" s="39"/>
      <c r="D49" s="11"/>
    </row>
    <row r="50" spans="1:6" x14ac:dyDescent="0.25">
      <c r="A50" s="1" t="s">
        <v>18</v>
      </c>
      <c r="B50" s="43">
        <f>B45</f>
        <v>0</v>
      </c>
      <c r="C50" s="43">
        <f t="shared" ref="C50:D50" si="16">C45</f>
        <v>0</v>
      </c>
      <c r="D50" s="44">
        <f t="shared" si="16"/>
        <v>0</v>
      </c>
      <c r="F50" t="s">
        <v>146</v>
      </c>
    </row>
    <row r="51" spans="1:6" ht="15.75" thickBot="1" x14ac:dyDescent="0.3">
      <c r="A51" s="1" t="s">
        <v>101</v>
      </c>
      <c r="B51" s="36">
        <f>0.5+0.2+0.25+0.05+0.1+0.02</f>
        <v>1.1200000000000001</v>
      </c>
      <c r="C51" s="36">
        <f t="shared" ref="C51:D51" si="17">0.5+0.2+0.25+0.05+0.1+0.02</f>
        <v>1.1200000000000001</v>
      </c>
      <c r="D51" s="2">
        <f t="shared" si="17"/>
        <v>1.1200000000000001</v>
      </c>
      <c r="F51" t="s">
        <v>129</v>
      </c>
    </row>
    <row r="52" spans="1:6" ht="15.75" thickTop="1" x14ac:dyDescent="0.25">
      <c r="A52" s="4" t="s">
        <v>100</v>
      </c>
      <c r="B52" s="40">
        <f>B50*B51</f>
        <v>0</v>
      </c>
      <c r="C52" s="40">
        <f t="shared" ref="C52:D52" si="18">C50*C51</f>
        <v>0</v>
      </c>
      <c r="D52" s="5">
        <f t="shared" si="18"/>
        <v>0</v>
      </c>
    </row>
    <row r="53" spans="1:6" ht="15.75" thickBot="1" x14ac:dyDescent="0.3">
      <c r="A53" s="12" t="s">
        <v>29</v>
      </c>
      <c r="B53" s="49">
        <f>2500+1000+700+1500+700+950+600+750</f>
        <v>8700</v>
      </c>
      <c r="C53" s="49">
        <f t="shared" ref="C53:D53" si="19">2500+1000+700+1500+700+950+600+750</f>
        <v>8700</v>
      </c>
      <c r="D53" s="90">
        <f t="shared" si="19"/>
        <v>8700</v>
      </c>
      <c r="F53" t="s">
        <v>147</v>
      </c>
    </row>
    <row r="54" spans="1:6" ht="16.5" thickTop="1" thickBot="1" x14ac:dyDescent="0.3">
      <c r="A54" s="14" t="s">
        <v>22</v>
      </c>
      <c r="B54" s="50">
        <f>ROUNDUP(B52+B53,0)</f>
        <v>8700</v>
      </c>
      <c r="C54" s="50">
        <f t="shared" ref="C54:D54" si="20">ROUNDUP(C52+C53,0)</f>
        <v>8700</v>
      </c>
      <c r="D54" s="62">
        <f t="shared" si="20"/>
        <v>8700</v>
      </c>
    </row>
    <row r="55" spans="1:6" ht="15.75" thickBot="1" x14ac:dyDescent="0.3"/>
    <row r="56" spans="1:6" ht="18.75" x14ac:dyDescent="0.3">
      <c r="A56" s="6" t="s">
        <v>28</v>
      </c>
      <c r="B56" s="39"/>
      <c r="C56" s="39"/>
      <c r="D56" s="11"/>
    </row>
    <row r="57" spans="1:6" x14ac:dyDescent="0.25">
      <c r="A57" s="1"/>
      <c r="B57" s="36" t="str">
        <f>B8</f>
        <v>Mes1</v>
      </c>
      <c r="C57" s="36" t="str">
        <f t="shared" ref="C57:D57" si="21">C8</f>
        <v>Mes2</v>
      </c>
      <c r="D57" s="2" t="str">
        <f t="shared" si="21"/>
        <v>Mes3</v>
      </c>
      <c r="F57" t="s">
        <v>148</v>
      </c>
    </row>
    <row r="58" spans="1:6" x14ac:dyDescent="0.25">
      <c r="A58" s="1" t="s">
        <v>30</v>
      </c>
      <c r="B58" s="36">
        <f>B28</f>
        <v>0</v>
      </c>
      <c r="C58" s="36">
        <f t="shared" ref="C58:D58" si="22">C28</f>
        <v>0</v>
      </c>
      <c r="D58" s="2">
        <f t="shared" si="22"/>
        <v>0</v>
      </c>
      <c r="F58" t="s">
        <v>149</v>
      </c>
    </row>
    <row r="59" spans="1:6" ht="15.75" thickBot="1" x14ac:dyDescent="0.3">
      <c r="A59" s="1" t="s">
        <v>25</v>
      </c>
      <c r="B59" s="15"/>
      <c r="C59" s="15"/>
      <c r="D59" s="10"/>
    </row>
    <row r="60" spans="1:6" ht="15.75" thickTop="1" x14ac:dyDescent="0.25">
      <c r="A60" s="4" t="s">
        <v>23</v>
      </c>
      <c r="B60" s="51">
        <f>B58*B59</f>
        <v>0</v>
      </c>
      <c r="C60" s="51">
        <f t="shared" ref="C60:D60" si="23">C58*C59</f>
        <v>0</v>
      </c>
      <c r="D60" s="16">
        <f t="shared" si="23"/>
        <v>0</v>
      </c>
    </row>
    <row r="61" spans="1:6" ht="15.75" thickBot="1" x14ac:dyDescent="0.3">
      <c r="A61" s="1" t="s">
        <v>24</v>
      </c>
      <c r="B61" s="15">
        <f>B31</f>
        <v>0</v>
      </c>
      <c r="C61" s="15">
        <f t="shared" ref="C61:D61" si="24">C31</f>
        <v>0</v>
      </c>
      <c r="D61" s="10">
        <f t="shared" si="24"/>
        <v>0</v>
      </c>
    </row>
    <row r="62" spans="1:6" ht="15.75" thickTop="1" x14ac:dyDescent="0.25">
      <c r="A62" s="4" t="s">
        <v>26</v>
      </c>
      <c r="B62" s="51">
        <f>B60+B61</f>
        <v>0</v>
      </c>
      <c r="C62" s="51">
        <f>C60+C61</f>
        <v>0</v>
      </c>
      <c r="D62" s="16">
        <f t="shared" ref="C62:D62" si="25">D60+D61</f>
        <v>0</v>
      </c>
    </row>
    <row r="63" spans="1:6" ht="15.75" thickBot="1" x14ac:dyDescent="0.3">
      <c r="A63" s="1" t="s">
        <v>27</v>
      </c>
      <c r="B63" s="36">
        <f>ROUND(C59*B28,0)</f>
        <v>0</v>
      </c>
      <c r="C63" s="36">
        <f t="shared" ref="C63:D63" si="26">ROUND(D59*C28,0)</f>
        <v>0</v>
      </c>
      <c r="D63" s="36">
        <f t="shared" si="26"/>
        <v>0</v>
      </c>
      <c r="F63" t="s">
        <v>150</v>
      </c>
    </row>
    <row r="64" spans="1:6" ht="16.5" thickTop="1" thickBot="1" x14ac:dyDescent="0.3">
      <c r="A64" s="8" t="s">
        <v>28</v>
      </c>
      <c r="B64" s="45">
        <f>B62-B63</f>
        <v>0</v>
      </c>
      <c r="C64" s="45">
        <f t="shared" ref="C64:D64" si="27">C62-C63</f>
        <v>0</v>
      </c>
      <c r="D64" s="45">
        <f t="shared" si="27"/>
        <v>0</v>
      </c>
    </row>
    <row r="65" spans="1:4" ht="15.75" thickBot="1" x14ac:dyDescent="0.3"/>
    <row r="66" spans="1:4" ht="18.75" x14ac:dyDescent="0.3">
      <c r="A66" s="6" t="s">
        <v>31</v>
      </c>
      <c r="B66" s="39"/>
      <c r="C66" s="39"/>
      <c r="D66" s="11"/>
    </row>
    <row r="67" spans="1:4" x14ac:dyDescent="0.25">
      <c r="A67" s="1"/>
      <c r="B67" s="36" t="str">
        <f>B8</f>
        <v>Mes1</v>
      </c>
      <c r="C67" s="36" t="str">
        <f>C8</f>
        <v>Mes2</v>
      </c>
      <c r="D67" s="2" t="str">
        <f>D8</f>
        <v>Mes3</v>
      </c>
    </row>
    <row r="68" spans="1:4" x14ac:dyDescent="0.25">
      <c r="A68" s="1" t="s">
        <v>32</v>
      </c>
      <c r="B68" s="15">
        <f>B64</f>
        <v>0</v>
      </c>
      <c r="C68" s="15">
        <f t="shared" ref="C68:D68" si="28">C64</f>
        <v>0</v>
      </c>
      <c r="D68" s="10">
        <f t="shared" si="28"/>
        <v>0</v>
      </c>
    </row>
    <row r="69" spans="1:4" x14ac:dyDescent="0.25">
      <c r="A69" s="1" t="s">
        <v>33</v>
      </c>
      <c r="B69" s="15">
        <f>B47</f>
        <v>0</v>
      </c>
      <c r="C69" s="15">
        <f>C47</f>
        <v>0</v>
      </c>
      <c r="D69" s="10">
        <f>D47</f>
        <v>0</v>
      </c>
    </row>
    <row r="70" spans="1:4" ht="15.75" thickBot="1" x14ac:dyDescent="0.3">
      <c r="A70" s="1" t="s">
        <v>22</v>
      </c>
      <c r="B70" s="15">
        <f>B54</f>
        <v>8700</v>
      </c>
      <c r="C70" s="15">
        <f>C54</f>
        <v>8700</v>
      </c>
      <c r="D70" s="10">
        <f>D54</f>
        <v>8700</v>
      </c>
    </row>
    <row r="71" spans="1:4" ht="15.75" thickTop="1" x14ac:dyDescent="0.25">
      <c r="A71" s="4" t="s">
        <v>34</v>
      </c>
      <c r="B71" s="51">
        <f>SUM(B68:B70)</f>
        <v>8700</v>
      </c>
      <c r="C71" s="51">
        <f>SUM(C68:C70)</f>
        <v>8700</v>
      </c>
      <c r="D71" s="16">
        <f>SUM(D68:D70)</f>
        <v>8700</v>
      </c>
    </row>
    <row r="72" spans="1:4" ht="15.75" thickBot="1" x14ac:dyDescent="0.3">
      <c r="A72" s="1" t="s">
        <v>4</v>
      </c>
      <c r="B72" s="43">
        <f>B35</f>
        <v>0</v>
      </c>
      <c r="C72" s="43">
        <f>C35</f>
        <v>0</v>
      </c>
      <c r="D72" s="44">
        <f>D35</f>
        <v>0</v>
      </c>
    </row>
    <row r="73" spans="1:4" ht="16.5" thickTop="1" thickBot="1" x14ac:dyDescent="0.3">
      <c r="A73" s="8" t="s">
        <v>35</v>
      </c>
      <c r="B73" s="45" t="e">
        <f>B71/B72</f>
        <v>#DIV/0!</v>
      </c>
      <c r="C73" s="45" t="e">
        <f t="shared" ref="C73:D73" si="29">C71/C72</f>
        <v>#DIV/0!</v>
      </c>
      <c r="D73" s="9" t="e">
        <f t="shared" si="29"/>
        <v>#DIV/0!</v>
      </c>
    </row>
    <row r="74" spans="1:4" ht="15.75" thickBot="1" x14ac:dyDescent="0.3"/>
    <row r="75" spans="1:4" ht="18.75" x14ac:dyDescent="0.3">
      <c r="A75" s="6" t="s">
        <v>36</v>
      </c>
      <c r="B75" s="39"/>
      <c r="C75" s="39"/>
      <c r="D75" s="11"/>
    </row>
    <row r="76" spans="1:4" x14ac:dyDescent="0.25">
      <c r="A76" s="1"/>
      <c r="B76" s="36" t="str">
        <f>B8</f>
        <v>Mes1</v>
      </c>
      <c r="C76" s="36" t="str">
        <f>C8</f>
        <v>Mes2</v>
      </c>
      <c r="D76" s="2" t="str">
        <f>D8</f>
        <v>Mes3</v>
      </c>
    </row>
    <row r="77" spans="1:4" x14ac:dyDescent="0.25">
      <c r="A77" s="1" t="s">
        <v>37</v>
      </c>
      <c r="B77" s="15">
        <f>ROUND(B18*47,0)</f>
        <v>0</v>
      </c>
      <c r="C77" s="15" t="e">
        <f>ROUND(C18*B73,0)</f>
        <v>#DIV/0!</v>
      </c>
      <c r="D77" s="15" t="e">
        <f>ROUND(D18*C73,0)</f>
        <v>#DIV/0!</v>
      </c>
    </row>
    <row r="78" spans="1:4" ht="15.75" thickBot="1" x14ac:dyDescent="0.3">
      <c r="A78" s="1" t="s">
        <v>31</v>
      </c>
      <c r="B78" s="15">
        <f>B71</f>
        <v>8700</v>
      </c>
      <c r="C78" s="15">
        <f t="shared" ref="C78" si="30">C71</f>
        <v>8700</v>
      </c>
      <c r="D78" s="10">
        <f>D71</f>
        <v>8700</v>
      </c>
    </row>
    <row r="79" spans="1:4" ht="15.75" thickTop="1" x14ac:dyDescent="0.25">
      <c r="A79" s="4" t="s">
        <v>38</v>
      </c>
      <c r="B79" s="51">
        <f>B77+B78</f>
        <v>8700</v>
      </c>
      <c r="C79" s="51" t="e">
        <f>C77+C78</f>
        <v>#DIV/0!</v>
      </c>
      <c r="D79" s="16" t="e">
        <f>D77+D78</f>
        <v>#DIV/0!</v>
      </c>
    </row>
    <row r="80" spans="1:4" ht="15.75" thickBot="1" x14ac:dyDescent="0.3">
      <c r="A80" s="1" t="s">
        <v>39</v>
      </c>
      <c r="B80" s="86" t="e">
        <f>B16*B73</f>
        <v>#DIV/0!</v>
      </c>
      <c r="C80" s="15" t="e">
        <f>ROUNDUP(C16*C73,0)</f>
        <v>#DIV/0!</v>
      </c>
      <c r="D80" s="10" t="e">
        <f>ROUNDUP(D16*D73,0)</f>
        <v>#DIV/0!</v>
      </c>
    </row>
    <row r="81" spans="1:4" ht="16.5" thickTop="1" thickBot="1" x14ac:dyDescent="0.3">
      <c r="A81" s="8" t="s">
        <v>36</v>
      </c>
      <c r="B81" s="45" t="e">
        <f>B79-B80</f>
        <v>#DIV/0!</v>
      </c>
      <c r="C81" s="45" t="e">
        <f>C79-C80</f>
        <v>#DIV/0!</v>
      </c>
      <c r="D81" s="9" t="e">
        <f t="shared" ref="C81:D81" si="31">D79-D80</f>
        <v>#DIV/0!</v>
      </c>
    </row>
    <row r="83" spans="1:4" ht="15.75" thickBot="1" x14ac:dyDescent="0.3"/>
    <row r="84" spans="1:4" ht="21" x14ac:dyDescent="0.35">
      <c r="A84" s="91" t="s">
        <v>40</v>
      </c>
      <c r="B84" s="92"/>
      <c r="C84" s="92"/>
      <c r="D84" s="93"/>
    </row>
    <row r="85" spans="1:4" x14ac:dyDescent="0.25">
      <c r="A85" s="1"/>
      <c r="B85" s="36" t="str">
        <f>B8</f>
        <v>Mes1</v>
      </c>
      <c r="C85" s="36" t="str">
        <f>C8</f>
        <v>Mes2</v>
      </c>
      <c r="D85" s="2" t="str">
        <f>D8</f>
        <v>Mes3</v>
      </c>
    </row>
    <row r="86" spans="1:4" x14ac:dyDescent="0.25">
      <c r="A86" s="1" t="s">
        <v>41</v>
      </c>
      <c r="B86" s="15">
        <f>B11</f>
        <v>0</v>
      </c>
      <c r="C86" s="15">
        <f>C11</f>
        <v>0</v>
      </c>
      <c r="D86" s="10">
        <f>D11</f>
        <v>0</v>
      </c>
    </row>
    <row r="87" spans="1:4" ht="15.75" thickBot="1" x14ac:dyDescent="0.3">
      <c r="A87" s="17" t="s">
        <v>42</v>
      </c>
      <c r="B87" s="15" t="e">
        <f>B81</f>
        <v>#DIV/0!</v>
      </c>
      <c r="C87" s="15" t="e">
        <f t="shared" ref="C87:D87" si="32">C81</f>
        <v>#DIV/0!</v>
      </c>
      <c r="D87" s="10" t="e">
        <f t="shared" si="32"/>
        <v>#DIV/0!</v>
      </c>
    </row>
    <row r="88" spans="1:4" ht="15.75" thickTop="1" x14ac:dyDescent="0.25">
      <c r="A88" s="4" t="s">
        <v>43</v>
      </c>
      <c r="B88" s="51" t="e">
        <f t="shared" ref="B88:C88" si="33">B86-B87</f>
        <v>#DIV/0!</v>
      </c>
      <c r="C88" s="51" t="e">
        <f t="shared" si="33"/>
        <v>#DIV/0!</v>
      </c>
      <c r="D88" s="16" t="e">
        <f>D86-D87</f>
        <v>#DIV/0!</v>
      </c>
    </row>
    <row r="89" spans="1:4" x14ac:dyDescent="0.25">
      <c r="A89" s="1" t="s">
        <v>44</v>
      </c>
      <c r="B89" s="36">
        <v>0</v>
      </c>
      <c r="C89" s="36">
        <v>0</v>
      </c>
      <c r="D89" s="10">
        <v>0</v>
      </c>
    </row>
    <row r="90" spans="1:4" x14ac:dyDescent="0.25">
      <c r="A90" s="1" t="s">
        <v>45</v>
      </c>
      <c r="B90" s="15">
        <f>34000+6500+28000+2500+5000</f>
        <v>76000</v>
      </c>
      <c r="C90" s="15">
        <f t="shared" ref="C90:D90" si="34">34000+6500+28000+2500+5000</f>
        <v>76000</v>
      </c>
      <c r="D90" s="10">
        <f t="shared" si="34"/>
        <v>76000</v>
      </c>
    </row>
    <row r="91" spans="1:4" ht="15.75" thickBot="1" x14ac:dyDescent="0.3">
      <c r="A91" s="1" t="s">
        <v>46</v>
      </c>
      <c r="B91" s="15">
        <f>B86*0.04+B86*0.02+B86*0.03+B86*0.01</f>
        <v>0</v>
      </c>
      <c r="C91" s="15">
        <f t="shared" ref="C91:D91" si="35">C86*0.04+C86*0.02+C86*0.03+C86*0.01</f>
        <v>0</v>
      </c>
      <c r="D91" s="10">
        <f t="shared" si="35"/>
        <v>0</v>
      </c>
    </row>
    <row r="92" spans="1:4" ht="15.75" thickTop="1" x14ac:dyDescent="0.25">
      <c r="A92" s="4" t="s">
        <v>47</v>
      </c>
      <c r="B92" s="51" t="e">
        <f>B88-SUM(B89:B91)</f>
        <v>#DIV/0!</v>
      </c>
      <c r="C92" s="51" t="e">
        <f>C88-SUM(C89:C91)</f>
        <v>#DIV/0!</v>
      </c>
      <c r="D92" s="16" t="e">
        <f>D88-SUM(D89:D91)</f>
        <v>#DIV/0!</v>
      </c>
    </row>
    <row r="93" spans="1:4" ht="15.75" thickBot="1" x14ac:dyDescent="0.3">
      <c r="A93" s="1" t="s">
        <v>48</v>
      </c>
      <c r="B93" s="15" t="e">
        <f>B92*0.25</f>
        <v>#DIV/0!</v>
      </c>
      <c r="C93" s="15" t="e">
        <f t="shared" ref="C93:D93" si="36">C92*0.25</f>
        <v>#DIV/0!</v>
      </c>
      <c r="D93" s="10" t="e">
        <f t="shared" si="36"/>
        <v>#DIV/0!</v>
      </c>
    </row>
    <row r="94" spans="1:4" ht="16.5" thickTop="1" thickBot="1" x14ac:dyDescent="0.3">
      <c r="A94" s="8" t="s">
        <v>49</v>
      </c>
      <c r="B94" s="45" t="e">
        <f>B92-B93</f>
        <v>#DIV/0!</v>
      </c>
      <c r="C94" s="45" t="e">
        <f t="shared" ref="C94:D94" si="37">C92-C93</f>
        <v>#DIV/0!</v>
      </c>
      <c r="D94" s="9" t="e">
        <f t="shared" si="37"/>
        <v>#DIV/0!</v>
      </c>
    </row>
    <row r="96" spans="1:4" x14ac:dyDescent="0.25">
      <c r="A96" t="s">
        <v>50</v>
      </c>
      <c r="B96" s="52" t="e">
        <f>ROUNDUP(B80,0)</f>
        <v>#DIV/0!</v>
      </c>
      <c r="C96" s="52" t="e">
        <f>ROUNDUP(C80,0)</f>
        <v>#DIV/0!</v>
      </c>
      <c r="D96" s="52" t="e">
        <f>ROUNDUP(D80,0)</f>
        <v>#DIV/0!</v>
      </c>
    </row>
  </sheetData>
  <mergeCells count="1">
    <mergeCell ref="A84:D84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O66"/>
  <sheetViews>
    <sheetView showGridLines="0" topLeftCell="H1" zoomScale="86" zoomScaleNormal="115" workbookViewId="0">
      <selection activeCell="L27" sqref="L27:L28"/>
    </sheetView>
  </sheetViews>
  <sheetFormatPr baseColWidth="10" defaultColWidth="11.5703125" defaultRowHeight="15" x14ac:dyDescent="0.25"/>
  <cols>
    <col min="2" max="2" width="38.7109375" customWidth="1"/>
    <col min="3" max="3" width="20.85546875" customWidth="1"/>
    <col min="4" max="4" width="17.28515625" customWidth="1"/>
    <col min="5" max="6" width="21.140625" customWidth="1"/>
    <col min="7" max="7" width="17.140625" customWidth="1"/>
    <col min="8" max="8" width="16" customWidth="1"/>
    <col min="9" max="9" width="19.28515625" customWidth="1"/>
    <col min="10" max="10" width="15.7109375" customWidth="1"/>
    <col min="11" max="12" width="16.7109375" customWidth="1"/>
    <col min="13" max="13" width="15.42578125" customWidth="1"/>
    <col min="14" max="14" width="18.28515625" customWidth="1"/>
  </cols>
  <sheetData>
    <row r="1" spans="2:15" ht="15" customHeight="1" thickBot="1" x14ac:dyDescent="0.55000000000000004">
      <c r="B1" s="100" t="s">
        <v>61</v>
      </c>
      <c r="C1" s="101"/>
      <c r="D1" s="101"/>
      <c r="E1" s="102"/>
      <c r="F1" s="130"/>
      <c r="G1" s="65"/>
      <c r="H1" s="65"/>
      <c r="I1" s="65"/>
      <c r="J1" s="18"/>
    </row>
    <row r="2" spans="2:15" ht="15" customHeight="1" thickBot="1" x14ac:dyDescent="0.55000000000000004">
      <c r="B2" s="103"/>
      <c r="C2" s="104"/>
      <c r="D2" s="104"/>
      <c r="E2" s="105"/>
      <c r="F2" s="130"/>
      <c r="G2" s="65"/>
      <c r="H2" s="94" t="s">
        <v>62</v>
      </c>
      <c r="I2" s="95"/>
      <c r="J2" s="95"/>
      <c r="K2" s="95"/>
      <c r="L2" s="95"/>
      <c r="M2" s="95"/>
      <c r="N2" s="96"/>
    </row>
    <row r="3" spans="2:15" ht="15.75" thickBot="1" x14ac:dyDescent="0.3">
      <c r="B3" s="1"/>
      <c r="C3" s="36"/>
      <c r="D3" s="36"/>
      <c r="E3" s="2"/>
      <c r="F3" s="36"/>
      <c r="G3" s="36"/>
      <c r="H3" s="97"/>
      <c r="I3" s="98"/>
      <c r="J3" s="98"/>
      <c r="K3" s="98"/>
      <c r="L3" s="98"/>
      <c r="M3" s="98"/>
      <c r="N3" s="99"/>
    </row>
    <row r="4" spans="2:15" ht="16.5" thickTop="1" x14ac:dyDescent="0.25">
      <c r="B4" s="64" t="s">
        <v>116</v>
      </c>
      <c r="C4" s="15">
        <f>510300</f>
        <v>510300</v>
      </c>
      <c r="D4" s="15">
        <f>C31</f>
        <v>3173330</v>
      </c>
      <c r="E4" s="10" t="e">
        <f>D31</f>
        <v>#DIV/0!</v>
      </c>
      <c r="F4" s="15" t="s">
        <v>151</v>
      </c>
      <c r="G4" s="36"/>
      <c r="H4" s="1"/>
      <c r="I4" s="54" t="s">
        <v>109</v>
      </c>
      <c r="J4" s="54" t="s">
        <v>110</v>
      </c>
      <c r="K4" s="54" t="s">
        <v>111</v>
      </c>
      <c r="L4" s="54" t="s">
        <v>102</v>
      </c>
      <c r="M4" s="54" t="s">
        <v>98</v>
      </c>
      <c r="N4" s="27" t="s">
        <v>99</v>
      </c>
      <c r="O4" s="129" t="s">
        <v>161</v>
      </c>
    </row>
    <row r="5" spans="2:15" ht="15.75" x14ac:dyDescent="0.25">
      <c r="B5" s="1"/>
      <c r="C5" s="36"/>
      <c r="D5" s="36"/>
      <c r="E5" s="2"/>
      <c r="F5" s="36"/>
      <c r="G5" s="36"/>
      <c r="H5" s="1" t="s">
        <v>63</v>
      </c>
      <c r="I5" s="15">
        <f>19880800</f>
        <v>19880800</v>
      </c>
      <c r="J5" s="15">
        <f>20216000</f>
        <v>20216000</v>
      </c>
      <c r="K5" s="15">
        <f>22960000</f>
        <v>22960000</v>
      </c>
      <c r="L5" s="15">
        <f>Presupuestos!B11</f>
        <v>0</v>
      </c>
      <c r="M5" s="15">
        <f>Presupuestos!C11</f>
        <v>0</v>
      </c>
      <c r="N5" s="10">
        <f>Presupuestos!D11</f>
        <v>0</v>
      </c>
      <c r="O5" s="129" t="s">
        <v>162</v>
      </c>
    </row>
    <row r="6" spans="2:15" ht="21" x14ac:dyDescent="0.35">
      <c r="B6" s="21" t="s">
        <v>51</v>
      </c>
      <c r="C6" s="53"/>
      <c r="D6" s="53"/>
      <c r="E6" s="26"/>
      <c r="F6" s="58"/>
      <c r="G6" s="58"/>
      <c r="H6" s="1" t="s">
        <v>53</v>
      </c>
      <c r="I6" s="15">
        <f>I5-I7</f>
        <v>12922520</v>
      </c>
      <c r="J6" s="15">
        <f t="shared" ref="J6:N6" si="0">J5-J7</f>
        <v>13140400</v>
      </c>
      <c r="K6" s="15">
        <f t="shared" si="0"/>
        <v>14924000</v>
      </c>
      <c r="L6" s="15">
        <f t="shared" si="0"/>
        <v>0</v>
      </c>
      <c r="M6" s="15">
        <f t="shared" si="0"/>
        <v>0</v>
      </c>
      <c r="N6" s="10">
        <f t="shared" si="0"/>
        <v>0</v>
      </c>
      <c r="O6" s="129" t="s">
        <v>163</v>
      </c>
    </row>
    <row r="7" spans="2:15" ht="15.75" x14ac:dyDescent="0.25">
      <c r="B7" s="1"/>
      <c r="C7" s="54" t="s">
        <v>135</v>
      </c>
      <c r="D7" s="54" t="s">
        <v>136</v>
      </c>
      <c r="E7" s="27" t="s">
        <v>137</v>
      </c>
      <c r="F7" s="54"/>
      <c r="G7" s="36"/>
      <c r="H7" s="17" t="s">
        <v>52</v>
      </c>
      <c r="I7" s="15">
        <f>I5*0.35</f>
        <v>6958280</v>
      </c>
      <c r="J7" s="15">
        <f t="shared" ref="J7:N7" si="1">J5*0.35</f>
        <v>7075600</v>
      </c>
      <c r="K7" s="15">
        <f>K5*0.35</f>
        <v>8035999.9999999991</v>
      </c>
      <c r="L7" s="15">
        <f t="shared" si="1"/>
        <v>0</v>
      </c>
      <c r="M7" s="15">
        <f t="shared" si="1"/>
        <v>0</v>
      </c>
      <c r="N7" s="10">
        <f t="shared" si="1"/>
        <v>0</v>
      </c>
      <c r="O7" s="129" t="s">
        <v>163</v>
      </c>
    </row>
    <row r="8" spans="2:15" ht="15.75" thickBot="1" x14ac:dyDescent="0.3">
      <c r="B8" s="1" t="s">
        <v>52</v>
      </c>
      <c r="C8" s="15">
        <f>L7</f>
        <v>0</v>
      </c>
      <c r="D8" s="15">
        <f>M7</f>
        <v>0</v>
      </c>
      <c r="E8" s="10">
        <f>N7</f>
        <v>0</v>
      </c>
      <c r="F8" s="15" t="s">
        <v>152</v>
      </c>
      <c r="G8" s="36"/>
      <c r="H8" s="1"/>
      <c r="I8" s="36"/>
      <c r="J8" s="36"/>
      <c r="K8" s="36"/>
      <c r="L8" s="36"/>
      <c r="M8" s="36"/>
      <c r="N8" s="2"/>
    </row>
    <row r="9" spans="2:15" ht="15.75" thickTop="1" x14ac:dyDescent="0.25">
      <c r="B9" s="1" t="s">
        <v>53</v>
      </c>
      <c r="C9" s="66">
        <f>L17</f>
        <v>13977730</v>
      </c>
      <c r="D9" s="66">
        <f>M17</f>
        <v>7016100</v>
      </c>
      <c r="E9" s="69">
        <f>N17</f>
        <v>3731000</v>
      </c>
      <c r="F9" s="15" t="s">
        <v>153</v>
      </c>
      <c r="G9" s="36"/>
      <c r="H9" s="4" t="s">
        <v>64</v>
      </c>
      <c r="I9" s="40"/>
      <c r="J9" s="40"/>
      <c r="K9" s="40"/>
      <c r="L9" s="40"/>
      <c r="M9" s="40"/>
      <c r="N9" s="5"/>
      <c r="O9" s="132" t="s">
        <v>164</v>
      </c>
    </row>
    <row r="10" spans="2:15" x14ac:dyDescent="0.25">
      <c r="B10" s="22" t="s">
        <v>54</v>
      </c>
      <c r="C10" s="67">
        <f>SUM(C8:C9)</f>
        <v>13977730</v>
      </c>
      <c r="D10" s="67">
        <f>SUM(D8:D9)</f>
        <v>7016100</v>
      </c>
      <c r="E10" s="70">
        <f>SUM(E8:E9)</f>
        <v>3731000</v>
      </c>
      <c r="F10" s="15"/>
      <c r="G10" s="36"/>
      <c r="H10" s="1" t="s">
        <v>112</v>
      </c>
      <c r="I10" s="15"/>
      <c r="J10" s="15">
        <f>I6*0.5</f>
        <v>6461260</v>
      </c>
      <c r="K10" s="15">
        <f>I6*0.25</f>
        <v>3230630</v>
      </c>
      <c r="L10" s="15">
        <f>I6*0.25</f>
        <v>3230630</v>
      </c>
      <c r="M10" s="15"/>
      <c r="N10" s="10"/>
      <c r="O10" s="132"/>
    </row>
    <row r="11" spans="2:15" x14ac:dyDescent="0.25">
      <c r="B11" s="1"/>
      <c r="C11" s="36"/>
      <c r="D11" s="36"/>
      <c r="E11" s="2"/>
      <c r="F11" s="36"/>
      <c r="G11" s="36"/>
      <c r="H11" s="1" t="s">
        <v>113</v>
      </c>
      <c r="I11" s="15"/>
      <c r="J11" s="15"/>
      <c r="K11" s="15">
        <f>J6*0.5</f>
        <v>6570200</v>
      </c>
      <c r="L11" s="15">
        <f>J6*0.25</f>
        <v>3285100</v>
      </c>
      <c r="M11" s="15">
        <f>J6*0.25</f>
        <v>3285100</v>
      </c>
      <c r="N11" s="10"/>
      <c r="O11" s="132"/>
    </row>
    <row r="12" spans="2:15" x14ac:dyDescent="0.25">
      <c r="B12" s="22" t="s">
        <v>55</v>
      </c>
      <c r="C12" s="55">
        <f>C10+C4</f>
        <v>14488030</v>
      </c>
      <c r="D12" s="55">
        <f>D10+D4</f>
        <v>10189430</v>
      </c>
      <c r="E12" s="23" t="e">
        <f>E10+E4</f>
        <v>#DIV/0!</v>
      </c>
      <c r="F12" s="57"/>
      <c r="G12" s="54"/>
      <c r="H12" s="1" t="s">
        <v>65</v>
      </c>
      <c r="I12" s="15"/>
      <c r="J12" s="15"/>
      <c r="K12" s="15"/>
      <c r="L12" s="15">
        <f>K6*0.5</f>
        <v>7462000</v>
      </c>
      <c r="M12" s="15">
        <f>K6*0.25</f>
        <v>3731000</v>
      </c>
      <c r="N12" s="10">
        <f>K6*0.25</f>
        <v>3731000</v>
      </c>
      <c r="O12" s="132"/>
    </row>
    <row r="13" spans="2:15" x14ac:dyDescent="0.25">
      <c r="B13" s="1"/>
      <c r="C13" s="36"/>
      <c r="D13" s="36"/>
      <c r="E13" s="2"/>
      <c r="F13" s="36"/>
      <c r="G13" s="36"/>
      <c r="H13" s="1" t="s">
        <v>103</v>
      </c>
      <c r="I13" s="15"/>
      <c r="J13" s="15"/>
      <c r="K13" s="15"/>
      <c r="L13" s="15"/>
      <c r="M13" s="15">
        <f>L6*0.5</f>
        <v>0</v>
      </c>
      <c r="N13" s="10">
        <f>L6*0.25</f>
        <v>0</v>
      </c>
      <c r="O13" s="132"/>
    </row>
    <row r="14" spans="2:15" ht="21" x14ac:dyDescent="0.35">
      <c r="B14" s="21" t="s">
        <v>56</v>
      </c>
      <c r="C14" s="53"/>
      <c r="D14" s="53"/>
      <c r="E14" s="26"/>
      <c r="F14" s="58"/>
      <c r="G14" s="58"/>
      <c r="H14" s="1" t="s">
        <v>104</v>
      </c>
      <c r="I14" s="15"/>
      <c r="J14" s="15"/>
      <c r="K14" s="15"/>
      <c r="L14" s="15"/>
      <c r="M14" s="15"/>
      <c r="N14" s="10">
        <f>M6*0.5</f>
        <v>0</v>
      </c>
    </row>
    <row r="15" spans="2:15" x14ac:dyDescent="0.25">
      <c r="B15" s="1"/>
      <c r="C15" s="54" t="str">
        <f>C7</f>
        <v>Mes 1</v>
      </c>
      <c r="D15" s="54" t="str">
        <f t="shared" ref="D15:E15" si="2">D7</f>
        <v>Mes 2</v>
      </c>
      <c r="E15" s="54" t="str">
        <f t="shared" si="2"/>
        <v>Mes 3</v>
      </c>
      <c r="F15" s="54"/>
      <c r="G15" s="54"/>
      <c r="H15" s="1" t="s">
        <v>105</v>
      </c>
      <c r="I15" s="15"/>
      <c r="J15" s="49"/>
      <c r="K15" s="15"/>
      <c r="L15" s="15"/>
      <c r="M15" s="15"/>
      <c r="N15" s="10"/>
    </row>
    <row r="16" spans="2:15" ht="15.75" thickBot="1" x14ac:dyDescent="0.3">
      <c r="B16" s="1" t="s">
        <v>57</v>
      </c>
      <c r="C16" s="15">
        <f>I25</f>
        <v>0</v>
      </c>
      <c r="D16" s="15">
        <f>J25</f>
        <v>0</v>
      </c>
      <c r="E16" s="10">
        <f>K25</f>
        <v>0</v>
      </c>
      <c r="F16" s="15" t="s">
        <v>152</v>
      </c>
      <c r="G16" s="36"/>
      <c r="H16" s="1" t="s">
        <v>106</v>
      </c>
      <c r="I16" s="15"/>
      <c r="J16" s="15"/>
      <c r="K16" s="15"/>
      <c r="L16" s="15"/>
      <c r="M16" s="15"/>
      <c r="N16" s="10"/>
    </row>
    <row r="17" spans="2:14" ht="16.5" thickTop="1" thickBot="1" x14ac:dyDescent="0.3">
      <c r="B17" s="1" t="s">
        <v>58</v>
      </c>
      <c r="C17" s="15">
        <f>I31</f>
        <v>9980000</v>
      </c>
      <c r="D17" s="15">
        <f>J31</f>
        <v>0</v>
      </c>
      <c r="E17" s="10">
        <f>K31</f>
        <v>0</v>
      </c>
      <c r="F17" s="15" t="s">
        <v>154</v>
      </c>
      <c r="G17" s="36"/>
      <c r="H17" s="8" t="s">
        <v>66</v>
      </c>
      <c r="I17" s="60">
        <f>SUM(I10:I16)</f>
        <v>0</v>
      </c>
      <c r="J17" s="60">
        <f t="shared" ref="J17:N17" si="3">SUM(J10:J16)</f>
        <v>6461260</v>
      </c>
      <c r="K17" s="60">
        <f t="shared" si="3"/>
        <v>9800830</v>
      </c>
      <c r="L17" s="60">
        <f>SUM(L10:L16)</f>
        <v>13977730</v>
      </c>
      <c r="M17" s="60">
        <f t="shared" si="3"/>
        <v>7016100</v>
      </c>
      <c r="N17" s="60">
        <f t="shared" si="3"/>
        <v>3731000</v>
      </c>
    </row>
    <row r="18" spans="2:14" x14ac:dyDescent="0.25">
      <c r="B18" s="1" t="s">
        <v>59</v>
      </c>
      <c r="C18" s="15">
        <f>Presupuestos!B47</f>
        <v>0</v>
      </c>
      <c r="D18" s="15">
        <f>Presupuestos!C47</f>
        <v>0</v>
      </c>
      <c r="E18" s="10">
        <f>Presupuestos!D47</f>
        <v>0</v>
      </c>
      <c r="F18" s="15" t="s">
        <v>155</v>
      </c>
      <c r="G18" s="36"/>
      <c r="H18" s="36"/>
      <c r="I18" s="36"/>
    </row>
    <row r="19" spans="2:14" ht="15.75" thickBot="1" x14ac:dyDescent="0.3">
      <c r="B19" s="1" t="s">
        <v>117</v>
      </c>
      <c r="C19" s="15">
        <f>Presupuestos!B54</f>
        <v>8700</v>
      </c>
      <c r="D19" s="15">
        <f>Presupuestos!C54</f>
        <v>8700</v>
      </c>
      <c r="E19" s="10">
        <f>Presupuestos!D54</f>
        <v>8700</v>
      </c>
      <c r="F19" s="15" t="s">
        <v>156</v>
      </c>
      <c r="G19" s="36"/>
      <c r="H19" s="36"/>
      <c r="I19" s="36"/>
    </row>
    <row r="20" spans="2:14" x14ac:dyDescent="0.25">
      <c r="B20" s="1" t="s">
        <v>46</v>
      </c>
      <c r="C20" s="15">
        <f>Presupuestos!B91</f>
        <v>0</v>
      </c>
      <c r="D20" s="15">
        <f>Presupuestos!C91</f>
        <v>0</v>
      </c>
      <c r="E20" s="10">
        <f>Presupuestos!D91</f>
        <v>0</v>
      </c>
      <c r="F20" s="15" t="s">
        <v>156</v>
      </c>
      <c r="G20" s="36"/>
      <c r="H20" s="94" t="s">
        <v>67</v>
      </c>
      <c r="I20" s="95"/>
      <c r="J20" s="95"/>
      <c r="K20" s="96"/>
    </row>
    <row r="21" spans="2:14" ht="15.75" thickBot="1" x14ac:dyDescent="0.3">
      <c r="B21" s="1" t="s">
        <v>45</v>
      </c>
      <c r="C21" s="15">
        <f>Presupuestos!B90</f>
        <v>76000</v>
      </c>
      <c r="D21" s="15">
        <f>Presupuestos!C90</f>
        <v>76000</v>
      </c>
      <c r="E21" s="10">
        <f>Presupuestos!D90</f>
        <v>76000</v>
      </c>
      <c r="F21" s="15"/>
      <c r="G21" s="36"/>
      <c r="H21" s="97"/>
      <c r="I21" s="98"/>
      <c r="J21" s="98"/>
      <c r="K21" s="99"/>
    </row>
    <row r="22" spans="2:14" ht="16.5" thickTop="1" x14ac:dyDescent="0.25">
      <c r="B22" s="24" t="s">
        <v>60</v>
      </c>
      <c r="C22" s="68">
        <f>SUM(C16:C21)</f>
        <v>10064700</v>
      </c>
      <c r="D22" s="68">
        <f t="shared" ref="D22:E22" si="4">SUM(D16:D21)</f>
        <v>84700</v>
      </c>
      <c r="E22" s="25">
        <f t="shared" si="4"/>
        <v>84700</v>
      </c>
      <c r="F22" s="57"/>
      <c r="G22" s="54"/>
      <c r="H22" s="1"/>
      <c r="I22" s="54" t="s">
        <v>102</v>
      </c>
      <c r="J22" s="54" t="s">
        <v>98</v>
      </c>
      <c r="K22" s="27" t="s">
        <v>99</v>
      </c>
      <c r="L22" s="129" t="s">
        <v>165</v>
      </c>
    </row>
    <row r="23" spans="2:14" x14ac:dyDescent="0.25">
      <c r="B23" s="1"/>
      <c r="C23" s="36"/>
      <c r="D23" s="36"/>
      <c r="E23" s="2"/>
      <c r="F23" s="36"/>
      <c r="G23" s="36"/>
      <c r="H23" s="1" t="s">
        <v>68</v>
      </c>
      <c r="I23" s="15">
        <f>Presupuestos!B31</f>
        <v>0</v>
      </c>
      <c r="J23" s="15">
        <f>Presupuestos!C31</f>
        <v>0</v>
      </c>
      <c r="K23" s="10">
        <f>Presupuestos!D31</f>
        <v>0</v>
      </c>
    </row>
    <row r="24" spans="2:14" ht="21.75" thickBot="1" x14ac:dyDescent="0.4">
      <c r="B24" s="21" t="s">
        <v>71</v>
      </c>
      <c r="C24" s="53" t="s">
        <v>157</v>
      </c>
      <c r="D24" s="53"/>
      <c r="E24" s="26"/>
      <c r="F24" s="58"/>
      <c r="G24" s="58"/>
      <c r="H24" s="1" t="s">
        <v>114</v>
      </c>
      <c r="I24" s="15">
        <f>I23*0.6</f>
        <v>0</v>
      </c>
      <c r="J24" s="15">
        <f t="shared" ref="J24:K24" si="5">J23*0.6</f>
        <v>0</v>
      </c>
      <c r="K24" s="10">
        <f t="shared" si="5"/>
        <v>0</v>
      </c>
    </row>
    <row r="25" spans="2:14" ht="16.5" thickTop="1" thickBot="1" x14ac:dyDescent="0.3">
      <c r="B25" s="1" t="s">
        <v>48</v>
      </c>
      <c r="C25" s="15"/>
      <c r="D25" s="15" t="e">
        <f>Presupuestos!B93</f>
        <v>#DIV/0!</v>
      </c>
      <c r="E25" s="10" t="e">
        <f>Presupuestos!C93</f>
        <v>#DIV/0!</v>
      </c>
      <c r="F25" s="15" t="s">
        <v>158</v>
      </c>
      <c r="G25" s="36" t="s">
        <v>120</v>
      </c>
      <c r="H25" s="19" t="s">
        <v>115</v>
      </c>
      <c r="I25" s="61">
        <f>I23*0.4</f>
        <v>0</v>
      </c>
      <c r="J25" s="61">
        <f t="shared" ref="J25:K25" si="6">J23*0.4</f>
        <v>0</v>
      </c>
      <c r="K25" s="20">
        <f t="shared" si="6"/>
        <v>0</v>
      </c>
    </row>
    <row r="26" spans="2:14" ht="16.5" thickTop="1" thickBot="1" x14ac:dyDescent="0.3">
      <c r="B26" s="1" t="s">
        <v>119</v>
      </c>
      <c r="C26" s="15"/>
      <c r="D26" s="15"/>
      <c r="E26" s="10">
        <f>2500000</f>
        <v>2500000</v>
      </c>
      <c r="F26" s="15"/>
      <c r="G26" s="36"/>
      <c r="H26" s="1"/>
      <c r="I26" s="36"/>
      <c r="J26" s="36"/>
      <c r="K26" s="2"/>
    </row>
    <row r="27" spans="2:14" ht="16.5" thickTop="1" x14ac:dyDescent="0.25">
      <c r="B27" s="1" t="s">
        <v>118</v>
      </c>
      <c r="C27" s="15">
        <f>1250000</f>
        <v>1250000</v>
      </c>
      <c r="D27" s="15"/>
      <c r="E27" s="10"/>
      <c r="F27" s="15"/>
      <c r="G27" s="36"/>
      <c r="H27" s="4" t="s">
        <v>69</v>
      </c>
      <c r="I27" s="51">
        <v>9980000</v>
      </c>
      <c r="J27" s="51"/>
      <c r="K27" s="16"/>
      <c r="L27" s="129" t="s">
        <v>166</v>
      </c>
    </row>
    <row r="28" spans="2:14" ht="16.5" thickBot="1" x14ac:dyDescent="0.3">
      <c r="B28" s="1" t="s">
        <v>67</v>
      </c>
      <c r="C28" s="15"/>
      <c r="D28" s="15">
        <f>152850</f>
        <v>152850</v>
      </c>
      <c r="E28" s="10"/>
      <c r="F28" s="15"/>
      <c r="G28" s="36"/>
      <c r="H28" s="1" t="s">
        <v>107</v>
      </c>
      <c r="I28" s="15"/>
      <c r="J28" s="15">
        <f>I24</f>
        <v>0</v>
      </c>
      <c r="K28" s="10"/>
      <c r="L28" s="129" t="s">
        <v>167</v>
      </c>
    </row>
    <row r="29" spans="2:14" ht="15.75" thickTop="1" x14ac:dyDescent="0.25">
      <c r="B29" s="24" t="s">
        <v>72</v>
      </c>
      <c r="C29" s="68">
        <f>SUM(C25:C28)+C22</f>
        <v>11314700</v>
      </c>
      <c r="D29" s="68" t="e">
        <f t="shared" ref="D29:E29" si="7">SUM(D25:D28)+D22</f>
        <v>#DIV/0!</v>
      </c>
      <c r="E29" s="25" t="e">
        <f t="shared" si="7"/>
        <v>#DIV/0!</v>
      </c>
      <c r="F29" s="57"/>
      <c r="G29" s="54"/>
      <c r="H29" s="1" t="s">
        <v>108</v>
      </c>
      <c r="I29" s="15"/>
      <c r="J29" s="15"/>
      <c r="K29" s="10">
        <f>J24</f>
        <v>0</v>
      </c>
    </row>
    <row r="30" spans="2:14" ht="15.75" thickBot="1" x14ac:dyDescent="0.3">
      <c r="B30" s="1"/>
      <c r="C30" s="36"/>
      <c r="D30" s="36"/>
      <c r="E30" s="2"/>
      <c r="F30" s="36"/>
      <c r="G30" s="36"/>
      <c r="H30" s="1" t="s">
        <v>128</v>
      </c>
      <c r="I30" s="15"/>
      <c r="J30" s="15"/>
      <c r="K30" s="10"/>
    </row>
    <row r="31" spans="2:14" ht="22.5" thickTop="1" thickBot="1" x14ac:dyDescent="0.4">
      <c r="B31" s="82" t="s">
        <v>73</v>
      </c>
      <c r="C31" s="83">
        <f>C12-C29</f>
        <v>3173330</v>
      </c>
      <c r="D31" s="83" t="e">
        <f t="shared" ref="D31:E31" si="8">D12-D29</f>
        <v>#DIV/0!</v>
      </c>
      <c r="E31" s="84" t="e">
        <f t="shared" si="8"/>
        <v>#DIV/0!</v>
      </c>
      <c r="F31" s="129" t="s">
        <v>159</v>
      </c>
      <c r="G31" s="58"/>
      <c r="H31" s="14" t="s">
        <v>70</v>
      </c>
      <c r="I31" s="50">
        <f>SUM(I27:I29)</f>
        <v>9980000</v>
      </c>
      <c r="J31" s="50">
        <f t="shared" ref="J31:K31" si="9">SUM(J27:J29)</f>
        <v>0</v>
      </c>
      <c r="K31" s="62">
        <f t="shared" si="9"/>
        <v>0</v>
      </c>
    </row>
    <row r="32" spans="2:14" ht="21" x14ac:dyDescent="0.35">
      <c r="B32" s="76"/>
      <c r="C32" s="75"/>
      <c r="D32" s="75"/>
      <c r="E32" s="77"/>
      <c r="F32" s="129" t="s">
        <v>160</v>
      </c>
      <c r="G32" s="58"/>
      <c r="H32" s="58"/>
      <c r="I32" s="58"/>
    </row>
    <row r="33" spans="2:11" ht="17.45" customHeight="1" x14ac:dyDescent="0.35">
      <c r="B33" s="1" t="s">
        <v>125</v>
      </c>
      <c r="C33" s="36"/>
      <c r="D33" s="36"/>
      <c r="E33" s="78" t="e">
        <f>E25+200000-E31</f>
        <v>#DIV/0!</v>
      </c>
      <c r="F33" s="131"/>
      <c r="G33" s="58"/>
      <c r="H33" s="58"/>
      <c r="I33" s="58"/>
    </row>
    <row r="34" spans="2:11" ht="21.75" thickBot="1" x14ac:dyDescent="0.4">
      <c r="B34" s="79" t="s">
        <v>126</v>
      </c>
      <c r="C34" s="80"/>
      <c r="D34" s="80"/>
      <c r="E34" s="81" t="e">
        <f>E31+E33</f>
        <v>#DIV/0!</v>
      </c>
      <c r="F34" s="75"/>
      <c r="G34" s="58"/>
      <c r="H34" s="58"/>
      <c r="I34" s="58"/>
    </row>
    <row r="37" spans="2:11" x14ac:dyDescent="0.25">
      <c r="J37" s="36"/>
      <c r="K37" s="36"/>
    </row>
    <row r="38" spans="2:11" x14ac:dyDescent="0.25">
      <c r="J38" s="36"/>
      <c r="K38" s="36"/>
    </row>
    <row r="39" spans="2:11" x14ac:dyDescent="0.25">
      <c r="J39" s="59"/>
      <c r="K39" s="59"/>
    </row>
    <row r="40" spans="2:11" x14ac:dyDescent="0.25">
      <c r="J40" s="36"/>
      <c r="K40" s="36"/>
    </row>
    <row r="41" spans="2:11" x14ac:dyDescent="0.25">
      <c r="J41" s="15"/>
      <c r="K41" s="15"/>
    </row>
    <row r="42" spans="2:11" x14ac:dyDescent="0.25">
      <c r="J42" s="15"/>
      <c r="K42" s="15"/>
    </row>
    <row r="43" spans="2:11" x14ac:dyDescent="0.25">
      <c r="J43" s="36"/>
      <c r="K43" s="36"/>
    </row>
    <row r="44" spans="2:11" x14ac:dyDescent="0.25">
      <c r="J44" s="36"/>
      <c r="K44" s="36"/>
    </row>
    <row r="45" spans="2:11" x14ac:dyDescent="0.25">
      <c r="J45" s="36"/>
      <c r="K45" s="36"/>
    </row>
    <row r="46" spans="2:11" x14ac:dyDescent="0.25">
      <c r="J46" s="36"/>
      <c r="K46" s="36"/>
    </row>
    <row r="47" spans="2:11" x14ac:dyDescent="0.25">
      <c r="J47" s="15"/>
      <c r="K47" s="15"/>
    </row>
    <row r="48" spans="2:11" x14ac:dyDescent="0.25">
      <c r="J48" s="15"/>
      <c r="K48" s="15"/>
    </row>
    <row r="49" spans="7:11" x14ac:dyDescent="0.25">
      <c r="J49" s="15"/>
      <c r="K49" s="57"/>
    </row>
    <row r="50" spans="7:11" x14ac:dyDescent="0.25">
      <c r="J50" s="15"/>
      <c r="K50" s="15"/>
    </row>
    <row r="51" spans="7:11" x14ac:dyDescent="0.25">
      <c r="J51" s="15"/>
      <c r="K51" s="15"/>
    </row>
    <row r="52" spans="7:11" x14ac:dyDescent="0.25">
      <c r="J52" s="57"/>
      <c r="K52" s="36"/>
    </row>
    <row r="53" spans="7:11" x14ac:dyDescent="0.25">
      <c r="J53" s="36"/>
      <c r="K53" s="36"/>
    </row>
    <row r="55" spans="7:11" ht="15" customHeight="1" x14ac:dyDescent="0.5">
      <c r="G55" s="63"/>
      <c r="H55" s="63"/>
      <c r="I55" s="63"/>
    </row>
    <row r="56" spans="7:11" ht="15.75" customHeight="1" x14ac:dyDescent="0.5">
      <c r="G56" s="63"/>
      <c r="H56" s="63"/>
      <c r="I56" s="63"/>
    </row>
    <row r="57" spans="7:11" x14ac:dyDescent="0.25">
      <c r="G57" s="36"/>
      <c r="H57" s="36"/>
      <c r="I57" s="36"/>
    </row>
    <row r="58" spans="7:11" x14ac:dyDescent="0.25">
      <c r="G58" s="36"/>
      <c r="H58" s="36"/>
      <c r="I58" s="36"/>
    </row>
    <row r="59" spans="7:11" x14ac:dyDescent="0.25">
      <c r="G59" s="36"/>
      <c r="H59" s="36"/>
      <c r="I59" s="36"/>
    </row>
    <row r="60" spans="7:11" x14ac:dyDescent="0.25">
      <c r="G60" s="36"/>
      <c r="H60" s="36"/>
      <c r="I60" s="36"/>
    </row>
    <row r="61" spans="7:11" x14ac:dyDescent="0.25">
      <c r="G61" s="36"/>
      <c r="H61" s="36"/>
      <c r="I61" s="36"/>
    </row>
    <row r="62" spans="7:11" x14ac:dyDescent="0.25">
      <c r="G62" s="36"/>
      <c r="H62" s="36"/>
      <c r="I62" s="36"/>
    </row>
    <row r="63" spans="7:11" x14ac:dyDescent="0.25">
      <c r="G63" s="36"/>
      <c r="H63" s="36"/>
      <c r="I63" s="36"/>
    </row>
    <row r="64" spans="7:11" x14ac:dyDescent="0.25">
      <c r="G64" s="36"/>
      <c r="H64" s="36"/>
      <c r="I64" s="36"/>
    </row>
    <row r="65" spans="7:9" x14ac:dyDescent="0.25">
      <c r="G65" s="15"/>
      <c r="H65" s="36"/>
      <c r="I65" s="36"/>
    </row>
    <row r="66" spans="7:9" x14ac:dyDescent="0.25">
      <c r="G66" s="59"/>
      <c r="H66" s="59"/>
      <c r="I66" s="59"/>
    </row>
  </sheetData>
  <mergeCells count="4">
    <mergeCell ref="H2:N3"/>
    <mergeCell ref="H20:K21"/>
    <mergeCell ref="B1:E2"/>
    <mergeCell ref="O9:O1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9"/>
  <sheetViews>
    <sheetView showGridLines="0" tabSelected="1" topLeftCell="A28" zoomScale="85" zoomScaleNormal="85" workbookViewId="0">
      <selection activeCell="E28" sqref="E28"/>
    </sheetView>
  </sheetViews>
  <sheetFormatPr baseColWidth="10" defaultColWidth="11.5703125" defaultRowHeight="15" x14ac:dyDescent="0.25"/>
  <cols>
    <col min="1" max="1" width="45.85546875" customWidth="1"/>
    <col min="2" max="2" width="22" customWidth="1"/>
    <col min="3" max="3" width="12.7109375" bestFit="1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126" t="s">
        <v>133</v>
      </c>
      <c r="B1" s="127"/>
      <c r="C1" s="127"/>
      <c r="D1" s="127"/>
      <c r="E1" s="127"/>
      <c r="F1" s="127"/>
      <c r="G1" s="127"/>
      <c r="H1" s="128"/>
      <c r="I1" s="28"/>
      <c r="J1" s="28"/>
      <c r="K1" s="28"/>
    </row>
    <row r="2" spans="1:11" ht="15.75" thickBot="1" x14ac:dyDescent="0.3">
      <c r="A2" s="113" t="s">
        <v>134</v>
      </c>
      <c r="B2" s="114"/>
      <c r="C2" s="114"/>
      <c r="D2" s="114"/>
      <c r="E2" s="114"/>
      <c r="F2" s="114"/>
      <c r="G2" s="114"/>
      <c r="H2" s="115"/>
      <c r="I2" s="28"/>
      <c r="J2" s="28"/>
      <c r="K2" s="28"/>
    </row>
    <row r="3" spans="1:11" ht="27" thickBot="1" x14ac:dyDescent="0.45">
      <c r="A3" s="116" t="s">
        <v>74</v>
      </c>
      <c r="B3" s="117"/>
      <c r="C3" s="117"/>
      <c r="D3" s="117"/>
      <c r="E3" s="118" t="s">
        <v>75</v>
      </c>
      <c r="F3" s="119"/>
      <c r="G3" s="119"/>
      <c r="H3" s="120"/>
    </row>
    <row r="4" spans="1:11" ht="16.5" thickTop="1" thickBot="1" x14ac:dyDescent="0.3">
      <c r="A4" s="106" t="s">
        <v>77</v>
      </c>
      <c r="B4" s="107"/>
      <c r="C4" s="107"/>
      <c r="D4" s="107"/>
      <c r="E4" s="121" t="s">
        <v>76</v>
      </c>
      <c r="F4" s="122"/>
      <c r="G4" s="122"/>
      <c r="H4" s="123"/>
    </row>
    <row r="5" spans="1:11" ht="15.75" thickTop="1" x14ac:dyDescent="0.25">
      <c r="A5" s="1" t="s">
        <v>78</v>
      </c>
      <c r="B5" s="15">
        <v>510300</v>
      </c>
      <c r="C5" s="15"/>
      <c r="D5" s="15"/>
      <c r="E5" s="1" t="s">
        <v>92</v>
      </c>
      <c r="F5" s="15">
        <v>252850</v>
      </c>
      <c r="G5" s="15"/>
      <c r="H5" s="10"/>
    </row>
    <row r="6" spans="1:11" x14ac:dyDescent="0.25">
      <c r="A6" s="1" t="s">
        <v>79</v>
      </c>
      <c r="B6" s="15">
        <v>24724830</v>
      </c>
      <c r="C6" s="15"/>
      <c r="D6" s="15"/>
      <c r="E6" s="1" t="s">
        <v>93</v>
      </c>
      <c r="F6" s="15">
        <v>9980000</v>
      </c>
      <c r="G6" s="15"/>
      <c r="H6" s="10"/>
    </row>
    <row r="7" spans="1:11" x14ac:dyDescent="0.25">
      <c r="A7" s="1" t="s">
        <v>80</v>
      </c>
      <c r="B7" s="15">
        <v>9618550</v>
      </c>
      <c r="C7" s="15"/>
      <c r="D7" s="15"/>
      <c r="E7" s="1"/>
      <c r="F7" s="15"/>
      <c r="G7" s="15"/>
      <c r="H7" s="10"/>
    </row>
    <row r="8" spans="1:11" x14ac:dyDescent="0.25">
      <c r="A8" s="1" t="s">
        <v>81</v>
      </c>
      <c r="B8" s="15">
        <v>8998792</v>
      </c>
      <c r="C8" s="15"/>
      <c r="D8" s="15">
        <f>SUM(B5:B8)</f>
        <v>43852472</v>
      </c>
      <c r="E8" s="1"/>
      <c r="F8" s="15"/>
      <c r="G8" s="15"/>
      <c r="H8" s="10"/>
    </row>
    <row r="9" spans="1:11" ht="15.75" thickBot="1" x14ac:dyDescent="0.3">
      <c r="A9" s="31" t="s">
        <v>88</v>
      </c>
      <c r="B9" s="32"/>
      <c r="C9" s="32"/>
      <c r="D9" s="32"/>
      <c r="E9" s="1" t="s">
        <v>94</v>
      </c>
      <c r="F9" s="15"/>
      <c r="G9" s="15"/>
      <c r="H9" s="10">
        <f>SUM(F5:F8)</f>
        <v>10232850</v>
      </c>
    </row>
    <row r="10" spans="1:11" ht="16.5" thickTop="1" thickBot="1" x14ac:dyDescent="0.3">
      <c r="A10" s="1"/>
      <c r="B10" s="15"/>
      <c r="C10" s="15"/>
      <c r="D10" s="15"/>
      <c r="E10" s="121" t="s">
        <v>87</v>
      </c>
      <c r="F10" s="122"/>
      <c r="G10" s="122"/>
      <c r="H10" s="123"/>
    </row>
    <row r="11" spans="1:11" ht="16.5" thickTop="1" thickBot="1" x14ac:dyDescent="0.3">
      <c r="A11" s="1"/>
      <c r="B11" s="15"/>
      <c r="C11" s="15"/>
      <c r="D11" s="15"/>
      <c r="E11" s="1" t="s">
        <v>122</v>
      </c>
      <c r="F11" s="15"/>
      <c r="G11" s="15"/>
      <c r="H11" s="10">
        <v>2500000</v>
      </c>
    </row>
    <row r="12" spans="1:11" ht="27.75" thickTop="1" thickBot="1" x14ac:dyDescent="0.45">
      <c r="A12" s="106" t="s">
        <v>82</v>
      </c>
      <c r="B12" s="107"/>
      <c r="C12" s="107"/>
      <c r="D12" s="107"/>
      <c r="E12" s="108" t="s">
        <v>95</v>
      </c>
      <c r="F12" s="109"/>
      <c r="G12" s="109"/>
      <c r="H12" s="110"/>
    </row>
    <row r="13" spans="1:11" ht="15.75" thickTop="1" x14ac:dyDescent="0.25">
      <c r="A13" s="1" t="s">
        <v>83</v>
      </c>
      <c r="B13" s="15">
        <v>832500</v>
      </c>
      <c r="C13" s="15"/>
      <c r="D13" s="15"/>
      <c r="E13" s="1" t="s">
        <v>96</v>
      </c>
      <c r="F13" s="15">
        <v>25000000</v>
      </c>
      <c r="G13" s="15"/>
      <c r="H13" s="10"/>
    </row>
    <row r="14" spans="1:11" x14ac:dyDescent="0.25">
      <c r="A14" s="1" t="s">
        <v>86</v>
      </c>
      <c r="B14" s="15">
        <v>352000</v>
      </c>
      <c r="C14" s="15"/>
      <c r="D14" s="15"/>
      <c r="E14" s="1" t="s">
        <v>97</v>
      </c>
      <c r="F14" s="15">
        <v>6610220</v>
      </c>
      <c r="G14" s="15"/>
      <c r="H14" s="10"/>
    </row>
    <row r="15" spans="1:11" x14ac:dyDescent="0.25">
      <c r="A15" s="1" t="s">
        <v>84</v>
      </c>
      <c r="B15" s="15">
        <v>95600</v>
      </c>
      <c r="C15" s="15"/>
      <c r="D15" s="15"/>
      <c r="E15" s="1"/>
      <c r="F15" s="15"/>
      <c r="G15" s="15"/>
      <c r="H15" s="10"/>
    </row>
    <row r="16" spans="1:11" x14ac:dyDescent="0.25">
      <c r="A16" s="1" t="s">
        <v>85</v>
      </c>
      <c r="B16" s="15">
        <v>95500</v>
      </c>
      <c r="C16" s="15"/>
      <c r="D16" s="15"/>
      <c r="E16" s="1"/>
      <c r="F16" s="15"/>
      <c r="G16" s="15"/>
      <c r="H16" s="10"/>
    </row>
    <row r="17" spans="1:8" x14ac:dyDescent="0.25">
      <c r="A17" s="1" t="s">
        <v>121</v>
      </c>
      <c r="B17" s="15">
        <v>10000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29" t="s">
        <v>90</v>
      </c>
      <c r="B18" s="33"/>
      <c r="C18" s="33"/>
      <c r="D18" s="33">
        <f>B13-B14+B15-B16+B17</f>
        <v>490600</v>
      </c>
      <c r="E18" s="29"/>
      <c r="F18" s="33"/>
      <c r="G18" s="33"/>
      <c r="H18" s="34">
        <f>SUM(F13:F17)</f>
        <v>31610220</v>
      </c>
    </row>
    <row r="19" spans="1:8" ht="15.75" thickBot="1" x14ac:dyDescent="0.3">
      <c r="A19" s="35" t="s">
        <v>89</v>
      </c>
      <c r="B19" s="111">
        <f>SUM(D8+D18)</f>
        <v>44343072</v>
      </c>
      <c r="C19" s="112"/>
      <c r="D19" s="112"/>
      <c r="E19" s="30" t="s">
        <v>91</v>
      </c>
      <c r="F19" s="124">
        <f>H9+H18+H11</f>
        <v>44343070</v>
      </c>
      <c r="G19" s="124"/>
      <c r="H19" s="125"/>
    </row>
    <row r="21" spans="1:8" x14ac:dyDescent="0.25">
      <c r="D21" s="38"/>
    </row>
    <row r="22" spans="1:8" ht="15.75" thickBot="1" x14ac:dyDescent="0.3">
      <c r="A22" s="36"/>
      <c r="B22" s="36"/>
      <c r="C22" s="36"/>
      <c r="D22" s="36"/>
      <c r="E22" s="36"/>
      <c r="F22" s="36"/>
      <c r="G22" s="36"/>
      <c r="H22" s="36"/>
    </row>
    <row r="23" spans="1:8" x14ac:dyDescent="0.25">
      <c r="A23" s="126" t="s">
        <v>185</v>
      </c>
      <c r="B23" s="127"/>
      <c r="C23" s="127"/>
      <c r="D23" s="127"/>
      <c r="E23" s="127"/>
      <c r="F23" s="127"/>
      <c r="G23" s="127"/>
      <c r="H23" s="128"/>
    </row>
    <row r="24" spans="1:8" ht="15.75" thickBot="1" x14ac:dyDescent="0.3">
      <c r="A24" s="113" t="s">
        <v>186</v>
      </c>
      <c r="B24" s="114"/>
      <c r="C24" s="114"/>
      <c r="D24" s="114"/>
      <c r="E24" s="114"/>
      <c r="F24" s="114"/>
      <c r="G24" s="114"/>
      <c r="H24" s="115"/>
    </row>
    <row r="25" spans="1:8" ht="27" thickBot="1" x14ac:dyDescent="0.45">
      <c r="A25" s="116" t="s">
        <v>74</v>
      </c>
      <c r="B25" s="117"/>
      <c r="C25" s="117"/>
      <c r="D25" s="117"/>
      <c r="E25" s="118" t="s">
        <v>75</v>
      </c>
      <c r="F25" s="119"/>
      <c r="G25" s="119"/>
      <c r="H25" s="120"/>
    </row>
    <row r="26" spans="1:8" ht="16.5" thickTop="1" thickBot="1" x14ac:dyDescent="0.3">
      <c r="A26" s="106" t="s">
        <v>77</v>
      </c>
      <c r="B26" s="107"/>
      <c r="C26" s="107"/>
      <c r="D26" s="107"/>
      <c r="E26" s="121" t="s">
        <v>76</v>
      </c>
      <c r="F26" s="122"/>
      <c r="G26" s="122"/>
      <c r="H26" s="123"/>
    </row>
    <row r="27" spans="1:8" ht="16.5" thickTop="1" x14ac:dyDescent="0.25">
      <c r="A27" s="1" t="s">
        <v>78</v>
      </c>
      <c r="B27" s="15" t="e">
        <f>'Caja,CxC,CxP'!E34</f>
        <v>#DIV/0!</v>
      </c>
      <c r="C27" s="129" t="s">
        <v>168</v>
      </c>
      <c r="D27" s="15"/>
      <c r="E27" s="1" t="s">
        <v>92</v>
      </c>
      <c r="F27" s="15">
        <f>F5-'Caja,CxC,CxP'!D28</f>
        <v>100000</v>
      </c>
      <c r="G27" s="129" t="s">
        <v>175</v>
      </c>
      <c r="H27" s="10"/>
    </row>
    <row r="28" spans="1:8" ht="189" x14ac:dyDescent="0.25">
      <c r="A28" s="1" t="s">
        <v>79</v>
      </c>
      <c r="B28" s="15">
        <v>25188800</v>
      </c>
      <c r="C28" s="133" t="s">
        <v>169</v>
      </c>
      <c r="D28" s="15"/>
      <c r="E28" s="1" t="s">
        <v>93</v>
      </c>
      <c r="F28" s="15" t="e">
        <f>Presupuestos!D93</f>
        <v>#DIV/0!</v>
      </c>
      <c r="G28" s="129" t="s">
        <v>172</v>
      </c>
      <c r="H28" s="10"/>
    </row>
    <row r="29" spans="1:8" ht="15.75" x14ac:dyDescent="0.25">
      <c r="A29" s="1" t="s">
        <v>80</v>
      </c>
      <c r="B29" s="15" t="e">
        <f>Presupuestos!D96</f>
        <v>#DIV/0!</v>
      </c>
      <c r="C29" s="129" t="s">
        <v>170</v>
      </c>
      <c r="D29" s="15"/>
      <c r="E29" s="1" t="s">
        <v>123</v>
      </c>
      <c r="F29" s="15">
        <f>'Caja,CxC,CxP'!G65</f>
        <v>0</v>
      </c>
      <c r="H29" s="10"/>
    </row>
    <row r="30" spans="1:8" ht="15.75" x14ac:dyDescent="0.25">
      <c r="A30" s="1" t="s">
        <v>81</v>
      </c>
      <c r="B30" s="15">
        <f>Presupuestos!D26*Presupuestos!D59</f>
        <v>0</v>
      </c>
      <c r="C30" s="15"/>
      <c r="D30" s="15" t="e">
        <f>SUM(B27:B30)</f>
        <v>#DIV/0!</v>
      </c>
      <c r="E30" s="1" t="s">
        <v>176</v>
      </c>
      <c r="F30" s="15"/>
      <c r="G30" s="129" t="s">
        <v>172</v>
      </c>
      <c r="H30" s="10"/>
    </row>
    <row r="31" spans="1:8" x14ac:dyDescent="0.25">
      <c r="A31" s="1"/>
      <c r="B31" s="15"/>
      <c r="C31" s="15"/>
      <c r="D31" s="15"/>
      <c r="E31" s="1" t="s">
        <v>177</v>
      </c>
      <c r="F31" s="15"/>
      <c r="G31" s="15"/>
      <c r="H31" s="10"/>
    </row>
    <row r="32" spans="1:8" ht="16.5" thickBot="1" x14ac:dyDescent="0.3">
      <c r="A32" s="31" t="s">
        <v>88</v>
      </c>
      <c r="B32" s="32"/>
      <c r="C32" s="32"/>
      <c r="D32" s="32"/>
      <c r="E32" s="12" t="s">
        <v>178</v>
      </c>
      <c r="F32" s="15"/>
      <c r="G32" s="134" t="s">
        <v>181</v>
      </c>
      <c r="H32" s="10" t="e">
        <f>SUM(F27:F30)</f>
        <v>#DIV/0!</v>
      </c>
    </row>
    <row r="33" spans="1:8" ht="17.25" thickTop="1" thickBot="1" x14ac:dyDescent="0.3">
      <c r="A33" s="1"/>
      <c r="B33" s="129" t="s">
        <v>171</v>
      </c>
      <c r="C33" s="15"/>
      <c r="D33" s="15"/>
      <c r="E33" s="121" t="s">
        <v>87</v>
      </c>
      <c r="F33" s="122"/>
      <c r="G33" s="122"/>
      <c r="H33" s="123"/>
    </row>
    <row r="34" spans="1:8" ht="15.75" thickTop="1" x14ac:dyDescent="0.25">
      <c r="A34" s="1"/>
      <c r="B34" s="15"/>
      <c r="C34" s="15"/>
      <c r="D34" s="15"/>
      <c r="E34" s="72" t="s">
        <v>122</v>
      </c>
      <c r="F34" s="74">
        <v>1250000</v>
      </c>
      <c r="G34" s="56"/>
      <c r="H34" s="71"/>
    </row>
    <row r="35" spans="1:8" ht="15.75" x14ac:dyDescent="0.25">
      <c r="A35" s="1"/>
      <c r="B35" s="15"/>
      <c r="C35" s="15"/>
      <c r="D35" s="15"/>
      <c r="E35" s="72" t="s">
        <v>127</v>
      </c>
      <c r="F35" s="74" t="e">
        <f>'Caja,CxC,CxP'!E33</f>
        <v>#DIV/0!</v>
      </c>
      <c r="G35" s="134" t="s">
        <v>182</v>
      </c>
      <c r="H35" s="71"/>
    </row>
    <row r="36" spans="1:8" x14ac:dyDescent="0.25">
      <c r="A36" s="1"/>
      <c r="B36" s="15"/>
      <c r="C36" s="15"/>
      <c r="D36" s="15"/>
      <c r="E36" s="72"/>
      <c r="F36" s="74"/>
      <c r="G36" s="56"/>
      <c r="H36" s="71"/>
    </row>
    <row r="37" spans="1:8" ht="15.75" thickBot="1" x14ac:dyDescent="0.3">
      <c r="A37" s="1"/>
      <c r="B37" s="15"/>
      <c r="C37" s="15"/>
      <c r="D37" s="15"/>
      <c r="E37" s="73" t="s">
        <v>179</v>
      </c>
      <c r="F37" s="15"/>
      <c r="G37" s="15"/>
      <c r="H37" s="10" t="e">
        <f>F34+F35</f>
        <v>#DIV/0!</v>
      </c>
    </row>
    <row r="38" spans="1:8" ht="27.75" thickTop="1" thickBot="1" x14ac:dyDescent="0.45">
      <c r="A38" s="106" t="s">
        <v>82</v>
      </c>
      <c r="B38" s="107"/>
      <c r="C38" s="107"/>
      <c r="D38" s="107"/>
      <c r="E38" s="108" t="s">
        <v>95</v>
      </c>
      <c r="F38" s="109"/>
      <c r="G38" s="109"/>
      <c r="H38" s="110"/>
    </row>
    <row r="39" spans="1:8" ht="16.5" thickTop="1" x14ac:dyDescent="0.25">
      <c r="A39" s="1" t="s">
        <v>83</v>
      </c>
      <c r="B39" s="15">
        <f>832500</f>
        <v>832500</v>
      </c>
      <c r="C39" s="129" t="s">
        <v>172</v>
      </c>
      <c r="D39" s="15"/>
      <c r="E39" s="1" t="s">
        <v>96</v>
      </c>
      <c r="F39" s="15">
        <v>25000000</v>
      </c>
      <c r="G39" s="15"/>
      <c r="H39" s="10"/>
    </row>
    <row r="40" spans="1:8" ht="15.75" x14ac:dyDescent="0.25">
      <c r="A40" s="1" t="s">
        <v>86</v>
      </c>
      <c r="B40" s="15">
        <f>B14+7500</f>
        <v>359500</v>
      </c>
      <c r="C40" s="15">
        <f>B39-B40</f>
        <v>473000</v>
      </c>
      <c r="D40" s="129" t="s">
        <v>173</v>
      </c>
      <c r="E40" s="1" t="s">
        <v>97</v>
      </c>
      <c r="F40" s="15">
        <v>6610220</v>
      </c>
      <c r="G40" s="15"/>
      <c r="H40" s="10"/>
    </row>
    <row r="41" spans="1:8" x14ac:dyDescent="0.25">
      <c r="A41" s="1" t="s">
        <v>84</v>
      </c>
      <c r="B41" s="15">
        <f>B15</f>
        <v>95600</v>
      </c>
      <c r="C41" s="15"/>
      <c r="D41" s="15"/>
      <c r="E41" s="1" t="s">
        <v>124</v>
      </c>
      <c r="F41" s="15" t="e">
        <f>Presupuestos!#REF!</f>
        <v>#REF!</v>
      </c>
      <c r="G41" s="15"/>
      <c r="H41" s="10"/>
    </row>
    <row r="42" spans="1:8" ht="15.75" x14ac:dyDescent="0.25">
      <c r="A42" s="1" t="s">
        <v>85</v>
      </c>
      <c r="B42" s="15">
        <f>B16</f>
        <v>95500</v>
      </c>
      <c r="C42" s="15">
        <f>B41-B42</f>
        <v>100</v>
      </c>
      <c r="D42" s="129" t="s">
        <v>174</v>
      </c>
      <c r="E42" s="1"/>
      <c r="F42" s="15"/>
      <c r="G42" s="15"/>
      <c r="H42" s="10"/>
    </row>
    <row r="43" spans="1:8" x14ac:dyDescent="0.25">
      <c r="A43" s="1" t="s">
        <v>187</v>
      </c>
      <c r="B43" s="15"/>
      <c r="C43" s="15">
        <v>10000</v>
      </c>
      <c r="D43" s="15"/>
      <c r="E43" s="1"/>
      <c r="F43" s="15"/>
      <c r="G43" s="15"/>
      <c r="H43" s="10"/>
    </row>
    <row r="44" spans="1:8" ht="15.75" x14ac:dyDescent="0.25">
      <c r="A44" s="1" t="s">
        <v>188</v>
      </c>
      <c r="B44" s="15"/>
      <c r="C44" s="15">
        <v>2500000</v>
      </c>
      <c r="D44" s="15"/>
      <c r="E44" s="1"/>
      <c r="F44" s="15"/>
      <c r="G44" s="15"/>
      <c r="H44" s="135" t="s">
        <v>183</v>
      </c>
    </row>
    <row r="45" spans="1:8" ht="15.75" thickBot="1" x14ac:dyDescent="0.3">
      <c r="A45" s="29" t="s">
        <v>90</v>
      </c>
      <c r="B45" s="33"/>
      <c r="C45" s="33"/>
      <c r="D45" s="33">
        <f>C40+C42+C43+C44</f>
        <v>2983100</v>
      </c>
      <c r="E45" s="29" t="s">
        <v>180</v>
      </c>
      <c r="F45" s="33"/>
      <c r="G45" s="33"/>
      <c r="H45" s="34" t="e">
        <f>SUM(F39:F43)</f>
        <v>#REF!</v>
      </c>
    </row>
    <row r="46" spans="1:8" ht="15.75" thickBot="1" x14ac:dyDescent="0.3">
      <c r="A46" s="35" t="s">
        <v>89</v>
      </c>
      <c r="B46" s="111" t="e">
        <f>D30+D45</f>
        <v>#DIV/0!</v>
      </c>
      <c r="C46" s="112"/>
      <c r="D46" s="112"/>
      <c r="E46" s="30" t="s">
        <v>91</v>
      </c>
      <c r="F46" s="124" t="e">
        <f>H32+H37+H45</f>
        <v>#DIV/0!</v>
      </c>
      <c r="G46" s="124"/>
      <c r="H46" s="125"/>
    </row>
    <row r="47" spans="1:8" x14ac:dyDescent="0.25">
      <c r="A47" s="36"/>
      <c r="B47" s="36"/>
      <c r="C47" s="36"/>
      <c r="D47" s="36"/>
      <c r="E47" s="85" t="e">
        <f>B46-F46</f>
        <v>#DIV/0!</v>
      </c>
      <c r="F47" s="36"/>
      <c r="G47" s="36"/>
      <c r="H47" s="36"/>
    </row>
    <row r="49" spans="4:5" x14ac:dyDescent="0.25">
      <c r="D49" t="s">
        <v>184</v>
      </c>
      <c r="E49" s="136" t="e">
        <f>B46-F46</f>
        <v>#DIV/0!</v>
      </c>
    </row>
  </sheetData>
  <mergeCells count="22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8:D38"/>
    <mergeCell ref="E38:H38"/>
    <mergeCell ref="B46:D46"/>
    <mergeCell ref="A24:H24"/>
    <mergeCell ref="A25:D25"/>
    <mergeCell ref="E25:H25"/>
    <mergeCell ref="A26:D26"/>
    <mergeCell ref="E26:H26"/>
    <mergeCell ref="E33:H33"/>
    <mergeCell ref="F46:H4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Caja,CxC,CxP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2020-04-22T14:10:57Z</dcterms:modified>
</cp:coreProperties>
</file>