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Cost_Analysis-Notas___\tareas\"/>
    </mc:Choice>
  </mc:AlternateContent>
  <xr:revisionPtr revIDLastSave="0" documentId="13_ncr:1_{3F66FE30-4E17-47D5-937A-8177FDDF420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Ejercicio#10" sheetId="1" r:id="rId1"/>
    <sheet name="Ejercicio#11" sheetId="2" r:id="rId2"/>
    <sheet name="Ejercicio#1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3" l="1"/>
  <c r="D30" i="3"/>
  <c r="B42" i="3"/>
  <c r="F42" i="3"/>
  <c r="F38" i="3"/>
  <c r="H41" i="3" s="1"/>
  <c r="H34" i="3"/>
  <c r="F27" i="3"/>
  <c r="F28" i="3"/>
  <c r="F29" i="3"/>
  <c r="H31" i="3" s="1"/>
  <c r="B39" i="3"/>
  <c r="B38" i="3"/>
  <c r="B37" i="3"/>
  <c r="B36" i="3"/>
  <c r="B30" i="3"/>
  <c r="B29" i="3"/>
  <c r="B28" i="3"/>
  <c r="B27" i="3"/>
  <c r="D18" i="3"/>
  <c r="F19" i="3"/>
  <c r="E26" i="2"/>
  <c r="E25" i="2"/>
  <c r="D25" i="2"/>
  <c r="D28" i="2"/>
  <c r="C27" i="2"/>
  <c r="D21" i="2"/>
  <c r="E21" i="2"/>
  <c r="C21" i="2"/>
  <c r="D20" i="2"/>
  <c r="E20" i="2"/>
  <c r="C20" i="2"/>
  <c r="D19" i="2"/>
  <c r="E19" i="2"/>
  <c r="C19" i="2"/>
  <c r="D18" i="2"/>
  <c r="E18" i="2"/>
  <c r="C18" i="2"/>
  <c r="C4" i="2"/>
  <c r="C62" i="2"/>
  <c r="C17" i="2" s="1"/>
  <c r="D55" i="2"/>
  <c r="D56" i="2" s="1"/>
  <c r="E61" i="2" s="1"/>
  <c r="E62" i="2" s="1"/>
  <c r="E17" i="2" s="1"/>
  <c r="E55" i="2"/>
  <c r="E56" i="2" s="1"/>
  <c r="C55" i="2"/>
  <c r="C56" i="2" s="1"/>
  <c r="D60" i="2" s="1"/>
  <c r="D62" i="2" s="1"/>
  <c r="D17" i="2" s="1"/>
  <c r="E37" i="2"/>
  <c r="E39" i="2" s="1"/>
  <c r="E38" i="2" s="1"/>
  <c r="G44" i="2" s="1"/>
  <c r="C49" i="2"/>
  <c r="G37" i="2"/>
  <c r="G39" i="2" s="1"/>
  <c r="D8" i="2" s="1"/>
  <c r="H37" i="2"/>
  <c r="H39" i="2" s="1"/>
  <c r="E8" i="2" s="1"/>
  <c r="F37" i="2"/>
  <c r="F39" i="2" s="1"/>
  <c r="F38" i="2" s="1"/>
  <c r="D37" i="2"/>
  <c r="D39" i="2" s="1"/>
  <c r="D38" i="2" s="1"/>
  <c r="C37" i="2"/>
  <c r="C39" i="2" s="1"/>
  <c r="B53" i="1"/>
  <c r="D78" i="1"/>
  <c r="D80" i="1" s="1"/>
  <c r="D82" i="1" s="1"/>
  <c r="C78" i="1"/>
  <c r="C80" i="1" s="1"/>
  <c r="C82" i="1" s="1"/>
  <c r="B78" i="1"/>
  <c r="B80" i="1"/>
  <c r="B82" i="1" s="1"/>
  <c r="D79" i="1"/>
  <c r="B81" i="1"/>
  <c r="C91" i="1"/>
  <c r="D91" i="1"/>
  <c r="B91" i="1"/>
  <c r="D81" i="1"/>
  <c r="C81" i="1"/>
  <c r="C53" i="1"/>
  <c r="D53" i="1"/>
  <c r="C8" i="2" l="1"/>
  <c r="C57" i="2"/>
  <c r="C16" i="2" s="1"/>
  <c r="C22" i="2" s="1"/>
  <c r="C29" i="2" s="1"/>
  <c r="E57" i="2"/>
  <c r="E16" i="2" s="1"/>
  <c r="E22" i="2" s="1"/>
  <c r="E29" i="2" s="1"/>
  <c r="D57" i="2"/>
  <c r="D16" i="2" s="1"/>
  <c r="D22" i="2" s="1"/>
  <c r="D29" i="2" s="1"/>
  <c r="G45" i="2"/>
  <c r="H45" i="2"/>
  <c r="E43" i="2"/>
  <c r="G43" i="2"/>
  <c r="F43" i="2"/>
  <c r="C38" i="2"/>
  <c r="H38" i="2"/>
  <c r="G38" i="2"/>
  <c r="H46" i="2" s="1"/>
  <c r="C87" i="1"/>
  <c r="D87" i="1"/>
  <c r="B87" i="1"/>
  <c r="E42" i="2" l="1"/>
  <c r="E49" i="2" s="1"/>
  <c r="D42" i="2"/>
  <c r="D49" i="2" s="1"/>
  <c r="F42" i="2"/>
  <c r="G49" i="2"/>
  <c r="D9" i="2" s="1"/>
  <c r="D10" i="2" s="1"/>
  <c r="F44" i="2"/>
  <c r="H44" i="2"/>
  <c r="H49" i="2" s="1"/>
  <c r="E9" i="2" s="1"/>
  <c r="E10" i="2" s="1"/>
  <c r="C92" i="1"/>
  <c r="D92" i="1"/>
  <c r="B92" i="1"/>
  <c r="C51" i="1"/>
  <c r="D51" i="1"/>
  <c r="B51" i="1"/>
  <c r="C46" i="1"/>
  <c r="B46" i="1"/>
  <c r="D44" i="1"/>
  <c r="C44" i="1"/>
  <c r="B44" i="1"/>
  <c r="D26" i="1"/>
  <c r="D18" i="1"/>
  <c r="C18" i="1"/>
  <c r="D9" i="1"/>
  <c r="D15" i="1" s="1"/>
  <c r="D17" i="1" s="1"/>
  <c r="D19" i="1" s="1"/>
  <c r="L9" i="1"/>
  <c r="C9" i="1" s="1"/>
  <c r="L10" i="1"/>
  <c r="L8" i="1"/>
  <c r="B9" i="1" s="1"/>
  <c r="E12" i="2" l="1"/>
  <c r="E31" i="2" s="1"/>
  <c r="F49" i="2"/>
  <c r="C9" i="2" s="1"/>
  <c r="C10" i="2" s="1"/>
  <c r="C12" i="2" s="1"/>
  <c r="C31" i="2" s="1"/>
  <c r="D4" i="2" s="1"/>
  <c r="D12" i="2" s="1"/>
  <c r="D31" i="2" s="1"/>
  <c r="E4" i="2" s="1"/>
  <c r="B11" i="1"/>
  <c r="B15" i="1"/>
  <c r="B17" i="1" s="1"/>
  <c r="B19" i="1" s="1"/>
  <c r="C11" i="1"/>
  <c r="C15" i="1"/>
  <c r="C17" i="1" s="1"/>
  <c r="C19" i="1" s="1"/>
  <c r="D43" i="1"/>
  <c r="D45" i="1" s="1"/>
  <c r="D35" i="1"/>
  <c r="D23" i="1"/>
  <c r="D63" i="1"/>
  <c r="D28" i="1" l="1"/>
  <c r="D58" i="1" s="1"/>
  <c r="D60" i="1" s="1"/>
  <c r="C26" i="1"/>
  <c r="C63" i="1" s="1"/>
  <c r="D25" i="1"/>
  <c r="D27" i="1" s="1"/>
  <c r="D29" i="1" s="1"/>
  <c r="D31" i="1" s="1"/>
  <c r="D61" i="1" s="1"/>
  <c r="D73" i="1"/>
  <c r="D37" i="1"/>
  <c r="D39" i="1" s="1"/>
  <c r="D50" i="1"/>
  <c r="D52" i="1" s="1"/>
  <c r="D54" i="1" s="1"/>
  <c r="D71" i="1" s="1"/>
  <c r="D47" i="1"/>
  <c r="D70" i="1" s="1"/>
  <c r="C35" i="1"/>
  <c r="C43" i="1"/>
  <c r="C45" i="1" s="1"/>
  <c r="C23" i="1"/>
  <c r="B23" i="1"/>
  <c r="B35" i="1"/>
  <c r="B43" i="1"/>
  <c r="B45" i="1" s="1"/>
  <c r="H18" i="3"/>
  <c r="B73" i="1" l="1"/>
  <c r="B37" i="1"/>
  <c r="B39" i="1" s="1"/>
  <c r="C50" i="1"/>
  <c r="C52" i="1" s="1"/>
  <c r="C54" i="1" s="1"/>
  <c r="C71" i="1" s="1"/>
  <c r="C47" i="1"/>
  <c r="C70" i="1" s="1"/>
  <c r="C73" i="1"/>
  <c r="C37" i="1"/>
  <c r="C39" i="1" s="1"/>
  <c r="B28" i="1"/>
  <c r="B25" i="1"/>
  <c r="B27" i="1" s="1"/>
  <c r="B26" i="1"/>
  <c r="B63" i="1" s="1"/>
  <c r="C25" i="1"/>
  <c r="C27" i="1" s="1"/>
  <c r="C28" i="1"/>
  <c r="C58" i="1" s="1"/>
  <c r="C60" i="1" s="1"/>
  <c r="B47" i="1"/>
  <c r="B70" i="1" s="1"/>
  <c r="B50" i="1"/>
  <c r="B52" i="1" s="1"/>
  <c r="B54" i="1" s="1"/>
  <c r="B71" i="1" s="1"/>
  <c r="D62" i="1"/>
  <c r="D65" i="1" s="1"/>
  <c r="D69" i="1" s="1"/>
  <c r="C29" i="1" l="1"/>
  <c r="C31" i="1" s="1"/>
  <c r="C61" i="1" s="1"/>
  <c r="C62" i="1" s="1"/>
  <c r="C65" i="1" s="1"/>
  <c r="C69" i="1" s="1"/>
  <c r="C72" i="1" s="1"/>
  <c r="B29" i="1"/>
  <c r="B31" i="1" s="1"/>
  <c r="B61" i="1" s="1"/>
  <c r="B58" i="1"/>
  <c r="B60" i="1" s="1"/>
  <c r="B62" i="1" s="1"/>
  <c r="B65" i="1" s="1"/>
  <c r="B69" i="1" s="1"/>
  <c r="B72" i="1" s="1"/>
  <c r="C74" i="1" l="1"/>
  <c r="C79" i="1"/>
  <c r="B74" i="1"/>
  <c r="B79" i="1"/>
  <c r="D11" i="1"/>
  <c r="C97" i="1" l="1"/>
  <c r="C88" i="1"/>
  <c r="C89" i="1" s="1"/>
  <c r="B97" i="1"/>
  <c r="C93" i="1" l="1"/>
  <c r="C94" i="1" s="1"/>
  <c r="C95" i="1" s="1"/>
  <c r="B88" i="1" l="1"/>
  <c r="B89" i="1" s="1"/>
  <c r="B93" i="1" s="1"/>
  <c r="B94" i="1" s="1"/>
  <c r="B95" i="1" s="1"/>
  <c r="D72" i="1"/>
  <c r="D74" i="1" l="1"/>
  <c r="D97" i="1" s="1"/>
  <c r="D8" i="3" s="1"/>
  <c r="B19" i="3" s="1"/>
  <c r="D88" i="1"/>
  <c r="D89" i="1" s="1"/>
  <c r="D93" i="1" s="1"/>
  <c r="D94" i="1" l="1"/>
  <c r="D95" i="1" s="1"/>
  <c r="E95" i="1" s="1"/>
  <c r="H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D24" authorId="0" shapeId="0" xr:uid="{DEAEC656-0EC1-4C50-871C-7C0742CB23F9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Lo dice el problema</t>
        </r>
      </text>
    </comment>
    <comment ref="B28" authorId="0" shapeId="0" xr:uid="{A96C08C6-FFA8-4FCB-9827-1B872D676427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No hay nada que halar, será el 55% del mes siguiente</t>
        </r>
      </text>
    </comment>
    <comment ref="A44" authorId="0" shapeId="0" xr:uid="{9EE325E3-2C67-4CCA-8695-B9F86947904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Horas hombre necesarias para la producción de las unidades requeridas.</t>
        </r>
      </text>
    </comment>
    <comment ref="D44" authorId="0" shapeId="0" xr:uid="{8FDDA5E0-E183-4B0E-8D72-58E87739019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1 unidad por cada hora hombre
</t>
        </r>
      </text>
    </comment>
    <comment ref="D51" authorId="0" shapeId="0" xr:uid="{BA25420D-16D3-4497-B6B3-73EDFFC68F9A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Nos dan el resultado pero no el costo entonces es una incognita a encontrar?
</t>
        </r>
      </text>
    </comment>
    <comment ref="B53" authorId="0" shapeId="0" xr:uid="{36C9D152-2578-479F-A3E3-DF4D9F87FA2E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Depreciaciones 
Impuestos
Seguros
Otros gastos indirectos
Mano de obra directa 
Supervisión 
Gastos de mantenimiento
Calefacción</t>
        </r>
      </text>
    </comment>
    <comment ref="B58" authorId="0" shapeId="0" xr:uid="{185029E1-803D-4D46-A16D-BA416144E0E0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Se obtiene de el inventario inicial</t>
        </r>
      </text>
    </comment>
    <comment ref="A78" authorId="0" shapeId="0" xr:uid="{3160EAB5-62EB-4A0C-AFDB-43898E338D7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Inventario final deseado del presupuesto de producción por el costo unitario
</t>
        </r>
      </text>
    </comment>
    <comment ref="D78" authorId="0" shapeId="0" xr:uid="{110A1F06-5A9E-44AA-98E9-4AD141A28927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Por que las unidades del mes pasado valían diez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F14" authorId="0" shapeId="0" xr:uid="{C8A3DAB9-372D-4472-89A3-425783C912FB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Utilidade retendias - dividendos</t>
        </r>
      </text>
    </comment>
    <comment ref="F37" authorId="0" shapeId="0" xr:uid="{A04F1A9F-B184-4957-85BF-94E86653F7A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Utilidade retendias - dividendos</t>
        </r>
      </text>
    </comment>
  </commentList>
</comments>
</file>

<file path=xl/sharedStrings.xml><?xml version="1.0" encoding="utf-8"?>
<sst xmlns="http://schemas.openxmlformats.org/spreadsheetml/2006/main" count="226" uniqueCount="138">
  <si>
    <t>Presupuesto de ventas</t>
  </si>
  <si>
    <t>Precio unitario</t>
  </si>
  <si>
    <t>Presupuesto de ventas en dinero</t>
  </si>
  <si>
    <t>Presupuesto de producción</t>
  </si>
  <si>
    <t>Unidades a producir</t>
  </si>
  <si>
    <t>(+) Inventario final deseado</t>
  </si>
  <si>
    <t>Necesidades en unidades</t>
  </si>
  <si>
    <t>(-) Inventario inicial deseado</t>
  </si>
  <si>
    <t>Presupuesto de producción en unidades</t>
  </si>
  <si>
    <t>Presupuesto de compra de materiales directos</t>
  </si>
  <si>
    <t>Unidades de material requerido</t>
  </si>
  <si>
    <t>Materiales para la producción</t>
  </si>
  <si>
    <t>Unidades de material requerido para la producción</t>
  </si>
  <si>
    <t>Prespuesto de compra en unidades</t>
  </si>
  <si>
    <t>Costo unitario</t>
  </si>
  <si>
    <t>Prespuesto de compras en dinero</t>
  </si>
  <si>
    <t>Presupuesto de consumo de materiales directos</t>
  </si>
  <si>
    <t>Presupuesto de mano de obra directa</t>
  </si>
  <si>
    <t>HH necesarias para producir</t>
  </si>
  <si>
    <t>Total de HH para producir</t>
  </si>
  <si>
    <t>Costo por H</t>
  </si>
  <si>
    <t>Presupuesto por mano de obra directa</t>
  </si>
  <si>
    <t>Presupuesto de costos indirectos de fabricación</t>
  </si>
  <si>
    <t>Inventario inicial de materiales directos</t>
  </si>
  <si>
    <t>(+) Compras</t>
  </si>
  <si>
    <t>Precio de compra</t>
  </si>
  <si>
    <t>Materiales directos disponibles</t>
  </si>
  <si>
    <t>(-) Inventario Final deseado</t>
  </si>
  <si>
    <t>Presupuesto de costo de materiales directos</t>
  </si>
  <si>
    <t>(+) Costos y gastos fijos</t>
  </si>
  <si>
    <t>Producción de materiales directos</t>
  </si>
  <si>
    <t>Presupuesto de costo de producción</t>
  </si>
  <si>
    <t>Presupuesto de costo de material directo</t>
  </si>
  <si>
    <t>Presupuesto de Mano de Obra Directa</t>
  </si>
  <si>
    <t>Presupuesto de costos de producción</t>
  </si>
  <si>
    <t>Costo de producción por unidad</t>
  </si>
  <si>
    <t>Presupuesto de costo de ventas</t>
  </si>
  <si>
    <t>Inventario inicial de producto terminado</t>
  </si>
  <si>
    <t>Unidades disponible para la venta</t>
  </si>
  <si>
    <t>(-) Inventario final deseado de producto terminado</t>
  </si>
  <si>
    <t>Estado de resultados proyectado para próximo mes</t>
  </si>
  <si>
    <t>Ventas</t>
  </si>
  <si>
    <t>(-) Costo de ventas</t>
  </si>
  <si>
    <t>Utilidad Bruta en ventas</t>
  </si>
  <si>
    <t>(-) Gastos de operación</t>
  </si>
  <si>
    <t>Gastos de administración</t>
  </si>
  <si>
    <t>Gastos de venta</t>
  </si>
  <si>
    <t>Utilidad en operación</t>
  </si>
  <si>
    <t>ISR</t>
  </si>
  <si>
    <t xml:space="preserve">Utilidad netas </t>
  </si>
  <si>
    <t>El valor del inventario final de producto terminado es:</t>
  </si>
  <si>
    <t>Entradas</t>
  </si>
  <si>
    <t>Ventas al contado</t>
  </si>
  <si>
    <t>Ventas al crédito</t>
  </si>
  <si>
    <t>Total de ingresos</t>
  </si>
  <si>
    <t>Saldo disponible</t>
  </si>
  <si>
    <t>Egresos</t>
  </si>
  <si>
    <t>Pago a proveedores al contado</t>
  </si>
  <si>
    <t>Pago a proveedores al crédito</t>
  </si>
  <si>
    <t>Mano de obra directa</t>
  </si>
  <si>
    <t>Total de Egresos</t>
  </si>
  <si>
    <t>Caja</t>
  </si>
  <si>
    <t>Cuentas por Cobrar</t>
  </si>
  <si>
    <t>Presupuesto en ventas</t>
  </si>
  <si>
    <t>Cobros</t>
  </si>
  <si>
    <t>Ventas diciembre</t>
  </si>
  <si>
    <t>Presupuesto de cobros</t>
  </si>
  <si>
    <t>Cuentas por pagar</t>
  </si>
  <si>
    <t>Presupuesto en compras</t>
  </si>
  <si>
    <t>Pagos</t>
  </si>
  <si>
    <t>Presupuesto de pagos</t>
  </si>
  <si>
    <t>Otros gastos</t>
  </si>
  <si>
    <t>Total de egresos</t>
  </si>
  <si>
    <t>Saldo en caja</t>
  </si>
  <si>
    <t>Activos</t>
  </si>
  <si>
    <t>Pasivo</t>
  </si>
  <si>
    <t>Corriente:</t>
  </si>
  <si>
    <t>Corrientes:</t>
  </si>
  <si>
    <t>Caja y bancos</t>
  </si>
  <si>
    <t>Cuentas por cobrar</t>
  </si>
  <si>
    <t>Inventario de productos terminados</t>
  </si>
  <si>
    <t>Inventario de material directo</t>
  </si>
  <si>
    <t>No corrientes:</t>
  </si>
  <si>
    <t>Fábrica y maquinaria</t>
  </si>
  <si>
    <t>Mobiliaria y equipo</t>
  </si>
  <si>
    <t>(-) Depreciación acumulada de mobiliaria y equipo</t>
  </si>
  <si>
    <t>(-) Depreciación acumulada de fábrica y maquinaria</t>
  </si>
  <si>
    <t>No corriente:</t>
  </si>
  <si>
    <t>Total de activos corrientes:</t>
  </si>
  <si>
    <t>Total de activos:</t>
  </si>
  <si>
    <t>Total de activos no corrientes:</t>
  </si>
  <si>
    <t>Total de pasivo + capital:</t>
  </si>
  <si>
    <t>Proveedores</t>
  </si>
  <si>
    <t>Acreedores</t>
  </si>
  <si>
    <t>Total de pasivos corrientes:</t>
  </si>
  <si>
    <t>Capital:</t>
  </si>
  <si>
    <t>Capital pagado</t>
  </si>
  <si>
    <t>Utilidades retenidas</t>
  </si>
  <si>
    <t>Sector 1</t>
  </si>
  <si>
    <t>Sector 2</t>
  </si>
  <si>
    <t>Sector 3</t>
  </si>
  <si>
    <t xml:space="preserve">Sector 4 </t>
  </si>
  <si>
    <t>Sector 5</t>
  </si>
  <si>
    <t>Enero</t>
  </si>
  <si>
    <t>Febrero</t>
  </si>
  <si>
    <t>Marzo</t>
  </si>
  <si>
    <t>Total de costos y gastos variables</t>
  </si>
  <si>
    <t>Costos por HH de costos y gastos variables</t>
  </si>
  <si>
    <t>*** por que del inventario inicial</t>
  </si>
  <si>
    <t>Precio de compra de ese inventario</t>
  </si>
  <si>
    <t xml:space="preserve">Enero </t>
  </si>
  <si>
    <t>Ventas enero</t>
  </si>
  <si>
    <t>Ventas febrero</t>
  </si>
  <si>
    <t>Ventas marzo</t>
  </si>
  <si>
    <t>Ventas abril</t>
  </si>
  <si>
    <t>Pagos enero</t>
  </si>
  <si>
    <t>Pagos febrero</t>
  </si>
  <si>
    <t>**** por que 47? Pregunta</t>
  </si>
  <si>
    <t>Octubre</t>
  </si>
  <si>
    <t>Noviembre</t>
  </si>
  <si>
    <t>Diciembre</t>
  </si>
  <si>
    <t xml:space="preserve">Marzo </t>
  </si>
  <si>
    <t>Ventas Octubre</t>
  </si>
  <si>
    <t>Ventas Noviembre</t>
  </si>
  <si>
    <t>Compras al crédito</t>
  </si>
  <si>
    <t>Compras al contado</t>
  </si>
  <si>
    <t>Saldo inicial de caja</t>
  </si>
  <si>
    <t>Gastos indirectos de fabricación</t>
  </si>
  <si>
    <t>Préstamo</t>
  </si>
  <si>
    <t>Compra de maquinaria</t>
  </si>
  <si>
    <t>*** por que agarrar el del mes siguiente</t>
  </si>
  <si>
    <t>Empresa S.A.</t>
  </si>
  <si>
    <t>Balance general al 31 de diciembre de 2019</t>
  </si>
  <si>
    <t>Derecho de llave</t>
  </si>
  <si>
    <t>Prestamos a largo plazo</t>
  </si>
  <si>
    <t>Balance general al 31 de marzo de 2019</t>
  </si>
  <si>
    <t>ISR por pagar</t>
  </si>
  <si>
    <t>Utilidades netas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</si>
</sst>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Q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4" xfId="0" applyBorder="1"/>
    <xf numFmtId="0" fontId="0" fillId="0" borderId="5" xfId="0" applyBorder="1"/>
    <xf numFmtId="0" fontId="2" fillId="0" borderId="4" xfId="0" applyFont="1" applyFill="1" applyBorder="1"/>
    <xf numFmtId="0" fontId="0" fillId="0" borderId="8" xfId="0" applyBorder="1"/>
    <xf numFmtId="0" fontId="0" fillId="0" borderId="9" xfId="0" applyBorder="1"/>
    <xf numFmtId="0" fontId="3" fillId="2" borderId="2" xfId="0" applyFont="1" applyFill="1" applyBorder="1"/>
    <xf numFmtId="0" fontId="4" fillId="2" borderId="3" xfId="0" applyFont="1" applyFill="1" applyBorder="1"/>
    <xf numFmtId="0" fontId="1" fillId="0" borderId="6" xfId="0" applyFont="1" applyBorder="1"/>
    <xf numFmtId="164" fontId="1" fillId="0" borderId="7" xfId="0" applyNumberFormat="1" applyFont="1" applyBorder="1"/>
    <xf numFmtId="164" fontId="0" fillId="0" borderId="5" xfId="0" applyNumberFormat="1" applyBorder="1"/>
    <xf numFmtId="0" fontId="3" fillId="2" borderId="3" xfId="0" applyFont="1" applyFill="1" applyBorder="1"/>
    <xf numFmtId="0" fontId="0" fillId="0" borderId="4" xfId="0" applyFill="1" applyBorder="1"/>
    <xf numFmtId="0" fontId="0" fillId="0" borderId="8" xfId="0" applyFill="1" applyBorder="1"/>
    <xf numFmtId="0" fontId="1" fillId="0" borderId="6" xfId="0" applyFont="1" applyFill="1" applyBorder="1"/>
    <xf numFmtId="164" fontId="0" fillId="0" borderId="0" xfId="0" applyNumberFormat="1" applyBorder="1"/>
    <xf numFmtId="164" fontId="0" fillId="0" borderId="9" xfId="0" applyNumberFormat="1" applyBorder="1"/>
    <xf numFmtId="0" fontId="0" fillId="0" borderId="4" xfId="0" applyFont="1" applyBorder="1"/>
    <xf numFmtId="0" fontId="9" fillId="0" borderId="0" xfId="0" applyFont="1" applyAlignment="1"/>
    <xf numFmtId="0" fontId="0" fillId="0" borderId="12" xfId="0" applyBorder="1"/>
    <xf numFmtId="164" fontId="0" fillId="0" borderId="13" xfId="0" applyNumberFormat="1" applyBorder="1"/>
    <xf numFmtId="0" fontId="7" fillId="0" borderId="16" xfId="0" applyFont="1" applyBorder="1"/>
    <xf numFmtId="0" fontId="1" fillId="0" borderId="18" xfId="0" applyFont="1" applyBorder="1"/>
    <xf numFmtId="164" fontId="1" fillId="0" borderId="19" xfId="0" applyNumberFormat="1" applyFont="1" applyBorder="1"/>
    <xf numFmtId="0" fontId="1" fillId="0" borderId="20" xfId="0" applyFont="1" applyBorder="1"/>
    <xf numFmtId="164" fontId="1" fillId="0" borderId="21" xfId="0" applyNumberFormat="1" applyFont="1" applyBorder="1"/>
    <xf numFmtId="0" fontId="7" fillId="0" borderId="17" xfId="0" applyFont="1" applyBorder="1"/>
    <xf numFmtId="0" fontId="7" fillId="0" borderId="23" xfId="0" applyFont="1" applyBorder="1"/>
    <xf numFmtId="0" fontId="1" fillId="0" borderId="5" xfId="0" applyFont="1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26" xfId="0" applyBorder="1"/>
    <xf numFmtId="0" fontId="0" fillId="0" borderId="16" xfId="0" applyBorder="1"/>
    <xf numFmtId="164" fontId="0" fillId="0" borderId="1" xfId="0" applyNumberFormat="1" applyBorder="1"/>
    <xf numFmtId="164" fontId="0" fillId="0" borderId="26" xfId="0" applyNumberFormat="1" applyBorder="1"/>
    <xf numFmtId="164" fontId="0" fillId="0" borderId="11" xfId="0" applyNumberFormat="1" applyBorder="1"/>
    <xf numFmtId="0" fontId="0" fillId="0" borderId="10" xfId="0" applyFill="1" applyBorder="1"/>
    <xf numFmtId="0" fontId="0" fillId="0" borderId="0" xfId="0" applyBorder="1"/>
    <xf numFmtId="0" fontId="0" fillId="0" borderId="0" xfId="0" applyFill="1" applyBorder="1"/>
    <xf numFmtId="0" fontId="8" fillId="0" borderId="0" xfId="0" applyFont="1"/>
    <xf numFmtId="0" fontId="3" fillId="2" borderId="25" xfId="0" applyFont="1" applyFill="1" applyBorder="1"/>
    <xf numFmtId="0" fontId="0" fillId="0" borderId="33" xfId="0" applyBorder="1"/>
    <xf numFmtId="0" fontId="0" fillId="0" borderId="33" xfId="0" applyFill="1" applyBorder="1"/>
    <xf numFmtId="3" fontId="0" fillId="0" borderId="0" xfId="0" applyNumberFormat="1"/>
    <xf numFmtId="3" fontId="0" fillId="0" borderId="0" xfId="0" applyNumberFormat="1" applyBorder="1"/>
    <xf numFmtId="3" fontId="0" fillId="0" borderId="5" xfId="0" applyNumberFormat="1" applyBorder="1"/>
    <xf numFmtId="164" fontId="1" fillId="0" borderId="32" xfId="0" applyNumberFormat="1" applyFont="1" applyBorder="1"/>
    <xf numFmtId="3" fontId="0" fillId="0" borderId="33" xfId="0" applyNumberFormat="1" applyBorder="1"/>
    <xf numFmtId="3" fontId="1" fillId="0" borderId="32" xfId="0" applyNumberFormat="1" applyFont="1" applyBorder="1"/>
    <xf numFmtId="3" fontId="1" fillId="0" borderId="7" xfId="0" applyNumberFormat="1" applyFont="1" applyBorder="1"/>
    <xf numFmtId="164" fontId="0" fillId="0" borderId="0" xfId="0" applyNumberFormat="1" applyFill="1" applyBorder="1"/>
    <xf numFmtId="164" fontId="1" fillId="0" borderId="32" xfId="0" applyNumberFormat="1" applyFont="1" applyFill="1" applyBorder="1"/>
    <xf numFmtId="164" fontId="0" fillId="0" borderId="33" xfId="0" applyNumberFormat="1" applyBorder="1"/>
    <xf numFmtId="164" fontId="1" fillId="0" borderId="0" xfId="0" applyNumberFormat="1" applyFont="1"/>
    <xf numFmtId="0" fontId="7" fillId="0" borderId="1" xfId="0" applyFont="1" applyBorder="1"/>
    <xf numFmtId="0" fontId="1" fillId="0" borderId="0" xfId="0" applyFont="1" applyBorder="1"/>
    <xf numFmtId="164" fontId="1" fillId="0" borderId="34" xfId="0" applyNumberFormat="1" applyFont="1" applyBorder="1"/>
    <xf numFmtId="0" fontId="8" fillId="0" borderId="0" xfId="0" applyFont="1" applyBorder="1" applyAlignment="1">
      <alignment horizontal="center"/>
    </xf>
    <xf numFmtId="164" fontId="0" fillId="0" borderId="0" xfId="0" applyNumberFormat="1"/>
    <xf numFmtId="164" fontId="1" fillId="0" borderId="0" xfId="0" applyNumberFormat="1" applyFont="1" applyBorder="1"/>
    <xf numFmtId="0" fontId="7" fillId="0" borderId="0" xfId="0" applyFont="1" applyBorder="1"/>
    <xf numFmtId="0" fontId="1" fillId="0" borderId="0" xfId="0" applyFont="1" applyFill="1" applyBorder="1"/>
    <xf numFmtId="164" fontId="1" fillId="0" borderId="38" xfId="0" applyNumberFormat="1" applyFont="1" applyBorder="1"/>
    <xf numFmtId="164" fontId="0" fillId="0" borderId="27" xfId="0" applyNumberFormat="1" applyBorder="1"/>
    <xf numFmtId="164" fontId="1" fillId="0" borderId="7" xfId="0" applyNumberFormat="1" applyFont="1" applyFill="1" applyBorder="1"/>
    <xf numFmtId="0" fontId="10" fillId="0" borderId="0" xfId="0" applyFont="1" applyBorder="1" applyAlignment="1"/>
    <xf numFmtId="0" fontId="1" fillId="0" borderId="4" xfId="0" applyFont="1" applyBorder="1"/>
    <xf numFmtId="0" fontId="9" fillId="0" borderId="0" xfId="0" applyFont="1" applyBorder="1" applyAlignment="1"/>
    <xf numFmtId="164" fontId="0" fillId="0" borderId="36" xfId="0" applyNumberFormat="1" applyBorder="1"/>
    <xf numFmtId="164" fontId="0" fillId="0" borderId="34" xfId="0" applyNumberFormat="1" applyBorder="1"/>
    <xf numFmtId="164" fontId="1" fillId="0" borderId="35" xfId="0" applyNumberFormat="1" applyFont="1" applyBorder="1"/>
    <xf numFmtId="164" fontId="7" fillId="0" borderId="37" xfId="0" applyNumberFormat="1" applyFont="1" applyBorder="1"/>
    <xf numFmtId="164" fontId="7" fillId="0" borderId="24" xfId="0" applyNumberFormat="1" applyFont="1" applyBorder="1"/>
    <xf numFmtId="164" fontId="0" fillId="0" borderId="22" xfId="0" applyNumberFormat="1" applyBorder="1"/>
    <xf numFmtId="164" fontId="0" fillId="0" borderId="19" xfId="0" applyNumberFormat="1" applyBorder="1"/>
    <xf numFmtId="0" fontId="8" fillId="0" borderId="5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0" xfId="0" applyNumberFormat="1" applyFont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39" xfId="0" applyFont="1" applyBorder="1" applyAlignment="1">
      <alignment horizontal="left"/>
    </xf>
    <xf numFmtId="0" fontId="10" fillId="0" borderId="40" xfId="0" applyFont="1" applyBorder="1" applyAlignment="1">
      <alignment horizontal="left"/>
    </xf>
    <xf numFmtId="0" fontId="10" fillId="0" borderId="41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64" fontId="0" fillId="0" borderId="31" xfId="0" applyNumberFormat="1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97"/>
  <sheetViews>
    <sheetView tabSelected="1" topLeftCell="A50" zoomScaleNormal="100" workbookViewId="0">
      <selection activeCell="A68" sqref="A68"/>
    </sheetView>
  </sheetViews>
  <sheetFormatPr baseColWidth="10" defaultColWidth="9.140625" defaultRowHeight="15" x14ac:dyDescent="0.25"/>
  <cols>
    <col min="1" max="1" width="46.7109375" customWidth="1"/>
    <col min="2" max="2" width="19.7109375" customWidth="1"/>
    <col min="3" max="3" width="18.5703125" customWidth="1"/>
    <col min="4" max="4" width="24.42578125" customWidth="1"/>
    <col min="5" max="5" width="13.140625" bestFit="1" customWidth="1"/>
    <col min="12" max="12" width="11.85546875" bestFit="1" customWidth="1"/>
  </cols>
  <sheetData>
    <row r="6" spans="1:12" ht="15.75" thickBot="1" x14ac:dyDescent="0.3"/>
    <row r="7" spans="1:12" ht="18.75" x14ac:dyDescent="0.3">
      <c r="A7" s="6" t="s">
        <v>0</v>
      </c>
      <c r="B7" s="40"/>
      <c r="C7" s="40"/>
      <c r="D7" s="7"/>
      <c r="G7" t="s">
        <v>98</v>
      </c>
      <c r="H7" t="s">
        <v>99</v>
      </c>
      <c r="I7" t="s">
        <v>100</v>
      </c>
      <c r="J7" t="s">
        <v>101</v>
      </c>
      <c r="K7" t="s">
        <v>102</v>
      </c>
    </row>
    <row r="8" spans="1:12" x14ac:dyDescent="0.25">
      <c r="A8" s="1"/>
      <c r="B8" s="37" t="s">
        <v>103</v>
      </c>
      <c r="C8" s="37" t="s">
        <v>104</v>
      </c>
      <c r="D8" s="2" t="s">
        <v>105</v>
      </c>
      <c r="F8" t="s">
        <v>103</v>
      </c>
      <c r="G8" s="43">
        <v>67500</v>
      </c>
      <c r="H8" s="43">
        <v>80000</v>
      </c>
      <c r="I8" s="43">
        <v>35000</v>
      </c>
      <c r="J8" s="43">
        <v>101000</v>
      </c>
      <c r="K8" s="43">
        <v>91500</v>
      </c>
      <c r="L8" s="43">
        <f>SUM(G8:K8)</f>
        <v>375000</v>
      </c>
    </row>
    <row r="9" spans="1:12" x14ac:dyDescent="0.25">
      <c r="A9" s="1" t="s">
        <v>0</v>
      </c>
      <c r="B9" s="44">
        <f>L8</f>
        <v>375000</v>
      </c>
      <c r="C9" s="44">
        <f>L9</f>
        <v>379500</v>
      </c>
      <c r="D9" s="45">
        <f>L10</f>
        <v>408500</v>
      </c>
      <c r="F9" t="s">
        <v>104</v>
      </c>
      <c r="G9" s="43">
        <v>64000</v>
      </c>
      <c r="H9" s="43">
        <v>89500</v>
      </c>
      <c r="I9" s="43">
        <v>41000</v>
      </c>
      <c r="J9" s="43">
        <v>97500</v>
      </c>
      <c r="K9" s="43">
        <v>87500</v>
      </c>
      <c r="L9" s="43">
        <f t="shared" ref="L9:L10" si="0">SUM(G9:K9)</f>
        <v>379500</v>
      </c>
    </row>
    <row r="10" spans="1:12" ht="15.75" thickBot="1" x14ac:dyDescent="0.3">
      <c r="A10" s="1" t="s">
        <v>1</v>
      </c>
      <c r="B10" s="15">
        <v>56</v>
      </c>
      <c r="C10" s="15">
        <v>56</v>
      </c>
      <c r="D10" s="10">
        <v>56</v>
      </c>
      <c r="F10" t="s">
        <v>105</v>
      </c>
      <c r="G10" s="43">
        <v>70500</v>
      </c>
      <c r="H10" s="43">
        <v>86000</v>
      </c>
      <c r="I10" s="43">
        <v>29500</v>
      </c>
      <c r="J10" s="43">
        <v>112000</v>
      </c>
      <c r="K10" s="43">
        <v>110500</v>
      </c>
      <c r="L10" s="43">
        <f t="shared" si="0"/>
        <v>408500</v>
      </c>
    </row>
    <row r="11" spans="1:12" ht="16.5" thickTop="1" thickBot="1" x14ac:dyDescent="0.3">
      <c r="A11" s="8" t="s">
        <v>2</v>
      </c>
      <c r="B11" s="9">
        <f>B9*B10</f>
        <v>21000000</v>
      </c>
      <c r="C11" s="9">
        <f>C9*C10</f>
        <v>21252000</v>
      </c>
      <c r="D11" s="9">
        <f>D9*D10</f>
        <v>22876000</v>
      </c>
    </row>
    <row r="12" spans="1:12" ht="15.75" thickBot="1" x14ac:dyDescent="0.3"/>
    <row r="13" spans="1:12" ht="18.75" x14ac:dyDescent="0.3">
      <c r="A13" s="6" t="s">
        <v>3</v>
      </c>
      <c r="B13" s="40"/>
      <c r="C13" s="40"/>
      <c r="D13" s="7"/>
    </row>
    <row r="14" spans="1:12" x14ac:dyDescent="0.25">
      <c r="A14" s="3" t="s">
        <v>3</v>
      </c>
      <c r="B14" s="37" t="s">
        <v>103</v>
      </c>
      <c r="C14" s="37" t="s">
        <v>104</v>
      </c>
      <c r="D14" s="2" t="s">
        <v>105</v>
      </c>
    </row>
    <row r="15" spans="1:12" x14ac:dyDescent="0.25">
      <c r="A15" s="1" t="s">
        <v>4</v>
      </c>
      <c r="B15" s="44">
        <f>B9</f>
        <v>375000</v>
      </c>
      <c r="C15" s="44">
        <f t="shared" ref="C15:D15" si="1">C9</f>
        <v>379500</v>
      </c>
      <c r="D15" s="44">
        <f t="shared" si="1"/>
        <v>408500</v>
      </c>
    </row>
    <row r="16" spans="1:12" ht="15.75" thickBot="1" x14ac:dyDescent="0.3">
      <c r="A16" s="1" t="s">
        <v>5</v>
      </c>
      <c r="B16" s="37">
        <v>201500</v>
      </c>
      <c r="C16" s="37">
        <v>195900</v>
      </c>
      <c r="D16" s="2">
        <v>206100</v>
      </c>
    </row>
    <row r="17" spans="1:4" ht="15.75" thickTop="1" x14ac:dyDescent="0.25">
      <c r="A17" s="4" t="s">
        <v>6</v>
      </c>
      <c r="B17" s="47">
        <f>B15+B16</f>
        <v>576500</v>
      </c>
      <c r="C17" s="47">
        <f t="shared" ref="C17:D17" si="2">C15+C16</f>
        <v>575400</v>
      </c>
      <c r="D17" s="47">
        <f t="shared" si="2"/>
        <v>614600</v>
      </c>
    </row>
    <row r="18" spans="1:4" ht="15.75" thickBot="1" x14ac:dyDescent="0.3">
      <c r="A18" s="1" t="s">
        <v>7</v>
      </c>
      <c r="B18" s="37">
        <v>204650</v>
      </c>
      <c r="C18" s="37">
        <f>B16</f>
        <v>201500</v>
      </c>
      <c r="D18" s="37">
        <f>C16</f>
        <v>195900</v>
      </c>
    </row>
    <row r="19" spans="1:4" ht="16.5" thickTop="1" thickBot="1" x14ac:dyDescent="0.3">
      <c r="A19" s="8" t="s">
        <v>8</v>
      </c>
      <c r="B19" s="48">
        <f>B17-B18</f>
        <v>371850</v>
      </c>
      <c r="C19" s="48">
        <f>C17-C18</f>
        <v>373900</v>
      </c>
      <c r="D19" s="49">
        <f>D17-D18</f>
        <v>418700</v>
      </c>
    </row>
    <row r="20" spans="1:4" ht="15.75" thickBot="1" x14ac:dyDescent="0.3"/>
    <row r="21" spans="1:4" ht="18.75" x14ac:dyDescent="0.3">
      <c r="A21" s="6" t="s">
        <v>9</v>
      </c>
      <c r="B21" s="40"/>
      <c r="C21" s="40"/>
      <c r="D21" s="11"/>
    </row>
    <row r="22" spans="1:4" x14ac:dyDescent="0.25">
      <c r="A22" s="1"/>
      <c r="B22" s="37" t="s">
        <v>103</v>
      </c>
      <c r="C22" s="37" t="s">
        <v>104</v>
      </c>
      <c r="D22" s="2" t="s">
        <v>105</v>
      </c>
    </row>
    <row r="23" spans="1:4" x14ac:dyDescent="0.25">
      <c r="A23" s="1" t="s">
        <v>8</v>
      </c>
      <c r="B23" s="44">
        <f>B19</f>
        <v>371850</v>
      </c>
      <c r="C23" s="44">
        <f t="shared" ref="C23:D23" si="3">C19</f>
        <v>373900</v>
      </c>
      <c r="D23" s="44">
        <f t="shared" si="3"/>
        <v>418700</v>
      </c>
    </row>
    <row r="24" spans="1:4" ht="15.75" thickBot="1" x14ac:dyDescent="0.3">
      <c r="A24" s="1" t="s">
        <v>12</v>
      </c>
      <c r="B24" s="37">
        <v>1</v>
      </c>
      <c r="C24" s="37">
        <v>1</v>
      </c>
      <c r="D24" s="2">
        <v>1</v>
      </c>
    </row>
    <row r="25" spans="1:4" ht="15.75" thickTop="1" x14ac:dyDescent="0.25">
      <c r="A25" s="4" t="s">
        <v>11</v>
      </c>
      <c r="B25" s="41">
        <f>B23*B24</f>
        <v>371850</v>
      </c>
      <c r="C25" s="41">
        <f t="shared" ref="C25:D25" si="4">C23*C24</f>
        <v>373900</v>
      </c>
      <c r="D25" s="41">
        <f t="shared" si="4"/>
        <v>418700</v>
      </c>
    </row>
    <row r="26" spans="1:4" ht="15.75" thickBot="1" x14ac:dyDescent="0.3">
      <c r="A26" s="12" t="s">
        <v>5</v>
      </c>
      <c r="B26" s="38">
        <f>0.55*C23</f>
        <v>205645.00000000003</v>
      </c>
      <c r="C26" s="38">
        <f>0.55*D23</f>
        <v>230285.00000000003</v>
      </c>
      <c r="D26" s="2">
        <f>ROUNDUP(0.55*216710,0)</f>
        <v>119191</v>
      </c>
    </row>
    <row r="27" spans="1:4" ht="15.75" thickTop="1" x14ac:dyDescent="0.25">
      <c r="A27" s="13" t="s">
        <v>6</v>
      </c>
      <c r="B27" s="42">
        <f>B25+B26</f>
        <v>577495</v>
      </c>
      <c r="C27" s="42">
        <f t="shared" ref="C27" si="5">C25+C26</f>
        <v>604185</v>
      </c>
      <c r="D27" s="42">
        <f>ROUNDUP(D25+D26,0)</f>
        <v>537891</v>
      </c>
    </row>
    <row r="28" spans="1:4" ht="15.75" thickBot="1" x14ac:dyDescent="0.3">
      <c r="A28" s="12" t="s">
        <v>7</v>
      </c>
      <c r="B28" s="38">
        <f>ROUNDUP(B23*0.55,0)</f>
        <v>204518</v>
      </c>
      <c r="C28" s="38">
        <f t="shared" ref="C28:D28" si="6">ROUNDUP(C23*0.55,0)</f>
        <v>205645</v>
      </c>
      <c r="D28" s="38">
        <f t="shared" si="6"/>
        <v>230285</v>
      </c>
    </row>
    <row r="29" spans="1:4" ht="15.75" thickTop="1" x14ac:dyDescent="0.25">
      <c r="A29" s="13" t="s">
        <v>13</v>
      </c>
      <c r="B29" s="42">
        <f>B27-B28</f>
        <v>372977</v>
      </c>
      <c r="C29" s="42">
        <f t="shared" ref="C29:D29" si="7">C27-C28</f>
        <v>398540</v>
      </c>
      <c r="D29" s="42">
        <f t="shared" si="7"/>
        <v>307606</v>
      </c>
    </row>
    <row r="30" spans="1:4" ht="15.75" thickBot="1" x14ac:dyDescent="0.3">
      <c r="A30" s="12" t="s">
        <v>14</v>
      </c>
      <c r="B30" s="50">
        <v>44</v>
      </c>
      <c r="C30" s="50">
        <v>44</v>
      </c>
      <c r="D30" s="10">
        <v>44</v>
      </c>
    </row>
    <row r="31" spans="1:4" ht="16.5" thickTop="1" thickBot="1" x14ac:dyDescent="0.3">
      <c r="A31" s="14" t="s">
        <v>15</v>
      </c>
      <c r="B31" s="51">
        <f>B29*B30</f>
        <v>16410988</v>
      </c>
      <c r="C31" s="51">
        <f t="shared" ref="C31:D31" si="8">C29*C30</f>
        <v>17535760</v>
      </c>
      <c r="D31" s="51">
        <f t="shared" si="8"/>
        <v>13534664</v>
      </c>
    </row>
    <row r="32" spans="1:4" ht="15.75" thickBot="1" x14ac:dyDescent="0.3"/>
    <row r="33" spans="1:4" ht="18.75" x14ac:dyDescent="0.3">
      <c r="A33" s="6" t="s">
        <v>16</v>
      </c>
      <c r="B33" s="40"/>
      <c r="C33" s="40"/>
      <c r="D33" s="7"/>
    </row>
    <row r="34" spans="1:4" x14ac:dyDescent="0.25">
      <c r="A34" s="1"/>
      <c r="B34" s="37" t="s">
        <v>103</v>
      </c>
      <c r="C34" s="37" t="s">
        <v>104</v>
      </c>
      <c r="D34" s="2" t="s">
        <v>105</v>
      </c>
    </row>
    <row r="35" spans="1:4" x14ac:dyDescent="0.25">
      <c r="A35" s="1" t="s">
        <v>4</v>
      </c>
      <c r="B35" s="44">
        <f>B19</f>
        <v>371850</v>
      </c>
      <c r="C35" s="44">
        <f t="shared" ref="C35:D35" si="9">C19</f>
        <v>373900</v>
      </c>
      <c r="D35" s="44">
        <f t="shared" si="9"/>
        <v>418700</v>
      </c>
    </row>
    <row r="36" spans="1:4" ht="15.75" thickBot="1" x14ac:dyDescent="0.3">
      <c r="A36" s="1" t="s">
        <v>10</v>
      </c>
      <c r="B36" s="37">
        <v>1</v>
      </c>
      <c r="C36" s="37">
        <v>1</v>
      </c>
      <c r="D36" s="2">
        <v>1</v>
      </c>
    </row>
    <row r="37" spans="1:4" ht="15.75" thickTop="1" x14ac:dyDescent="0.25">
      <c r="A37" s="4" t="s">
        <v>11</v>
      </c>
      <c r="B37" s="41">
        <f>B35*B36</f>
        <v>371850</v>
      </c>
      <c r="C37" s="41">
        <f t="shared" ref="C37:D37" si="10">C35*C36</f>
        <v>373900</v>
      </c>
      <c r="D37" s="41">
        <f t="shared" si="10"/>
        <v>418700</v>
      </c>
    </row>
    <row r="38" spans="1:4" ht="15.75" thickBot="1" x14ac:dyDescent="0.3">
      <c r="A38" s="1" t="s">
        <v>14</v>
      </c>
      <c r="B38" s="15">
        <v>44</v>
      </c>
      <c r="C38" s="15">
        <v>44</v>
      </c>
      <c r="D38" s="15">
        <v>44</v>
      </c>
    </row>
    <row r="39" spans="1:4" ht="16.5" thickTop="1" thickBot="1" x14ac:dyDescent="0.3">
      <c r="A39" s="8" t="s">
        <v>16</v>
      </c>
      <c r="B39" s="46">
        <f>B37*B38</f>
        <v>16361400</v>
      </c>
      <c r="C39" s="46">
        <f>C37*C38</f>
        <v>16451600</v>
      </c>
      <c r="D39" s="46">
        <f t="shared" ref="D39" si="11">D37*D38</f>
        <v>18422800</v>
      </c>
    </row>
    <row r="40" spans="1:4" ht="15.75" thickBot="1" x14ac:dyDescent="0.3"/>
    <row r="41" spans="1:4" ht="18.75" x14ac:dyDescent="0.3">
      <c r="A41" s="6" t="s">
        <v>17</v>
      </c>
      <c r="B41" s="40"/>
      <c r="C41" s="40"/>
      <c r="D41" s="11"/>
    </row>
    <row r="42" spans="1:4" x14ac:dyDescent="0.25">
      <c r="A42" s="1"/>
      <c r="B42" s="37" t="s">
        <v>103</v>
      </c>
      <c r="C42" s="37" t="s">
        <v>104</v>
      </c>
      <c r="D42" s="2" t="s">
        <v>105</v>
      </c>
    </row>
    <row r="43" spans="1:4" x14ac:dyDescent="0.25">
      <c r="A43" s="1" t="s">
        <v>4</v>
      </c>
      <c r="B43" s="44">
        <f>B19</f>
        <v>371850</v>
      </c>
      <c r="C43" s="44">
        <f t="shared" ref="C43:D43" si="12">C19</f>
        <v>373900</v>
      </c>
      <c r="D43" s="44">
        <f t="shared" si="12"/>
        <v>418700</v>
      </c>
    </row>
    <row r="44" spans="1:4" ht="15.75" thickBot="1" x14ac:dyDescent="0.3">
      <c r="A44" s="1" t="s">
        <v>18</v>
      </c>
      <c r="B44" s="37">
        <f>0.834409</f>
        <v>0.83440899999999996</v>
      </c>
      <c r="C44" s="37">
        <f>0.830115</f>
        <v>0.83011500000000005</v>
      </c>
      <c r="D44" s="2">
        <f>0.856078</f>
        <v>0.85607800000000001</v>
      </c>
    </row>
    <row r="45" spans="1:4" ht="15.75" thickTop="1" x14ac:dyDescent="0.25">
      <c r="A45" s="4" t="s">
        <v>19</v>
      </c>
      <c r="B45" s="41">
        <f>B43*B44</f>
        <v>310274.98664999998</v>
      </c>
      <c r="C45" s="41">
        <f t="shared" ref="C45:D45" si="13">C43*C44</f>
        <v>310379.99850000005</v>
      </c>
      <c r="D45" s="41">
        <f t="shared" si="13"/>
        <v>358439.85859999998</v>
      </c>
    </row>
    <row r="46" spans="1:4" ht="15.75" thickBot="1" x14ac:dyDescent="0.3">
      <c r="A46" s="1" t="s">
        <v>20</v>
      </c>
      <c r="B46" s="15">
        <f>3.595359</f>
        <v>3.5953590000000002</v>
      </c>
      <c r="C46" s="15">
        <f>3.613957</f>
        <v>3.6139570000000001</v>
      </c>
      <c r="D46" s="15">
        <v>3.5043519999999999</v>
      </c>
    </row>
    <row r="47" spans="1:4" ht="16.5" thickTop="1" thickBot="1" x14ac:dyDescent="0.3">
      <c r="A47" s="8" t="s">
        <v>21</v>
      </c>
      <c r="B47" s="46">
        <f>ROUNDUP(B45*B46,0)</f>
        <v>1115550</v>
      </c>
      <c r="C47" s="46">
        <f t="shared" ref="C47:D47" si="14">ROUNDUP(C45*C46,0)</f>
        <v>1121700</v>
      </c>
      <c r="D47" s="46">
        <f t="shared" si="14"/>
        <v>1256100</v>
      </c>
    </row>
    <row r="48" spans="1:4" ht="15.75" thickBot="1" x14ac:dyDescent="0.3"/>
    <row r="49" spans="1:5" ht="18.75" x14ac:dyDescent="0.3">
      <c r="A49" s="6" t="s">
        <v>22</v>
      </c>
      <c r="B49" s="40"/>
      <c r="C49" s="40"/>
      <c r="D49" s="11"/>
    </row>
    <row r="50" spans="1:5" x14ac:dyDescent="0.25">
      <c r="A50" s="1" t="s">
        <v>18</v>
      </c>
      <c r="B50" s="44">
        <f>B45</f>
        <v>310274.98664999998</v>
      </c>
      <c r="C50" s="44">
        <f t="shared" ref="C50:D50" si="15">C45</f>
        <v>310379.99850000005</v>
      </c>
      <c r="D50" s="44">
        <f t="shared" si="15"/>
        <v>358439.85859999998</v>
      </c>
    </row>
    <row r="51" spans="1:5" ht="15.75" thickBot="1" x14ac:dyDescent="0.3">
      <c r="A51" s="1" t="s">
        <v>107</v>
      </c>
      <c r="B51" s="37">
        <f>0.5+0.2+0.25+0.05+0.1+0.02</f>
        <v>1.1200000000000001</v>
      </c>
      <c r="C51" s="37">
        <f t="shared" ref="C51:D51" si="16">0.5+0.2+0.25+0.05+0.1+0.02</f>
        <v>1.1200000000000001</v>
      </c>
      <c r="D51" s="37">
        <f t="shared" si="16"/>
        <v>1.1200000000000001</v>
      </c>
    </row>
    <row r="52" spans="1:5" ht="15.75" thickTop="1" x14ac:dyDescent="0.25">
      <c r="A52" s="4" t="s">
        <v>106</v>
      </c>
      <c r="B52" s="41">
        <f>B50*B51</f>
        <v>347507.985048</v>
      </c>
      <c r="C52" s="41">
        <f t="shared" ref="C52:D52" si="17">C50*C51</f>
        <v>347625.59832000011</v>
      </c>
      <c r="D52" s="41">
        <f t="shared" si="17"/>
        <v>401452.64163199998</v>
      </c>
    </row>
    <row r="53" spans="1:5" ht="15.75" thickBot="1" x14ac:dyDescent="0.3">
      <c r="A53" s="12" t="s">
        <v>29</v>
      </c>
      <c r="B53" s="50">
        <f>2500+1000+700+1500+700+950+600+750</f>
        <v>8700</v>
      </c>
      <c r="C53" s="50">
        <f t="shared" ref="C53:D53" si="18">2500+1000+700+1500+700+950+600+750</f>
        <v>8700</v>
      </c>
      <c r="D53" s="50">
        <f t="shared" si="18"/>
        <v>8700</v>
      </c>
    </row>
    <row r="54" spans="1:5" ht="16.5" thickTop="1" thickBot="1" x14ac:dyDescent="0.3">
      <c r="A54" s="14" t="s">
        <v>22</v>
      </c>
      <c r="B54" s="51">
        <f>ROUNDUP(B52+B53,0)</f>
        <v>356208</v>
      </c>
      <c r="C54" s="51">
        <f t="shared" ref="C54:D54" si="19">ROUNDUP(C52+C53,0)</f>
        <v>356326</v>
      </c>
      <c r="D54" s="51">
        <f t="shared" si="19"/>
        <v>410153</v>
      </c>
    </row>
    <row r="55" spans="1:5" ht="15.75" thickBot="1" x14ac:dyDescent="0.3"/>
    <row r="56" spans="1:5" ht="18.75" x14ac:dyDescent="0.3">
      <c r="A56" s="6" t="s">
        <v>28</v>
      </c>
      <c r="B56" s="40"/>
      <c r="C56" s="40"/>
      <c r="D56" s="11"/>
    </row>
    <row r="57" spans="1:5" x14ac:dyDescent="0.25">
      <c r="A57" s="1"/>
      <c r="B57" s="37" t="s">
        <v>103</v>
      </c>
      <c r="C57" s="37" t="s">
        <v>104</v>
      </c>
      <c r="D57" s="2" t="s">
        <v>105</v>
      </c>
    </row>
    <row r="58" spans="1:5" x14ac:dyDescent="0.25">
      <c r="A58" s="1" t="s">
        <v>30</v>
      </c>
      <c r="B58" s="37">
        <f>B28</f>
        <v>204518</v>
      </c>
      <c r="C58" s="37">
        <f t="shared" ref="C58:D58" si="20">C28</f>
        <v>205645</v>
      </c>
      <c r="D58" s="37">
        <f t="shared" si="20"/>
        <v>230285</v>
      </c>
      <c r="E58" t="s">
        <v>108</v>
      </c>
    </row>
    <row r="59" spans="1:5" ht="15.75" thickBot="1" x14ac:dyDescent="0.3">
      <c r="A59" s="1" t="s">
        <v>25</v>
      </c>
      <c r="B59" s="15">
        <v>44</v>
      </c>
      <c r="C59" s="15">
        <v>44</v>
      </c>
      <c r="D59" s="10">
        <v>44</v>
      </c>
    </row>
    <row r="60" spans="1:5" ht="15.75" thickTop="1" x14ac:dyDescent="0.25">
      <c r="A60" s="4" t="s">
        <v>23</v>
      </c>
      <c r="B60" s="52">
        <f>B58*B59</f>
        <v>8998792</v>
      </c>
      <c r="C60" s="52">
        <f t="shared" ref="C60:D60" si="21">C58*C59</f>
        <v>9048380</v>
      </c>
      <c r="D60" s="52">
        <f t="shared" si="21"/>
        <v>10132540</v>
      </c>
    </row>
    <row r="61" spans="1:5" ht="15.75" thickBot="1" x14ac:dyDescent="0.3">
      <c r="A61" s="1" t="s">
        <v>24</v>
      </c>
      <c r="B61" s="15">
        <f>B31</f>
        <v>16410988</v>
      </c>
      <c r="C61" s="15">
        <f t="shared" ref="C61:D61" si="22">C31</f>
        <v>17535760</v>
      </c>
      <c r="D61" s="15">
        <f t="shared" si="22"/>
        <v>13534664</v>
      </c>
    </row>
    <row r="62" spans="1:5" ht="15.75" thickTop="1" x14ac:dyDescent="0.25">
      <c r="A62" s="4" t="s">
        <v>26</v>
      </c>
      <c r="B62" s="52">
        <f>B60+B61</f>
        <v>25409780</v>
      </c>
      <c r="C62" s="52">
        <f t="shared" ref="C62:D62" si="23">C60+C61</f>
        <v>26584140</v>
      </c>
      <c r="D62" s="52">
        <f t="shared" si="23"/>
        <v>23667204</v>
      </c>
    </row>
    <row r="63" spans="1:5" x14ac:dyDescent="0.25">
      <c r="A63" s="1" t="s">
        <v>27</v>
      </c>
      <c r="B63" s="37">
        <f>B26</f>
        <v>205645.00000000003</v>
      </c>
      <c r="C63" s="37">
        <f t="shared" ref="C63:D63" si="24">C26</f>
        <v>230285.00000000003</v>
      </c>
      <c r="D63" s="37">
        <f t="shared" si="24"/>
        <v>119191</v>
      </c>
    </row>
    <row r="64" spans="1:5" ht="15.75" thickBot="1" x14ac:dyDescent="0.3">
      <c r="A64" s="1" t="s">
        <v>109</v>
      </c>
      <c r="B64" s="37">
        <v>44</v>
      </c>
      <c r="C64" s="37">
        <v>44</v>
      </c>
      <c r="D64" s="37">
        <v>44</v>
      </c>
    </row>
    <row r="65" spans="1:5" ht="16.5" thickTop="1" thickBot="1" x14ac:dyDescent="0.3">
      <c r="A65" s="8" t="s">
        <v>28</v>
      </c>
      <c r="B65" s="46">
        <f>B62-B63*B64</f>
        <v>16361399.999999998</v>
      </c>
      <c r="C65" s="46">
        <f t="shared" ref="C65:D65" si="25">C62-C63*C64</f>
        <v>16451599.999999998</v>
      </c>
      <c r="D65" s="46">
        <f t="shared" si="25"/>
        <v>18422800</v>
      </c>
    </row>
    <row r="66" spans="1:5" ht="15.75" thickBot="1" x14ac:dyDescent="0.3"/>
    <row r="67" spans="1:5" ht="18.75" x14ac:dyDescent="0.3">
      <c r="A67" s="6" t="s">
        <v>31</v>
      </c>
      <c r="B67" s="40"/>
      <c r="C67" s="40"/>
      <c r="D67" s="11"/>
    </row>
    <row r="68" spans="1:5" x14ac:dyDescent="0.25">
      <c r="A68" s="1"/>
      <c r="B68" s="37" t="s">
        <v>103</v>
      </c>
      <c r="C68" s="37" t="s">
        <v>104</v>
      </c>
      <c r="D68" s="2" t="s">
        <v>105</v>
      </c>
    </row>
    <row r="69" spans="1:5" x14ac:dyDescent="0.25">
      <c r="A69" s="1" t="s">
        <v>32</v>
      </c>
      <c r="B69" s="15">
        <f>B65</f>
        <v>16361399.999999998</v>
      </c>
      <c r="C69" s="15">
        <f t="shared" ref="C69:D69" si="26">C65</f>
        <v>16451599.999999998</v>
      </c>
      <c r="D69" s="15">
        <f t="shared" si="26"/>
        <v>18422800</v>
      </c>
    </row>
    <row r="70" spans="1:5" x14ac:dyDescent="0.25">
      <c r="A70" s="1" t="s">
        <v>33</v>
      </c>
      <c r="B70" s="15">
        <f>B47</f>
        <v>1115550</v>
      </c>
      <c r="C70" s="15">
        <f t="shared" ref="C70:D70" si="27">C47</f>
        <v>1121700</v>
      </c>
      <c r="D70" s="15">
        <f t="shared" si="27"/>
        <v>1256100</v>
      </c>
    </row>
    <row r="71" spans="1:5" ht="15.75" thickBot="1" x14ac:dyDescent="0.3">
      <c r="A71" s="1" t="s">
        <v>22</v>
      </c>
      <c r="B71" s="15">
        <f>B54</f>
        <v>356208</v>
      </c>
      <c r="C71" s="15">
        <f t="shared" ref="C71:D71" si="28">C54</f>
        <v>356326</v>
      </c>
      <c r="D71" s="15">
        <f t="shared" si="28"/>
        <v>410153</v>
      </c>
    </row>
    <row r="72" spans="1:5" ht="15.75" thickTop="1" x14ac:dyDescent="0.25">
      <c r="A72" s="4" t="s">
        <v>34</v>
      </c>
      <c r="B72" s="52">
        <f>SUM(B69:B71)</f>
        <v>17833158</v>
      </c>
      <c r="C72" s="52">
        <f>SUM(C69:C71)</f>
        <v>17929626</v>
      </c>
      <c r="D72" s="16">
        <f>SUM(D69:D71)</f>
        <v>20089053</v>
      </c>
    </row>
    <row r="73" spans="1:5" ht="15.75" thickBot="1" x14ac:dyDescent="0.3">
      <c r="A73" s="1" t="s">
        <v>4</v>
      </c>
      <c r="B73" s="44">
        <f>B35</f>
        <v>371850</v>
      </c>
      <c r="C73" s="44">
        <f t="shared" ref="C73:D73" si="29">C35</f>
        <v>373900</v>
      </c>
      <c r="D73" s="44">
        <f t="shared" si="29"/>
        <v>418700</v>
      </c>
    </row>
    <row r="74" spans="1:5" ht="16.5" thickTop="1" thickBot="1" x14ac:dyDescent="0.3">
      <c r="A74" s="8" t="s">
        <v>35</v>
      </c>
      <c r="B74" s="46">
        <f>B72/B73</f>
        <v>47.957934651068982</v>
      </c>
      <c r="C74" s="46">
        <f t="shared" ref="C74:D74" si="30">C72/C73</f>
        <v>47.952998127841667</v>
      </c>
      <c r="D74" s="46">
        <f t="shared" si="30"/>
        <v>47.97958681633628</v>
      </c>
    </row>
    <row r="75" spans="1:5" ht="15.75" thickBot="1" x14ac:dyDescent="0.3"/>
    <row r="76" spans="1:5" ht="18.75" x14ac:dyDescent="0.3">
      <c r="A76" s="6" t="s">
        <v>36</v>
      </c>
      <c r="B76" s="40"/>
      <c r="C76" s="40"/>
      <c r="D76" s="11"/>
    </row>
    <row r="77" spans="1:5" x14ac:dyDescent="0.25">
      <c r="B77" s="37" t="s">
        <v>103</v>
      </c>
      <c r="C77" s="37" t="s">
        <v>104</v>
      </c>
      <c r="D77" t="s">
        <v>105</v>
      </c>
    </row>
    <row r="78" spans="1:5" x14ac:dyDescent="0.25">
      <c r="A78" s="1" t="s">
        <v>37</v>
      </c>
      <c r="B78" s="15">
        <f>B28*47</f>
        <v>9612346</v>
      </c>
      <c r="C78" s="15">
        <f>B18*B74</f>
        <v>9814591.3263412677</v>
      </c>
      <c r="D78" s="15">
        <f>C18*C74</f>
        <v>9662529.1227600966</v>
      </c>
      <c r="E78" t="s">
        <v>117</v>
      </c>
    </row>
    <row r="79" spans="1:5" ht="15.75" thickBot="1" x14ac:dyDescent="0.3">
      <c r="A79" s="1" t="s">
        <v>31</v>
      </c>
      <c r="B79" s="15">
        <f>B72</f>
        <v>17833158</v>
      </c>
      <c r="C79" s="15">
        <f t="shared" ref="C79" si="31">C72</f>
        <v>17929626</v>
      </c>
      <c r="D79" s="15">
        <f>D72</f>
        <v>20089053</v>
      </c>
    </row>
    <row r="80" spans="1:5" ht="15.75" thickTop="1" x14ac:dyDescent="0.25">
      <c r="A80" s="4" t="s">
        <v>38</v>
      </c>
      <c r="B80" s="52">
        <f>B78+B79</f>
        <v>27445504</v>
      </c>
      <c r="C80" s="52">
        <f t="shared" ref="C80:D80" si="32">C78+C79</f>
        <v>27744217.326341268</v>
      </c>
      <c r="D80" s="52">
        <f t="shared" si="32"/>
        <v>29751582.122760095</v>
      </c>
    </row>
    <row r="81" spans="1:5" ht="15.75" thickBot="1" x14ac:dyDescent="0.3">
      <c r="A81" s="1" t="s">
        <v>39</v>
      </c>
      <c r="B81" s="15">
        <f>B16*B74</f>
        <v>9663523.8321904</v>
      </c>
      <c r="C81" s="15">
        <f>ROUNDUP(C16*C74,0)</f>
        <v>9393993</v>
      </c>
      <c r="D81" s="15">
        <f>ROUNDUP(D16*D74,0)</f>
        <v>9888593</v>
      </c>
    </row>
    <row r="82" spans="1:5" ht="16.5" thickTop="1" thickBot="1" x14ac:dyDescent="0.3">
      <c r="A82" s="8" t="s">
        <v>36</v>
      </c>
      <c r="B82" s="46">
        <f>B80-B81</f>
        <v>17781980.167809598</v>
      </c>
      <c r="C82" s="46">
        <f t="shared" ref="C82:D82" si="33">C80-C81</f>
        <v>18350224.326341268</v>
      </c>
      <c r="D82" s="46">
        <f t="shared" si="33"/>
        <v>19862989.122760095</v>
      </c>
    </row>
    <row r="84" spans="1:5" ht="15.75" thickBot="1" x14ac:dyDescent="0.3"/>
    <row r="85" spans="1:5" ht="21" x14ac:dyDescent="0.35">
      <c r="A85" s="79" t="s">
        <v>40</v>
      </c>
      <c r="B85" s="80"/>
      <c r="C85" s="80"/>
      <c r="D85" s="81"/>
    </row>
    <row r="86" spans="1:5" x14ac:dyDescent="0.25">
      <c r="A86" s="1"/>
      <c r="B86" s="37" t="s">
        <v>103</v>
      </c>
      <c r="C86" s="37" t="s">
        <v>104</v>
      </c>
      <c r="D86" s="2" t="s">
        <v>105</v>
      </c>
    </row>
    <row r="87" spans="1:5" x14ac:dyDescent="0.25">
      <c r="A87" s="1" t="s">
        <v>41</v>
      </c>
      <c r="B87" s="15">
        <f>B11</f>
        <v>21000000</v>
      </c>
      <c r="C87" s="15">
        <f t="shared" ref="C87:D87" si="34">C11</f>
        <v>21252000</v>
      </c>
      <c r="D87" s="15">
        <f t="shared" si="34"/>
        <v>22876000</v>
      </c>
    </row>
    <row r="88" spans="1:5" ht="15.75" thickBot="1" x14ac:dyDescent="0.3">
      <c r="A88" s="17" t="s">
        <v>42</v>
      </c>
      <c r="B88" s="10">
        <f>B82</f>
        <v>17781980.167809598</v>
      </c>
      <c r="C88" s="10">
        <f t="shared" ref="C88:D88" si="35">C82</f>
        <v>18350224.326341268</v>
      </c>
      <c r="D88" s="10">
        <f t="shared" si="35"/>
        <v>19862989.122760095</v>
      </c>
    </row>
    <row r="89" spans="1:5" ht="15.75" thickTop="1" x14ac:dyDescent="0.25">
      <c r="A89" s="4" t="s">
        <v>43</v>
      </c>
      <c r="B89" s="16">
        <f t="shared" ref="B89:C89" si="36">B87-B88</f>
        <v>3218019.8321904019</v>
      </c>
      <c r="C89" s="16">
        <f t="shared" si="36"/>
        <v>2901775.6736587323</v>
      </c>
      <c r="D89" s="16">
        <f>D87-D88</f>
        <v>3013010.8772399053</v>
      </c>
    </row>
    <row r="90" spans="1:5" x14ac:dyDescent="0.25">
      <c r="A90" s="1" t="s">
        <v>44</v>
      </c>
      <c r="B90" s="37">
        <v>0</v>
      </c>
      <c r="C90" s="37">
        <v>0</v>
      </c>
      <c r="D90" s="10">
        <v>0</v>
      </c>
    </row>
    <row r="91" spans="1:5" x14ac:dyDescent="0.25">
      <c r="A91" s="1" t="s">
        <v>45</v>
      </c>
      <c r="B91" s="15">
        <f>34000+6500+28000+2500+5000</f>
        <v>76000</v>
      </c>
      <c r="C91" s="15">
        <f t="shared" ref="C91:D91" si="37">34000+6500+28000+2500+5000</f>
        <v>76000</v>
      </c>
      <c r="D91" s="15">
        <f t="shared" si="37"/>
        <v>76000</v>
      </c>
    </row>
    <row r="92" spans="1:5" ht="15.75" thickBot="1" x14ac:dyDescent="0.3">
      <c r="A92" s="1" t="s">
        <v>46</v>
      </c>
      <c r="B92" s="15">
        <f>B87*0.04+B87*0.02+B87*0.03+B87*0.01</f>
        <v>2100000</v>
      </c>
      <c r="C92" s="15">
        <f t="shared" ref="C92:D92" si="38">C87*0.04+C87*0.02+C87*0.03+C87*0.01</f>
        <v>2125200</v>
      </c>
      <c r="D92" s="15">
        <f t="shared" si="38"/>
        <v>2287600</v>
      </c>
    </row>
    <row r="93" spans="1:5" ht="15.75" thickTop="1" x14ac:dyDescent="0.25">
      <c r="A93" s="4" t="s">
        <v>47</v>
      </c>
      <c r="B93" s="52">
        <f>B89-SUM(B90:B92)</f>
        <v>1042019.8321904019</v>
      </c>
      <c r="C93" s="52">
        <f>C89-SUM(C90:C92)</f>
        <v>700575.67365873232</v>
      </c>
      <c r="D93" s="52">
        <f>D89-SUM(D90:D92)</f>
        <v>649410.8772399053</v>
      </c>
    </row>
    <row r="94" spans="1:5" ht="15.75" thickBot="1" x14ac:dyDescent="0.3">
      <c r="A94" s="1" t="s">
        <v>48</v>
      </c>
      <c r="B94" s="15">
        <f>B93*0.25</f>
        <v>260504.95804760046</v>
      </c>
      <c r="C94" s="15">
        <f t="shared" ref="C94:D94" si="39">C93*0.25</f>
        <v>175143.91841468308</v>
      </c>
      <c r="D94" s="15">
        <f t="shared" si="39"/>
        <v>162352.71930997632</v>
      </c>
    </row>
    <row r="95" spans="1:5" ht="16.5" thickTop="1" thickBot="1" x14ac:dyDescent="0.3">
      <c r="A95" s="8" t="s">
        <v>49</v>
      </c>
      <c r="B95" s="46">
        <f>B93-B94</f>
        <v>781514.87414280139</v>
      </c>
      <c r="C95" s="46">
        <f t="shared" ref="C95:D95" si="40">C93-C94</f>
        <v>525431.75524404924</v>
      </c>
      <c r="D95" s="46">
        <f t="shared" si="40"/>
        <v>487058.15792992897</v>
      </c>
      <c r="E95" s="58">
        <f>B95+C95+D95</f>
        <v>1794004.7873167796</v>
      </c>
    </row>
    <row r="97" spans="1:4" x14ac:dyDescent="0.25">
      <c r="A97" t="s">
        <v>50</v>
      </c>
      <c r="B97" s="53">
        <f>ROUNDUP(B81,0)</f>
        <v>9663524</v>
      </c>
      <c r="C97" s="53">
        <f t="shared" ref="C97:D97" si="41">ROUNDUP(C81,0)</f>
        <v>9393993</v>
      </c>
      <c r="D97" s="53">
        <f t="shared" si="41"/>
        <v>9888593</v>
      </c>
    </row>
  </sheetData>
  <mergeCells count="1">
    <mergeCell ref="A85:D85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45AE-9F78-4F97-8AB3-5270D62F633D}">
  <dimension ref="B1:J62"/>
  <sheetViews>
    <sheetView topLeftCell="B37" zoomScale="110" zoomScaleNormal="110" workbookViewId="0">
      <selection activeCell="F26" sqref="F26"/>
    </sheetView>
  </sheetViews>
  <sheetFormatPr baseColWidth="10" defaultRowHeight="15" x14ac:dyDescent="0.25"/>
  <cols>
    <col min="2" max="2" width="38.7109375" customWidth="1"/>
    <col min="3" max="3" width="20.85546875" customWidth="1"/>
    <col min="4" max="4" width="17.28515625" customWidth="1"/>
    <col min="5" max="5" width="21.140625" customWidth="1"/>
    <col min="6" max="6" width="17.140625" customWidth="1"/>
    <col min="7" max="7" width="16" customWidth="1"/>
    <col min="8" max="8" width="17.42578125" customWidth="1"/>
  </cols>
  <sheetData>
    <row r="1" spans="2:9" ht="15" customHeight="1" x14ac:dyDescent="0.5">
      <c r="B1" s="88" t="s">
        <v>61</v>
      </c>
      <c r="C1" s="89"/>
      <c r="D1" s="89"/>
      <c r="E1" s="90"/>
      <c r="F1" s="67"/>
      <c r="G1" s="67"/>
      <c r="H1" s="67"/>
      <c r="I1" s="18"/>
    </row>
    <row r="2" spans="2:9" ht="15" customHeight="1" thickBot="1" x14ac:dyDescent="0.55000000000000004">
      <c r="B2" s="91"/>
      <c r="C2" s="92"/>
      <c r="D2" s="92"/>
      <c r="E2" s="93"/>
      <c r="F2" s="67"/>
      <c r="G2" s="67"/>
      <c r="H2" s="67"/>
      <c r="I2" s="18"/>
    </row>
    <row r="3" spans="2:9" x14ac:dyDescent="0.25">
      <c r="B3" s="1"/>
      <c r="C3" s="37"/>
      <c r="D3" s="37"/>
      <c r="E3" s="2"/>
      <c r="F3" s="37"/>
      <c r="G3" s="37"/>
      <c r="H3" s="37"/>
    </row>
    <row r="4" spans="2:9" x14ac:dyDescent="0.25">
      <c r="B4" s="66" t="s">
        <v>126</v>
      </c>
      <c r="C4" s="15">
        <f>510300</f>
        <v>510300</v>
      </c>
      <c r="D4" s="15">
        <f>C31</f>
        <v>395876.80000000075</v>
      </c>
      <c r="E4" s="10">
        <f>D31</f>
        <v>721699.04195240512</v>
      </c>
      <c r="F4" s="37"/>
      <c r="G4" s="37"/>
      <c r="H4" s="37"/>
    </row>
    <row r="5" spans="2:9" x14ac:dyDescent="0.25">
      <c r="B5" s="1"/>
      <c r="C5" s="37"/>
      <c r="D5" s="37"/>
      <c r="E5" s="2"/>
      <c r="F5" s="37"/>
      <c r="G5" s="37"/>
      <c r="H5" s="37"/>
    </row>
    <row r="6" spans="2:9" ht="21" x14ac:dyDescent="0.35">
      <c r="B6" s="21" t="s">
        <v>51</v>
      </c>
      <c r="C6" s="54"/>
      <c r="D6" s="54"/>
      <c r="E6" s="26"/>
      <c r="F6" s="60"/>
      <c r="G6" s="60"/>
      <c r="H6" s="60"/>
    </row>
    <row r="7" spans="2:9" x14ac:dyDescent="0.25">
      <c r="B7" s="1"/>
      <c r="C7" s="55" t="s">
        <v>103</v>
      </c>
      <c r="D7" s="55" t="s">
        <v>104</v>
      </c>
      <c r="E7" s="28" t="s">
        <v>121</v>
      </c>
      <c r="F7" s="37"/>
      <c r="G7" s="37"/>
      <c r="H7" s="37"/>
    </row>
    <row r="8" spans="2:9" x14ac:dyDescent="0.25">
      <c r="B8" s="1" t="s">
        <v>52</v>
      </c>
      <c r="C8" s="15">
        <f>F39</f>
        <v>7349999.9999999991</v>
      </c>
      <c r="D8" s="15">
        <f t="shared" ref="D8:E8" si="0">G39</f>
        <v>7438199.9999999991</v>
      </c>
      <c r="E8" s="10">
        <f t="shared" si="0"/>
        <v>8006599.9999999991</v>
      </c>
      <c r="F8" s="37"/>
      <c r="G8" s="37"/>
      <c r="H8" s="37"/>
    </row>
    <row r="9" spans="2:9" x14ac:dyDescent="0.25">
      <c r="B9" s="1" t="s">
        <v>53</v>
      </c>
      <c r="C9" s="68">
        <f>F49</f>
        <v>13977730</v>
      </c>
      <c r="D9" s="68">
        <f t="shared" ref="D9:E9" si="1">G49</f>
        <v>13841100</v>
      </c>
      <c r="E9" s="73">
        <f t="shared" si="1"/>
        <v>14050400</v>
      </c>
      <c r="F9" s="37"/>
      <c r="G9" s="37"/>
      <c r="H9" s="37"/>
    </row>
    <row r="10" spans="2:9" x14ac:dyDescent="0.25">
      <c r="B10" s="22" t="s">
        <v>54</v>
      </c>
      <c r="C10" s="69">
        <f>SUM(C8:C9)</f>
        <v>21327730</v>
      </c>
      <c r="D10" s="69">
        <f>SUM(D8:D9)</f>
        <v>21279300</v>
      </c>
      <c r="E10" s="74">
        <f>SUM(E8:E9)</f>
        <v>22057000</v>
      </c>
      <c r="F10" s="37"/>
      <c r="G10" s="37"/>
      <c r="H10" s="37"/>
    </row>
    <row r="11" spans="2:9" x14ac:dyDescent="0.25">
      <c r="B11" s="1"/>
      <c r="C11" s="37"/>
      <c r="D11" s="37"/>
      <c r="E11" s="2"/>
      <c r="F11" s="37"/>
      <c r="G11" s="37"/>
      <c r="H11" s="37"/>
    </row>
    <row r="12" spans="2:9" x14ac:dyDescent="0.25">
      <c r="B12" s="22" t="s">
        <v>55</v>
      </c>
      <c r="C12" s="56">
        <f>C10+C4</f>
        <v>21838030</v>
      </c>
      <c r="D12" s="56">
        <f>D10+D4</f>
        <v>21675176.800000001</v>
      </c>
      <c r="E12" s="23">
        <f t="shared" ref="E12" si="2">E10+E4</f>
        <v>22778699.041952405</v>
      </c>
      <c r="F12" s="55"/>
      <c r="G12" s="55"/>
      <c r="H12" s="55"/>
    </row>
    <row r="13" spans="2:9" x14ac:dyDescent="0.25">
      <c r="B13" s="1"/>
      <c r="C13" s="37"/>
      <c r="D13" s="37"/>
      <c r="E13" s="2"/>
      <c r="F13" s="37"/>
      <c r="G13" s="37"/>
      <c r="H13" s="37"/>
    </row>
    <row r="14" spans="2:9" ht="21" x14ac:dyDescent="0.35">
      <c r="B14" s="21" t="s">
        <v>56</v>
      </c>
      <c r="C14" s="54"/>
      <c r="D14" s="54"/>
      <c r="E14" s="26"/>
      <c r="F14" s="60"/>
      <c r="G14" s="60"/>
      <c r="H14" s="60"/>
    </row>
    <row r="15" spans="2:9" x14ac:dyDescent="0.25">
      <c r="B15" s="1"/>
      <c r="C15" s="55" t="s">
        <v>103</v>
      </c>
      <c r="D15" s="55" t="s">
        <v>104</v>
      </c>
      <c r="E15" s="28" t="s">
        <v>121</v>
      </c>
      <c r="F15" s="55"/>
      <c r="G15" s="55"/>
      <c r="H15" s="55"/>
    </row>
    <row r="16" spans="2:9" x14ac:dyDescent="0.25">
      <c r="B16" s="1" t="s">
        <v>57</v>
      </c>
      <c r="C16" s="15">
        <f>C57</f>
        <v>6564395.2000000002</v>
      </c>
      <c r="D16" s="15">
        <f t="shared" ref="D16:E16" si="3">D57</f>
        <v>7014304</v>
      </c>
      <c r="E16" s="10">
        <f t="shared" si="3"/>
        <v>5413865.6000000006</v>
      </c>
      <c r="F16" s="37"/>
      <c r="G16" s="37"/>
      <c r="H16" s="37"/>
    </row>
    <row r="17" spans="2:8" x14ac:dyDescent="0.25">
      <c r="B17" s="1" t="s">
        <v>58</v>
      </c>
      <c r="C17" s="15">
        <f>C62</f>
        <v>9980000</v>
      </c>
      <c r="D17" s="15">
        <f t="shared" ref="D17:E17" si="4">D62</f>
        <v>9846592.7999999989</v>
      </c>
      <c r="E17" s="10">
        <f t="shared" si="4"/>
        <v>10521456</v>
      </c>
      <c r="F17" s="37"/>
      <c r="G17" s="37"/>
      <c r="H17" s="37"/>
    </row>
    <row r="18" spans="2:8" x14ac:dyDescent="0.25">
      <c r="B18" s="1" t="s">
        <v>59</v>
      </c>
      <c r="C18" s="15">
        <f>'Ejercicio#10'!B47</f>
        <v>1115550</v>
      </c>
      <c r="D18" s="15">
        <f>'Ejercicio#10'!C47</f>
        <v>1121700</v>
      </c>
      <c r="E18" s="10">
        <f>'Ejercicio#10'!D47</f>
        <v>1256100</v>
      </c>
      <c r="F18" s="37"/>
      <c r="G18" s="37"/>
      <c r="H18" s="37"/>
    </row>
    <row r="19" spans="2:8" x14ac:dyDescent="0.25">
      <c r="B19" s="1" t="s">
        <v>127</v>
      </c>
      <c r="C19" s="15">
        <f>'Ejercicio#10'!B54</f>
        <v>356208</v>
      </c>
      <c r="D19" s="15">
        <f>'Ejercicio#10'!C54</f>
        <v>356326</v>
      </c>
      <c r="E19" s="10">
        <f>'Ejercicio#10'!D54</f>
        <v>410153</v>
      </c>
      <c r="F19" s="37"/>
      <c r="G19" s="37"/>
      <c r="H19" s="37"/>
    </row>
    <row r="20" spans="2:8" x14ac:dyDescent="0.25">
      <c r="B20" s="1" t="s">
        <v>46</v>
      </c>
      <c r="C20" s="15">
        <f>'Ejercicio#10'!B92</f>
        <v>2100000</v>
      </c>
      <c r="D20" s="15">
        <f>'Ejercicio#10'!C92</f>
        <v>2125200</v>
      </c>
      <c r="E20" s="10">
        <f>'Ejercicio#10'!D92</f>
        <v>2287600</v>
      </c>
      <c r="F20" s="37"/>
      <c r="G20" s="37"/>
      <c r="H20" s="37"/>
    </row>
    <row r="21" spans="2:8" ht="15.75" thickBot="1" x14ac:dyDescent="0.3">
      <c r="B21" s="1" t="s">
        <v>45</v>
      </c>
      <c r="C21" s="15">
        <f>'Ejercicio#10'!B91</f>
        <v>76000</v>
      </c>
      <c r="D21" s="15">
        <f>'Ejercicio#10'!C91</f>
        <v>76000</v>
      </c>
      <c r="E21" s="10">
        <f>'Ejercicio#10'!D91</f>
        <v>76000</v>
      </c>
      <c r="F21" s="37"/>
      <c r="G21" s="37"/>
      <c r="H21" s="37"/>
    </row>
    <row r="22" spans="2:8" ht="15.75" thickTop="1" x14ac:dyDescent="0.25">
      <c r="B22" s="24" t="s">
        <v>60</v>
      </c>
      <c r="C22" s="70">
        <f>SUM(C16:C21)</f>
        <v>20192153.199999999</v>
      </c>
      <c r="D22" s="70">
        <f t="shared" ref="D22:E22" si="5">SUM(D16:D21)</f>
        <v>20540122.799999997</v>
      </c>
      <c r="E22" s="25">
        <f t="shared" si="5"/>
        <v>19965174.600000001</v>
      </c>
      <c r="F22" s="55"/>
      <c r="G22" s="55"/>
      <c r="H22" s="55"/>
    </row>
    <row r="23" spans="2:8" x14ac:dyDescent="0.25">
      <c r="B23" s="1"/>
      <c r="C23" s="37"/>
      <c r="D23" s="37"/>
      <c r="E23" s="2"/>
      <c r="F23" s="37"/>
      <c r="G23" s="37"/>
      <c r="H23" s="37"/>
    </row>
    <row r="24" spans="2:8" ht="21" x14ac:dyDescent="0.35">
      <c r="B24" s="21" t="s">
        <v>71</v>
      </c>
      <c r="C24" s="54"/>
      <c r="D24" s="54"/>
      <c r="E24" s="26"/>
      <c r="F24" s="60"/>
      <c r="G24" s="60"/>
      <c r="H24" s="60"/>
    </row>
    <row r="25" spans="2:8" x14ac:dyDescent="0.25">
      <c r="B25" s="1" t="s">
        <v>48</v>
      </c>
      <c r="C25" s="15"/>
      <c r="D25" s="15">
        <f>'Ejercicio#10'!B94</f>
        <v>260504.95804760046</v>
      </c>
      <c r="E25" s="10">
        <f>'Ejercicio#10'!C94</f>
        <v>175143.91841468308</v>
      </c>
      <c r="F25" s="37" t="s">
        <v>130</v>
      </c>
      <c r="G25" s="37"/>
      <c r="H25" s="37"/>
    </row>
    <row r="26" spans="2:8" x14ac:dyDescent="0.25">
      <c r="B26" s="1" t="s">
        <v>129</v>
      </c>
      <c r="C26" s="15"/>
      <c r="D26" s="15"/>
      <c r="E26" s="10">
        <f>2500000</f>
        <v>2500000</v>
      </c>
      <c r="F26" s="37"/>
      <c r="G26" s="37"/>
      <c r="H26" s="37"/>
    </row>
    <row r="27" spans="2:8" x14ac:dyDescent="0.25">
      <c r="B27" s="1" t="s">
        <v>128</v>
      </c>
      <c r="C27" s="15">
        <f>1250000</f>
        <v>1250000</v>
      </c>
      <c r="D27" s="15"/>
      <c r="E27" s="10"/>
      <c r="F27" s="37"/>
      <c r="G27" s="37"/>
      <c r="H27" s="37"/>
    </row>
    <row r="28" spans="2:8" ht="15.75" thickBot="1" x14ac:dyDescent="0.3">
      <c r="B28" s="1" t="s">
        <v>67</v>
      </c>
      <c r="C28" s="15"/>
      <c r="D28" s="15">
        <f>152850</f>
        <v>152850</v>
      </c>
      <c r="E28" s="10"/>
      <c r="F28" s="37"/>
      <c r="G28" s="37"/>
      <c r="H28" s="37"/>
    </row>
    <row r="29" spans="2:8" ht="15.75" thickTop="1" x14ac:dyDescent="0.25">
      <c r="B29" s="24" t="s">
        <v>72</v>
      </c>
      <c r="C29" s="70">
        <f>SUM(C25:C28)+C22</f>
        <v>21442153.199999999</v>
      </c>
      <c r="D29" s="70">
        <f t="shared" ref="D29:E29" si="6">SUM(D25:D28)+D22</f>
        <v>20953477.758047596</v>
      </c>
      <c r="E29" s="25">
        <f t="shared" si="6"/>
        <v>22640318.518414684</v>
      </c>
      <c r="F29" s="55"/>
      <c r="G29" s="55"/>
      <c r="H29" s="55"/>
    </row>
    <row r="30" spans="2:8" x14ac:dyDescent="0.25">
      <c r="B30" s="1"/>
      <c r="C30" s="37"/>
      <c r="D30" s="37"/>
      <c r="E30" s="2"/>
      <c r="F30" s="37"/>
      <c r="G30" s="37"/>
      <c r="H30" s="37"/>
    </row>
    <row r="31" spans="2:8" ht="21.75" thickBot="1" x14ac:dyDescent="0.4">
      <c r="B31" s="27" t="s">
        <v>73</v>
      </c>
      <c r="C31" s="71">
        <f>C12-C29</f>
        <v>395876.80000000075</v>
      </c>
      <c r="D31" s="71">
        <f t="shared" ref="D31:E31" si="7">D12-D29</f>
        <v>721699.04195240512</v>
      </c>
      <c r="E31" s="72">
        <f t="shared" si="7"/>
        <v>138380.52353772148</v>
      </c>
      <c r="F31" s="60"/>
      <c r="G31" s="60"/>
      <c r="H31" s="60"/>
    </row>
    <row r="33" spans="2:10" ht="15.75" thickBot="1" x14ac:dyDescent="0.3"/>
    <row r="34" spans="2:10" x14ac:dyDescent="0.25">
      <c r="B34" s="82" t="s">
        <v>62</v>
      </c>
      <c r="C34" s="83"/>
      <c r="D34" s="83"/>
      <c r="E34" s="83"/>
      <c r="F34" s="83"/>
      <c r="G34" s="83"/>
      <c r="H34" s="84"/>
      <c r="I34" s="37"/>
      <c r="J34" s="37"/>
    </row>
    <row r="35" spans="2:10" ht="15.75" thickBot="1" x14ac:dyDescent="0.3">
      <c r="B35" s="85"/>
      <c r="C35" s="86"/>
      <c r="D35" s="86"/>
      <c r="E35" s="86"/>
      <c r="F35" s="86"/>
      <c r="G35" s="86"/>
      <c r="H35" s="87"/>
      <c r="I35" s="37"/>
      <c r="J35" s="37"/>
    </row>
    <row r="36" spans="2:10" ht="15.75" thickTop="1" x14ac:dyDescent="0.25">
      <c r="B36" s="1"/>
      <c r="C36" s="55" t="s">
        <v>118</v>
      </c>
      <c r="D36" s="55" t="s">
        <v>119</v>
      </c>
      <c r="E36" s="55" t="s">
        <v>120</v>
      </c>
      <c r="F36" s="55" t="s">
        <v>110</v>
      </c>
      <c r="G36" s="55" t="s">
        <v>104</v>
      </c>
      <c r="H36" s="28" t="s">
        <v>105</v>
      </c>
      <c r="I36" s="61"/>
      <c r="J36" s="61"/>
    </row>
    <row r="37" spans="2:10" x14ac:dyDescent="0.25">
      <c r="B37" s="1" t="s">
        <v>63</v>
      </c>
      <c r="C37" s="15">
        <f>19880800</f>
        <v>19880800</v>
      </c>
      <c r="D37" s="15">
        <f>20216000</f>
        <v>20216000</v>
      </c>
      <c r="E37" s="15">
        <f>22960000</f>
        <v>22960000</v>
      </c>
      <c r="F37" s="15">
        <f>'Ejercicio#10'!B11</f>
        <v>21000000</v>
      </c>
      <c r="G37" s="15">
        <f>'Ejercicio#10'!C11</f>
        <v>21252000</v>
      </c>
      <c r="H37" s="10">
        <f>'Ejercicio#10'!D11</f>
        <v>22876000</v>
      </c>
      <c r="I37" s="37"/>
      <c r="J37" s="37"/>
    </row>
    <row r="38" spans="2:10" x14ac:dyDescent="0.25">
      <c r="B38" s="1" t="s">
        <v>53</v>
      </c>
      <c r="C38" s="15">
        <f>C37-C39</f>
        <v>12922520</v>
      </c>
      <c r="D38" s="15">
        <f t="shared" ref="D38:H38" si="8">D37-D39</f>
        <v>13140400</v>
      </c>
      <c r="E38" s="15">
        <f t="shared" si="8"/>
        <v>14924000</v>
      </c>
      <c r="F38" s="15">
        <f t="shared" si="8"/>
        <v>13650000</v>
      </c>
      <c r="G38" s="15">
        <f t="shared" si="8"/>
        <v>13813800</v>
      </c>
      <c r="H38" s="10">
        <f t="shared" si="8"/>
        <v>14869400</v>
      </c>
      <c r="I38" s="15"/>
      <c r="J38" s="15"/>
    </row>
    <row r="39" spans="2:10" x14ac:dyDescent="0.25">
      <c r="B39" s="17" t="s">
        <v>52</v>
      </c>
      <c r="C39" s="15">
        <f>C37*0.35</f>
        <v>6958280</v>
      </c>
      <c r="D39" s="15">
        <f t="shared" ref="D39:H39" si="9">D37*0.35</f>
        <v>7075600</v>
      </c>
      <c r="E39" s="15">
        <f>E37*0.35</f>
        <v>8035999.9999999991</v>
      </c>
      <c r="F39" s="15">
        <f t="shared" si="9"/>
        <v>7349999.9999999991</v>
      </c>
      <c r="G39" s="15">
        <f t="shared" si="9"/>
        <v>7438199.9999999991</v>
      </c>
      <c r="H39" s="10">
        <f t="shared" si="9"/>
        <v>8006599.9999999991</v>
      </c>
      <c r="I39" s="15"/>
      <c r="J39" s="15"/>
    </row>
    <row r="40" spans="2:10" ht="15.75" thickBot="1" x14ac:dyDescent="0.3">
      <c r="B40" s="1"/>
      <c r="C40" s="37"/>
      <c r="D40" s="37"/>
      <c r="E40" s="37"/>
      <c r="F40" s="37"/>
      <c r="G40" s="37"/>
      <c r="H40" s="2"/>
      <c r="I40" s="37"/>
      <c r="J40" s="37"/>
    </row>
    <row r="41" spans="2:10" ht="15.75" thickTop="1" x14ac:dyDescent="0.25">
      <c r="B41" s="4" t="s">
        <v>64</v>
      </c>
      <c r="C41" s="41"/>
      <c r="D41" s="41"/>
      <c r="E41" s="41"/>
      <c r="F41" s="41"/>
      <c r="G41" s="41"/>
      <c r="H41" s="5"/>
      <c r="I41" s="37"/>
      <c r="J41" s="37"/>
    </row>
    <row r="42" spans="2:10" x14ac:dyDescent="0.25">
      <c r="B42" s="1" t="s">
        <v>122</v>
      </c>
      <c r="C42" s="15"/>
      <c r="D42" s="15">
        <f>C38*0.5</f>
        <v>6461260</v>
      </c>
      <c r="E42" s="15">
        <f>C38*0.25</f>
        <v>3230630</v>
      </c>
      <c r="F42" s="15">
        <f>C38*0.25</f>
        <v>3230630</v>
      </c>
      <c r="G42" s="15"/>
      <c r="H42" s="10"/>
      <c r="I42" s="37"/>
      <c r="J42" s="37"/>
    </row>
    <row r="43" spans="2:10" x14ac:dyDescent="0.25">
      <c r="B43" s="1" t="s">
        <v>123</v>
      </c>
      <c r="C43" s="15"/>
      <c r="D43" s="15"/>
      <c r="E43" s="15">
        <f>D38*0.5</f>
        <v>6570200</v>
      </c>
      <c r="F43" s="15">
        <f>D38*0.25</f>
        <v>3285100</v>
      </c>
      <c r="G43" s="15">
        <f>D38*0.25</f>
        <v>3285100</v>
      </c>
      <c r="H43" s="10"/>
      <c r="I43" s="37"/>
      <c r="J43" s="37"/>
    </row>
    <row r="44" spans="2:10" x14ac:dyDescent="0.25">
      <c r="B44" s="1" t="s">
        <v>65</v>
      </c>
      <c r="C44" s="15"/>
      <c r="D44" s="15"/>
      <c r="E44" s="15"/>
      <c r="F44" s="15">
        <f>E38*0.5</f>
        <v>7462000</v>
      </c>
      <c r="G44" s="15">
        <f>E38*0.25</f>
        <v>3731000</v>
      </c>
      <c r="H44" s="10">
        <f>E38*0.25</f>
        <v>3731000</v>
      </c>
      <c r="I44" s="15"/>
      <c r="J44" s="15"/>
    </row>
    <row r="45" spans="2:10" x14ac:dyDescent="0.25">
      <c r="B45" s="1" t="s">
        <v>111</v>
      </c>
      <c r="C45" s="15"/>
      <c r="D45" s="15"/>
      <c r="E45" s="15"/>
      <c r="F45" s="15"/>
      <c r="G45" s="15">
        <f>F38*0.5</f>
        <v>6825000</v>
      </c>
      <c r="H45" s="10">
        <f>F38*0.25</f>
        <v>3412500</v>
      </c>
      <c r="I45" s="15"/>
      <c r="J45" s="15"/>
    </row>
    <row r="46" spans="2:10" x14ac:dyDescent="0.25">
      <c r="B46" s="1" t="s">
        <v>112</v>
      </c>
      <c r="C46" s="15"/>
      <c r="D46" s="15"/>
      <c r="E46" s="15"/>
      <c r="F46" s="15"/>
      <c r="G46" s="15"/>
      <c r="H46" s="10">
        <f>G38*0.5</f>
        <v>6906900</v>
      </c>
      <c r="I46" s="15"/>
      <c r="J46" s="59"/>
    </row>
    <row r="47" spans="2:10" x14ac:dyDescent="0.25">
      <c r="B47" s="1" t="s">
        <v>113</v>
      </c>
      <c r="C47" s="15"/>
      <c r="D47" s="50"/>
      <c r="E47" s="15"/>
      <c r="F47" s="15"/>
      <c r="G47" s="15"/>
      <c r="H47" s="10"/>
      <c r="I47" s="15"/>
      <c r="J47" s="15"/>
    </row>
    <row r="48" spans="2:10" ht="15.75" thickBot="1" x14ac:dyDescent="0.3">
      <c r="B48" s="1" t="s">
        <v>114</v>
      </c>
      <c r="C48" s="15"/>
      <c r="D48" s="15"/>
      <c r="E48" s="15"/>
      <c r="F48" s="15"/>
      <c r="G48" s="15"/>
      <c r="H48" s="10"/>
      <c r="I48" s="15"/>
      <c r="J48" s="15"/>
    </row>
    <row r="49" spans="2:10" ht="16.5" thickTop="1" thickBot="1" x14ac:dyDescent="0.3">
      <c r="B49" s="8" t="s">
        <v>66</v>
      </c>
      <c r="C49" s="62">
        <f>SUM(C42:C48)</f>
        <v>0</v>
      </c>
      <c r="D49" s="62">
        <f t="shared" ref="D49:H49" si="10">SUM(D42:D48)</f>
        <v>6461260</v>
      </c>
      <c r="E49" s="62">
        <f t="shared" si="10"/>
        <v>9800830</v>
      </c>
      <c r="F49" s="62">
        <f>SUM(F42:F48)</f>
        <v>13977730</v>
      </c>
      <c r="G49" s="62">
        <f t="shared" si="10"/>
        <v>13841100</v>
      </c>
      <c r="H49" s="62">
        <f t="shared" si="10"/>
        <v>14050400</v>
      </c>
      <c r="I49" s="59"/>
      <c r="J49" s="37"/>
    </row>
    <row r="50" spans="2:10" x14ac:dyDescent="0.25">
      <c r="I50" s="37"/>
      <c r="J50" s="37"/>
    </row>
    <row r="51" spans="2:10" ht="15.75" thickBot="1" x14ac:dyDescent="0.3"/>
    <row r="52" spans="2:10" ht="15" customHeight="1" x14ac:dyDescent="0.5">
      <c r="B52" s="82" t="s">
        <v>67</v>
      </c>
      <c r="C52" s="83"/>
      <c r="D52" s="83"/>
      <c r="E52" s="84"/>
      <c r="F52" s="65"/>
      <c r="G52" s="65"/>
      <c r="H52" s="65"/>
    </row>
    <row r="53" spans="2:10" ht="15.75" customHeight="1" thickBot="1" x14ac:dyDescent="0.55000000000000004">
      <c r="B53" s="85"/>
      <c r="C53" s="86"/>
      <c r="D53" s="86"/>
      <c r="E53" s="87"/>
      <c r="F53" s="65"/>
      <c r="G53" s="65"/>
      <c r="H53" s="65"/>
    </row>
    <row r="54" spans="2:10" ht="15.75" thickTop="1" x14ac:dyDescent="0.25">
      <c r="B54" s="1"/>
      <c r="C54" s="55" t="s">
        <v>110</v>
      </c>
      <c r="D54" s="55" t="s">
        <v>104</v>
      </c>
      <c r="E54" s="28" t="s">
        <v>105</v>
      </c>
      <c r="F54" s="37"/>
      <c r="G54" s="37"/>
      <c r="H54" s="37"/>
    </row>
    <row r="55" spans="2:10" x14ac:dyDescent="0.25">
      <c r="B55" s="1" t="s">
        <v>68</v>
      </c>
      <c r="C55" s="15">
        <f>'Ejercicio#10'!B31</f>
        <v>16410988</v>
      </c>
      <c r="D55" s="15">
        <f>'Ejercicio#10'!C31</f>
        <v>17535760</v>
      </c>
      <c r="E55" s="10">
        <f>'Ejercicio#10'!D31</f>
        <v>13534664</v>
      </c>
      <c r="F55" s="37"/>
      <c r="G55" s="37"/>
      <c r="H55" s="37"/>
    </row>
    <row r="56" spans="2:10" ht="15.75" thickBot="1" x14ac:dyDescent="0.3">
      <c r="B56" s="1" t="s">
        <v>124</v>
      </c>
      <c r="C56" s="15">
        <f>C55*0.6</f>
        <v>9846592.7999999989</v>
      </c>
      <c r="D56" s="15">
        <f t="shared" ref="D56:E56" si="11">D55*0.6</f>
        <v>10521456</v>
      </c>
      <c r="E56" s="10">
        <f t="shared" si="11"/>
        <v>8120798.3999999994</v>
      </c>
      <c r="F56" s="37"/>
      <c r="G56" s="37"/>
      <c r="H56" s="37"/>
    </row>
    <row r="57" spans="2:10" ht="16.5" thickTop="1" thickBot="1" x14ac:dyDescent="0.3">
      <c r="B57" s="19" t="s">
        <v>125</v>
      </c>
      <c r="C57" s="63">
        <f>C55*0.4</f>
        <v>6564395.2000000002</v>
      </c>
      <c r="D57" s="63">
        <f t="shared" ref="D57:E57" si="12">D55*0.4</f>
        <v>7014304</v>
      </c>
      <c r="E57" s="20">
        <f t="shared" si="12"/>
        <v>5413865.6000000006</v>
      </c>
      <c r="F57" s="37"/>
      <c r="G57" s="37"/>
      <c r="H57" s="37"/>
    </row>
    <row r="58" spans="2:10" ht="16.5" thickTop="1" thickBot="1" x14ac:dyDescent="0.3">
      <c r="B58" s="1"/>
      <c r="C58" s="37"/>
      <c r="D58" s="37"/>
      <c r="E58" s="2"/>
      <c r="F58" s="37"/>
      <c r="G58" s="37"/>
      <c r="H58" s="37"/>
    </row>
    <row r="59" spans="2:10" ht="15.75" thickTop="1" x14ac:dyDescent="0.25">
      <c r="B59" s="4" t="s">
        <v>69</v>
      </c>
      <c r="C59" s="52">
        <v>9980000</v>
      </c>
      <c r="D59" s="52"/>
      <c r="E59" s="16"/>
      <c r="F59" s="37"/>
      <c r="G59" s="37"/>
      <c r="H59" s="37"/>
    </row>
    <row r="60" spans="2:10" x14ac:dyDescent="0.25">
      <c r="B60" s="1" t="s">
        <v>115</v>
      </c>
      <c r="C60" s="15"/>
      <c r="D60" s="15">
        <f>C56</f>
        <v>9846592.7999999989</v>
      </c>
      <c r="E60" s="10"/>
      <c r="F60" s="37"/>
      <c r="G60" s="37"/>
      <c r="H60" s="37"/>
    </row>
    <row r="61" spans="2:10" ht="15.75" thickBot="1" x14ac:dyDescent="0.3">
      <c r="B61" s="1" t="s">
        <v>116</v>
      </c>
      <c r="C61" s="15"/>
      <c r="D61" s="15"/>
      <c r="E61" s="10">
        <f>D56</f>
        <v>10521456</v>
      </c>
      <c r="F61" s="37"/>
      <c r="G61" s="37"/>
      <c r="H61" s="37"/>
    </row>
    <row r="62" spans="2:10" ht="16.5" thickTop="1" thickBot="1" x14ac:dyDescent="0.3">
      <c r="B62" s="14" t="s">
        <v>70</v>
      </c>
      <c r="C62" s="51">
        <f>SUM(C59:C61)</f>
        <v>9980000</v>
      </c>
      <c r="D62" s="51">
        <f t="shared" ref="D62:E62" si="13">SUM(D59:D61)</f>
        <v>9846592.7999999989</v>
      </c>
      <c r="E62" s="64">
        <f t="shared" si="13"/>
        <v>10521456</v>
      </c>
      <c r="F62" s="61"/>
      <c r="G62" s="61"/>
      <c r="H62" s="61"/>
    </row>
  </sheetData>
  <mergeCells count="3">
    <mergeCell ref="B34:H35"/>
    <mergeCell ref="B52:E53"/>
    <mergeCell ref="B1:E2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C4A7-1F91-4E4B-ACCC-985CD571AEAD}">
  <dimension ref="A1:K43"/>
  <sheetViews>
    <sheetView topLeftCell="B10" zoomScaleNormal="100" workbookViewId="0">
      <selection activeCell="E36" sqref="E36"/>
    </sheetView>
  </sheetViews>
  <sheetFormatPr baseColWidth="10" defaultRowHeight="15" x14ac:dyDescent="0.25"/>
  <cols>
    <col min="1" max="1" width="45.85546875" customWidth="1"/>
    <col min="2" max="2" width="22" customWidth="1"/>
    <col min="4" max="4" width="18.140625" customWidth="1"/>
    <col min="5" max="5" width="50.85546875" customWidth="1"/>
    <col min="6" max="6" width="14.85546875" bestFit="1" customWidth="1"/>
    <col min="7" max="7" width="7" customWidth="1"/>
    <col min="8" max="8" width="15.5703125" customWidth="1"/>
  </cols>
  <sheetData>
    <row r="1" spans="1:11" x14ac:dyDescent="0.25">
      <c r="A1" s="114" t="s">
        <v>131</v>
      </c>
      <c r="B1" s="115"/>
      <c r="C1" s="115"/>
      <c r="D1" s="115"/>
      <c r="E1" s="115"/>
      <c r="F1" s="115"/>
      <c r="G1" s="115"/>
      <c r="H1" s="116"/>
      <c r="I1" s="29"/>
      <c r="J1" s="29"/>
      <c r="K1" s="29"/>
    </row>
    <row r="2" spans="1:11" ht="15.75" thickBot="1" x14ac:dyDescent="0.3">
      <c r="A2" s="101" t="s">
        <v>132</v>
      </c>
      <c r="B2" s="102"/>
      <c r="C2" s="102"/>
      <c r="D2" s="102"/>
      <c r="E2" s="102"/>
      <c r="F2" s="102"/>
      <c r="G2" s="102"/>
      <c r="H2" s="103"/>
      <c r="I2" s="29"/>
      <c r="J2" s="29"/>
      <c r="K2" s="29"/>
    </row>
    <row r="3" spans="1:11" ht="27" thickBot="1" x14ac:dyDescent="0.45">
      <c r="A3" s="104" t="s">
        <v>74</v>
      </c>
      <c r="B3" s="105"/>
      <c r="C3" s="105"/>
      <c r="D3" s="105"/>
      <c r="E3" s="106" t="s">
        <v>75</v>
      </c>
      <c r="F3" s="107"/>
      <c r="G3" s="107"/>
      <c r="H3" s="108"/>
    </row>
    <row r="4" spans="1:11" ht="16.5" thickTop="1" thickBot="1" x14ac:dyDescent="0.3">
      <c r="A4" s="94" t="s">
        <v>77</v>
      </c>
      <c r="B4" s="95"/>
      <c r="C4" s="95"/>
      <c r="D4" s="95"/>
      <c r="E4" s="109" t="s">
        <v>76</v>
      </c>
      <c r="F4" s="110"/>
      <c r="G4" s="110"/>
      <c r="H4" s="111"/>
    </row>
    <row r="5" spans="1:11" ht="15.75" thickTop="1" x14ac:dyDescent="0.25">
      <c r="A5" s="1" t="s">
        <v>78</v>
      </c>
      <c r="B5" s="15">
        <v>510300</v>
      </c>
      <c r="C5" s="15"/>
      <c r="D5" s="15"/>
      <c r="E5" s="1" t="s">
        <v>92</v>
      </c>
      <c r="F5" s="15">
        <v>252850</v>
      </c>
      <c r="G5" s="15"/>
      <c r="H5" s="10"/>
    </row>
    <row r="6" spans="1:11" x14ac:dyDescent="0.25">
      <c r="A6" s="1" t="s">
        <v>79</v>
      </c>
      <c r="B6" s="15">
        <v>24724830</v>
      </c>
      <c r="C6" s="15"/>
      <c r="D6" s="15"/>
      <c r="E6" s="1" t="s">
        <v>93</v>
      </c>
      <c r="F6" s="15">
        <v>9980000</v>
      </c>
      <c r="G6" s="15"/>
      <c r="H6" s="10"/>
    </row>
    <row r="7" spans="1:11" x14ac:dyDescent="0.25">
      <c r="A7" s="1" t="s">
        <v>80</v>
      </c>
      <c r="B7" s="15">
        <v>9618550</v>
      </c>
      <c r="C7" s="15"/>
      <c r="D7" s="15"/>
      <c r="E7" s="1"/>
      <c r="F7" s="15"/>
      <c r="G7" s="15"/>
      <c r="H7" s="10"/>
    </row>
    <row r="8" spans="1:11" x14ac:dyDescent="0.25">
      <c r="A8" s="1" t="s">
        <v>81</v>
      </c>
      <c r="B8" s="15">
        <v>8998792</v>
      </c>
      <c r="C8" s="15"/>
      <c r="D8" s="15">
        <f>SUM(B5:B8)</f>
        <v>43852472</v>
      </c>
      <c r="E8" s="1"/>
      <c r="F8" s="15"/>
      <c r="G8" s="15"/>
      <c r="H8" s="10"/>
    </row>
    <row r="9" spans="1:11" ht="15.75" thickBot="1" x14ac:dyDescent="0.3">
      <c r="A9" s="32" t="s">
        <v>88</v>
      </c>
      <c r="B9" s="33"/>
      <c r="C9" s="33"/>
      <c r="D9" s="33"/>
      <c r="E9" s="1" t="s">
        <v>94</v>
      </c>
      <c r="F9" s="15"/>
      <c r="G9" s="15"/>
      <c r="H9" s="10">
        <f>SUM(F5:F8)</f>
        <v>10232850</v>
      </c>
    </row>
    <row r="10" spans="1:11" ht="16.5" thickTop="1" thickBot="1" x14ac:dyDescent="0.3">
      <c r="A10" s="1"/>
      <c r="B10" s="15"/>
      <c r="C10" s="15"/>
      <c r="D10" s="15"/>
      <c r="E10" s="109" t="s">
        <v>87</v>
      </c>
      <c r="F10" s="110"/>
      <c r="G10" s="110"/>
      <c r="H10" s="111"/>
    </row>
    <row r="11" spans="1:11" ht="16.5" thickTop="1" thickBot="1" x14ac:dyDescent="0.3">
      <c r="A11" s="1"/>
      <c r="B11" s="15"/>
      <c r="C11" s="15"/>
      <c r="D11" s="15"/>
      <c r="E11" s="1" t="s">
        <v>134</v>
      </c>
      <c r="F11" s="15"/>
      <c r="G11" s="15"/>
      <c r="H11" s="10">
        <v>2500000</v>
      </c>
    </row>
    <row r="12" spans="1:11" ht="27.75" thickTop="1" thickBot="1" x14ac:dyDescent="0.45">
      <c r="A12" s="94" t="s">
        <v>82</v>
      </c>
      <c r="B12" s="95"/>
      <c r="C12" s="95"/>
      <c r="D12" s="95"/>
      <c r="E12" s="96" t="s">
        <v>95</v>
      </c>
      <c r="F12" s="97"/>
      <c r="G12" s="97"/>
      <c r="H12" s="98"/>
    </row>
    <row r="13" spans="1:11" ht="15.75" thickTop="1" x14ac:dyDescent="0.25">
      <c r="A13" s="1" t="s">
        <v>83</v>
      </c>
      <c r="B13" s="15">
        <v>832500</v>
      </c>
      <c r="C13" s="15"/>
      <c r="D13" s="15"/>
      <c r="E13" s="1" t="s">
        <v>96</v>
      </c>
      <c r="F13" s="15">
        <v>25000000</v>
      </c>
      <c r="G13" s="15"/>
      <c r="H13" s="10"/>
    </row>
    <row r="14" spans="1:11" x14ac:dyDescent="0.25">
      <c r="A14" s="1" t="s">
        <v>86</v>
      </c>
      <c r="B14" s="15">
        <v>352000</v>
      </c>
      <c r="C14" s="15"/>
      <c r="D14" s="15"/>
      <c r="E14" s="1" t="s">
        <v>97</v>
      </c>
      <c r="F14" s="15">
        <v>6610220</v>
      </c>
      <c r="G14" s="15"/>
      <c r="H14" s="10"/>
    </row>
    <row r="15" spans="1:11" x14ac:dyDescent="0.25">
      <c r="A15" s="1" t="s">
        <v>84</v>
      </c>
      <c r="B15" s="15">
        <v>95600</v>
      </c>
      <c r="C15" s="15"/>
      <c r="D15" s="15"/>
      <c r="E15" s="1"/>
      <c r="F15" s="15"/>
      <c r="G15" s="15"/>
      <c r="H15" s="10"/>
    </row>
    <row r="16" spans="1:11" x14ac:dyDescent="0.25">
      <c r="A16" s="1" t="s">
        <v>85</v>
      </c>
      <c r="B16" s="15">
        <v>95500</v>
      </c>
      <c r="C16" s="15"/>
      <c r="D16" s="15"/>
      <c r="E16" s="1"/>
      <c r="F16" s="15"/>
      <c r="G16" s="15"/>
      <c r="H16" s="10"/>
    </row>
    <row r="17" spans="1:8" x14ac:dyDescent="0.25">
      <c r="A17" s="1" t="s">
        <v>133</v>
      </c>
      <c r="B17" s="15">
        <v>10000</v>
      </c>
      <c r="C17" s="15"/>
      <c r="D17" s="15"/>
      <c r="E17" s="1"/>
      <c r="F17" s="15"/>
      <c r="G17" s="15"/>
      <c r="H17" s="10"/>
    </row>
    <row r="18" spans="1:8" ht="15.75" thickBot="1" x14ac:dyDescent="0.3">
      <c r="A18" s="30" t="s">
        <v>90</v>
      </c>
      <c r="B18" s="34"/>
      <c r="C18" s="34"/>
      <c r="D18" s="34">
        <f>B13-B14+B15-B16+B17</f>
        <v>490600</v>
      </c>
      <c r="E18" s="30"/>
      <c r="F18" s="34"/>
      <c r="G18" s="34"/>
      <c r="H18" s="35">
        <f>SUM(F13:F17)</f>
        <v>31610220</v>
      </c>
    </row>
    <row r="19" spans="1:8" ht="15.75" thickBot="1" x14ac:dyDescent="0.3">
      <c r="A19" s="36" t="s">
        <v>89</v>
      </c>
      <c r="B19" s="99">
        <f>SUM(D8+D18)</f>
        <v>44343072</v>
      </c>
      <c r="C19" s="100"/>
      <c r="D19" s="100"/>
      <c r="E19" s="31" t="s">
        <v>91</v>
      </c>
      <c r="F19" s="112">
        <f>H9+H18+H11</f>
        <v>44343070</v>
      </c>
      <c r="G19" s="112"/>
      <c r="H19" s="113"/>
    </row>
    <row r="21" spans="1:8" x14ac:dyDescent="0.25">
      <c r="D21" s="39"/>
    </row>
    <row r="22" spans="1:8" ht="15.75" thickBot="1" x14ac:dyDescent="0.3">
      <c r="A22" s="37"/>
      <c r="B22" s="37"/>
      <c r="C22" s="37"/>
      <c r="D22" s="37"/>
      <c r="E22" s="37"/>
      <c r="F22" s="37"/>
      <c r="G22" s="37"/>
      <c r="H22" s="37"/>
    </row>
    <row r="23" spans="1:8" x14ac:dyDescent="0.25">
      <c r="A23" s="114" t="s">
        <v>131</v>
      </c>
      <c r="B23" s="115"/>
      <c r="C23" s="115"/>
      <c r="D23" s="115"/>
      <c r="E23" s="115"/>
      <c r="F23" s="115"/>
      <c r="G23" s="115"/>
      <c r="H23" s="116"/>
    </row>
    <row r="24" spans="1:8" ht="15.75" thickBot="1" x14ac:dyDescent="0.3">
      <c r="A24" s="101" t="s">
        <v>135</v>
      </c>
      <c r="B24" s="102"/>
      <c r="C24" s="102"/>
      <c r="D24" s="102"/>
      <c r="E24" s="102"/>
      <c r="F24" s="102"/>
      <c r="G24" s="102"/>
      <c r="H24" s="103"/>
    </row>
    <row r="25" spans="1:8" ht="27" thickBot="1" x14ac:dyDescent="0.45">
      <c r="A25" s="104" t="s">
        <v>74</v>
      </c>
      <c r="B25" s="105"/>
      <c r="C25" s="105"/>
      <c r="D25" s="105"/>
      <c r="E25" s="106" t="s">
        <v>75</v>
      </c>
      <c r="F25" s="107"/>
      <c r="G25" s="107"/>
      <c r="H25" s="108"/>
    </row>
    <row r="26" spans="1:8" ht="16.5" thickTop="1" thickBot="1" x14ac:dyDescent="0.3">
      <c r="A26" s="94" t="s">
        <v>77</v>
      </c>
      <c r="B26" s="95"/>
      <c r="C26" s="95"/>
      <c r="D26" s="95"/>
      <c r="E26" s="109" t="s">
        <v>76</v>
      </c>
      <c r="F26" s="110"/>
      <c r="G26" s="110"/>
      <c r="H26" s="111"/>
    </row>
    <row r="27" spans="1:8" ht="15.75" thickTop="1" x14ac:dyDescent="0.25">
      <c r="A27" s="1" t="s">
        <v>78</v>
      </c>
      <c r="B27" s="15">
        <f>'Ejercicio#11'!E31</f>
        <v>138380.52353772148</v>
      </c>
      <c r="C27" s="15"/>
      <c r="D27" s="15"/>
      <c r="E27" s="1" t="s">
        <v>92</v>
      </c>
      <c r="F27" s="15">
        <f>'Ejercicio#11'!E62</f>
        <v>10521456</v>
      </c>
      <c r="G27" s="15"/>
      <c r="H27" s="10"/>
    </row>
    <row r="28" spans="1:8" x14ac:dyDescent="0.25">
      <c r="A28" s="1" t="s">
        <v>79</v>
      </c>
      <c r="B28" s="15">
        <f>'Ejercicio#11'!H49</f>
        <v>14050400</v>
      </c>
      <c r="C28" s="15"/>
      <c r="D28" s="15"/>
      <c r="E28" s="1" t="s">
        <v>136</v>
      </c>
      <c r="F28" s="15">
        <f>'Ejercicio#11'!E25</f>
        <v>175143.91841468308</v>
      </c>
      <c r="G28" s="15"/>
      <c r="H28" s="10"/>
    </row>
    <row r="29" spans="1:8" x14ac:dyDescent="0.25">
      <c r="A29" s="1" t="s">
        <v>80</v>
      </c>
      <c r="B29" s="15">
        <f>'Ejercicio#10'!D97</f>
        <v>9888593</v>
      </c>
      <c r="C29" s="15"/>
      <c r="D29" s="15"/>
      <c r="E29" s="1" t="s">
        <v>67</v>
      </c>
      <c r="F29" s="15">
        <f>F5-'Ejercicio#11'!D28</f>
        <v>100000</v>
      </c>
      <c r="G29" s="15"/>
      <c r="H29" s="10"/>
    </row>
    <row r="30" spans="1:8" x14ac:dyDescent="0.25">
      <c r="A30" s="1" t="s">
        <v>81</v>
      </c>
      <c r="B30" s="15">
        <f>'Ejercicio#10'!D26</f>
        <v>119191</v>
      </c>
      <c r="C30" s="15"/>
      <c r="D30" s="15">
        <f>SUM(B27:B30)</f>
        <v>24196564.523537721</v>
      </c>
      <c r="E30" s="1"/>
      <c r="F30" s="15"/>
      <c r="G30" s="15"/>
      <c r="H30" s="10"/>
    </row>
    <row r="31" spans="1:8" ht="15.75" thickBot="1" x14ac:dyDescent="0.3">
      <c r="A31" s="32" t="s">
        <v>88</v>
      </c>
      <c r="B31" s="33"/>
      <c r="C31" s="33"/>
      <c r="D31" s="33"/>
      <c r="E31" s="1" t="s">
        <v>94</v>
      </c>
      <c r="F31" s="15"/>
      <c r="G31" s="15"/>
      <c r="H31" s="10">
        <f>SUM(F27:F30)</f>
        <v>10796599.918414682</v>
      </c>
    </row>
    <row r="32" spans="1:8" ht="16.5" thickTop="1" thickBot="1" x14ac:dyDescent="0.3">
      <c r="A32" s="1"/>
      <c r="B32" s="15"/>
      <c r="C32" s="15"/>
      <c r="D32" s="15"/>
      <c r="E32" s="109" t="s">
        <v>87</v>
      </c>
      <c r="F32" s="110"/>
      <c r="G32" s="110"/>
      <c r="H32" s="111"/>
    </row>
    <row r="33" spans="1:8" ht="15.75" thickTop="1" x14ac:dyDescent="0.25">
      <c r="A33" s="1"/>
      <c r="B33" s="15"/>
      <c r="C33" s="15"/>
      <c r="D33" s="15"/>
      <c r="E33" s="76" t="s">
        <v>134</v>
      </c>
      <c r="F33" s="78">
        <v>1250000</v>
      </c>
      <c r="G33" s="57"/>
      <c r="H33" s="75"/>
    </row>
    <row r="34" spans="1:8" ht="15.75" thickBot="1" x14ac:dyDescent="0.3">
      <c r="A34" s="1"/>
      <c r="B34" s="15"/>
      <c r="C34" s="15"/>
      <c r="D34" s="15"/>
      <c r="E34" s="77"/>
      <c r="F34" s="15"/>
      <c r="G34" s="15"/>
      <c r="H34" s="10">
        <f>F33</f>
        <v>1250000</v>
      </c>
    </row>
    <row r="35" spans="1:8" ht="27.75" thickTop="1" thickBot="1" x14ac:dyDescent="0.45">
      <c r="A35" s="94" t="s">
        <v>82</v>
      </c>
      <c r="B35" s="95"/>
      <c r="C35" s="95"/>
      <c r="D35" s="95"/>
      <c r="E35" s="96" t="s">
        <v>95</v>
      </c>
      <c r="F35" s="97"/>
      <c r="G35" s="97"/>
      <c r="H35" s="98"/>
    </row>
    <row r="36" spans="1:8" ht="15.75" thickTop="1" x14ac:dyDescent="0.25">
      <c r="A36" s="1" t="s">
        <v>83</v>
      </c>
      <c r="B36" s="15">
        <f>832500</f>
        <v>832500</v>
      </c>
      <c r="C36" s="15"/>
      <c r="D36" s="15"/>
      <c r="E36" s="1" t="s">
        <v>96</v>
      </c>
      <c r="F36" s="15">
        <v>25000000</v>
      </c>
      <c r="G36" s="15"/>
      <c r="H36" s="10"/>
    </row>
    <row r="37" spans="1:8" x14ac:dyDescent="0.25">
      <c r="A37" s="1" t="s">
        <v>86</v>
      </c>
      <c r="B37" s="15">
        <f>B14+7500</f>
        <v>359500</v>
      </c>
      <c r="C37" s="15"/>
      <c r="D37" s="15"/>
      <c r="E37" s="1" t="s">
        <v>97</v>
      </c>
      <c r="F37" s="15">
        <v>6610220</v>
      </c>
      <c r="G37" s="15"/>
      <c r="H37" s="10"/>
    </row>
    <row r="38" spans="1:8" x14ac:dyDescent="0.25">
      <c r="A38" s="1" t="s">
        <v>84</v>
      </c>
      <c r="B38" s="15">
        <f>B15</f>
        <v>95600</v>
      </c>
      <c r="C38" s="15"/>
      <c r="D38" s="15"/>
      <c r="E38" s="1" t="s">
        <v>137</v>
      </c>
      <c r="F38" s="15">
        <f>'Ejercicio#10'!D95</f>
        <v>487058.15792992897</v>
      </c>
      <c r="G38" s="15"/>
      <c r="H38" s="10"/>
    </row>
    <row r="39" spans="1:8" x14ac:dyDescent="0.25">
      <c r="A39" s="1" t="s">
        <v>85</v>
      </c>
      <c r="B39" s="15">
        <f>B16</f>
        <v>95500</v>
      </c>
      <c r="C39" s="15"/>
      <c r="D39" s="15"/>
      <c r="E39" s="1"/>
      <c r="F39" s="15"/>
      <c r="G39" s="15"/>
      <c r="H39" s="10"/>
    </row>
    <row r="40" spans="1:8" x14ac:dyDescent="0.25">
      <c r="A40" s="1" t="s">
        <v>133</v>
      </c>
      <c r="B40" s="15">
        <v>10000</v>
      </c>
      <c r="C40" s="15"/>
      <c r="D40" s="15"/>
      <c r="E40" s="1"/>
      <c r="F40" s="15"/>
      <c r="G40" s="15"/>
      <c r="H40" s="10"/>
    </row>
    <row r="41" spans="1:8" ht="15.75" thickBot="1" x14ac:dyDescent="0.3">
      <c r="A41" s="30" t="s">
        <v>90</v>
      </c>
      <c r="B41" s="34"/>
      <c r="C41" s="34"/>
      <c r="D41" s="34">
        <f>B36-B37+B38-B39+B40</f>
        <v>483100</v>
      </c>
      <c r="E41" s="30"/>
      <c r="F41" s="34"/>
      <c r="G41" s="34"/>
      <c r="H41" s="35">
        <f>SUM(F36:F40)</f>
        <v>32097278.157929927</v>
      </c>
    </row>
    <row r="42" spans="1:8" ht="15.75" thickBot="1" x14ac:dyDescent="0.3">
      <c r="A42" s="36" t="s">
        <v>89</v>
      </c>
      <c r="B42" s="99">
        <f>D30+D41</f>
        <v>24679664.523537721</v>
      </c>
      <c r="C42" s="100"/>
      <c r="D42" s="100"/>
      <c r="E42" s="31" t="s">
        <v>91</v>
      </c>
      <c r="F42" s="112">
        <f>H31+H34+H41</f>
        <v>44143878.076344609</v>
      </c>
      <c r="G42" s="112"/>
      <c r="H42" s="113"/>
    </row>
    <row r="43" spans="1:8" x14ac:dyDescent="0.25">
      <c r="A43" s="37"/>
      <c r="B43" s="37"/>
      <c r="C43" s="37"/>
      <c r="D43" s="37"/>
      <c r="E43" s="37"/>
      <c r="F43" s="37"/>
      <c r="G43" s="37"/>
      <c r="H43" s="37"/>
    </row>
  </sheetData>
  <mergeCells count="22">
    <mergeCell ref="B19:D19"/>
    <mergeCell ref="E12:H12"/>
    <mergeCell ref="A2:H2"/>
    <mergeCell ref="A1:H1"/>
    <mergeCell ref="A23:H23"/>
    <mergeCell ref="A3:D3"/>
    <mergeCell ref="E3:H3"/>
    <mergeCell ref="A12:D12"/>
    <mergeCell ref="A4:D4"/>
    <mergeCell ref="E4:H4"/>
    <mergeCell ref="E10:H10"/>
    <mergeCell ref="F19:H19"/>
    <mergeCell ref="A35:D35"/>
    <mergeCell ref="E35:H35"/>
    <mergeCell ref="B42:D42"/>
    <mergeCell ref="A24:H24"/>
    <mergeCell ref="A25:D25"/>
    <mergeCell ref="E25:H25"/>
    <mergeCell ref="A26:D26"/>
    <mergeCell ref="E26:H26"/>
    <mergeCell ref="E32:H32"/>
    <mergeCell ref="F42:H42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Ejercicio#10</vt:lpstr>
      <vt:lpstr>Ejercicio#11</vt:lpstr>
      <vt:lpstr>Ejercicio#12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2020-04-15T18:51:04Z</dcterms:modified>
</cp:coreProperties>
</file>