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M23">
      <text>
        <t xml:space="preserve">deberia de dar lo mismo si lo hice bien.</t>
      </text>
    </comment>
    <comment authorId="0" ref="L60">
      <text>
        <t xml:space="preserve">por acción
</t>
      </text>
    </comment>
    <comment authorId="0" ref="L66">
      <text>
        <t xml:space="preserve">por acción
</t>
      </text>
    </comment>
    <comment authorId="0" ref="D94">
      <text>
        <t xml:space="preserve">Utilizando como referencia el promedio de la industria, en general están bien, sin embargoen 2019 se encuentran con menos solvencia a corto plazo, y marginalmente menor capacidad de cubrir sus pasivos. A pesar de esto han rotado más sus inventarios, han empeorado en dias pendientes de cobro, se encuentran un poco bajo en el margen de utilidad pero cerca del promedio en tan solo 2%, estan teniendo un mejor roa y roe por lo que indica que están siendo eficientes en el manejo de sus activos y capital y esto se acerca o es el promedio. La estructura de financiamiento los pone en una peor situación dado a que los fondos adicionales necesarios son muchos y marginales a las ganancias derivadas.
</t>
      </text>
    </comment>
  </commentList>
</comments>
</file>

<file path=xl/sharedStrings.xml><?xml version="1.0" encoding="utf-8"?>
<sst xmlns="http://schemas.openxmlformats.org/spreadsheetml/2006/main" count="179" uniqueCount="99">
  <si>
    <t>Baxter Coporation</t>
  </si>
  <si>
    <t>Balance General</t>
  </si>
  <si>
    <t>Estado de Resultados</t>
  </si>
  <si>
    <t>ISR</t>
  </si>
  <si>
    <t>La gerencia de la empresa estima que puede proyectar un crecimiento del 10% para alcanzar el crecimiento sostenido y tomando en cuenta a la competencia.</t>
  </si>
  <si>
    <t>En millones de dólares</t>
  </si>
  <si>
    <t>AV</t>
  </si>
  <si>
    <t>Pronóstico</t>
  </si>
  <si>
    <t>Ajuste</t>
  </si>
  <si>
    <t>El gerente administrativo indica que se deben de incrementar los gastos administrativos en la misma proporción ya que necesitará contratar más personal. Así como los gastos por anticipado y gastos devengados los deberá incrementar en la misma proporción a las ventas dada la estructura que está manejando.</t>
  </si>
  <si>
    <t>Efectivo</t>
  </si>
  <si>
    <t>Ventas</t>
  </si>
  <si>
    <t>Valores negociables</t>
  </si>
  <si>
    <t>Costo de ventas</t>
  </si>
  <si>
    <t>El gerente de la planta indica que está operando a un 50% de capacidad por lo que puede proyectar dicho crecimiento.</t>
  </si>
  <si>
    <t>Cuentas por cobrar</t>
  </si>
  <si>
    <t>Utilidad bruta</t>
  </si>
  <si>
    <t>Inventarios</t>
  </si>
  <si>
    <t>Gastos de ventas y administrativos</t>
  </si>
  <si>
    <t>Por otro lado los accionistas de la empresa desean continuar incrementando sus dividendos y esperan para el 2020 un dividendo de $1 por acción.</t>
  </si>
  <si>
    <t>Gastos pagados por anticipado</t>
  </si>
  <si>
    <t>Gastos de depreciacion</t>
  </si>
  <si>
    <t>Total activo circulante</t>
  </si>
  <si>
    <t>Utilidad operativa</t>
  </si>
  <si>
    <t>Adicionalmente, el Gobierno de la república ha indicado que a partir de enero del 2020 se realizará un incremento al ISR al 35%.</t>
  </si>
  <si>
    <t>Inversiones a LP</t>
  </si>
  <si>
    <t>Gastos de intereses</t>
  </si>
  <si>
    <t>Propiedad, planta y equipo</t>
  </si>
  <si>
    <t>EBT</t>
  </si>
  <si>
    <t>La junta directiva determina que para soportar dicho crecimiento se financiará de la siguiente forma:</t>
  </si>
  <si>
    <t>Depreciación acumulada</t>
  </si>
  <si>
    <t>Impuestos</t>
  </si>
  <si>
    <t>· Deuda a corto plazo, un 10%. Esta paga un interés del 3%</t>
  </si>
  <si>
    <t>Propiedad, planta y equipo neto</t>
  </si>
  <si>
    <t>Utilidad Neta</t>
  </si>
  <si>
    <t>· Bonos a largo plazo en un 50%, con un cupón del 8%</t>
  </si>
  <si>
    <t>Total Activos</t>
  </si>
  <si>
    <t>· Emisión de acciones comunes de un 40%, estas se colocarán a un precio de $10 por acción.</t>
  </si>
  <si>
    <t>Dividendos preferentes</t>
  </si>
  <si>
    <t>Cuentas por pagar</t>
  </si>
  <si>
    <t>Dividendos comunes</t>
  </si>
  <si>
    <t>Documentos por pagar</t>
  </si>
  <si>
    <t>Adición a las utilidad retenidas</t>
  </si>
  <si>
    <t>Gastos devengados</t>
  </si>
  <si>
    <t>Total pasivo circulante</t>
  </si>
  <si>
    <t>Bonos por pagar</t>
  </si>
  <si>
    <t>Utilidades por acción comun</t>
  </si>
  <si>
    <t>Total Pasivos</t>
  </si>
  <si>
    <t>Dividendos por acción</t>
  </si>
  <si>
    <t>Acciones preferentes</t>
  </si>
  <si>
    <t>Número de acciones comunes</t>
  </si>
  <si>
    <t>Acciones comunes</t>
  </si>
  <si>
    <t>Capital adicional sobre valor par de acción común</t>
  </si>
  <si>
    <t>Utilidades retenidas</t>
  </si>
  <si>
    <t>Total capital</t>
  </si>
  <si>
    <t>Pasivo + Capital</t>
  </si>
  <si>
    <t>-</t>
  </si>
  <si>
    <t>AH</t>
  </si>
  <si>
    <t>FAN</t>
  </si>
  <si>
    <t>ESTADO DE FLUJOS DE EFECTIVO</t>
  </si>
  <si>
    <t>flujos provenientes de actividad de operación</t>
  </si>
  <si>
    <t>Utilidad neta</t>
  </si>
  <si>
    <t>adición a utilidad neta</t>
  </si>
  <si>
    <t>depreciación</t>
  </si>
  <si>
    <t>gasto</t>
  </si>
  <si>
    <t>incremento a cuentas por pagar</t>
  </si>
  <si>
    <t>incremento a gastos devengados</t>
  </si>
  <si>
    <t>reducciones a utilidad neta</t>
  </si>
  <si>
    <t>incremento a cuentas por cobrar</t>
  </si>
  <si>
    <t>incremento a inventario</t>
  </si>
  <si>
    <t>net cash flows from operations</t>
  </si>
  <si>
    <t>cash flows from long term investing activities</t>
  </si>
  <si>
    <t>acquisition of fixed assets</t>
  </si>
  <si>
    <t>bonos por pagar</t>
  </si>
  <si>
    <t>increase in notes payable</t>
  </si>
  <si>
    <t>aumento en capital común</t>
  </si>
  <si>
    <t>dividend payment</t>
  </si>
  <si>
    <t>dividendos prefernetes</t>
  </si>
  <si>
    <t>net cash flows from financing activities</t>
  </si>
  <si>
    <t>net change in cash</t>
  </si>
  <si>
    <t>cash a the beggining of the year</t>
  </si>
  <si>
    <t>cash at the end of the year</t>
  </si>
  <si>
    <t>promedio</t>
  </si>
  <si>
    <t>razon circulante</t>
  </si>
  <si>
    <t>Prueba acida</t>
  </si>
  <si>
    <t>Rotación de activos fijos</t>
  </si>
  <si>
    <t>rotación activos totales</t>
  </si>
  <si>
    <t>rotación de inventarios</t>
  </si>
  <si>
    <t>Dias pendiente de cobro</t>
  </si>
  <si>
    <t>Rotación de las Cuentas por pagar</t>
  </si>
  <si>
    <t>Dias rotación cuentas por pagar</t>
  </si>
  <si>
    <t>Razón de deuda</t>
  </si>
  <si>
    <t>Margen de utiliad sobre ventas</t>
  </si>
  <si>
    <t>ROA</t>
  </si>
  <si>
    <t>ROE</t>
  </si>
  <si>
    <t>ANÁLISIS de razones y fan</t>
  </si>
  <si>
    <t>PROMEDIO DE LA INDUSTRIA</t>
  </si>
  <si>
    <t>x</t>
  </si>
  <si>
    <t>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</si>
</sst>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8">
    <font>
      <sz val="10.0"/>
      <color rgb="FF000000"/>
      <name val="Arial"/>
    </font>
    <font>
      <sz val="11.0"/>
      <color rgb="FF000000"/>
      <name val="Calibri"/>
    </font>
    <font>
      <sz val="11.0"/>
      <color rgb="FF000000"/>
      <name val="Arial"/>
    </font>
    <font>
      <b/>
      <sz val="11.0"/>
      <color rgb="FF000000"/>
      <name val="Calibri"/>
    </font>
    <font>
      <color theme="1"/>
      <name val="Arial"/>
    </font>
    <font>
      <b/>
      <color theme="1"/>
      <name val="Arial"/>
    </font>
    <font>
      <b/>
      <u/>
      <color theme="1"/>
      <name val="Arial"/>
    </font>
    <font/>
  </fonts>
  <fills count="6">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F2F2F2"/>
        <bgColor rgb="FFF2F2F2"/>
      </patternFill>
    </fill>
  </fills>
  <borders count="9">
    <border/>
    <border>
      <left style="thin">
        <color rgb="FF000000"/>
      </left>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2" numFmtId="0" xfId="0" applyFont="1"/>
    <xf borderId="0" fillId="2" fontId="3" numFmtId="0" xfId="0" applyAlignment="1" applyFill="1" applyFont="1">
      <alignment horizontal="center" readingOrder="0" shrinkToFit="0" vertical="bottom" wrapText="0"/>
    </xf>
    <xf borderId="0" fillId="2" fontId="3" numFmtId="164" xfId="0" applyAlignment="1" applyFont="1" applyNumberFormat="1">
      <alignment horizontal="center" readingOrder="0" shrinkToFit="0" vertical="bottom" wrapText="0"/>
    </xf>
    <xf borderId="0" fillId="0" fontId="1" numFmtId="4" xfId="0" applyAlignment="1" applyFont="1" applyNumberFormat="1">
      <alignment readingOrder="0" shrinkToFit="0" vertical="bottom" wrapText="0"/>
    </xf>
    <xf borderId="0" fillId="0" fontId="1" numFmtId="10" xfId="0" applyAlignment="1" applyFont="1" applyNumberFormat="1">
      <alignment readingOrder="0" shrinkToFit="0" vertical="bottom" wrapText="0"/>
    </xf>
    <xf borderId="0" fillId="0" fontId="1" numFmtId="10" xfId="0" applyAlignment="1" applyFont="1" applyNumberFormat="1">
      <alignment shrinkToFit="0" vertical="bottom" wrapText="0"/>
    </xf>
    <xf borderId="0" fillId="0" fontId="4" numFmtId="0" xfId="0" applyFont="1"/>
    <xf borderId="0" fillId="0" fontId="3" numFmtId="0" xfId="0" applyAlignment="1" applyFont="1">
      <alignment readingOrder="0" shrinkToFit="0" vertical="bottom" wrapText="0"/>
    </xf>
    <xf borderId="0" fillId="0" fontId="3" numFmtId="4" xfId="0" applyAlignment="1" applyFont="1" applyNumberFormat="1">
      <alignment readingOrder="0" shrinkToFit="0" vertical="bottom" wrapText="0"/>
    </xf>
    <xf borderId="0" fillId="0" fontId="5" numFmtId="0" xfId="0" applyFont="1"/>
    <xf borderId="0" fillId="0" fontId="4" numFmtId="4" xfId="0" applyFont="1" applyNumberFormat="1"/>
    <xf borderId="0" fillId="2" fontId="3" numFmtId="0" xfId="0" applyAlignment="1" applyFont="1">
      <alignment readingOrder="0" shrinkToFit="0" vertical="bottom" wrapText="0"/>
    </xf>
    <xf borderId="0" fillId="2" fontId="3" numFmtId="4" xfId="0" applyAlignment="1" applyFont="1" applyNumberFormat="1">
      <alignment readingOrder="0" shrinkToFit="0" vertical="bottom" wrapText="0"/>
    </xf>
    <xf borderId="0" fillId="3" fontId="3" numFmtId="4" xfId="0" applyAlignment="1" applyFill="1" applyFont="1" applyNumberFormat="1">
      <alignment readingOrder="0" shrinkToFit="0" vertical="bottom" wrapText="0"/>
    </xf>
    <xf borderId="0" fillId="3" fontId="3" numFmtId="10" xfId="0" applyAlignment="1" applyFont="1" applyNumberFormat="1">
      <alignment readingOrder="0" shrinkToFit="0" vertical="bottom" wrapText="0"/>
    </xf>
    <xf borderId="0" fillId="3" fontId="3" numFmtId="10" xfId="0" applyAlignment="1" applyFont="1" applyNumberFormat="1">
      <alignment shrinkToFit="0" vertical="bottom" wrapText="0"/>
    </xf>
    <xf borderId="0" fillId="0" fontId="1" numFmtId="4" xfId="0" applyAlignment="1" applyFont="1" applyNumberFormat="1">
      <alignment shrinkToFit="0" vertical="bottom" wrapText="0"/>
    </xf>
    <xf borderId="0" fillId="0" fontId="1" numFmtId="0" xfId="0" applyAlignment="1" applyFont="1">
      <alignment horizontal="right" readingOrder="0" shrinkToFit="0" vertical="bottom" wrapText="0"/>
    </xf>
    <xf borderId="0" fillId="3" fontId="1" numFmtId="10" xfId="0" applyAlignment="1" applyFont="1" applyNumberFormat="1">
      <alignment readingOrder="0" shrinkToFit="0" vertical="bottom" wrapText="0"/>
    </xf>
    <xf borderId="0" fillId="3" fontId="1" numFmtId="10" xfId="0" applyAlignment="1" applyFont="1" applyNumberFormat="1">
      <alignment shrinkToFit="0" vertical="bottom" wrapText="0"/>
    </xf>
    <xf borderId="0" fillId="4" fontId="1" numFmtId="4" xfId="0" applyAlignment="1" applyFill="1" applyFont="1" applyNumberFormat="1">
      <alignment readingOrder="0" shrinkToFit="0" vertical="bottom" wrapText="0"/>
    </xf>
    <xf borderId="0" fillId="4" fontId="1" numFmtId="0" xfId="0" applyAlignment="1" applyFont="1">
      <alignment readingOrder="0" shrinkToFit="0" vertical="bottom" wrapText="0"/>
    </xf>
    <xf borderId="0" fillId="4" fontId="1" numFmtId="0" xfId="0" applyAlignment="1" applyFont="1">
      <alignment shrinkToFit="0" vertical="bottom" wrapText="0"/>
    </xf>
    <xf borderId="0" fillId="3" fontId="1" numFmtId="0" xfId="0" applyAlignment="1" applyFont="1">
      <alignment readingOrder="0" shrinkToFit="0" vertical="bottom" wrapText="0"/>
    </xf>
    <xf borderId="0" fillId="0" fontId="3" numFmtId="0" xfId="0" applyAlignment="1" applyFont="1">
      <alignment shrinkToFit="0" vertical="bottom" wrapText="0"/>
    </xf>
    <xf borderId="0" fillId="4" fontId="3" numFmtId="0" xfId="0" applyAlignment="1" applyFont="1">
      <alignment shrinkToFit="0" vertical="bottom" wrapText="0"/>
    </xf>
    <xf borderId="0" fillId="0" fontId="3" numFmtId="4" xfId="0" applyAlignment="1" applyFont="1" applyNumberFormat="1">
      <alignment shrinkToFit="0" vertical="bottom" wrapText="0"/>
    </xf>
    <xf borderId="0" fillId="4" fontId="3" numFmtId="0" xfId="0" applyAlignment="1" applyFont="1">
      <alignment horizontal="center" readingOrder="0" shrinkToFit="0" vertical="bottom" wrapText="0"/>
    </xf>
    <xf borderId="0" fillId="4" fontId="3" numFmtId="0" xfId="0" applyAlignment="1" applyFont="1">
      <alignment readingOrder="0" shrinkToFit="0" vertical="bottom" wrapText="0"/>
    </xf>
    <xf borderId="0" fillId="4" fontId="3" numFmtId="4" xfId="0" applyAlignment="1" applyFont="1" applyNumberFormat="1">
      <alignment readingOrder="0" shrinkToFit="0" vertical="bottom" wrapText="0"/>
    </xf>
    <xf borderId="0" fillId="0" fontId="6" numFmtId="0" xfId="0" applyAlignment="1" applyFont="1">
      <alignment readingOrder="0"/>
    </xf>
    <xf borderId="0" fillId="0" fontId="4" numFmtId="0" xfId="0" applyAlignment="1" applyFont="1">
      <alignment readingOrder="0"/>
    </xf>
    <xf borderId="0" fillId="0" fontId="5" numFmtId="164" xfId="0" applyAlignment="1" applyFont="1" applyNumberFormat="1">
      <alignment readingOrder="0"/>
    </xf>
    <xf borderId="0" fillId="0" fontId="4" numFmtId="9" xfId="0" applyAlignment="1" applyFont="1" applyNumberFormat="1">
      <alignment readingOrder="0"/>
    </xf>
    <xf borderId="0" fillId="0" fontId="4" numFmtId="9" xfId="0" applyFont="1" applyNumberFormat="1"/>
    <xf borderId="0" fillId="0" fontId="5" numFmtId="0" xfId="0" applyAlignment="1" applyFont="1">
      <alignment readingOrder="0"/>
    </xf>
    <xf borderId="1" fillId="5" fontId="1" numFmtId="0" xfId="0" applyAlignment="1" applyBorder="1" applyFill="1" applyFont="1">
      <alignment readingOrder="0" shrinkToFit="0" vertical="bottom" wrapText="0"/>
    </xf>
    <xf borderId="0" fillId="5" fontId="1" numFmtId="0" xfId="0" applyAlignment="1" applyFont="1">
      <alignment horizontal="right" readingOrder="0" shrinkToFit="0" vertical="bottom" wrapText="0"/>
    </xf>
    <xf borderId="0" fillId="5" fontId="1" numFmtId="9" xfId="0" applyAlignment="1" applyFont="1" applyNumberFormat="1">
      <alignment horizontal="right" readingOrder="0" shrinkToFit="0" vertical="bottom" wrapText="0"/>
    </xf>
    <xf borderId="2" fillId="5" fontId="1" numFmtId="0" xfId="0" applyAlignment="1" applyBorder="1" applyFont="1">
      <alignment readingOrder="0" shrinkToFit="0" vertical="bottom" wrapText="0"/>
    </xf>
    <xf borderId="3" fillId="5" fontId="1" numFmtId="9" xfId="0" applyAlignment="1" applyBorder="1" applyFont="1" applyNumberFormat="1">
      <alignment horizontal="right" readingOrder="0" shrinkToFit="0" vertical="bottom" wrapText="0"/>
    </xf>
    <xf borderId="4" fillId="2" fontId="3" numFmtId="0" xfId="0" applyAlignment="1" applyBorder="1" applyFont="1">
      <alignment horizontal="center" readingOrder="0" shrinkToFit="0" vertical="bottom" wrapText="0"/>
    </xf>
    <xf borderId="5" fillId="0" fontId="7" numFmtId="0" xfId="0" applyBorder="1" applyFont="1"/>
    <xf borderId="6" fillId="0" fontId="7" numFmtId="0" xfId="0" applyBorder="1" applyFont="1"/>
    <xf borderId="7" fillId="5" fontId="1" numFmtId="0" xfId="0" applyAlignment="1" applyBorder="1" applyFont="1">
      <alignment readingOrder="0" shrinkToFit="0" vertical="bottom" wrapText="0"/>
    </xf>
    <xf borderId="7" fillId="5" fontId="1" numFmtId="0" xfId="0" applyAlignment="1" applyBorder="1" applyFont="1">
      <alignment shrinkToFit="0" vertical="bottom" wrapText="0"/>
    </xf>
    <xf borderId="8" fillId="5"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29"/>
    <col customWidth="1" min="8" max="8" width="28.57"/>
    <col customWidth="1" min="9" max="9" width="30.0"/>
    <col customWidth="1" min="10" max="10" width="15.86"/>
    <col customWidth="1" min="11" max="11" width="13.29"/>
  </cols>
  <sheetData>
    <row r="2">
      <c r="A2" s="1" t="s">
        <v>0</v>
      </c>
      <c r="B2" s="2"/>
      <c r="C2" s="2"/>
      <c r="D2" s="2"/>
      <c r="E2" s="2"/>
      <c r="F2" s="2"/>
      <c r="G2" s="2"/>
      <c r="H2" s="1" t="s">
        <v>0</v>
      </c>
      <c r="I2" s="2"/>
      <c r="J2" s="2"/>
      <c r="K2" s="2"/>
    </row>
    <row r="3">
      <c r="A3" s="1" t="s">
        <v>1</v>
      </c>
      <c r="B3" s="2"/>
      <c r="C3" s="2"/>
      <c r="D3" s="2"/>
      <c r="E3" s="2"/>
      <c r="F3" s="2"/>
      <c r="G3" s="2"/>
      <c r="H3" s="1" t="s">
        <v>2</v>
      </c>
      <c r="I3" s="2"/>
      <c r="J3" s="2"/>
      <c r="K3" s="1" t="s">
        <v>3</v>
      </c>
      <c r="Q3" s="3" t="s">
        <v>4</v>
      </c>
    </row>
    <row r="4">
      <c r="A4" s="1" t="s">
        <v>5</v>
      </c>
      <c r="B4" s="2"/>
      <c r="C4" s="2"/>
      <c r="D4" s="2"/>
      <c r="E4" s="2"/>
      <c r="F4" s="2"/>
      <c r="G4" s="2"/>
      <c r="H4" s="1" t="s">
        <v>5</v>
      </c>
      <c r="I4" s="2"/>
      <c r="J4" s="1">
        <v>0.1</v>
      </c>
      <c r="K4" s="1">
        <v>0.35</v>
      </c>
      <c r="Q4" s="4"/>
    </row>
    <row r="5">
      <c r="A5" s="2"/>
      <c r="B5" s="5">
        <v>2019.0</v>
      </c>
      <c r="C5" s="5" t="s">
        <v>6</v>
      </c>
      <c r="D5" s="5">
        <v>2018.0</v>
      </c>
      <c r="E5" s="5" t="s">
        <v>6</v>
      </c>
      <c r="F5" s="5" t="s">
        <v>6</v>
      </c>
      <c r="G5" s="2"/>
      <c r="H5" s="2"/>
      <c r="I5" s="5">
        <v>2019.0</v>
      </c>
      <c r="J5" s="5" t="s">
        <v>7</v>
      </c>
      <c r="K5" s="6">
        <v>43831.0</v>
      </c>
      <c r="L5" s="5" t="s">
        <v>8</v>
      </c>
      <c r="M5" s="6">
        <v>43862.0</v>
      </c>
      <c r="N5" s="5" t="s">
        <v>8</v>
      </c>
      <c r="O5" s="6">
        <v>43891.0</v>
      </c>
      <c r="Q5" s="3" t="s">
        <v>9</v>
      </c>
    </row>
    <row r="6">
      <c r="A6" s="1" t="s">
        <v>10</v>
      </c>
      <c r="B6" s="7">
        <v>44939.4</v>
      </c>
      <c r="C6" s="8">
        <f t="shared" ref="C6:C16" si="1">B6/$B$16</f>
        <v>0.03999999786</v>
      </c>
      <c r="D6" s="7">
        <v>33704.55</v>
      </c>
      <c r="E6" s="8">
        <f t="shared" ref="E6:E16" si="2">D6/$D$16</f>
        <v>0.03448275686</v>
      </c>
      <c r="F6" s="9">
        <f t="shared" ref="F6:F16" si="3">(B6-D6)/D6</f>
        <v>0.3333333333</v>
      </c>
      <c r="G6" s="2"/>
      <c r="H6" s="1" t="s">
        <v>11</v>
      </c>
      <c r="I6" s="7">
        <v>2246970.11</v>
      </c>
      <c r="J6" s="7">
        <f t="shared" ref="J6:J7" si="4">1+$J$4</f>
        <v>1.1</v>
      </c>
      <c r="K6" s="10">
        <f t="shared" ref="K6:K7" si="5">I6*J6</f>
        <v>2471667.121</v>
      </c>
      <c r="M6" s="10">
        <f t="shared" ref="M6:M7" si="6">K6</f>
        <v>2471667.121</v>
      </c>
      <c r="O6" s="10">
        <f t="shared" ref="O6:O7" si="7">M6</f>
        <v>2471667.121</v>
      </c>
      <c r="Q6" s="4"/>
    </row>
    <row r="7">
      <c r="A7" s="1" t="s">
        <v>12</v>
      </c>
      <c r="B7" s="7">
        <v>11234.85</v>
      </c>
      <c r="C7" s="8">
        <f t="shared" si="1"/>
        <v>0.009999999466</v>
      </c>
      <c r="D7" s="7">
        <v>11234.85</v>
      </c>
      <c r="E7" s="8">
        <f t="shared" si="2"/>
        <v>0.01149425229</v>
      </c>
      <c r="F7" s="9">
        <f t="shared" si="3"/>
        <v>0</v>
      </c>
      <c r="G7" s="2"/>
      <c r="H7" s="1" t="s">
        <v>13</v>
      </c>
      <c r="I7" s="7">
        <v>-1685227.59</v>
      </c>
      <c r="J7" s="7">
        <f t="shared" si="4"/>
        <v>1.1</v>
      </c>
      <c r="K7" s="10">
        <f t="shared" si="5"/>
        <v>-1853750.349</v>
      </c>
      <c r="M7" s="10">
        <f t="shared" si="6"/>
        <v>-1853750.349</v>
      </c>
      <c r="O7" s="10">
        <f t="shared" si="7"/>
        <v>-1853750.349</v>
      </c>
      <c r="Q7" s="3" t="s">
        <v>14</v>
      </c>
    </row>
    <row r="8">
      <c r="A8" s="1" t="s">
        <v>15</v>
      </c>
      <c r="B8" s="7">
        <v>224697.01</v>
      </c>
      <c r="C8" s="8">
        <f t="shared" si="1"/>
        <v>0.1999999982</v>
      </c>
      <c r="D8" s="7">
        <v>190992.46</v>
      </c>
      <c r="E8" s="8">
        <f t="shared" si="2"/>
        <v>0.1954022991</v>
      </c>
      <c r="F8" s="9">
        <f t="shared" si="3"/>
        <v>0.176470579</v>
      </c>
      <c r="G8" s="2"/>
      <c r="H8" s="11" t="s">
        <v>16</v>
      </c>
      <c r="I8" s="12">
        <v>561742.53</v>
      </c>
      <c r="J8" s="12"/>
      <c r="K8" s="13">
        <f>SUM(K6:K7)</f>
        <v>617916.772</v>
      </c>
      <c r="L8" s="13"/>
      <c r="M8" s="13">
        <f>SUM(M6:M7)</f>
        <v>617916.772</v>
      </c>
      <c r="N8" s="13"/>
      <c r="O8" s="13">
        <f>SUM(O6:O7)</f>
        <v>617916.772</v>
      </c>
      <c r="Q8" s="4"/>
    </row>
    <row r="9">
      <c r="A9" s="1" t="s">
        <v>17</v>
      </c>
      <c r="B9" s="7">
        <v>202227.31</v>
      </c>
      <c r="C9" s="8">
        <f t="shared" si="1"/>
        <v>0.1799999993</v>
      </c>
      <c r="D9" s="7">
        <v>179757.61</v>
      </c>
      <c r="E9" s="8">
        <f t="shared" si="2"/>
        <v>0.1839080468</v>
      </c>
      <c r="F9" s="9">
        <f t="shared" si="3"/>
        <v>0.124999993</v>
      </c>
      <c r="G9" s="2"/>
      <c r="H9" s="1" t="s">
        <v>18</v>
      </c>
      <c r="I9" s="7">
        <v>-303340.97</v>
      </c>
      <c r="J9" s="7">
        <f>1+$J$4</f>
        <v>1.1</v>
      </c>
      <c r="K9" s="10">
        <f>I9*J9</f>
        <v>-333675.067</v>
      </c>
      <c r="M9" s="10">
        <f t="shared" ref="M9:M10" si="8">K9</f>
        <v>-333675.067</v>
      </c>
      <c r="O9" s="10">
        <f t="shared" ref="O9:O10" si="9">M9</f>
        <v>-333675.067</v>
      </c>
      <c r="Q9" s="3" t="s">
        <v>19</v>
      </c>
    </row>
    <row r="10">
      <c r="A10" s="1" t="s">
        <v>20</v>
      </c>
      <c r="B10" s="7">
        <v>22469.7</v>
      </c>
      <c r="C10" s="8">
        <f t="shared" si="1"/>
        <v>0.01999999893</v>
      </c>
      <c r="D10" s="7">
        <v>33704.55</v>
      </c>
      <c r="E10" s="8">
        <f t="shared" si="2"/>
        <v>0.03448275686</v>
      </c>
      <c r="F10" s="9">
        <f t="shared" si="3"/>
        <v>-0.3333333333</v>
      </c>
      <c r="G10" s="2"/>
      <c r="H10" s="1" t="s">
        <v>21</v>
      </c>
      <c r="I10" s="7">
        <v>-56174.25</v>
      </c>
      <c r="J10" s="7"/>
      <c r="K10" s="14">
        <f>IF(J10=0,I10,I10*J10)</f>
        <v>-56174.25</v>
      </c>
      <c r="M10" s="14">
        <f t="shared" si="8"/>
        <v>-56174.25</v>
      </c>
      <c r="O10" s="14">
        <f t="shared" si="9"/>
        <v>-56174.25</v>
      </c>
      <c r="Q10" s="4"/>
    </row>
    <row r="11">
      <c r="A11" s="11" t="s">
        <v>22</v>
      </c>
      <c r="B11" s="7">
        <v>505568.28</v>
      </c>
      <c r="C11" s="8">
        <f t="shared" si="1"/>
        <v>0.4500000027</v>
      </c>
      <c r="D11" s="7">
        <v>449394.02</v>
      </c>
      <c r="E11" s="8">
        <f t="shared" si="2"/>
        <v>0.4597701119</v>
      </c>
      <c r="F11" s="9">
        <f t="shared" si="3"/>
        <v>0.1250000167</v>
      </c>
      <c r="G11" s="2"/>
      <c r="H11" s="11" t="s">
        <v>23</v>
      </c>
      <c r="I11" s="12">
        <v>202227.31</v>
      </c>
      <c r="J11" s="12"/>
      <c r="K11" s="13">
        <f>SUM(K8:K10)</f>
        <v>228067.455</v>
      </c>
      <c r="L11" s="13"/>
      <c r="M11" s="13">
        <f>SUM(M8:M10)</f>
        <v>228067.455</v>
      </c>
      <c r="N11" s="13"/>
      <c r="O11" s="13">
        <f>SUM(O8:O10)</f>
        <v>228067.455</v>
      </c>
      <c r="Q11" s="3" t="s">
        <v>24</v>
      </c>
    </row>
    <row r="12">
      <c r="A12" s="1" t="s">
        <v>25</v>
      </c>
      <c r="B12" s="7">
        <v>56174.25</v>
      </c>
      <c r="C12" s="8">
        <f t="shared" si="1"/>
        <v>0.04999999733</v>
      </c>
      <c r="D12" s="7">
        <v>22469.7</v>
      </c>
      <c r="E12" s="8">
        <f t="shared" si="2"/>
        <v>0.02298850457</v>
      </c>
      <c r="F12" s="9">
        <f t="shared" si="3"/>
        <v>1.5</v>
      </c>
      <c r="G12" s="2"/>
      <c r="H12" s="1" t="s">
        <v>26</v>
      </c>
      <c r="I12" s="7">
        <v>-22469.7</v>
      </c>
      <c r="J12" s="7"/>
      <c r="K12" s="14">
        <f>IF(J12=0,I12,I12+J12)</f>
        <v>-22469.7</v>
      </c>
      <c r="L12" s="14">
        <f>-M59</f>
        <v>-74708.77868</v>
      </c>
      <c r="M12" s="14">
        <f>IF(L12=0,I12,I12+L12)</f>
        <v>-97178.47868</v>
      </c>
      <c r="N12" s="14">
        <f>-M65</f>
        <v>-72535.95394</v>
      </c>
      <c r="O12" s="14">
        <f>IF(N12=0,I12,I12+N12)</f>
        <v>-95005.65394</v>
      </c>
      <c r="Q12" s="4"/>
    </row>
    <row r="13">
      <c r="A13" s="1" t="s">
        <v>27</v>
      </c>
      <c r="B13" s="7">
        <v>1235833.56</v>
      </c>
      <c r="C13" s="8">
        <f t="shared" si="1"/>
        <v>1.099999995</v>
      </c>
      <c r="D13" s="7">
        <v>1123485.06</v>
      </c>
      <c r="E13" s="8">
        <f t="shared" si="2"/>
        <v>1.14942529</v>
      </c>
      <c r="F13" s="9">
        <f t="shared" si="3"/>
        <v>0.09999999466</v>
      </c>
      <c r="G13" s="2"/>
      <c r="H13" s="11" t="s">
        <v>28</v>
      </c>
      <c r="I13" s="12">
        <v>179757.61</v>
      </c>
      <c r="J13" s="12"/>
      <c r="K13" s="13">
        <f>SUM(K11:K12)</f>
        <v>205597.755</v>
      </c>
      <c r="L13" s="13"/>
      <c r="M13" s="13">
        <f>SUM(M11:M12)</f>
        <v>130888.9763</v>
      </c>
      <c r="N13" s="13"/>
      <c r="O13" s="13">
        <f>SUM(O11:O12)</f>
        <v>133061.8011</v>
      </c>
      <c r="Q13" s="3" t="s">
        <v>29</v>
      </c>
    </row>
    <row r="14">
      <c r="A14" s="1" t="s">
        <v>30</v>
      </c>
      <c r="B14" s="7">
        <v>674091.03</v>
      </c>
      <c r="C14" s="8">
        <f t="shared" si="1"/>
        <v>0.5999999947</v>
      </c>
      <c r="D14" s="7">
        <v>617916.78</v>
      </c>
      <c r="E14" s="8">
        <f t="shared" si="2"/>
        <v>0.6321839064</v>
      </c>
      <c r="F14" s="9">
        <f t="shared" si="3"/>
        <v>0.0909090865</v>
      </c>
      <c r="G14" s="2"/>
      <c r="H14" s="1" t="s">
        <v>31</v>
      </c>
      <c r="I14" s="7">
        <v>-55612.51</v>
      </c>
      <c r="J14" s="7"/>
      <c r="K14" s="10">
        <f>K13*K4</f>
        <v>71959.21425</v>
      </c>
      <c r="M14" s="10">
        <f>M13*K4</f>
        <v>45811.14171</v>
      </c>
      <c r="O14" s="10">
        <f>O13*K4</f>
        <v>46571.63037</v>
      </c>
      <c r="Q14" s="3" t="s">
        <v>32</v>
      </c>
    </row>
    <row r="15">
      <c r="A15" s="1" t="s">
        <v>33</v>
      </c>
      <c r="B15" s="7">
        <v>561742.53</v>
      </c>
      <c r="C15" s="8">
        <f t="shared" si="1"/>
        <v>0.5</v>
      </c>
      <c r="D15" s="7">
        <v>505568.28</v>
      </c>
      <c r="E15" s="8">
        <f t="shared" si="2"/>
        <v>0.5172413835</v>
      </c>
      <c r="F15" s="9">
        <f t="shared" si="3"/>
        <v>0.1111111045</v>
      </c>
      <c r="G15" s="2"/>
      <c r="H15" s="15" t="s">
        <v>34</v>
      </c>
      <c r="I15" s="16">
        <v>124145.1</v>
      </c>
      <c r="J15" s="16"/>
      <c r="K15" s="16">
        <f>SUM(K13:K14)</f>
        <v>277556.9693</v>
      </c>
      <c r="L15" s="16"/>
      <c r="M15" s="16">
        <f>SUM(M13:M14)</f>
        <v>176700.118</v>
      </c>
      <c r="N15" s="16"/>
      <c r="O15" s="16">
        <f>SUM(O13:O14)</f>
        <v>179633.4314</v>
      </c>
      <c r="Q15" s="3" t="s">
        <v>35</v>
      </c>
    </row>
    <row r="16">
      <c r="A16" s="15" t="s">
        <v>36</v>
      </c>
      <c r="B16" s="17">
        <v>1123485.06</v>
      </c>
      <c r="C16" s="18">
        <f t="shared" si="1"/>
        <v>1</v>
      </c>
      <c r="D16" s="17">
        <v>977432.0</v>
      </c>
      <c r="E16" s="18">
        <f t="shared" si="2"/>
        <v>1</v>
      </c>
      <c r="F16" s="19">
        <f t="shared" si="3"/>
        <v>0.1494252899</v>
      </c>
      <c r="G16" s="2"/>
      <c r="H16" s="2"/>
      <c r="I16" s="2"/>
      <c r="J16" s="2"/>
      <c r="Q16" s="3" t="s">
        <v>37</v>
      </c>
    </row>
    <row r="17">
      <c r="A17" s="2"/>
      <c r="B17" s="2"/>
      <c r="C17" s="2"/>
      <c r="D17" s="2"/>
      <c r="E17" s="2"/>
      <c r="F17" s="2"/>
      <c r="G17" s="2"/>
      <c r="H17" s="1" t="s">
        <v>38</v>
      </c>
      <c r="I17" s="7">
        <v>-11796.59</v>
      </c>
      <c r="J17" s="7"/>
      <c r="K17" s="14">
        <f t="shared" ref="K17:K18" si="10">I17</f>
        <v>-11796.59</v>
      </c>
      <c r="M17" s="14">
        <f>K17</f>
        <v>-11796.59</v>
      </c>
      <c r="O17" s="14">
        <f>M17</f>
        <v>-11796.59</v>
      </c>
      <c r="Q17" s="4"/>
    </row>
    <row r="18">
      <c r="A18" s="1" t="s">
        <v>39</v>
      </c>
      <c r="B18" s="7">
        <v>89878.8</v>
      </c>
      <c r="C18" s="8">
        <f t="shared" ref="C18:C29" si="11">B18/$B$29</f>
        <v>0.07999999573</v>
      </c>
      <c r="D18" s="7">
        <v>50556.83</v>
      </c>
      <c r="E18" s="8">
        <f t="shared" ref="E18:E29" si="12">D18/$D$29</f>
        <v>0.0517241404</v>
      </c>
      <c r="F18" s="9">
        <f t="shared" ref="F18:F29" si="13">(B18-D18)/D18</f>
        <v>0.777777602</v>
      </c>
      <c r="G18" s="2"/>
      <c r="H18" s="1" t="s">
        <v>40</v>
      </c>
      <c r="I18" s="7">
        <v>-56174.25</v>
      </c>
      <c r="J18" s="7"/>
      <c r="K18" s="14">
        <f t="shared" si="10"/>
        <v>-56174.25</v>
      </c>
      <c r="M18" s="10">
        <f>M23*M24</f>
        <v>95213.40917</v>
      </c>
      <c r="O18" s="10">
        <f>O23*O24</f>
        <v>133117.1562</v>
      </c>
    </row>
    <row r="19">
      <c r="A19" s="1" t="s">
        <v>41</v>
      </c>
      <c r="B19" s="7">
        <v>112348.51</v>
      </c>
      <c r="C19" s="8">
        <f t="shared" si="11"/>
        <v>0.1000000036</v>
      </c>
      <c r="D19" s="7">
        <v>112348.51</v>
      </c>
      <c r="E19" s="8">
        <f t="shared" si="12"/>
        <v>0.1149425331</v>
      </c>
      <c r="F19" s="9">
        <f t="shared" si="13"/>
        <v>0</v>
      </c>
      <c r="G19" s="2"/>
      <c r="H19" s="1" t="s">
        <v>42</v>
      </c>
      <c r="I19" s="7">
        <v>56174.25</v>
      </c>
      <c r="J19" s="7"/>
      <c r="K19" s="20">
        <f>SUM(K15:K18)</f>
        <v>209586.1293</v>
      </c>
      <c r="M19" s="20">
        <f>SUM(M15:M18)</f>
        <v>260116.9372</v>
      </c>
      <c r="O19" s="20">
        <f>SUM(O15:O18)</f>
        <v>300953.9977</v>
      </c>
    </row>
    <row r="20">
      <c r="A20" s="1" t="s">
        <v>43</v>
      </c>
      <c r="B20" s="7">
        <v>33704.55</v>
      </c>
      <c r="C20" s="8">
        <f t="shared" si="11"/>
        <v>0.0299999984</v>
      </c>
      <c r="D20" s="7">
        <v>39321.98</v>
      </c>
      <c r="E20" s="8">
        <f t="shared" si="12"/>
        <v>0.04022988811</v>
      </c>
      <c r="F20" s="9">
        <f t="shared" si="13"/>
        <v>-0.1428572518</v>
      </c>
      <c r="G20" s="2"/>
      <c r="H20" s="2"/>
      <c r="I20" s="2"/>
      <c r="J20" s="2"/>
      <c r="K20" s="2"/>
    </row>
    <row r="21">
      <c r="A21" s="11" t="s">
        <v>44</v>
      </c>
      <c r="B21" s="12">
        <v>235931.86</v>
      </c>
      <c r="C21" s="8">
        <f t="shared" si="11"/>
        <v>0.2099999977</v>
      </c>
      <c r="D21" s="12">
        <v>202227.31</v>
      </c>
      <c r="E21" s="8">
        <f t="shared" si="12"/>
        <v>0.2068965514</v>
      </c>
      <c r="F21" s="9">
        <f t="shared" si="13"/>
        <v>0.1666666584</v>
      </c>
      <c r="G21" s="2"/>
      <c r="H21" s="2"/>
      <c r="I21" s="2"/>
      <c r="J21" s="2"/>
      <c r="K21" s="2"/>
    </row>
    <row r="22">
      <c r="A22" s="1" t="s">
        <v>45</v>
      </c>
      <c r="B22" s="7">
        <v>101113.66</v>
      </c>
      <c r="C22" s="8">
        <f t="shared" si="11"/>
        <v>0.09000000409</v>
      </c>
      <c r="D22" s="7">
        <v>44939.4</v>
      </c>
      <c r="E22" s="8">
        <f t="shared" si="12"/>
        <v>0.04597700914</v>
      </c>
      <c r="F22" s="9">
        <f t="shared" si="13"/>
        <v>1.250000223</v>
      </c>
      <c r="G22" s="2"/>
      <c r="H22" s="1" t="s">
        <v>46</v>
      </c>
      <c r="I22" s="1">
        <v>1.12</v>
      </c>
      <c r="J22" s="1"/>
      <c r="K22" s="2">
        <f>K15/K24</f>
        <v>2.775569693</v>
      </c>
      <c r="M22" s="2">
        <f>M15/M24</f>
        <v>1.042499863</v>
      </c>
      <c r="O22" s="2">
        <f>O15/O24</f>
        <v>0.7580370232</v>
      </c>
    </row>
    <row r="23">
      <c r="A23" s="11" t="s">
        <v>47</v>
      </c>
      <c r="B23" s="12">
        <v>337045.52</v>
      </c>
      <c r="C23" s="8">
        <f t="shared" si="11"/>
        <v>0.3000000018</v>
      </c>
      <c r="D23" s="12">
        <v>247166.71</v>
      </c>
      <c r="E23" s="8">
        <f t="shared" si="12"/>
        <v>0.2528735605</v>
      </c>
      <c r="F23" s="9">
        <f t="shared" si="13"/>
        <v>0.3636363894</v>
      </c>
      <c r="G23" s="2"/>
      <c r="H23" s="1" t="s">
        <v>48</v>
      </c>
      <c r="I23" s="21">
        <v>0.56</v>
      </c>
      <c r="J23" s="21"/>
      <c r="K23" s="2">
        <f>-K18/K24</f>
        <v>0.5617425</v>
      </c>
      <c r="M23" s="2">
        <f>K23</f>
        <v>0.5617425</v>
      </c>
      <c r="O23" s="2">
        <f>M23</f>
        <v>0.5617425</v>
      </c>
    </row>
    <row r="24">
      <c r="A24" s="1" t="s">
        <v>49</v>
      </c>
      <c r="B24" s="7">
        <v>56174.25</v>
      </c>
      <c r="C24" s="8">
        <f t="shared" si="11"/>
        <v>0.04999999733</v>
      </c>
      <c r="D24" s="7">
        <v>56174.25</v>
      </c>
      <c r="E24" s="8">
        <f t="shared" si="12"/>
        <v>0.05747126143</v>
      </c>
      <c r="F24" s="9">
        <f t="shared" si="13"/>
        <v>0</v>
      </c>
      <c r="G24" s="2"/>
      <c r="H24" s="1" t="s">
        <v>50</v>
      </c>
      <c r="I24" s="7">
        <v>100000.0</v>
      </c>
      <c r="J24" s="7"/>
      <c r="K24" s="20">
        <f>IF(J24=0,I24,I24+J24)</f>
        <v>100000</v>
      </c>
      <c r="L24" s="10">
        <f>L60</f>
        <v>69496.53831</v>
      </c>
      <c r="M24" s="20">
        <f>IF(L24=0,K24,K24+L24)</f>
        <v>169496.5383</v>
      </c>
      <c r="N24" s="10">
        <f>L66</f>
        <v>67475.30599</v>
      </c>
      <c r="O24" s="20">
        <f>IF(N24=0,M24,M24+N24)</f>
        <v>236971.8443</v>
      </c>
    </row>
    <row r="25">
      <c r="A25" s="1" t="s">
        <v>51</v>
      </c>
      <c r="B25" s="7">
        <v>112348.51</v>
      </c>
      <c r="C25" s="8">
        <f t="shared" si="11"/>
        <v>0.1000000036</v>
      </c>
      <c r="D25" s="7">
        <v>112348.51</v>
      </c>
      <c r="E25" s="8">
        <f t="shared" si="12"/>
        <v>0.1149425331</v>
      </c>
      <c r="F25" s="9">
        <f t="shared" si="13"/>
        <v>0</v>
      </c>
      <c r="G25" s="2"/>
      <c r="K25" s="2"/>
    </row>
    <row r="26">
      <c r="A26" s="1" t="s">
        <v>52</v>
      </c>
      <c r="B26" s="7">
        <v>280871.26</v>
      </c>
      <c r="C26" s="8">
        <f t="shared" si="11"/>
        <v>0.2499999955</v>
      </c>
      <c r="D26" s="7">
        <v>280871.26</v>
      </c>
      <c r="E26" s="8">
        <f t="shared" si="12"/>
        <v>0.2873563174</v>
      </c>
      <c r="F26" s="9">
        <f t="shared" si="13"/>
        <v>0</v>
      </c>
      <c r="G26" s="2"/>
      <c r="H26" s="1" t="s">
        <v>0</v>
      </c>
      <c r="I26" s="2"/>
      <c r="J26" s="2"/>
      <c r="K26" s="2"/>
    </row>
    <row r="27">
      <c r="A27" s="1" t="s">
        <v>53</v>
      </c>
      <c r="B27" s="7">
        <v>337045.52</v>
      </c>
      <c r="C27" s="8">
        <f t="shared" si="11"/>
        <v>0.3000000018</v>
      </c>
      <c r="D27" s="7">
        <v>280871.26</v>
      </c>
      <c r="E27" s="8">
        <f t="shared" si="12"/>
        <v>0.2873563174</v>
      </c>
      <c r="F27" s="9">
        <f t="shared" si="13"/>
        <v>0.2000000285</v>
      </c>
      <c r="G27" s="2"/>
      <c r="H27" s="1" t="s">
        <v>1</v>
      </c>
      <c r="I27" s="2"/>
      <c r="J27" s="2"/>
      <c r="K27" s="2"/>
    </row>
    <row r="28">
      <c r="A28" s="11" t="s">
        <v>54</v>
      </c>
      <c r="B28" s="12">
        <v>786439.54</v>
      </c>
      <c r="C28" s="8">
        <f t="shared" si="11"/>
        <v>0.6999999982</v>
      </c>
      <c r="D28" s="12">
        <v>730265.29</v>
      </c>
      <c r="E28" s="8">
        <f t="shared" si="12"/>
        <v>0.7471264395</v>
      </c>
      <c r="F28" s="9">
        <f t="shared" si="13"/>
        <v>0.07692307271</v>
      </c>
      <c r="G28" s="2"/>
      <c r="H28" s="1" t="s">
        <v>5</v>
      </c>
      <c r="I28" s="2"/>
      <c r="J28" s="2">
        <f>0.1</f>
        <v>0.1</v>
      </c>
      <c r="K28" s="2"/>
    </row>
    <row r="29">
      <c r="A29" s="15" t="s">
        <v>55</v>
      </c>
      <c r="B29" s="17">
        <v>1123485.06</v>
      </c>
      <c r="C29" s="22">
        <f t="shared" si="11"/>
        <v>1</v>
      </c>
      <c r="D29" s="17">
        <v>977432.0</v>
      </c>
      <c r="E29" s="22">
        <f t="shared" si="12"/>
        <v>1</v>
      </c>
      <c r="F29" s="23">
        <f t="shared" si="13"/>
        <v>0.1494252899</v>
      </c>
      <c r="G29" s="2"/>
      <c r="H29" s="2"/>
      <c r="I29" s="5">
        <v>2019.0</v>
      </c>
      <c r="J29" s="5" t="s">
        <v>7</v>
      </c>
      <c r="K29" s="6">
        <v>43831.0</v>
      </c>
      <c r="L29" s="5" t="s">
        <v>8</v>
      </c>
      <c r="M29" s="6">
        <v>43862.0</v>
      </c>
      <c r="N29" s="5" t="s">
        <v>8</v>
      </c>
      <c r="O29" s="6">
        <v>43891.0</v>
      </c>
    </row>
    <row r="30">
      <c r="A30" s="2"/>
      <c r="B30" s="1" t="s">
        <v>56</v>
      </c>
      <c r="C30" s="1"/>
      <c r="D30" s="1" t="s">
        <v>56</v>
      </c>
      <c r="E30" s="1"/>
      <c r="F30" s="2"/>
      <c r="G30" s="2"/>
      <c r="H30" s="1" t="s">
        <v>10</v>
      </c>
      <c r="I30" s="7">
        <v>44939.4</v>
      </c>
      <c r="J30" s="7">
        <f>1+$J$28</f>
        <v>1.1</v>
      </c>
      <c r="K30" s="2">
        <f t="shared" ref="K30:K34" si="14">IF(J30=0,I30,I30*J30)</f>
        <v>49433.34</v>
      </c>
      <c r="M30" s="24">
        <f t="shared" ref="M30:M34" si="15">K30</f>
        <v>49433.34</v>
      </c>
      <c r="O30" s="24">
        <f t="shared" ref="O30:O34" si="16">M30</f>
        <v>49433.34</v>
      </c>
    </row>
    <row r="31">
      <c r="A31" s="2"/>
      <c r="B31" s="2"/>
      <c r="C31" s="2"/>
      <c r="D31" s="2"/>
      <c r="E31" s="2"/>
      <c r="F31" s="2"/>
      <c r="G31" s="2"/>
      <c r="H31" s="1" t="s">
        <v>12</v>
      </c>
      <c r="I31" s="7">
        <v>11234.85</v>
      </c>
      <c r="J31" s="7"/>
      <c r="K31" s="20">
        <f t="shared" si="14"/>
        <v>11234.85</v>
      </c>
      <c r="M31" s="24">
        <f t="shared" si="15"/>
        <v>11234.85</v>
      </c>
      <c r="O31" s="24">
        <f t="shared" si="16"/>
        <v>11234.85</v>
      </c>
    </row>
    <row r="32">
      <c r="A32" s="1" t="s">
        <v>0</v>
      </c>
      <c r="B32" s="2"/>
      <c r="C32" s="2"/>
      <c r="D32" s="2"/>
      <c r="E32" s="2"/>
      <c r="F32" s="2"/>
      <c r="G32" s="2"/>
      <c r="H32" s="1" t="s">
        <v>15</v>
      </c>
      <c r="I32" s="7">
        <v>224697.01</v>
      </c>
      <c r="J32" s="7">
        <f t="shared" ref="J32:J34" si="17">1+$J$28</f>
        <v>1.1</v>
      </c>
      <c r="K32" s="2">
        <f t="shared" si="14"/>
        <v>247166.711</v>
      </c>
      <c r="L32" s="25"/>
      <c r="M32" s="24">
        <f t="shared" si="15"/>
        <v>247166.711</v>
      </c>
      <c r="N32" s="26"/>
      <c r="O32" s="24">
        <f t="shared" si="16"/>
        <v>247166.711</v>
      </c>
    </row>
    <row r="33">
      <c r="A33" s="1" t="s">
        <v>2</v>
      </c>
      <c r="B33" s="2"/>
      <c r="C33" s="2"/>
      <c r="D33" s="2"/>
      <c r="E33" s="2"/>
      <c r="F33" s="2"/>
      <c r="G33" s="2"/>
      <c r="H33" s="1" t="s">
        <v>17</v>
      </c>
      <c r="I33" s="7">
        <v>202227.31</v>
      </c>
      <c r="J33" s="7">
        <f t="shared" si="17"/>
        <v>1.1</v>
      </c>
      <c r="K33" s="2">
        <f t="shared" si="14"/>
        <v>222450.041</v>
      </c>
      <c r="L33" s="25"/>
      <c r="M33" s="24">
        <f t="shared" si="15"/>
        <v>222450.041</v>
      </c>
      <c r="N33" s="26"/>
      <c r="O33" s="24">
        <f t="shared" si="16"/>
        <v>222450.041</v>
      </c>
    </row>
    <row r="34">
      <c r="A34" s="1" t="s">
        <v>5</v>
      </c>
      <c r="B34" s="2"/>
      <c r="C34" s="2"/>
      <c r="D34" s="2"/>
      <c r="E34" s="2"/>
      <c r="F34" s="2"/>
      <c r="G34" s="2"/>
      <c r="H34" s="1" t="s">
        <v>20</v>
      </c>
      <c r="I34" s="7">
        <v>22469.7</v>
      </c>
      <c r="J34" s="7">
        <f t="shared" si="17"/>
        <v>1.1</v>
      </c>
      <c r="K34" s="2">
        <f t="shared" si="14"/>
        <v>24716.67</v>
      </c>
      <c r="L34" s="25"/>
      <c r="M34" s="24">
        <f t="shared" si="15"/>
        <v>24716.67</v>
      </c>
      <c r="N34" s="26"/>
      <c r="O34" s="24">
        <f t="shared" si="16"/>
        <v>24716.67</v>
      </c>
    </row>
    <row r="35">
      <c r="A35" s="2"/>
      <c r="B35" s="5">
        <v>2019.0</v>
      </c>
      <c r="C35" s="5" t="s">
        <v>6</v>
      </c>
      <c r="D35" s="5">
        <v>2018.0</v>
      </c>
      <c r="E35" s="5" t="s">
        <v>6</v>
      </c>
      <c r="F35" s="27" t="s">
        <v>57</v>
      </c>
      <c r="G35" s="2"/>
      <c r="H35" s="11" t="s">
        <v>22</v>
      </c>
      <c r="I35" s="12">
        <v>505568.28</v>
      </c>
      <c r="J35" s="12"/>
      <c r="K35" s="28">
        <f>SUM(K30:K34)</f>
        <v>555001.612</v>
      </c>
      <c r="L35" s="29"/>
      <c r="M35" s="30">
        <f>SUM(M30:M34)</f>
        <v>555001.612</v>
      </c>
      <c r="N35" s="31"/>
      <c r="O35" s="30">
        <f>SUM(O30:O34)</f>
        <v>555001.612</v>
      </c>
    </row>
    <row r="36">
      <c r="A36" s="1" t="s">
        <v>11</v>
      </c>
      <c r="B36" s="7">
        <v>2246970.11</v>
      </c>
      <c r="C36" s="8">
        <f t="shared" ref="C36:C45" si="18">B36/$B$36</f>
        <v>1</v>
      </c>
      <c r="D36" s="7">
        <v>1797576.09</v>
      </c>
      <c r="E36" s="8">
        <f t="shared" ref="E36:E45" si="19">D36/$D$36</f>
        <v>1</v>
      </c>
      <c r="F36" s="9">
        <f t="shared" ref="F36:F45" si="20">(B36-D36)/D36</f>
        <v>0.2499999986</v>
      </c>
      <c r="G36" s="2"/>
      <c r="H36" s="1" t="s">
        <v>25</v>
      </c>
      <c r="I36" s="7">
        <v>56174.25</v>
      </c>
      <c r="J36" s="7"/>
      <c r="K36" s="20">
        <f t="shared" ref="K36:K39" si="21">IF(J36=0,I36,I36*J36)</f>
        <v>56174.25</v>
      </c>
      <c r="L36" s="25"/>
      <c r="M36" s="14">
        <f t="shared" ref="M36:M39" si="22">K36</f>
        <v>56174.25</v>
      </c>
      <c r="N36" s="24"/>
      <c r="O36" s="24">
        <f t="shared" ref="O36:O39" si="23">M36</f>
        <v>56174.25</v>
      </c>
    </row>
    <row r="37">
      <c r="A37" s="1" t="s">
        <v>13</v>
      </c>
      <c r="B37" s="7">
        <v>1685227.59</v>
      </c>
      <c r="C37" s="8">
        <f t="shared" si="18"/>
        <v>0.7500000033</v>
      </c>
      <c r="D37" s="7">
        <v>1348182.07</v>
      </c>
      <c r="E37" s="8">
        <f t="shared" si="19"/>
        <v>0.7500000014</v>
      </c>
      <c r="F37" s="9">
        <f t="shared" si="20"/>
        <v>0.2500000019</v>
      </c>
      <c r="G37" s="2"/>
      <c r="H37" s="1" t="s">
        <v>27</v>
      </c>
      <c r="I37" s="7">
        <v>1235833.56</v>
      </c>
      <c r="J37" s="7"/>
      <c r="K37" s="20">
        <f t="shared" si="21"/>
        <v>1235833.56</v>
      </c>
      <c r="L37" s="25"/>
      <c r="M37" s="24">
        <f t="shared" si="22"/>
        <v>1235833.56</v>
      </c>
      <c r="N37" s="24"/>
      <c r="O37" s="24">
        <f t="shared" si="23"/>
        <v>1235833.56</v>
      </c>
    </row>
    <row r="38">
      <c r="A38" s="1" t="s">
        <v>16</v>
      </c>
      <c r="B38" s="7">
        <v>561742.53</v>
      </c>
      <c r="C38" s="8">
        <f t="shared" si="18"/>
        <v>0.2500000011</v>
      </c>
      <c r="D38" s="7">
        <v>449394.02</v>
      </c>
      <c r="E38" s="8">
        <f t="shared" si="19"/>
        <v>0.2499999986</v>
      </c>
      <c r="F38" s="9">
        <f t="shared" si="20"/>
        <v>0.2500000111</v>
      </c>
      <c r="G38" s="2"/>
      <c r="H38" s="1" t="s">
        <v>30</v>
      </c>
      <c r="I38" s="7">
        <v>674091.03</v>
      </c>
      <c r="J38" s="7"/>
      <c r="K38" s="20">
        <f t="shared" si="21"/>
        <v>674091.03</v>
      </c>
      <c r="L38" s="25"/>
      <c r="M38" s="24">
        <f t="shared" si="22"/>
        <v>674091.03</v>
      </c>
      <c r="N38" s="24"/>
      <c r="O38" s="24">
        <f t="shared" si="23"/>
        <v>674091.03</v>
      </c>
    </row>
    <row r="39">
      <c r="A39" s="1" t="s">
        <v>18</v>
      </c>
      <c r="B39" s="7">
        <v>303340.97</v>
      </c>
      <c r="C39" s="8">
        <f t="shared" si="18"/>
        <v>0.1350000023</v>
      </c>
      <c r="D39" s="7">
        <v>242672.77</v>
      </c>
      <c r="E39" s="8">
        <f t="shared" si="19"/>
        <v>0.1349999988</v>
      </c>
      <c r="F39" s="9">
        <f t="shared" si="20"/>
        <v>0.2500000309</v>
      </c>
      <c r="G39" s="2"/>
      <c r="H39" s="1" t="s">
        <v>33</v>
      </c>
      <c r="I39" s="7">
        <v>561742.53</v>
      </c>
      <c r="J39" s="7"/>
      <c r="K39" s="20">
        <f t="shared" si="21"/>
        <v>561742.53</v>
      </c>
      <c r="L39" s="25"/>
      <c r="M39" s="24">
        <f t="shared" si="22"/>
        <v>561742.53</v>
      </c>
      <c r="N39" s="24"/>
      <c r="O39" s="24">
        <f t="shared" si="23"/>
        <v>561742.53</v>
      </c>
    </row>
    <row r="40">
      <c r="A40" s="1" t="s">
        <v>21</v>
      </c>
      <c r="B40" s="7">
        <v>56174.25</v>
      </c>
      <c r="C40" s="8">
        <f t="shared" si="18"/>
        <v>0.02499999878</v>
      </c>
      <c r="D40" s="7">
        <v>50556.83</v>
      </c>
      <c r="E40" s="8">
        <f t="shared" si="19"/>
        <v>0.02812500137</v>
      </c>
      <c r="F40" s="9">
        <f t="shared" si="20"/>
        <v>0.1111110012</v>
      </c>
      <c r="G40" s="2"/>
      <c r="H40" s="15" t="s">
        <v>36</v>
      </c>
      <c r="I40" s="16">
        <v>1123485.06</v>
      </c>
      <c r="J40" s="16"/>
      <c r="K40" s="16">
        <f>SUM(K36:K39)+K35</f>
        <v>3082842.982</v>
      </c>
      <c r="L40" s="16"/>
      <c r="M40" s="16">
        <f>SUM(M36:M39)+M35</f>
        <v>3082842.982</v>
      </c>
      <c r="N40" s="16"/>
      <c r="O40" s="16">
        <f>SUM(O36:O39)+O35</f>
        <v>3082842.982</v>
      </c>
    </row>
    <row r="41">
      <c r="A41" s="1" t="s">
        <v>23</v>
      </c>
      <c r="B41" s="7">
        <v>202227.31</v>
      </c>
      <c r="C41" s="8">
        <f t="shared" si="18"/>
        <v>0.09000000004</v>
      </c>
      <c r="D41" s="7">
        <v>156164.42</v>
      </c>
      <c r="E41" s="8">
        <f t="shared" si="19"/>
        <v>0.08687499843</v>
      </c>
      <c r="F41" s="9">
        <f t="shared" si="20"/>
        <v>0.2949640514</v>
      </c>
      <c r="G41" s="2"/>
      <c r="H41" s="2"/>
      <c r="I41" s="2"/>
      <c r="J41" s="2"/>
      <c r="K41" s="2"/>
      <c r="L41" s="32"/>
      <c r="M41" s="24"/>
      <c r="N41" s="24"/>
    </row>
    <row r="42">
      <c r="A42" s="1" t="s">
        <v>26</v>
      </c>
      <c r="B42" s="7">
        <v>22469.7</v>
      </c>
      <c r="C42" s="8">
        <f t="shared" si="18"/>
        <v>0.00999999951</v>
      </c>
      <c r="D42" s="7">
        <v>22469.7</v>
      </c>
      <c r="E42" s="8">
        <f t="shared" si="19"/>
        <v>0.01249999937</v>
      </c>
      <c r="F42" s="9">
        <f t="shared" si="20"/>
        <v>0</v>
      </c>
      <c r="G42" s="2"/>
      <c r="H42" s="1" t="s">
        <v>39</v>
      </c>
      <c r="I42" s="7">
        <v>89878.8</v>
      </c>
      <c r="J42" s="7">
        <f>1+$J$28</f>
        <v>1.1</v>
      </c>
      <c r="K42" s="2">
        <f t="shared" ref="K42:K44" si="24">IF(J42=0,I42,I42*J42)</f>
        <v>98866.68</v>
      </c>
      <c r="L42" s="25"/>
      <c r="M42" s="24">
        <f>K42</f>
        <v>98866.68</v>
      </c>
      <c r="N42" s="24"/>
      <c r="O42" s="14">
        <f>M42</f>
        <v>98866.68</v>
      </c>
    </row>
    <row r="43">
      <c r="A43" s="1" t="s">
        <v>28</v>
      </c>
      <c r="B43" s="7">
        <v>179757.61</v>
      </c>
      <c r="C43" s="8">
        <f t="shared" si="18"/>
        <v>0.08000000053</v>
      </c>
      <c r="D43" s="7">
        <v>133694.72</v>
      </c>
      <c r="E43" s="8">
        <f t="shared" si="19"/>
        <v>0.07437499906</v>
      </c>
      <c r="F43" s="9">
        <f t="shared" si="20"/>
        <v>0.3445378396</v>
      </c>
      <c r="G43" s="2"/>
      <c r="H43" s="1" t="s">
        <v>41</v>
      </c>
      <c r="I43" s="7">
        <v>112348.51</v>
      </c>
      <c r="J43" s="7"/>
      <c r="K43" s="20">
        <f t="shared" si="24"/>
        <v>112348.51</v>
      </c>
      <c r="L43" s="25">
        <f>K58</f>
        <v>173741.3458</v>
      </c>
      <c r="M43" s="24">
        <f>IF(L43=0,I43,I43+L43)</f>
        <v>286089.8558</v>
      </c>
      <c r="N43" s="24">
        <f>K64</f>
        <v>168688.265</v>
      </c>
      <c r="O43" s="14">
        <f>IF(N43=0,I43,I43+N43)</f>
        <v>281036.775</v>
      </c>
    </row>
    <row r="44">
      <c r="A44" s="1" t="s">
        <v>31</v>
      </c>
      <c r="B44" s="7">
        <v>55612.51</v>
      </c>
      <c r="C44" s="8">
        <f t="shared" si="18"/>
        <v>0.0247499999</v>
      </c>
      <c r="D44" s="7">
        <v>41445.36</v>
      </c>
      <c r="E44" s="8">
        <f t="shared" si="19"/>
        <v>0.02305624793</v>
      </c>
      <c r="F44" s="9">
        <f t="shared" si="20"/>
        <v>0.3418271671</v>
      </c>
      <c r="G44" s="2"/>
      <c r="H44" s="1" t="s">
        <v>43</v>
      </c>
      <c r="I44" s="7">
        <v>33704.55</v>
      </c>
      <c r="J44" s="7">
        <f>1+$J$28</f>
        <v>1.1</v>
      </c>
      <c r="K44" s="2">
        <f t="shared" si="24"/>
        <v>37075.005</v>
      </c>
      <c r="L44" s="25"/>
      <c r="M44" s="24">
        <f>K44</f>
        <v>37075.005</v>
      </c>
      <c r="N44" s="24"/>
      <c r="O44" s="14">
        <f>M44</f>
        <v>37075.005</v>
      </c>
    </row>
    <row r="45">
      <c r="A45" s="15" t="s">
        <v>34</v>
      </c>
      <c r="B45" s="16">
        <v>124145.1</v>
      </c>
      <c r="C45" s="22">
        <f t="shared" si="18"/>
        <v>0.05525000063</v>
      </c>
      <c r="D45" s="17">
        <v>92249.36</v>
      </c>
      <c r="E45" s="22">
        <f t="shared" si="19"/>
        <v>0.05131875113</v>
      </c>
      <c r="F45" s="23">
        <f t="shared" si="20"/>
        <v>0.3457556779</v>
      </c>
      <c r="G45" s="2"/>
      <c r="H45" s="11" t="s">
        <v>44</v>
      </c>
      <c r="I45" s="12">
        <v>235931.86</v>
      </c>
      <c r="J45" s="12"/>
      <c r="K45" s="28">
        <f>SUM(K42:K44)</f>
        <v>248290.195</v>
      </c>
      <c r="L45" s="25"/>
      <c r="M45" s="30">
        <f>SUM(M42:M44)</f>
        <v>422031.5408</v>
      </c>
      <c r="N45" s="24"/>
      <c r="O45" s="30">
        <f>SUM(O42:O44)</f>
        <v>416978.46</v>
      </c>
    </row>
    <row r="46">
      <c r="A46" s="2"/>
      <c r="B46" s="2"/>
      <c r="C46" s="2"/>
      <c r="D46" s="2"/>
      <c r="E46" s="2"/>
      <c r="F46" s="2"/>
      <c r="G46" s="2"/>
      <c r="H46" s="1" t="s">
        <v>45</v>
      </c>
      <c r="I46" s="7">
        <v>101113.66</v>
      </c>
      <c r="J46" s="7"/>
      <c r="K46" s="20">
        <f>IF(J46=0,I46,I46*J46)</f>
        <v>101113.66</v>
      </c>
      <c r="L46" s="32">
        <f>K59</f>
        <v>868706.7289</v>
      </c>
      <c r="M46" s="24">
        <f>IF(L46=0,I46,I46+L46)</f>
        <v>969820.3889</v>
      </c>
      <c r="N46" s="33">
        <f>K65</f>
        <v>843441.3249</v>
      </c>
      <c r="O46" s="14">
        <f>IF(N46=0,I46,I46+N46)</f>
        <v>944554.9849</v>
      </c>
    </row>
    <row r="47">
      <c r="A47" s="1" t="s">
        <v>38</v>
      </c>
      <c r="B47" s="7">
        <v>11796.59</v>
      </c>
      <c r="C47" s="7"/>
      <c r="D47" s="7">
        <v>11796.59</v>
      </c>
      <c r="E47" s="7"/>
      <c r="F47" s="2"/>
      <c r="G47" s="2"/>
      <c r="H47" s="11" t="s">
        <v>47</v>
      </c>
      <c r="I47" s="12">
        <v>337045.52</v>
      </c>
      <c r="J47" s="12"/>
      <c r="K47" s="30">
        <f>K45+K46</f>
        <v>349403.855</v>
      </c>
      <c r="L47" s="26"/>
      <c r="M47" s="30">
        <f>M45+M46</f>
        <v>1391851.93</v>
      </c>
      <c r="N47" s="26"/>
      <c r="O47" s="30">
        <f>O45+O46</f>
        <v>1361533.445</v>
      </c>
    </row>
    <row r="48">
      <c r="A48" s="1" t="s">
        <v>40</v>
      </c>
      <c r="B48" s="7">
        <v>56174.25</v>
      </c>
      <c r="C48" s="7"/>
      <c r="D48" s="7">
        <v>44939.4</v>
      </c>
      <c r="E48" s="7"/>
      <c r="F48" s="2"/>
      <c r="G48" s="2"/>
      <c r="H48" s="1" t="s">
        <v>49</v>
      </c>
      <c r="I48" s="7">
        <v>56174.25</v>
      </c>
      <c r="J48" s="7"/>
      <c r="K48" s="20">
        <f t="shared" ref="K48:K50" si="25">IF(J48=0,I48+J48)</f>
        <v>56174.25</v>
      </c>
      <c r="L48" s="25"/>
      <c r="M48" s="24">
        <f t="shared" ref="M48:M51" si="26">IF(L48=0,I48,I48+L48)</f>
        <v>56174.25</v>
      </c>
      <c r="N48" s="24"/>
      <c r="O48" s="14">
        <f t="shared" ref="O48:O51" si="27">IF(N48=0,I48,I48+N48)</f>
        <v>56174.25</v>
      </c>
    </row>
    <row r="49">
      <c r="A49" s="1" t="s">
        <v>42</v>
      </c>
      <c r="B49" s="7">
        <v>56174.25</v>
      </c>
      <c r="C49" s="7"/>
      <c r="D49" s="7">
        <v>35513.36</v>
      </c>
      <c r="E49" s="7"/>
      <c r="F49" s="2"/>
      <c r="G49" s="2"/>
      <c r="H49" s="1" t="s">
        <v>51</v>
      </c>
      <c r="I49" s="7">
        <v>112348.51</v>
      </c>
      <c r="J49" s="7"/>
      <c r="K49" s="20">
        <f t="shared" si="25"/>
        <v>112348.51</v>
      </c>
      <c r="L49" s="25"/>
      <c r="M49" s="24">
        <f t="shared" si="26"/>
        <v>112348.51</v>
      </c>
      <c r="N49" s="24"/>
      <c r="O49" s="14">
        <f t="shared" si="27"/>
        <v>112348.51</v>
      </c>
    </row>
    <row r="50">
      <c r="A50" s="2"/>
      <c r="B50" s="2"/>
      <c r="C50" s="2"/>
      <c r="D50" s="2"/>
      <c r="E50" s="2"/>
      <c r="F50" s="2"/>
      <c r="G50" s="2"/>
      <c r="H50" s="1" t="s">
        <v>52</v>
      </c>
      <c r="I50" s="7">
        <v>280871.26</v>
      </c>
      <c r="J50" s="7"/>
      <c r="K50" s="20">
        <f t="shared" si="25"/>
        <v>280871.26</v>
      </c>
      <c r="L50" s="25">
        <f>K60</f>
        <v>694965.3831</v>
      </c>
      <c r="M50" s="24">
        <f t="shared" si="26"/>
        <v>975836.6431</v>
      </c>
      <c r="N50" s="24">
        <f>K66</f>
        <v>674753.0599</v>
      </c>
      <c r="O50" s="14">
        <f t="shared" si="27"/>
        <v>955624.3199</v>
      </c>
    </row>
    <row r="51">
      <c r="A51" s="2"/>
      <c r="B51" s="2"/>
      <c r="C51" s="2"/>
      <c r="D51" s="2"/>
      <c r="E51" s="2"/>
      <c r="F51" s="2"/>
      <c r="G51" s="2"/>
      <c r="H51" s="1" t="s">
        <v>53</v>
      </c>
      <c r="I51" s="7">
        <v>337045.52</v>
      </c>
      <c r="J51" s="7">
        <f>K19</f>
        <v>209586.1293</v>
      </c>
      <c r="K51" s="20">
        <f>IF(J51=0,I51,I51+J51)</f>
        <v>546631.6493</v>
      </c>
      <c r="L51" s="7">
        <f>M19</f>
        <v>260116.9372</v>
      </c>
      <c r="M51" s="24">
        <f t="shared" si="26"/>
        <v>597162.4572</v>
      </c>
      <c r="N51" s="7">
        <f>O19</f>
        <v>300953.9977</v>
      </c>
      <c r="O51" s="14">
        <f t="shared" si="27"/>
        <v>637999.5177</v>
      </c>
    </row>
    <row r="52">
      <c r="A52" s="1" t="s">
        <v>46</v>
      </c>
      <c r="B52" s="1">
        <v>1.12</v>
      </c>
      <c r="C52" s="1"/>
      <c r="D52" s="1">
        <v>0.8</v>
      </c>
      <c r="E52" s="1"/>
      <c r="F52" s="2"/>
      <c r="G52" s="2"/>
      <c r="H52" s="11" t="s">
        <v>54</v>
      </c>
      <c r="I52" s="12">
        <v>786439.54</v>
      </c>
      <c r="J52" s="12"/>
      <c r="K52" s="30">
        <f>SUM(K48:K51)</f>
        <v>996025.6693</v>
      </c>
      <c r="L52" s="25"/>
      <c r="M52" s="30">
        <f>SUM(M48:M51)</f>
        <v>1741521.86</v>
      </c>
      <c r="N52" s="24"/>
      <c r="O52" s="30">
        <f>SUM(O48:O51)</f>
        <v>1762146.598</v>
      </c>
    </row>
    <row r="53">
      <c r="A53" s="1" t="s">
        <v>48</v>
      </c>
      <c r="B53" s="21">
        <v>0.56</v>
      </c>
      <c r="C53" s="21"/>
      <c r="D53" s="21">
        <v>0.45</v>
      </c>
      <c r="E53" s="21"/>
      <c r="F53" s="2"/>
      <c r="G53" s="2"/>
      <c r="H53" s="15" t="s">
        <v>55</v>
      </c>
      <c r="I53" s="16">
        <v>1123485.06</v>
      </c>
      <c r="J53" s="16"/>
      <c r="K53" s="16">
        <f>K47+K52</f>
        <v>1345429.524</v>
      </c>
      <c r="L53" s="16"/>
      <c r="M53" s="16">
        <f>M47+M52</f>
        <v>3133373.79</v>
      </c>
      <c r="N53" s="16"/>
      <c r="O53" s="16">
        <f>O47+O52</f>
        <v>3123680.042</v>
      </c>
    </row>
    <row r="54">
      <c r="A54" s="1" t="s">
        <v>50</v>
      </c>
      <c r="B54" s="7">
        <v>100000.0</v>
      </c>
      <c r="C54" s="7"/>
      <c r="D54" s="7">
        <v>100000.0</v>
      </c>
      <c r="E54" s="7"/>
      <c r="F54" s="2"/>
      <c r="G54" s="2"/>
      <c r="K54" s="2"/>
      <c r="L54" s="25"/>
      <c r="M54" s="24"/>
      <c r="N54" s="24"/>
    </row>
    <row r="55">
      <c r="H55" s="34" t="s">
        <v>58</v>
      </c>
      <c r="I55" s="14">
        <f>I40-I53</f>
        <v>0</v>
      </c>
      <c r="K55" s="14">
        <f>K40-K53</f>
        <v>1737413.458</v>
      </c>
      <c r="L55" s="25"/>
      <c r="M55" s="14">
        <f>M40-M53</f>
        <v>-50530.80795</v>
      </c>
      <c r="N55" s="24"/>
      <c r="O55" s="14">
        <f>O40-O53</f>
        <v>-40837.06048</v>
      </c>
    </row>
    <row r="56">
      <c r="L56" s="25"/>
      <c r="M56" s="24"/>
      <c r="N56" s="24"/>
    </row>
    <row r="57">
      <c r="A57" s="35" t="s">
        <v>59</v>
      </c>
      <c r="B57" s="35">
        <v>2019.0</v>
      </c>
      <c r="H57" s="36">
        <v>43831.0</v>
      </c>
      <c r="L57" s="25"/>
      <c r="M57" s="24"/>
      <c r="N57" s="24"/>
    </row>
    <row r="58">
      <c r="A58" s="35" t="s">
        <v>60</v>
      </c>
      <c r="H58" s="37">
        <v>0.1</v>
      </c>
      <c r="I58" s="3" t="s">
        <v>32</v>
      </c>
      <c r="K58" s="10">
        <f t="shared" ref="K58:K60" si="28">H58*$K$61</f>
        <v>173741.3458</v>
      </c>
      <c r="L58" s="32">
        <f>K58*0.03</f>
        <v>5212.240373</v>
      </c>
      <c r="M58" s="33"/>
      <c r="N58" s="33"/>
    </row>
    <row r="59">
      <c r="A59" s="35" t="s">
        <v>61</v>
      </c>
      <c r="B59" s="14">
        <f>B45</f>
        <v>124145.1</v>
      </c>
      <c r="H59" s="37">
        <v>0.5</v>
      </c>
      <c r="I59" s="3" t="s">
        <v>35</v>
      </c>
      <c r="K59" s="10">
        <f t="shared" si="28"/>
        <v>868706.7289</v>
      </c>
      <c r="L59" s="32">
        <f>K59*0.08</f>
        <v>69496.53831</v>
      </c>
      <c r="M59" s="33">
        <f>L58+L59</f>
        <v>74708.77868</v>
      </c>
      <c r="N59" s="33"/>
    </row>
    <row r="60">
      <c r="A60" s="35" t="s">
        <v>62</v>
      </c>
      <c r="H60" s="37">
        <v>0.4</v>
      </c>
      <c r="I60" s="3" t="s">
        <v>37</v>
      </c>
      <c r="J60" s="1" t="s">
        <v>56</v>
      </c>
      <c r="K60" s="10">
        <f t="shared" si="28"/>
        <v>694965.3831</v>
      </c>
      <c r="L60" s="10">
        <f>K60/10</f>
        <v>69496.53831</v>
      </c>
    </row>
    <row r="61">
      <c r="A61" s="35" t="s">
        <v>63</v>
      </c>
      <c r="B61" s="14">
        <f>-B14</f>
        <v>-674091.03</v>
      </c>
      <c r="C61" s="35" t="s">
        <v>64</v>
      </c>
      <c r="H61" s="38">
        <f>SUM(H58:H60)</f>
        <v>1</v>
      </c>
      <c r="K61" s="14">
        <f>K55</f>
        <v>1737413.458</v>
      </c>
    </row>
    <row r="62">
      <c r="A62" s="35" t="s">
        <v>65</v>
      </c>
      <c r="B62" s="14">
        <f>B18-D18</f>
        <v>39321.97</v>
      </c>
    </row>
    <row r="63">
      <c r="A63" s="35" t="s">
        <v>66</v>
      </c>
      <c r="B63" s="14">
        <f>B20-D20</f>
        <v>-5617.43</v>
      </c>
      <c r="H63" s="36">
        <v>43862.0</v>
      </c>
      <c r="K63" s="14">
        <f>K55+M55+L63</f>
        <v>1686882.65</v>
      </c>
    </row>
    <row r="64">
      <c r="A64" s="35" t="s">
        <v>67</v>
      </c>
      <c r="H64" s="37">
        <v>0.1</v>
      </c>
      <c r="I64" s="3" t="s">
        <v>32</v>
      </c>
      <c r="K64" s="10">
        <f t="shared" ref="K64:K66" si="29">H64*$K$67</f>
        <v>168688.265</v>
      </c>
      <c r="L64" s="32">
        <f>K64*0.03</f>
        <v>5060.647949</v>
      </c>
      <c r="M64" s="33"/>
    </row>
    <row r="65">
      <c r="A65" s="35" t="s">
        <v>68</v>
      </c>
      <c r="B65" s="14">
        <f t="shared" ref="B65:B66" si="30">D8-B8</f>
        <v>-33704.55</v>
      </c>
      <c r="H65" s="37">
        <v>0.5</v>
      </c>
      <c r="I65" s="3" t="s">
        <v>35</v>
      </c>
      <c r="K65" s="10">
        <f t="shared" si="29"/>
        <v>843441.3249</v>
      </c>
      <c r="L65" s="32">
        <f>K65*0.08</f>
        <v>67475.30599</v>
      </c>
      <c r="M65" s="33">
        <f>L64+L65</f>
        <v>72535.95394</v>
      </c>
    </row>
    <row r="66">
      <c r="A66" s="35" t="s">
        <v>69</v>
      </c>
      <c r="B66" s="14">
        <f t="shared" si="30"/>
        <v>-22469.7</v>
      </c>
      <c r="H66" s="37">
        <v>0.4</v>
      </c>
      <c r="I66" s="3" t="s">
        <v>37</v>
      </c>
      <c r="J66" s="1" t="s">
        <v>56</v>
      </c>
      <c r="K66" s="10">
        <f t="shared" si="29"/>
        <v>674753.0599</v>
      </c>
      <c r="L66" s="10">
        <f>K66/10</f>
        <v>67475.30599</v>
      </c>
    </row>
    <row r="67">
      <c r="A67" s="39" t="s">
        <v>70</v>
      </c>
      <c r="B67" s="14">
        <f>SUM(B59:B66)</f>
        <v>-572415.64</v>
      </c>
      <c r="H67" s="38">
        <f>SUM(H64:H66)</f>
        <v>1</v>
      </c>
      <c r="K67" s="14">
        <f>K63</f>
        <v>1686882.65</v>
      </c>
    </row>
    <row r="68">
      <c r="A68" s="35" t="s">
        <v>71</v>
      </c>
      <c r="B68" s="14">
        <f>B14</f>
        <v>674091.03</v>
      </c>
    </row>
    <row r="69">
      <c r="A69" s="35" t="s">
        <v>72</v>
      </c>
      <c r="B69" s="14">
        <f>D15-B15</f>
        <v>-56174.25</v>
      </c>
    </row>
    <row r="70">
      <c r="A70" s="35" t="s">
        <v>73</v>
      </c>
      <c r="B70" s="14">
        <f>B22-D22</f>
        <v>56174.26</v>
      </c>
    </row>
    <row r="71">
      <c r="A71" s="35" t="s">
        <v>74</v>
      </c>
      <c r="B71" s="14">
        <f>B19-D19</f>
        <v>0</v>
      </c>
    </row>
    <row r="72">
      <c r="A72" s="35" t="s">
        <v>75</v>
      </c>
      <c r="B72" s="14">
        <f>B26-D26</f>
        <v>0</v>
      </c>
    </row>
    <row r="73">
      <c r="A73" s="35" t="s">
        <v>76</v>
      </c>
      <c r="B73" s="14">
        <f>B48-D48</f>
        <v>11234.85</v>
      </c>
    </row>
    <row r="74">
      <c r="A74" s="39" t="s">
        <v>77</v>
      </c>
      <c r="B74" s="14">
        <f>B47-D47</f>
        <v>0</v>
      </c>
    </row>
    <row r="75">
      <c r="A75" s="39" t="s">
        <v>78</v>
      </c>
      <c r="B75" s="14">
        <f>SUM(B68:B74)</f>
        <v>685325.89</v>
      </c>
    </row>
    <row r="76">
      <c r="A76" s="35" t="s">
        <v>79</v>
      </c>
      <c r="B76" s="14">
        <f>B67+B75</f>
        <v>112910.25</v>
      </c>
    </row>
    <row r="77">
      <c r="A77" s="35" t="s">
        <v>80</v>
      </c>
      <c r="B77" s="14">
        <f>D6</f>
        <v>33704.55</v>
      </c>
    </row>
    <row r="78">
      <c r="A78" s="39" t="s">
        <v>81</v>
      </c>
      <c r="B78" s="14">
        <f>B76+B77</f>
        <v>146614.8</v>
      </c>
      <c r="C78" s="14">
        <f>B6</f>
        <v>44939.4</v>
      </c>
    </row>
    <row r="80">
      <c r="B80" s="35" t="s">
        <v>82</v>
      </c>
      <c r="C80" s="35">
        <v>2019.0</v>
      </c>
      <c r="E80" s="35">
        <v>2018.0</v>
      </c>
    </row>
    <row r="81">
      <c r="A81" s="40" t="s">
        <v>83</v>
      </c>
      <c r="B81" s="41">
        <v>2.5</v>
      </c>
      <c r="C81" s="10">
        <f>B11/B21</f>
        <v>2.142857179</v>
      </c>
      <c r="E81" s="10">
        <f>D11/D21</f>
        <v>2.222222211</v>
      </c>
    </row>
    <row r="82">
      <c r="A82" s="40" t="s">
        <v>84</v>
      </c>
      <c r="B82" s="41">
        <v>1.3</v>
      </c>
      <c r="C82" s="10">
        <f>(B11-B9)/B21</f>
        <v>1.285714316</v>
      </c>
      <c r="E82" s="10">
        <f>(D11-D9)/D21</f>
        <v>1.333333317</v>
      </c>
    </row>
    <row r="83">
      <c r="A83" s="40" t="s">
        <v>85</v>
      </c>
      <c r="B83" s="41">
        <v>4.0</v>
      </c>
      <c r="C83" s="10">
        <f>B36/B15</f>
        <v>3.999999982</v>
      </c>
      <c r="E83" s="10">
        <f>D36/D15</f>
        <v>3.555555523</v>
      </c>
    </row>
    <row r="84">
      <c r="A84" s="40" t="s">
        <v>86</v>
      </c>
      <c r="B84" s="41">
        <v>2.0</v>
      </c>
      <c r="C84" s="10">
        <f>B36/B16</f>
        <v>1.999999991</v>
      </c>
      <c r="E84" s="10">
        <f>D36/D16</f>
        <v>1.839080458</v>
      </c>
    </row>
    <row r="85">
      <c r="A85" s="40" t="s">
        <v>87</v>
      </c>
      <c r="B85" s="41">
        <v>8.0</v>
      </c>
      <c r="C85" s="10">
        <f>B37/B9</f>
        <v>8.333333366</v>
      </c>
      <c r="E85" s="10">
        <f>D37/D9</f>
        <v>7.499999972</v>
      </c>
    </row>
    <row r="86">
      <c r="A86" s="40" t="s">
        <v>88</v>
      </c>
      <c r="B86" s="41">
        <v>35.0</v>
      </c>
      <c r="C86" s="10">
        <f>B8/(B36/365)</f>
        <v>36.49999984</v>
      </c>
      <c r="E86" s="10">
        <f>D8/(D36/365)</f>
        <v>38.78125009</v>
      </c>
    </row>
    <row r="87">
      <c r="A87" s="40" t="s">
        <v>89</v>
      </c>
      <c r="B87" s="41">
        <v>18.0</v>
      </c>
      <c r="C87" s="10">
        <f>B36/B8</f>
        <v>10.00000004</v>
      </c>
      <c r="E87" s="10">
        <f>D36/D8</f>
        <v>9.411764684</v>
      </c>
    </row>
    <row r="88">
      <c r="A88" s="40" t="s">
        <v>90</v>
      </c>
      <c r="B88" s="41">
        <v>25.0</v>
      </c>
      <c r="C88" s="10">
        <f>B18/(B37/365)</f>
        <v>19.46666563</v>
      </c>
      <c r="E88" s="10">
        <f>D18/(D37/365)</f>
        <v>13.68750064</v>
      </c>
    </row>
    <row r="89">
      <c r="A89" s="40" t="s">
        <v>91</v>
      </c>
      <c r="B89" s="42">
        <v>0.35</v>
      </c>
      <c r="C89" s="10">
        <f>B28/B16</f>
        <v>0.6999999982</v>
      </c>
      <c r="E89" s="10">
        <f>D28/D16</f>
        <v>0.7471264395</v>
      </c>
    </row>
    <row r="90">
      <c r="A90" s="40" t="s">
        <v>92</v>
      </c>
      <c r="B90" s="42">
        <v>0.07</v>
      </c>
      <c r="C90" s="10">
        <f>B45/B36</f>
        <v>0.05525000063</v>
      </c>
      <c r="E90" s="10">
        <f>D45/D36</f>
        <v>0.05131875113</v>
      </c>
    </row>
    <row r="91">
      <c r="A91" s="40" t="s">
        <v>93</v>
      </c>
      <c r="B91" s="42">
        <v>0.12</v>
      </c>
      <c r="C91" s="10">
        <f>B45/B16</f>
        <v>0.1105000008</v>
      </c>
      <c r="E91" s="10">
        <f>D45/D16</f>
        <v>0.09437931232</v>
      </c>
    </row>
    <row r="92">
      <c r="A92" s="43" t="s">
        <v>94</v>
      </c>
      <c r="B92" s="44">
        <v>0.15</v>
      </c>
      <c r="C92" s="10">
        <f>B45/B28</f>
        <v>0.1578571444</v>
      </c>
      <c r="E92" s="10">
        <f>D45/D28</f>
        <v>0.1263230791</v>
      </c>
    </row>
    <row r="94">
      <c r="D94" s="35" t="s">
        <v>95</v>
      </c>
    </row>
    <row r="96">
      <c r="A96" s="45" t="s">
        <v>96</v>
      </c>
      <c r="B96" s="46"/>
      <c r="C96" s="47"/>
    </row>
    <row r="97">
      <c r="A97" s="40" t="s">
        <v>83</v>
      </c>
      <c r="B97" s="41">
        <v>2.5</v>
      </c>
      <c r="C97" s="48" t="s">
        <v>97</v>
      </c>
    </row>
    <row r="98">
      <c r="A98" s="40" t="s">
        <v>84</v>
      </c>
      <c r="B98" s="41">
        <v>1.3</v>
      </c>
      <c r="C98" s="48" t="s">
        <v>97</v>
      </c>
    </row>
    <row r="99">
      <c r="A99" s="40" t="s">
        <v>85</v>
      </c>
      <c r="B99" s="41">
        <v>4.0</v>
      </c>
      <c r="C99" s="48" t="s">
        <v>97</v>
      </c>
    </row>
    <row r="100">
      <c r="A100" s="40" t="s">
        <v>86</v>
      </c>
      <c r="B100" s="41">
        <v>2.0</v>
      </c>
      <c r="C100" s="48" t="s">
        <v>97</v>
      </c>
    </row>
    <row r="101">
      <c r="A101" s="40" t="s">
        <v>87</v>
      </c>
      <c r="B101" s="41">
        <v>8.0</v>
      </c>
      <c r="C101" s="48" t="s">
        <v>97</v>
      </c>
    </row>
    <row r="102">
      <c r="A102" s="40" t="s">
        <v>88</v>
      </c>
      <c r="B102" s="41">
        <v>35.0</v>
      </c>
      <c r="C102" s="49"/>
    </row>
    <row r="103">
      <c r="A103" s="40" t="s">
        <v>89</v>
      </c>
      <c r="B103" s="41">
        <v>18.0</v>
      </c>
      <c r="C103" s="48" t="s">
        <v>98</v>
      </c>
    </row>
    <row r="104">
      <c r="A104" s="40" t="s">
        <v>90</v>
      </c>
      <c r="B104" s="41">
        <v>25.0</v>
      </c>
      <c r="C104" s="49"/>
    </row>
    <row r="105">
      <c r="A105" s="40" t="s">
        <v>91</v>
      </c>
      <c r="B105" s="42">
        <v>0.35</v>
      </c>
      <c r="C105" s="49"/>
    </row>
    <row r="106">
      <c r="A106" s="40" t="s">
        <v>92</v>
      </c>
      <c r="B106" s="42">
        <v>0.07</v>
      </c>
      <c r="C106" s="49"/>
    </row>
    <row r="107">
      <c r="A107" s="40" t="s">
        <v>93</v>
      </c>
      <c r="B107" s="42">
        <v>0.12</v>
      </c>
      <c r="C107" s="49"/>
    </row>
    <row r="108">
      <c r="A108" s="43" t="s">
        <v>94</v>
      </c>
      <c r="B108" s="44">
        <v>0.15</v>
      </c>
      <c r="C108" s="50"/>
    </row>
  </sheetData>
  <mergeCells count="1">
    <mergeCell ref="A96:C96"/>
  </mergeCells>
  <drawing r:id="rId2"/>
  <legacyDrawing r:id="rId3"/>
</worksheet>
</file>